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4100" yWindow="-28800" windowWidth="19440" windowHeight="15600" tabRatio="820" firstSheet="2" activeTab="5"/>
  </bookViews>
  <sheets>
    <sheet name="Introduction" sheetId="22" r:id="rId1"/>
    <sheet name="Model Organization" sheetId="2" r:id="rId2"/>
    <sheet name="Model changes" sheetId="31" r:id="rId3"/>
    <sheet name="User Inputs &amp; Results" sheetId="8" r:id="rId4"/>
    <sheet name="Bulk Assessment - Inputs" sheetId="34" r:id="rId5"/>
    <sheet name="Bulk Assessment - Results" sheetId="30" r:id="rId6"/>
    <sheet name="Energy Consumption" sheetId="14" r:id="rId7"/>
    <sheet name="GHG Emissions" sheetId="25" r:id="rId8"/>
    <sheet name="Exploration" sheetId="15" r:id="rId9"/>
    <sheet name="Drilling &amp; Development" sheetId="28" r:id="rId10"/>
    <sheet name="Production &amp; Extraction" sheetId="9" r:id="rId11"/>
    <sheet name="Surface Processing" sheetId="10" r:id="rId12"/>
    <sheet name="Maintenance" sheetId="17" r:id="rId13"/>
    <sheet name="Waste Disposal" sheetId="18" r:id="rId14"/>
    <sheet name="Crude Transport" sheetId="4" r:id="rId15"/>
    <sheet name="Bitumen Extraction &amp; Upgrading" sheetId="29" r:id="rId16"/>
    <sheet name="Gas Balance" sheetId="12" r:id="rId17"/>
    <sheet name="Steam Injection" sheetId="20" r:id="rId18"/>
    <sheet name="Venting &amp; Fugitives" sheetId="13" r:id="rId19"/>
    <sheet name="Flaring" sheetId="33" r:id="rId20"/>
    <sheet name="Electricity" sheetId="23" r:id="rId21"/>
    <sheet name="Drivers" sheetId="26" r:id="rId22"/>
    <sheet name="Fuel Cycle" sheetId="24" r:id="rId23"/>
    <sheet name="Emissions Factors" sheetId="7" r:id="rId24"/>
    <sheet name="Fuel Specs" sheetId="6" r:id="rId25"/>
    <sheet name="Input data" sheetId="21" r:id="rId26"/>
  </sheets>
  <functionGroups builtInGroupCount="17"/>
  <definedNames>
    <definedName name="solver_eng" localSheetId="17" hidden="1">1</definedName>
    <definedName name="solver_lin" localSheetId="17" hidden="1">2</definedName>
    <definedName name="solver_neg" localSheetId="17" hidden="1">2</definedName>
    <definedName name="solver_num" localSheetId="17" hidden="1">0</definedName>
    <definedName name="solver_opt" localSheetId="17" hidden="1">'Steam Injection'!#REF!</definedName>
    <definedName name="solver_typ" localSheetId="17" hidden="1">1</definedName>
    <definedName name="solver_val" localSheetId="17" hidden="1">0</definedName>
    <definedName name="solver_ver" localSheetId="17" hidden="1">2</definedName>
  </definedNames>
  <calcPr calcId="145621" iterate="1" iterateDelta="1.0000000000000001E-5" concurrentCalc="0"/>
  <extLst>
    <ext xmlns:mx="http://schemas.microsoft.com/office/mac/excel/2008/main" uri="{7523E5D3-25F3-A5E0-1632-64F254C22452}">
      <mx:ArchID Flags="2"/>
    </ext>
  </extLst>
</workbook>
</file>

<file path=xl/calcChain.xml><?xml version="1.0" encoding="utf-8"?>
<calcChain xmlns="http://schemas.openxmlformats.org/spreadsheetml/2006/main">
  <c r="E59" i="21" l="1"/>
  <c r="N191" i="9"/>
  <c r="M191" i="9"/>
  <c r="M17" i="9"/>
  <c r="M59" i="9"/>
  <c r="N195" i="9"/>
  <c r="M195" i="9"/>
  <c r="M20" i="9"/>
  <c r="M196" i="9"/>
  <c r="M197" i="9"/>
  <c r="M303" i="9"/>
  <c r="M38" i="9"/>
  <c r="E148" i="6"/>
  <c r="AM38" i="9"/>
  <c r="AN38" i="9"/>
  <c r="M48" i="9"/>
  <c r="M35" i="9"/>
  <c r="N46" i="13"/>
  <c r="M46" i="13"/>
  <c r="M15" i="33"/>
  <c r="G72" i="33"/>
  <c r="G70" i="33"/>
  <c r="M39" i="9"/>
  <c r="E150" i="6"/>
  <c r="AM39" i="9"/>
  <c r="AN39" i="9"/>
  <c r="M40" i="9"/>
  <c r="M41" i="9"/>
  <c r="M42" i="9"/>
  <c r="E154" i="6"/>
  <c r="AM42" i="9"/>
  <c r="AN42" i="9"/>
  <c r="M43" i="9"/>
  <c r="E155" i="6"/>
  <c r="AM43" i="9"/>
  <c r="AN43" i="9"/>
  <c r="M44" i="9"/>
  <c r="E158" i="6"/>
  <c r="AM44" i="9"/>
  <c r="AN44" i="9"/>
  <c r="M58" i="10"/>
  <c r="C84" i="21"/>
  <c r="E22" i="21"/>
  <c r="D84" i="21"/>
  <c r="H68" i="7"/>
  <c r="N85" i="13"/>
  <c r="M85" i="13"/>
  <c r="M67" i="13"/>
  <c r="M72" i="13"/>
  <c r="G59" i="7"/>
  <c r="N69" i="13"/>
  <c r="M69" i="13"/>
  <c r="H27" i="7"/>
  <c r="N22" i="13"/>
  <c r="M22" i="13"/>
  <c r="H32" i="7"/>
  <c r="N27" i="13"/>
  <c r="M27" i="13"/>
  <c r="N341" i="13"/>
  <c r="N51" i="13"/>
  <c r="M51" i="13"/>
  <c r="N340" i="13"/>
  <c r="N52" i="13"/>
  <c r="M52" i="13"/>
  <c r="N355" i="13"/>
  <c r="M355" i="13"/>
  <c r="N61" i="13"/>
  <c r="M61" i="13"/>
  <c r="H59" i="7"/>
  <c r="N70" i="13"/>
  <c r="M70" i="13"/>
  <c r="H64" i="7"/>
  <c r="N75" i="13"/>
  <c r="M75" i="13"/>
  <c r="N104" i="13"/>
  <c r="M32" i="9"/>
  <c r="F47" i="6"/>
  <c r="M14" i="6"/>
  <c r="F64" i="4"/>
  <c r="E204" i="21"/>
  <c r="C47" i="6"/>
  <c r="F66" i="4"/>
  <c r="M64" i="10"/>
  <c r="M19" i="9"/>
  <c r="M52" i="9"/>
  <c r="M49" i="9"/>
  <c r="M15" i="9"/>
  <c r="M231" i="9"/>
  <c r="M64" i="9"/>
  <c r="L64" i="9"/>
  <c r="J289" i="8"/>
  <c r="M61" i="9"/>
  <c r="M33" i="9"/>
  <c r="M62" i="9"/>
  <c r="M66" i="9"/>
  <c r="N67" i="9"/>
  <c r="M67" i="9"/>
  <c r="M16" i="9"/>
  <c r="M241" i="9"/>
  <c r="M56" i="9"/>
  <c r="Q329" i="10"/>
  <c r="M65" i="9"/>
  <c r="M18" i="9"/>
  <c r="M276" i="9"/>
  <c r="H26" i="14"/>
  <c r="J26" i="14"/>
  <c r="K26" i="14"/>
  <c r="H17" i="7"/>
  <c r="H18" i="25"/>
  <c r="M12" i="28"/>
  <c r="M20" i="28"/>
  <c r="M21" i="28"/>
  <c r="M13" i="28"/>
  <c r="M14" i="28"/>
  <c r="M26" i="28"/>
  <c r="J20" i="14"/>
  <c r="K20" i="14"/>
  <c r="J23" i="14"/>
  <c r="K23" i="14"/>
  <c r="J24" i="14"/>
  <c r="K24" i="14"/>
  <c r="J25" i="14"/>
  <c r="K25" i="14"/>
  <c r="J27" i="14"/>
  <c r="K27" i="14"/>
  <c r="J28" i="14"/>
  <c r="K28" i="14"/>
  <c r="J29" i="14"/>
  <c r="K29" i="14"/>
  <c r="J31" i="14"/>
  <c r="K31" i="14"/>
  <c r="J32" i="14"/>
  <c r="K32" i="14"/>
  <c r="J36" i="14"/>
  <c r="K36" i="14"/>
  <c r="J37" i="14"/>
  <c r="K37" i="14"/>
  <c r="J40" i="14"/>
  <c r="K40" i="14"/>
  <c r="J41" i="14"/>
  <c r="K41" i="14"/>
  <c r="J42" i="14"/>
  <c r="K42" i="14"/>
  <c r="J44" i="14"/>
  <c r="K44" i="14"/>
  <c r="J45" i="14"/>
  <c r="K45" i="14"/>
  <c r="K47" i="14"/>
  <c r="K48" i="14"/>
  <c r="J50" i="14"/>
  <c r="K50" i="14"/>
  <c r="J51" i="14"/>
  <c r="K51" i="14"/>
  <c r="J52" i="14"/>
  <c r="K52" i="14"/>
  <c r="J53" i="14"/>
  <c r="K53" i="14"/>
  <c r="J60" i="14"/>
  <c r="K60" i="14"/>
  <c r="K59" i="14"/>
  <c r="M28" i="28"/>
  <c r="M230" i="9"/>
  <c r="M226" i="9"/>
  <c r="M227" i="9"/>
  <c r="M225" i="9"/>
  <c r="M228" i="9"/>
  <c r="M229" i="9"/>
  <c r="N82" i="9"/>
  <c r="M82" i="9"/>
  <c r="M233" i="9"/>
  <c r="M234" i="9"/>
  <c r="E34" i="21"/>
  <c r="E35" i="21"/>
  <c r="M235" i="9"/>
  <c r="H23" i="14"/>
  <c r="B326" i="10"/>
  <c r="E329" i="10"/>
  <c r="F326" i="10"/>
  <c r="I329" i="10"/>
  <c r="J326" i="10"/>
  <c r="M329" i="10"/>
  <c r="N326" i="10"/>
  <c r="R326" i="10"/>
  <c r="M240" i="9"/>
  <c r="M107" i="9"/>
  <c r="M108" i="9"/>
  <c r="N106" i="9"/>
  <c r="M106" i="9"/>
  <c r="M238" i="9"/>
  <c r="M239" i="9"/>
  <c r="N99" i="9"/>
  <c r="M99" i="9"/>
  <c r="M243" i="9"/>
  <c r="M244" i="9"/>
  <c r="M245" i="9"/>
  <c r="H24" i="14"/>
  <c r="N112" i="9"/>
  <c r="M112" i="9"/>
  <c r="M113" i="9"/>
  <c r="M114" i="9"/>
  <c r="M255" i="9"/>
  <c r="M116" i="9"/>
  <c r="M256" i="9"/>
  <c r="M260" i="9"/>
  <c r="F29" i="12"/>
  <c r="I14" i="12"/>
  <c r="F30" i="12"/>
  <c r="F31" i="12"/>
  <c r="F32" i="12"/>
  <c r="F33" i="12"/>
  <c r="F34" i="12"/>
  <c r="F35" i="12"/>
  <c r="F36" i="12"/>
  <c r="E23" i="12"/>
  <c r="N29" i="12"/>
  <c r="W29" i="12"/>
  <c r="AD10" i="12"/>
  <c r="N30" i="12"/>
  <c r="M9" i="13"/>
  <c r="E30" i="12"/>
  <c r="M128" i="13"/>
  <c r="N31" i="12"/>
  <c r="N32" i="12"/>
  <c r="N33" i="12"/>
  <c r="N34" i="12"/>
  <c r="N35" i="12"/>
  <c r="N36" i="12"/>
  <c r="M23" i="12"/>
  <c r="M11" i="13"/>
  <c r="E135" i="13"/>
  <c r="E136" i="13"/>
  <c r="N30" i="13"/>
  <c r="M30" i="13"/>
  <c r="N35" i="13"/>
  <c r="M35" i="13"/>
  <c r="E150" i="13"/>
  <c r="E151" i="13"/>
  <c r="N41" i="13"/>
  <c r="M41" i="13"/>
  <c r="E155" i="13"/>
  <c r="E156" i="13"/>
  <c r="E195" i="13"/>
  <c r="E196" i="13"/>
  <c r="E200" i="13"/>
  <c r="E201" i="13"/>
  <c r="M77" i="13"/>
  <c r="E205" i="13"/>
  <c r="E206" i="13"/>
  <c r="M82" i="13"/>
  <c r="E210" i="13"/>
  <c r="E211" i="13"/>
  <c r="N87" i="13"/>
  <c r="M87" i="13"/>
  <c r="E215" i="13"/>
  <c r="E216" i="13"/>
  <c r="N92" i="13"/>
  <c r="M92" i="13"/>
  <c r="E220" i="13"/>
  <c r="E221" i="13"/>
  <c r="N97" i="13"/>
  <c r="M97" i="13"/>
  <c r="E225" i="13"/>
  <c r="E226" i="13"/>
  <c r="E236" i="13"/>
  <c r="U10" i="12"/>
  <c r="W30" i="12"/>
  <c r="AD11" i="12"/>
  <c r="E31" i="12"/>
  <c r="M129" i="13"/>
  <c r="F135" i="13"/>
  <c r="F136" i="13"/>
  <c r="N19" i="13"/>
  <c r="M19" i="13"/>
  <c r="N24" i="13"/>
  <c r="M24" i="13"/>
  <c r="F145" i="13"/>
  <c r="F146" i="13"/>
  <c r="F150" i="13"/>
  <c r="F151" i="13"/>
  <c r="F155" i="13"/>
  <c r="F156" i="13"/>
  <c r="F160" i="13"/>
  <c r="F161" i="13"/>
  <c r="F165" i="13"/>
  <c r="F166" i="13"/>
  <c r="F171" i="13"/>
  <c r="F195" i="13"/>
  <c r="F196" i="13"/>
  <c r="F200" i="13"/>
  <c r="F201" i="13"/>
  <c r="F205" i="13"/>
  <c r="F206" i="13"/>
  <c r="F210" i="13"/>
  <c r="F211" i="13"/>
  <c r="F215" i="13"/>
  <c r="F216" i="13"/>
  <c r="F220" i="13"/>
  <c r="F221" i="13"/>
  <c r="F225" i="13"/>
  <c r="F226" i="13"/>
  <c r="N103" i="13"/>
  <c r="M103" i="13"/>
  <c r="M104" i="13"/>
  <c r="N112" i="13"/>
  <c r="N106" i="13"/>
  <c r="M106" i="13"/>
  <c r="N107" i="13"/>
  <c r="M107" i="13"/>
  <c r="N109" i="13"/>
  <c r="M109" i="13"/>
  <c r="N110" i="13"/>
  <c r="M110" i="13"/>
  <c r="M112" i="13"/>
  <c r="N113" i="13"/>
  <c r="M113" i="13"/>
  <c r="N115" i="13"/>
  <c r="M115" i="13"/>
  <c r="N116" i="13"/>
  <c r="M116" i="13"/>
  <c r="N118" i="13"/>
  <c r="M118" i="13"/>
  <c r="N119" i="13"/>
  <c r="M119" i="13"/>
  <c r="F230" i="13"/>
  <c r="F231" i="13"/>
  <c r="F236" i="13"/>
  <c r="U11" i="12"/>
  <c r="W31" i="12"/>
  <c r="AD12" i="12"/>
  <c r="E34" i="12"/>
  <c r="E32" i="12"/>
  <c r="E33" i="12"/>
  <c r="M130" i="13"/>
  <c r="G230" i="13"/>
  <c r="G231" i="13"/>
  <c r="G236" i="13"/>
  <c r="J42" i="12"/>
  <c r="U12" i="12"/>
  <c r="W32" i="12"/>
  <c r="AD31" i="12"/>
  <c r="AD13" i="12"/>
  <c r="U13" i="12"/>
  <c r="W33" i="12"/>
  <c r="AD32" i="12"/>
  <c r="AD14" i="12"/>
  <c r="U14" i="12"/>
  <c r="W34" i="12"/>
  <c r="AD33" i="12"/>
  <c r="AD15" i="12"/>
  <c r="U15" i="12"/>
  <c r="W35" i="12"/>
  <c r="AD16" i="12"/>
  <c r="AD17" i="12"/>
  <c r="AC23" i="12"/>
  <c r="M159" i="9"/>
  <c r="AL19" i="12"/>
  <c r="AK28" i="12"/>
  <c r="AL32" i="12"/>
  <c r="M261" i="9"/>
  <c r="M262" i="9"/>
  <c r="N132" i="9"/>
  <c r="M132" i="9"/>
  <c r="M264" i="9"/>
  <c r="M265" i="9"/>
  <c r="C83" i="21"/>
  <c r="D83" i="21"/>
  <c r="N13" i="13"/>
  <c r="M13" i="13"/>
  <c r="F326" i="13"/>
  <c r="G34" i="7"/>
  <c r="N32" i="13"/>
  <c r="M32" i="13"/>
  <c r="G35" i="7"/>
  <c r="N37" i="13"/>
  <c r="M37" i="13"/>
  <c r="G37" i="7"/>
  <c r="N43" i="13"/>
  <c r="M43" i="13"/>
  <c r="G38" i="7"/>
  <c r="N48" i="13"/>
  <c r="M48" i="13"/>
  <c r="M74" i="13"/>
  <c r="N79" i="13"/>
  <c r="M79" i="13"/>
  <c r="N84" i="13"/>
  <c r="M84" i="13"/>
  <c r="G69" i="7"/>
  <c r="N89" i="13"/>
  <c r="M89" i="13"/>
  <c r="G70" i="7"/>
  <c r="N94" i="13"/>
  <c r="M94" i="13"/>
  <c r="M99" i="13"/>
  <c r="N14" i="13"/>
  <c r="M14" i="13"/>
  <c r="H34" i="7"/>
  <c r="N33" i="13"/>
  <c r="M33" i="13"/>
  <c r="H35" i="7"/>
  <c r="N38" i="13"/>
  <c r="M38" i="13"/>
  <c r="H37" i="7"/>
  <c r="N44" i="13"/>
  <c r="M44" i="13"/>
  <c r="H38" i="7"/>
  <c r="N49" i="13"/>
  <c r="M49" i="13"/>
  <c r="N346" i="13"/>
  <c r="H44" i="7"/>
  <c r="N56" i="13"/>
  <c r="M56" i="13"/>
  <c r="N347" i="13"/>
  <c r="H45" i="7"/>
  <c r="N59" i="13"/>
  <c r="M59" i="13"/>
  <c r="N360" i="13"/>
  <c r="M360" i="13"/>
  <c r="H46" i="7"/>
  <c r="N64" i="13"/>
  <c r="M64" i="13"/>
  <c r="N80" i="13"/>
  <c r="M80" i="13"/>
  <c r="H69" i="7"/>
  <c r="N90" i="13"/>
  <c r="M90" i="13"/>
  <c r="H70" i="7"/>
  <c r="N95" i="13"/>
  <c r="M95" i="13"/>
  <c r="H71" i="7"/>
  <c r="N100" i="13"/>
  <c r="M100" i="13"/>
  <c r="F293" i="13"/>
  <c r="F300" i="13"/>
  <c r="E24" i="21"/>
  <c r="H76" i="7"/>
  <c r="H101" i="7"/>
  <c r="H74" i="7"/>
  <c r="H99" i="7"/>
  <c r="H80" i="7"/>
  <c r="H105" i="7"/>
  <c r="H78" i="7"/>
  <c r="H103" i="7"/>
  <c r="H84" i="7"/>
  <c r="H109" i="7"/>
  <c r="H82" i="7"/>
  <c r="H107" i="7"/>
  <c r="H88" i="7"/>
  <c r="H113" i="7"/>
  <c r="H86" i="7"/>
  <c r="H111" i="7"/>
  <c r="F314" i="13"/>
  <c r="H92" i="7"/>
  <c r="H117" i="7"/>
  <c r="H90" i="7"/>
  <c r="H115" i="7"/>
  <c r="H96" i="7"/>
  <c r="H121" i="7"/>
  <c r="H94" i="7"/>
  <c r="H119" i="7"/>
  <c r="C85" i="21"/>
  <c r="D85" i="21"/>
  <c r="C86" i="21"/>
  <c r="D86" i="21"/>
  <c r="C87" i="21"/>
  <c r="D87" i="21"/>
  <c r="C89" i="21"/>
  <c r="D89" i="21"/>
  <c r="I76" i="7"/>
  <c r="I101" i="7"/>
  <c r="I74" i="7"/>
  <c r="I99" i="7"/>
  <c r="I80" i="7"/>
  <c r="I105" i="7"/>
  <c r="I78" i="7"/>
  <c r="I103" i="7"/>
  <c r="I84" i="7"/>
  <c r="I109" i="7"/>
  <c r="I82" i="7"/>
  <c r="I107" i="7"/>
  <c r="I88" i="7"/>
  <c r="I113" i="7"/>
  <c r="I86" i="7"/>
  <c r="I111" i="7"/>
  <c r="I92" i="7"/>
  <c r="I117" i="7"/>
  <c r="I90" i="7"/>
  <c r="I115" i="7"/>
  <c r="I96" i="7"/>
  <c r="I121" i="7"/>
  <c r="I94" i="7"/>
  <c r="I119" i="7"/>
  <c r="M266" i="9"/>
  <c r="H25" i="14"/>
  <c r="N163" i="9"/>
  <c r="M163" i="9"/>
  <c r="M164" i="9"/>
  <c r="M165" i="9"/>
  <c r="M286" i="9"/>
  <c r="M167" i="9"/>
  <c r="M287" i="9"/>
  <c r="M291" i="9"/>
  <c r="M292" i="9"/>
  <c r="M293" i="9"/>
  <c r="N183" i="9"/>
  <c r="M183" i="9"/>
  <c r="M295" i="9"/>
  <c r="M296" i="9"/>
  <c r="M297" i="9"/>
  <c r="H27" i="14"/>
  <c r="M189" i="9"/>
  <c r="H28" i="14"/>
  <c r="E47" i="21"/>
  <c r="E51" i="21"/>
  <c r="E52" i="21"/>
  <c r="E53" i="21"/>
  <c r="E54" i="21"/>
  <c r="M307" i="9"/>
  <c r="M199" i="9"/>
  <c r="M308" i="9"/>
  <c r="M312" i="9"/>
  <c r="M313" i="9"/>
  <c r="M314" i="9"/>
  <c r="N215" i="9"/>
  <c r="M215" i="9"/>
  <c r="M316" i="9"/>
  <c r="M317" i="9"/>
  <c r="M318" i="9"/>
  <c r="H29" i="14"/>
  <c r="M21" i="9"/>
  <c r="M322" i="9"/>
  <c r="H31" i="14"/>
  <c r="M323" i="9"/>
  <c r="H32" i="14"/>
  <c r="H30" i="14"/>
  <c r="H22" i="14"/>
  <c r="M12" i="10"/>
  <c r="M180" i="10"/>
  <c r="H36" i="14"/>
  <c r="M33" i="10"/>
  <c r="C168" i="10"/>
  <c r="O168" i="10"/>
  <c r="M184" i="10"/>
  <c r="N51" i="10"/>
  <c r="M51" i="10"/>
  <c r="M186" i="10"/>
  <c r="H37" i="14"/>
  <c r="S196" i="10"/>
  <c r="M221" i="10"/>
  <c r="M223" i="10"/>
  <c r="M224" i="10"/>
  <c r="M225" i="10"/>
  <c r="M226" i="10"/>
  <c r="M79" i="10"/>
  <c r="M229" i="10"/>
  <c r="M230" i="10"/>
  <c r="D203" i="10"/>
  <c r="M231" i="10"/>
  <c r="H40" i="14"/>
  <c r="M233" i="10"/>
  <c r="M234" i="10"/>
  <c r="M235" i="10"/>
  <c r="M80" i="10"/>
  <c r="M238" i="10"/>
  <c r="M239" i="10"/>
  <c r="M240" i="10"/>
  <c r="H41" i="14"/>
  <c r="N82" i="10"/>
  <c r="M82" i="10"/>
  <c r="M244" i="10"/>
  <c r="M242" i="10"/>
  <c r="M245" i="10"/>
  <c r="H42" i="14"/>
  <c r="M61" i="10"/>
  <c r="M280" i="10"/>
  <c r="M273" i="10"/>
  <c r="M274" i="10"/>
  <c r="M275" i="10"/>
  <c r="M276" i="10"/>
  <c r="M281" i="10"/>
  <c r="N102" i="10"/>
  <c r="M102" i="10"/>
  <c r="M283" i="10"/>
  <c r="H44" i="14"/>
  <c r="M277" i="10"/>
  <c r="M288" i="10"/>
  <c r="M97" i="10"/>
  <c r="M287" i="10"/>
  <c r="M290" i="10"/>
  <c r="H45" i="14"/>
  <c r="M115" i="10"/>
  <c r="W36" i="12"/>
  <c r="V23" i="12"/>
  <c r="V29" i="12"/>
  <c r="D297" i="10"/>
  <c r="E297" i="10"/>
  <c r="C81" i="21"/>
  <c r="F297" i="10"/>
  <c r="H297" i="10"/>
  <c r="I297" i="10"/>
  <c r="V30" i="12"/>
  <c r="D298" i="10"/>
  <c r="E298" i="10"/>
  <c r="F298" i="10"/>
  <c r="H298" i="10"/>
  <c r="I298" i="10"/>
  <c r="V31" i="12"/>
  <c r="D299" i="10"/>
  <c r="E299" i="10"/>
  <c r="F299" i="10"/>
  <c r="H299" i="10"/>
  <c r="I299" i="10"/>
  <c r="V32" i="12"/>
  <c r="D300" i="10"/>
  <c r="E300" i="10"/>
  <c r="F300" i="10"/>
  <c r="H300" i="10"/>
  <c r="I300" i="10"/>
  <c r="V33" i="12"/>
  <c r="D301" i="10"/>
  <c r="E301" i="10"/>
  <c r="F301" i="10"/>
  <c r="H301" i="10"/>
  <c r="I301" i="10"/>
  <c r="V34" i="12"/>
  <c r="D302" i="10"/>
  <c r="E302" i="10"/>
  <c r="F302" i="10"/>
  <c r="H302" i="10"/>
  <c r="I302" i="10"/>
  <c r="I304" i="10"/>
  <c r="M306" i="10"/>
  <c r="M118" i="10"/>
  <c r="M116" i="10"/>
  <c r="V35" i="12"/>
  <c r="D303" i="10"/>
  <c r="E303" i="10"/>
  <c r="C82" i="21"/>
  <c r="F303" i="10"/>
  <c r="H303" i="10"/>
  <c r="H304" i="10"/>
  <c r="M307" i="10"/>
  <c r="M119" i="10"/>
  <c r="M309" i="10"/>
  <c r="H47" i="14"/>
  <c r="M310" i="10"/>
  <c r="H48" i="14"/>
  <c r="E323" i="10"/>
  <c r="E336" i="10"/>
  <c r="H50" i="14"/>
  <c r="I323" i="10"/>
  <c r="I336" i="10"/>
  <c r="H51" i="14"/>
  <c r="M323" i="10"/>
  <c r="M336" i="10"/>
  <c r="H52" i="14"/>
  <c r="Q323" i="10"/>
  <c r="Q336" i="10"/>
  <c r="H53" i="14"/>
  <c r="H34" i="14"/>
  <c r="M10" i="23"/>
  <c r="E70" i="14"/>
  <c r="M77" i="23"/>
  <c r="M11" i="23"/>
  <c r="M12" i="23"/>
  <c r="M13" i="23"/>
  <c r="M20" i="23"/>
  <c r="M79" i="23"/>
  <c r="H60" i="14"/>
  <c r="H59" i="14"/>
  <c r="C17" i="7"/>
  <c r="H26" i="25"/>
  <c r="N336" i="13"/>
  <c r="H42" i="7"/>
  <c r="G187" i="13"/>
  <c r="G186" i="13"/>
  <c r="N352" i="13"/>
  <c r="G44" i="7"/>
  <c r="N55" i="13"/>
  <c r="M55" i="13"/>
  <c r="N353" i="13"/>
  <c r="G45" i="7"/>
  <c r="N58" i="13"/>
  <c r="M58" i="13"/>
  <c r="N361" i="13"/>
  <c r="M361" i="13"/>
  <c r="G46" i="7"/>
  <c r="N63" i="13"/>
  <c r="M63" i="13"/>
  <c r="G185" i="13"/>
  <c r="G184" i="13"/>
  <c r="G27" i="7"/>
  <c r="N21" i="13"/>
  <c r="M21" i="13"/>
  <c r="G32" i="7"/>
  <c r="N26" i="13"/>
  <c r="M26" i="13"/>
  <c r="M359" i="13"/>
  <c r="M358" i="13"/>
  <c r="M353" i="13"/>
  <c r="M352" i="13"/>
  <c r="M351" i="13"/>
  <c r="M350" i="13"/>
  <c r="M347" i="13"/>
  <c r="M346" i="13"/>
  <c r="M345" i="13"/>
  <c r="M344" i="13"/>
  <c r="M341" i="13"/>
  <c r="M340" i="13"/>
  <c r="N337" i="13"/>
  <c r="M337" i="13"/>
  <c r="M336" i="13"/>
  <c r="M335" i="13"/>
  <c r="M334" i="13"/>
  <c r="G42" i="7"/>
  <c r="E38" i="21"/>
  <c r="F313" i="13"/>
  <c r="G293" i="13"/>
  <c r="F299" i="13"/>
  <c r="F267" i="13"/>
  <c r="I267" i="13"/>
  <c r="H267" i="13"/>
  <c r="G267" i="13"/>
  <c r="A1903" i="21"/>
  <c r="F32" i="4"/>
  <c r="B24" i="4"/>
  <c r="E64" i="4"/>
  <c r="F35" i="4"/>
  <c r="E65" i="4"/>
  <c r="E60" i="4"/>
  <c r="E152" i="6"/>
  <c r="AM40" i="9"/>
  <c r="E153" i="6"/>
  <c r="AM41" i="9"/>
  <c r="D81" i="21"/>
  <c r="N31" i="20"/>
  <c r="M31" i="20"/>
  <c r="M35" i="20"/>
  <c r="M37" i="20"/>
  <c r="C303" i="6"/>
  <c r="C305" i="6"/>
  <c r="C310" i="6"/>
  <c r="C311" i="6"/>
  <c r="C313" i="6"/>
  <c r="E94" i="21"/>
  <c r="E104" i="21"/>
  <c r="E105" i="21"/>
  <c r="C170" i="6"/>
  <c r="C187" i="6"/>
  <c r="C171" i="6"/>
  <c r="C172" i="6"/>
  <c r="C189" i="6"/>
  <c r="C173" i="6"/>
  <c r="C174" i="6"/>
  <c r="C191" i="6"/>
  <c r="C175" i="6"/>
  <c r="C176" i="6"/>
  <c r="C193" i="6"/>
  <c r="C177" i="6"/>
  <c r="E106" i="21"/>
  <c r="E170" i="6"/>
  <c r="E171" i="6"/>
  <c r="E188" i="6"/>
  <c r="E172" i="6"/>
  <c r="E173" i="6"/>
  <c r="E190" i="6"/>
  <c r="E174" i="6"/>
  <c r="E175" i="6"/>
  <c r="E192" i="6"/>
  <c r="E176" i="6"/>
  <c r="E177" i="6"/>
  <c r="E194" i="6"/>
  <c r="E107" i="21"/>
  <c r="F170" i="6"/>
  <c r="F171" i="6"/>
  <c r="F172" i="6"/>
  <c r="F173" i="6"/>
  <c r="F174" i="6"/>
  <c r="F175" i="6"/>
  <c r="F176" i="6"/>
  <c r="F177" i="6"/>
  <c r="E187" i="6"/>
  <c r="E189" i="6"/>
  <c r="E191" i="6"/>
  <c r="E193" i="6"/>
  <c r="E201" i="6"/>
  <c r="F187" i="6"/>
  <c r="F188" i="6"/>
  <c r="F189" i="6"/>
  <c r="F190" i="6"/>
  <c r="F191" i="6"/>
  <c r="F192" i="6"/>
  <c r="F193" i="6"/>
  <c r="F194" i="6"/>
  <c r="E202" i="6"/>
  <c r="E203" i="6"/>
  <c r="E204" i="6"/>
  <c r="E205" i="6"/>
  <c r="E206" i="6"/>
  <c r="E208" i="6"/>
  <c r="E209" i="6"/>
  <c r="D218" i="6"/>
  <c r="N193" i="6"/>
  <c r="C188" i="6"/>
  <c r="C190" i="6"/>
  <c r="C192" i="6"/>
  <c r="C194" i="6"/>
  <c r="E199" i="6"/>
  <c r="E9" i="14"/>
  <c r="E68" i="14"/>
  <c r="E93" i="14"/>
  <c r="F17" i="7"/>
  <c r="E36" i="21"/>
  <c r="E39" i="21"/>
  <c r="F199" i="29"/>
  <c r="C199" i="29"/>
  <c r="D199" i="29"/>
  <c r="E199" i="29"/>
  <c r="M32" i="29"/>
  <c r="M37" i="29"/>
  <c r="C241" i="29"/>
  <c r="M70" i="29"/>
  <c r="M109" i="29"/>
  <c r="M171" i="29"/>
  <c r="M170" i="29"/>
  <c r="M169" i="29"/>
  <c r="D228" i="29"/>
  <c r="C228" i="29"/>
  <c r="D227" i="29"/>
  <c r="C227" i="29"/>
  <c r="D225" i="29"/>
  <c r="C225" i="29"/>
  <c r="D224" i="29"/>
  <c r="C224" i="29"/>
  <c r="D202" i="29"/>
  <c r="E202" i="29"/>
  <c r="F202" i="29"/>
  <c r="C202" i="29"/>
  <c r="M121" i="29"/>
  <c r="D201" i="29"/>
  <c r="E201" i="29"/>
  <c r="F201" i="29"/>
  <c r="C201" i="29"/>
  <c r="D200" i="29"/>
  <c r="E200" i="29"/>
  <c r="F200" i="29"/>
  <c r="C200" i="29"/>
  <c r="D198" i="29"/>
  <c r="E198" i="29"/>
  <c r="F198" i="29"/>
  <c r="C198" i="29"/>
  <c r="F56" i="23"/>
  <c r="F57" i="23"/>
  <c r="F58" i="23"/>
  <c r="F59" i="23"/>
  <c r="F60" i="23"/>
  <c r="F55" i="23"/>
  <c r="F45" i="23"/>
  <c r="F46" i="23"/>
  <c r="F47" i="23"/>
  <c r="F48" i="23"/>
  <c r="F49" i="23"/>
  <c r="F44" i="23"/>
  <c r="C56" i="23"/>
  <c r="C57" i="23"/>
  <c r="C58" i="23"/>
  <c r="C59" i="23"/>
  <c r="C60" i="23"/>
  <c r="C55" i="23"/>
  <c r="C45" i="23"/>
  <c r="C46" i="23"/>
  <c r="C47" i="23"/>
  <c r="C48" i="23"/>
  <c r="C49" i="23"/>
  <c r="C44" i="23"/>
  <c r="D72" i="24"/>
  <c r="D70" i="24"/>
  <c r="D59" i="24"/>
  <c r="D57" i="24"/>
  <c r="E41" i="24"/>
  <c r="E39" i="24"/>
  <c r="E38" i="24"/>
  <c r="D47" i="23"/>
  <c r="D59" i="23"/>
  <c r="D58" i="23"/>
  <c r="N10" i="23"/>
  <c r="E97" i="26"/>
  <c r="F97" i="26"/>
  <c r="G97" i="26"/>
  <c r="H97" i="26"/>
  <c r="I97" i="26"/>
  <c r="J97" i="26"/>
  <c r="K97" i="26"/>
  <c r="L97" i="26"/>
  <c r="M97" i="26"/>
  <c r="N97" i="26"/>
  <c r="O97" i="26"/>
  <c r="P97" i="26"/>
  <c r="D97" i="26"/>
  <c r="P95" i="26"/>
  <c r="O95" i="26"/>
  <c r="N95" i="26"/>
  <c r="M95" i="26"/>
  <c r="L95" i="26"/>
  <c r="K95" i="26"/>
  <c r="J95" i="26"/>
  <c r="I95" i="26"/>
  <c r="H95" i="26"/>
  <c r="G95" i="26"/>
  <c r="F95" i="26"/>
  <c r="E95" i="26"/>
  <c r="D95" i="26"/>
  <c r="L62" i="26"/>
  <c r="K62" i="26"/>
  <c r="J62" i="26"/>
  <c r="I62" i="26"/>
  <c r="H62" i="26"/>
  <c r="G62" i="26"/>
  <c r="F62" i="26"/>
  <c r="E62" i="26"/>
  <c r="D62" i="26"/>
  <c r="E13" i="26"/>
  <c r="F13" i="26"/>
  <c r="G13" i="26"/>
  <c r="H13" i="26"/>
  <c r="I13" i="26"/>
  <c r="J13" i="26"/>
  <c r="K13" i="26"/>
  <c r="L13" i="26"/>
  <c r="M13" i="26"/>
  <c r="N13" i="26"/>
  <c r="O13" i="26"/>
  <c r="P13" i="26"/>
  <c r="D13" i="26"/>
  <c r="M342" i="10"/>
  <c r="P17" i="7"/>
  <c r="E17" i="7"/>
  <c r="N17" i="7"/>
  <c r="E32" i="23"/>
  <c r="F32" i="23"/>
  <c r="C32" i="23"/>
  <c r="D32" i="23"/>
  <c r="J300" i="8"/>
  <c r="M19" i="20"/>
  <c r="M18" i="20"/>
  <c r="M20" i="20"/>
  <c r="M390" i="20"/>
  <c r="M412" i="20"/>
  <c r="E182" i="21"/>
  <c r="E183" i="21"/>
  <c r="C158" i="21"/>
  <c r="D158" i="21"/>
  <c r="E158" i="21"/>
  <c r="I158" i="21"/>
  <c r="E191" i="21"/>
  <c r="E192" i="21"/>
  <c r="E194" i="21"/>
  <c r="E195" i="21"/>
  <c r="M371" i="20"/>
  <c r="M373" i="20"/>
  <c r="M378" i="20"/>
  <c r="M379" i="20"/>
  <c r="M381" i="20"/>
  <c r="D55" i="23"/>
  <c r="E55" i="23"/>
  <c r="D56" i="23"/>
  <c r="E56" i="23"/>
  <c r="D57" i="23"/>
  <c r="E57" i="23"/>
  <c r="D60" i="23"/>
  <c r="E60" i="23"/>
  <c r="E58" i="23"/>
  <c r="E59" i="23"/>
  <c r="G60" i="23"/>
  <c r="H60" i="23"/>
  <c r="G59" i="23"/>
  <c r="H59" i="23"/>
  <c r="G58" i="23"/>
  <c r="H58" i="23"/>
  <c r="G57" i="23"/>
  <c r="H57" i="23"/>
  <c r="G56" i="23"/>
  <c r="H56" i="23"/>
  <c r="G55" i="23"/>
  <c r="H55" i="23"/>
  <c r="G47" i="23"/>
  <c r="H47" i="23"/>
  <c r="G49" i="23"/>
  <c r="G48" i="23"/>
  <c r="G46" i="23"/>
  <c r="G45" i="23"/>
  <c r="G44" i="23"/>
  <c r="D48" i="23"/>
  <c r="H49" i="23"/>
  <c r="H48" i="23"/>
  <c r="H45" i="23"/>
  <c r="H44" i="23"/>
  <c r="D49" i="23"/>
  <c r="D46" i="23"/>
  <c r="D45" i="23"/>
  <c r="D44" i="23"/>
  <c r="E44" i="23"/>
  <c r="E49" i="23"/>
  <c r="E48" i="23"/>
  <c r="E47" i="23"/>
  <c r="E45" i="23"/>
  <c r="W191" i="9"/>
  <c r="W192" i="9"/>
  <c r="N37" i="20"/>
  <c r="N41" i="20"/>
  <c r="N42" i="20"/>
  <c r="I1896" i="21"/>
  <c r="I95" i="7"/>
  <c r="H95" i="7"/>
  <c r="I112" i="7"/>
  <c r="H112" i="7"/>
  <c r="F102" i="33"/>
  <c r="G102" i="33"/>
  <c r="F280" i="29"/>
  <c r="F281" i="29"/>
  <c r="C280" i="29"/>
  <c r="C281" i="29"/>
  <c r="D280" i="29"/>
  <c r="D281" i="29"/>
  <c r="E280" i="29"/>
  <c r="E281" i="29"/>
  <c r="C240" i="29"/>
  <c r="M140" i="29"/>
  <c r="F288" i="29"/>
  <c r="C288" i="29"/>
  <c r="D288" i="29"/>
  <c r="E288" i="29"/>
  <c r="C88" i="21"/>
  <c r="C90" i="21"/>
  <c r="D90" i="21"/>
  <c r="N310" i="10"/>
  <c r="R42" i="33"/>
  <c r="R40" i="33"/>
  <c r="M22" i="33"/>
  <c r="E11" i="21"/>
  <c r="M24" i="33"/>
  <c r="L134" i="6"/>
  <c r="D134" i="6"/>
  <c r="K75" i="8"/>
  <c r="N59" i="9"/>
  <c r="K73" i="8"/>
  <c r="K72" i="8"/>
  <c r="N65" i="9"/>
  <c r="K90" i="8"/>
  <c r="N48" i="9"/>
  <c r="I151" i="33"/>
  <c r="H151" i="33"/>
  <c r="M39" i="33"/>
  <c r="L132" i="6"/>
  <c r="D132" i="6"/>
  <c r="P132" i="6"/>
  <c r="L133" i="6"/>
  <c r="D133" i="6"/>
  <c r="L135" i="6"/>
  <c r="D135" i="6"/>
  <c r="L138" i="6"/>
  <c r="N138" i="6"/>
  <c r="D138" i="6"/>
  <c r="T166" i="33"/>
  <c r="T170" i="33"/>
  <c r="T171" i="33"/>
  <c r="T173" i="33"/>
  <c r="T175" i="33"/>
  <c r="T177" i="33"/>
  <c r="T179" i="33"/>
  <c r="T181" i="33"/>
  <c r="T183" i="33"/>
  <c r="T185" i="33"/>
  <c r="T187" i="33"/>
  <c r="T189" i="33"/>
  <c r="T191" i="33"/>
  <c r="T193" i="33"/>
  <c r="T195" i="33"/>
  <c r="T197" i="33"/>
  <c r="T199" i="33"/>
  <c r="T201" i="33"/>
  <c r="T203" i="33"/>
  <c r="T205" i="33"/>
  <c r="T207" i="33"/>
  <c r="T209" i="33"/>
  <c r="T211" i="33"/>
  <c r="T213" i="33"/>
  <c r="T215" i="33"/>
  <c r="T217" i="33"/>
  <c r="T219" i="33"/>
  <c r="T221" i="33"/>
  <c r="T223" i="33"/>
  <c r="T225" i="33"/>
  <c r="T227" i="33"/>
  <c r="T229" i="33"/>
  <c r="T231" i="33"/>
  <c r="T233" i="33"/>
  <c r="T235" i="33"/>
  <c r="T237" i="33"/>
  <c r="T239" i="33"/>
  <c r="T241" i="33"/>
  <c r="T243" i="33"/>
  <c r="T245" i="33"/>
  <c r="T247" i="33"/>
  <c r="T249" i="33"/>
  <c r="AF31" i="12"/>
  <c r="AF32" i="12"/>
  <c r="AF33" i="12"/>
  <c r="AE33" i="12"/>
  <c r="AE32" i="12"/>
  <c r="N42" i="33"/>
  <c r="AE31" i="12"/>
  <c r="AH10" i="12"/>
  <c r="AH11" i="12"/>
  <c r="AH12" i="12"/>
  <c r="AH13" i="12"/>
  <c r="AH14" i="12"/>
  <c r="AH15" i="12"/>
  <c r="AH16" i="12"/>
  <c r="AG16" i="12"/>
  <c r="AG13" i="12"/>
  <c r="AG14" i="12"/>
  <c r="AG15" i="12"/>
  <c r="AG12" i="12"/>
  <c r="AG11" i="12"/>
  <c r="AG10" i="12"/>
  <c r="H29" i="12"/>
  <c r="H30" i="12"/>
  <c r="H31" i="12"/>
  <c r="H32" i="12"/>
  <c r="H33" i="12"/>
  <c r="H34" i="12"/>
  <c r="H35" i="12"/>
  <c r="G35" i="12"/>
  <c r="G34" i="12"/>
  <c r="G33" i="12"/>
  <c r="G32" i="12"/>
  <c r="G31" i="12"/>
  <c r="G30" i="12"/>
  <c r="G29" i="12"/>
  <c r="I66" i="8"/>
  <c r="N66" i="8"/>
  <c r="K281" i="8"/>
  <c r="R10" i="33"/>
  <c r="F119" i="33"/>
  <c r="G119" i="33"/>
  <c r="K91" i="8"/>
  <c r="N52" i="9"/>
  <c r="J150" i="33"/>
  <c r="K150" i="33"/>
  <c r="J149" i="33"/>
  <c r="K149" i="33"/>
  <c r="J148" i="33"/>
  <c r="K148" i="33"/>
  <c r="J147" i="33"/>
  <c r="K147" i="33"/>
  <c r="J144" i="33"/>
  <c r="K144" i="33"/>
  <c r="J143" i="33"/>
  <c r="K143" i="33"/>
  <c r="J142" i="33"/>
  <c r="K142" i="33"/>
  <c r="J141" i="33"/>
  <c r="K141" i="33"/>
  <c r="J140" i="33"/>
  <c r="K140" i="33"/>
  <c r="J139" i="33"/>
  <c r="K139" i="33"/>
  <c r="J138" i="33"/>
  <c r="K138" i="33"/>
  <c r="J137" i="33"/>
  <c r="K137" i="33"/>
  <c r="J136" i="33"/>
  <c r="K136" i="33"/>
  <c r="J135" i="33"/>
  <c r="K135" i="33"/>
  <c r="J134" i="33"/>
  <c r="K134" i="33"/>
  <c r="J133" i="33"/>
  <c r="K133" i="33"/>
  <c r="J132" i="33"/>
  <c r="K132" i="33"/>
  <c r="J131" i="33"/>
  <c r="K131" i="33"/>
  <c r="J130" i="33"/>
  <c r="K130" i="33"/>
  <c r="J129" i="33"/>
  <c r="K129" i="33"/>
  <c r="J128" i="33"/>
  <c r="K128" i="33"/>
  <c r="J127" i="33"/>
  <c r="K127" i="33"/>
  <c r="J126" i="33"/>
  <c r="K126" i="33"/>
  <c r="J125" i="33"/>
  <c r="K125" i="33"/>
  <c r="J124" i="33"/>
  <c r="K124" i="33"/>
  <c r="J123" i="33"/>
  <c r="K123" i="33"/>
  <c r="J122" i="33"/>
  <c r="K122" i="33"/>
  <c r="J121" i="33"/>
  <c r="K121" i="33"/>
  <c r="J120" i="33"/>
  <c r="K120" i="33"/>
  <c r="J119" i="33"/>
  <c r="K119" i="33"/>
  <c r="J118" i="33"/>
  <c r="K118" i="33"/>
  <c r="J117" i="33"/>
  <c r="K117" i="33"/>
  <c r="J116" i="33"/>
  <c r="K116" i="33"/>
  <c r="J115" i="33"/>
  <c r="K115" i="33"/>
  <c r="J114" i="33"/>
  <c r="K114" i="33"/>
  <c r="J113" i="33"/>
  <c r="K113" i="33"/>
  <c r="J112" i="33"/>
  <c r="K112" i="33"/>
  <c r="J111" i="33"/>
  <c r="K111" i="33"/>
  <c r="J110" i="33"/>
  <c r="K110" i="33"/>
  <c r="J109" i="33"/>
  <c r="K109" i="33"/>
  <c r="J108" i="33"/>
  <c r="K108" i="33"/>
  <c r="J107" i="33"/>
  <c r="K107" i="33"/>
  <c r="J106" i="33"/>
  <c r="K106" i="33"/>
  <c r="J105" i="33"/>
  <c r="K105" i="33"/>
  <c r="J104" i="33"/>
  <c r="K104" i="33"/>
  <c r="J103" i="33"/>
  <c r="K103" i="33"/>
  <c r="J102" i="33"/>
  <c r="K102" i="33"/>
  <c r="J101" i="33"/>
  <c r="K101" i="33"/>
  <c r="J100" i="33"/>
  <c r="K100" i="33"/>
  <c r="J99" i="33"/>
  <c r="K99" i="33"/>
  <c r="J98" i="33"/>
  <c r="K98" i="33"/>
  <c r="J97" i="33"/>
  <c r="K97" i="33"/>
  <c r="J96" i="33"/>
  <c r="K96" i="33"/>
  <c r="J95" i="33"/>
  <c r="K95" i="33"/>
  <c r="J94" i="33"/>
  <c r="K94" i="33"/>
  <c r="J93" i="33"/>
  <c r="K93" i="33"/>
  <c r="E164" i="21"/>
  <c r="E165" i="21"/>
  <c r="I167" i="21"/>
  <c r="J158" i="21"/>
  <c r="J167" i="21"/>
  <c r="J168" i="21"/>
  <c r="M142" i="20"/>
  <c r="M144" i="20"/>
  <c r="M149" i="20"/>
  <c r="M150" i="20"/>
  <c r="M152" i="20"/>
  <c r="E173" i="21"/>
  <c r="E174" i="21"/>
  <c r="E176" i="21"/>
  <c r="F158" i="21"/>
  <c r="E45" i="21"/>
  <c r="N90" i="29"/>
  <c r="M90" i="29"/>
  <c r="N91" i="29"/>
  <c r="M91" i="29"/>
  <c r="N92" i="29"/>
  <c r="M92" i="29"/>
  <c r="N93" i="29"/>
  <c r="M93" i="29"/>
  <c r="N94" i="29"/>
  <c r="M94" i="29"/>
  <c r="E249" i="29"/>
  <c r="F249" i="29"/>
  <c r="G249" i="29"/>
  <c r="H249" i="29"/>
  <c r="I249" i="29"/>
  <c r="J249" i="29"/>
  <c r="K249" i="29"/>
  <c r="O249" i="29"/>
  <c r="P249" i="29"/>
  <c r="R249" i="29"/>
  <c r="Q249" i="29"/>
  <c r="S249" i="29"/>
  <c r="T249" i="29"/>
  <c r="H250" i="29"/>
  <c r="I250" i="29"/>
  <c r="J250" i="29"/>
  <c r="K250" i="29"/>
  <c r="O250" i="29"/>
  <c r="P250" i="29"/>
  <c r="R250" i="29"/>
  <c r="E251" i="29"/>
  <c r="F251" i="29"/>
  <c r="G251" i="29"/>
  <c r="H251" i="29"/>
  <c r="I251" i="29"/>
  <c r="J251" i="29"/>
  <c r="K251" i="29"/>
  <c r="O251" i="29"/>
  <c r="F25" i="6"/>
  <c r="M33" i="29"/>
  <c r="U249" i="29"/>
  <c r="V249" i="29"/>
  <c r="X249" i="29"/>
  <c r="AB249" i="29"/>
  <c r="Q250" i="29"/>
  <c r="S250" i="29"/>
  <c r="T250" i="29"/>
  <c r="U250" i="29"/>
  <c r="V250" i="29"/>
  <c r="X250" i="29"/>
  <c r="AB250" i="29"/>
  <c r="P251" i="29"/>
  <c r="R251" i="29"/>
  <c r="Q251" i="29"/>
  <c r="S251" i="29"/>
  <c r="T251" i="29"/>
  <c r="U251" i="29"/>
  <c r="V251" i="29"/>
  <c r="X251" i="29"/>
  <c r="AB251" i="29"/>
  <c r="M43" i="29"/>
  <c r="M71" i="29"/>
  <c r="E48" i="21"/>
  <c r="D151" i="33"/>
  <c r="K45" i="25"/>
  <c r="I14" i="25"/>
  <c r="K14" i="25"/>
  <c r="AF15" i="12"/>
  <c r="AF14" i="12"/>
  <c r="AF13" i="12"/>
  <c r="E151" i="33"/>
  <c r="F151" i="33"/>
  <c r="G151" i="33"/>
  <c r="F150" i="33"/>
  <c r="G150" i="33"/>
  <c r="F149" i="33"/>
  <c r="F148" i="33"/>
  <c r="G148" i="33"/>
  <c r="F147" i="33"/>
  <c r="F144" i="33"/>
  <c r="G144" i="33"/>
  <c r="F143" i="33"/>
  <c r="G143" i="33"/>
  <c r="F142" i="33"/>
  <c r="F141" i="33"/>
  <c r="G141" i="33"/>
  <c r="F140" i="33"/>
  <c r="G140" i="33"/>
  <c r="F139" i="33"/>
  <c r="G139" i="33"/>
  <c r="F138" i="33"/>
  <c r="F137" i="33"/>
  <c r="G137" i="33"/>
  <c r="F136" i="33"/>
  <c r="G136" i="33"/>
  <c r="F135" i="33"/>
  <c r="G135" i="33"/>
  <c r="F134" i="33"/>
  <c r="F133" i="33"/>
  <c r="G133" i="33"/>
  <c r="F132" i="33"/>
  <c r="G132" i="33"/>
  <c r="F131" i="33"/>
  <c r="G131" i="33"/>
  <c r="F130" i="33"/>
  <c r="F129" i="33"/>
  <c r="G129" i="33"/>
  <c r="F128" i="33"/>
  <c r="G128" i="33"/>
  <c r="F127" i="33"/>
  <c r="G127" i="33"/>
  <c r="F126" i="33"/>
  <c r="F125" i="33"/>
  <c r="G125" i="33"/>
  <c r="F124" i="33"/>
  <c r="G124" i="33"/>
  <c r="F123" i="33"/>
  <c r="G123" i="33"/>
  <c r="F122" i="33"/>
  <c r="F121" i="33"/>
  <c r="G121" i="33"/>
  <c r="F120" i="33"/>
  <c r="G120" i="33"/>
  <c r="F118" i="33"/>
  <c r="G118" i="33"/>
  <c r="F117" i="33"/>
  <c r="F116" i="33"/>
  <c r="G116" i="33"/>
  <c r="F115" i="33"/>
  <c r="G115" i="33"/>
  <c r="F114" i="33"/>
  <c r="G114" i="33"/>
  <c r="F113" i="33"/>
  <c r="F112" i="33"/>
  <c r="G112" i="33"/>
  <c r="F111" i="33"/>
  <c r="G111" i="33"/>
  <c r="F110" i="33"/>
  <c r="G110" i="33"/>
  <c r="F109" i="33"/>
  <c r="F108" i="33"/>
  <c r="G108" i="33"/>
  <c r="F107" i="33"/>
  <c r="G107" i="33"/>
  <c r="F106" i="33"/>
  <c r="G106" i="33"/>
  <c r="F105" i="33"/>
  <c r="F104" i="33"/>
  <c r="G104" i="33"/>
  <c r="F103" i="33"/>
  <c r="G103" i="33"/>
  <c r="F101" i="33"/>
  <c r="G101" i="33"/>
  <c r="F100" i="33"/>
  <c r="F99" i="33"/>
  <c r="G99" i="33"/>
  <c r="F98" i="33"/>
  <c r="G98" i="33"/>
  <c r="F97" i="33"/>
  <c r="G97" i="33"/>
  <c r="F96" i="33"/>
  <c r="F95" i="33"/>
  <c r="G95" i="33"/>
  <c r="F94" i="33"/>
  <c r="G94" i="33"/>
  <c r="F93" i="33"/>
  <c r="G93" i="33"/>
  <c r="F146" i="33"/>
  <c r="G146" i="33"/>
  <c r="G96" i="33"/>
  <c r="G100" i="33"/>
  <c r="G105" i="33"/>
  <c r="G109" i="33"/>
  <c r="G113" i="33"/>
  <c r="G117" i="33"/>
  <c r="G122" i="33"/>
  <c r="G126" i="33"/>
  <c r="G130" i="33"/>
  <c r="G134" i="33"/>
  <c r="G138" i="33"/>
  <c r="G142" i="33"/>
  <c r="G147" i="33"/>
  <c r="G149" i="33"/>
  <c r="C17" i="4"/>
  <c r="B23" i="4"/>
  <c r="E32" i="4"/>
  <c r="D64" i="4"/>
  <c r="H141" i="7"/>
  <c r="H140" i="7"/>
  <c r="H139" i="7"/>
  <c r="G221" i="8"/>
  <c r="M172" i="29"/>
  <c r="G229" i="8"/>
  <c r="G230" i="8"/>
  <c r="M153" i="7"/>
  <c r="M118" i="29"/>
  <c r="M147" i="29"/>
  <c r="O17" i="7"/>
  <c r="F49" i="6"/>
  <c r="M38" i="29"/>
  <c r="M125" i="29"/>
  <c r="G243" i="8"/>
  <c r="G247" i="8"/>
  <c r="G253" i="8"/>
  <c r="G262" i="8"/>
  <c r="D73" i="24"/>
  <c r="C226" i="29"/>
  <c r="D226" i="29"/>
  <c r="M126" i="29"/>
  <c r="M155" i="29"/>
  <c r="G260" i="8"/>
  <c r="D57" i="4"/>
  <c r="E35" i="4"/>
  <c r="D60" i="4"/>
  <c r="C78" i="4"/>
  <c r="E57" i="4"/>
  <c r="C79" i="4"/>
  <c r="F57" i="4"/>
  <c r="C80" i="4"/>
  <c r="G57" i="4"/>
  <c r="G64" i="4"/>
  <c r="C81" i="4"/>
  <c r="G203" i="8"/>
  <c r="G254" i="8"/>
  <c r="G189" i="8"/>
  <c r="C16" i="8"/>
  <c r="G248" i="8"/>
  <c r="G183" i="8"/>
  <c r="C15" i="8"/>
  <c r="G222" i="8"/>
  <c r="G159" i="8"/>
  <c r="E31" i="24"/>
  <c r="D47" i="24"/>
  <c r="C272" i="29"/>
  <c r="G17" i="7"/>
  <c r="D17" i="7"/>
  <c r="H38" i="25"/>
  <c r="H39" i="25"/>
  <c r="M45" i="28"/>
  <c r="M50" i="28"/>
  <c r="M51" i="28"/>
  <c r="M52" i="28"/>
  <c r="M46" i="28"/>
  <c r="M47" i="28"/>
  <c r="N45" i="28"/>
  <c r="N50" i="28"/>
  <c r="N51" i="28"/>
  <c r="N52" i="28"/>
  <c r="N46" i="28"/>
  <c r="N47" i="28"/>
  <c r="I141" i="7"/>
  <c r="G141" i="7"/>
  <c r="I140" i="7"/>
  <c r="G140" i="7"/>
  <c r="I139" i="7"/>
  <c r="G139" i="7"/>
  <c r="N64" i="10"/>
  <c r="N61" i="10"/>
  <c r="N58" i="10"/>
  <c r="D60" i="24"/>
  <c r="E42" i="24"/>
  <c r="C271" i="29"/>
  <c r="N95" i="29"/>
  <c r="N89" i="29"/>
  <c r="N38" i="29"/>
  <c r="N33" i="29"/>
  <c r="N47" i="29"/>
  <c r="N48" i="29"/>
  <c r="N180" i="29"/>
  <c r="N179" i="29"/>
  <c r="N177" i="29"/>
  <c r="N176" i="29"/>
  <c r="N172" i="29"/>
  <c r="N171" i="29"/>
  <c r="N170" i="29"/>
  <c r="N169" i="29"/>
  <c r="N165" i="29"/>
  <c r="N164" i="29"/>
  <c r="N162" i="29"/>
  <c r="N161" i="29"/>
  <c r="N157" i="29"/>
  <c r="N156" i="29"/>
  <c r="N155" i="29"/>
  <c r="N154" i="29"/>
  <c r="N153" i="29"/>
  <c r="N151" i="29"/>
  <c r="N150" i="29"/>
  <c r="N149" i="29"/>
  <c r="N148" i="29"/>
  <c r="N147" i="29"/>
  <c r="N146" i="29"/>
  <c r="N142" i="29"/>
  <c r="N141" i="29"/>
  <c r="N140" i="29"/>
  <c r="N139" i="29"/>
  <c r="N138" i="29"/>
  <c r="N135" i="29"/>
  <c r="N134" i="29"/>
  <c r="N133" i="29"/>
  <c r="N132" i="29"/>
  <c r="N131" i="29"/>
  <c r="N128" i="29"/>
  <c r="N127" i="29"/>
  <c r="N126" i="29"/>
  <c r="N125" i="29"/>
  <c r="N124" i="29"/>
  <c r="N121" i="29"/>
  <c r="N120" i="29"/>
  <c r="N119" i="29"/>
  <c r="N118" i="29"/>
  <c r="N117" i="29"/>
  <c r="N109" i="29"/>
  <c r="N107" i="29"/>
  <c r="M107" i="29"/>
  <c r="N102" i="29"/>
  <c r="M102" i="29"/>
  <c r="M95" i="29"/>
  <c r="M89" i="29"/>
  <c r="N70" i="29"/>
  <c r="N62" i="29"/>
  <c r="M62" i="29"/>
  <c r="N54" i="29"/>
  <c r="M54" i="29"/>
  <c r="N42" i="29"/>
  <c r="M42" i="29"/>
  <c r="N41" i="29"/>
  <c r="M41" i="29"/>
  <c r="N37" i="29"/>
  <c r="N32" i="29"/>
  <c r="N203" i="9"/>
  <c r="M203" i="9"/>
  <c r="K102" i="8"/>
  <c r="I36" i="25"/>
  <c r="G304" i="10"/>
  <c r="D82" i="21"/>
  <c r="G31" i="24"/>
  <c r="D50" i="24"/>
  <c r="F31" i="24"/>
  <c r="D48" i="24"/>
  <c r="G160" i="8"/>
  <c r="N52" i="10"/>
  <c r="G190" i="8"/>
  <c r="G188" i="8"/>
  <c r="G187" i="8"/>
  <c r="G166" i="8"/>
  <c r="G158" i="8"/>
  <c r="G157" i="8"/>
  <c r="I61" i="8"/>
  <c r="J276" i="8"/>
  <c r="I92" i="8"/>
  <c r="J277" i="8"/>
  <c r="K71" i="8"/>
  <c r="M11" i="20"/>
  <c r="C96" i="6"/>
  <c r="E96" i="6"/>
  <c r="G96" i="6"/>
  <c r="D96" i="6"/>
  <c r="M162" i="20"/>
  <c r="O96" i="6"/>
  <c r="P96" i="6"/>
  <c r="L122" i="10"/>
  <c r="J292" i="8"/>
  <c r="L131" i="10"/>
  <c r="N131" i="10"/>
  <c r="L134" i="10"/>
  <c r="N134" i="10"/>
  <c r="L143" i="10"/>
  <c r="N143" i="10"/>
  <c r="L151" i="10"/>
  <c r="N151" i="10"/>
  <c r="M43" i="28"/>
  <c r="J283" i="8"/>
  <c r="C29" i="8"/>
  <c r="G220" i="8"/>
  <c r="M48" i="20"/>
  <c r="M49" i="20"/>
  <c r="M50" i="20"/>
  <c r="M51" i="20"/>
  <c r="M60" i="20"/>
  <c r="M366" i="20"/>
  <c r="M439" i="20"/>
  <c r="M74" i="20"/>
  <c r="M302" i="20"/>
  <c r="M78" i="20"/>
  <c r="I95" i="8"/>
  <c r="J280" i="8"/>
  <c r="I93" i="8"/>
  <c r="J278" i="8"/>
  <c r="I94" i="8"/>
  <c r="J279" i="8"/>
  <c r="M129" i="6"/>
  <c r="N129" i="6"/>
  <c r="Q129" i="6"/>
  <c r="K130" i="6"/>
  <c r="M130" i="6"/>
  <c r="L130" i="6"/>
  <c r="N130" i="6"/>
  <c r="M131" i="6"/>
  <c r="N131" i="6"/>
  <c r="Q131" i="6"/>
  <c r="K132" i="6"/>
  <c r="M132" i="6"/>
  <c r="N132" i="6"/>
  <c r="Q132" i="6"/>
  <c r="K133" i="6"/>
  <c r="M133" i="6"/>
  <c r="K134" i="6"/>
  <c r="M134" i="6"/>
  <c r="N134" i="6"/>
  <c r="Q134" i="6"/>
  <c r="K135" i="6"/>
  <c r="M135" i="6"/>
  <c r="N135" i="6"/>
  <c r="Q135" i="6"/>
  <c r="K136" i="6"/>
  <c r="M136" i="6"/>
  <c r="L136" i="6"/>
  <c r="N136" i="6"/>
  <c r="Q136" i="6"/>
  <c r="K137" i="6"/>
  <c r="M137" i="6"/>
  <c r="L137" i="6"/>
  <c r="N137" i="6"/>
  <c r="Q137" i="6"/>
  <c r="K138" i="6"/>
  <c r="M138" i="6"/>
  <c r="Q138" i="6"/>
  <c r="M139" i="6"/>
  <c r="N139" i="6"/>
  <c r="Q139" i="6"/>
  <c r="M128" i="6"/>
  <c r="N128" i="6"/>
  <c r="Q128" i="6"/>
  <c r="E207" i="21"/>
  <c r="E208" i="21"/>
  <c r="K168" i="21"/>
  <c r="K167" i="21"/>
  <c r="N12" i="20"/>
  <c r="N15" i="20"/>
  <c r="N66" i="9"/>
  <c r="K92" i="8"/>
  <c r="N35" i="9"/>
  <c r="N135" i="9"/>
  <c r="N9" i="13"/>
  <c r="N19" i="20"/>
  <c r="N18" i="20"/>
  <c r="N56" i="9"/>
  <c r="N61" i="9"/>
  <c r="N62" i="9"/>
  <c r="N275" i="10"/>
  <c r="N287" i="10"/>
  <c r="E23" i="21"/>
  <c r="L45" i="25"/>
  <c r="I25" i="25"/>
  <c r="I29" i="25"/>
  <c r="I33" i="25"/>
  <c r="I28" i="25"/>
  <c r="I39" i="25"/>
  <c r="I24" i="25"/>
  <c r="F261" i="13"/>
  <c r="J14" i="25"/>
  <c r="H261" i="13"/>
  <c r="K17" i="7"/>
  <c r="H129" i="7"/>
  <c r="H130" i="7"/>
  <c r="H131" i="7"/>
  <c r="M30" i="9"/>
  <c r="AF17" i="12"/>
  <c r="G56" i="4"/>
  <c r="F56" i="4"/>
  <c r="E56" i="4"/>
  <c r="D56" i="4"/>
  <c r="N53" i="28"/>
  <c r="N48" i="28"/>
  <c r="N49" i="9"/>
  <c r="K103" i="8"/>
  <c r="N33" i="10"/>
  <c r="K94" i="8"/>
  <c r="G227" i="8"/>
  <c r="N48" i="20"/>
  <c r="N49" i="20"/>
  <c r="N50" i="20"/>
  <c r="N51" i="20"/>
  <c r="E149" i="6"/>
  <c r="E151" i="6"/>
  <c r="E156" i="6"/>
  <c r="E157" i="6"/>
  <c r="E159" i="6"/>
  <c r="G252" i="8"/>
  <c r="N29" i="10"/>
  <c r="M29" i="10"/>
  <c r="C21" i="6"/>
  <c r="H21" i="6"/>
  <c r="I21" i="6"/>
  <c r="F21" i="6"/>
  <c r="J21" i="6"/>
  <c r="K21" i="6"/>
  <c r="L21" i="6"/>
  <c r="M21" i="6"/>
  <c r="N21" i="6"/>
  <c r="C22" i="6"/>
  <c r="H22" i="6"/>
  <c r="I22" i="6"/>
  <c r="F22" i="6"/>
  <c r="J22" i="6"/>
  <c r="K22" i="6"/>
  <c r="L22" i="6"/>
  <c r="M22" i="6"/>
  <c r="N22" i="6"/>
  <c r="O22" i="6"/>
  <c r="C23" i="6"/>
  <c r="F23" i="6"/>
  <c r="H23" i="6"/>
  <c r="I23" i="6"/>
  <c r="J23" i="6"/>
  <c r="K23" i="6"/>
  <c r="L23" i="6"/>
  <c r="M23" i="6"/>
  <c r="N23" i="6"/>
  <c r="O23" i="6"/>
  <c r="C24" i="6"/>
  <c r="F24" i="6"/>
  <c r="H24" i="6"/>
  <c r="I24" i="6"/>
  <c r="J24" i="6"/>
  <c r="K24" i="6"/>
  <c r="L24" i="6"/>
  <c r="M24" i="6"/>
  <c r="N24" i="6"/>
  <c r="O24" i="6"/>
  <c r="C25" i="6"/>
  <c r="H25" i="6"/>
  <c r="I25" i="6"/>
  <c r="J25" i="6"/>
  <c r="K25" i="6"/>
  <c r="L25" i="6"/>
  <c r="M25" i="6"/>
  <c r="N25" i="6"/>
  <c r="O25" i="6"/>
  <c r="C26" i="6"/>
  <c r="F26" i="6"/>
  <c r="L26" i="6"/>
  <c r="H26" i="6"/>
  <c r="I26" i="6"/>
  <c r="J26" i="6"/>
  <c r="K26" i="6"/>
  <c r="M26" i="6"/>
  <c r="N26" i="6"/>
  <c r="O26" i="6"/>
  <c r="C27" i="6"/>
  <c r="F27" i="6"/>
  <c r="L27" i="6"/>
  <c r="H27" i="6"/>
  <c r="I27" i="6"/>
  <c r="J27" i="6"/>
  <c r="K27" i="6"/>
  <c r="M27" i="6"/>
  <c r="N27" i="6"/>
  <c r="O27" i="6"/>
  <c r="C28" i="6"/>
  <c r="F28" i="6"/>
  <c r="L28" i="6"/>
  <c r="H28" i="6"/>
  <c r="I28" i="6"/>
  <c r="J28" i="6"/>
  <c r="K28" i="6"/>
  <c r="M28" i="6"/>
  <c r="N28" i="6"/>
  <c r="O28" i="6"/>
  <c r="C29" i="6"/>
  <c r="F29" i="6"/>
  <c r="L29" i="6"/>
  <c r="H29" i="6"/>
  <c r="I29" i="6"/>
  <c r="J29" i="6"/>
  <c r="K29" i="6"/>
  <c r="M29" i="6"/>
  <c r="N29" i="6"/>
  <c r="O29" i="6"/>
  <c r="C30" i="6"/>
  <c r="F30" i="6"/>
  <c r="L30" i="6"/>
  <c r="H30" i="6"/>
  <c r="I30" i="6"/>
  <c r="J30" i="6"/>
  <c r="K30" i="6"/>
  <c r="M30" i="6"/>
  <c r="N30" i="6"/>
  <c r="O30" i="6"/>
  <c r="C31" i="6"/>
  <c r="F31" i="6"/>
  <c r="L31" i="6"/>
  <c r="H31" i="6"/>
  <c r="I31" i="6"/>
  <c r="J31" i="6"/>
  <c r="K31" i="6"/>
  <c r="M31" i="6"/>
  <c r="N31" i="6"/>
  <c r="O31" i="6"/>
  <c r="C32" i="6"/>
  <c r="F32" i="6"/>
  <c r="L32" i="6"/>
  <c r="H32" i="6"/>
  <c r="I32" i="6"/>
  <c r="J32" i="6"/>
  <c r="K32" i="6"/>
  <c r="M32" i="6"/>
  <c r="N32" i="6"/>
  <c r="O32" i="6"/>
  <c r="C33" i="6"/>
  <c r="F33" i="6"/>
  <c r="L33" i="6"/>
  <c r="H33" i="6"/>
  <c r="I33" i="6"/>
  <c r="J33" i="6"/>
  <c r="K33" i="6"/>
  <c r="M33" i="6"/>
  <c r="N33" i="6"/>
  <c r="O33" i="6"/>
  <c r="C34" i="6"/>
  <c r="F34" i="6"/>
  <c r="L34" i="6"/>
  <c r="H34" i="6"/>
  <c r="I34" i="6"/>
  <c r="J34" i="6"/>
  <c r="K34" i="6"/>
  <c r="M34" i="6"/>
  <c r="N34" i="6"/>
  <c r="O34" i="6"/>
  <c r="C35" i="6"/>
  <c r="F35" i="6"/>
  <c r="L35" i="6"/>
  <c r="H35" i="6"/>
  <c r="I35" i="6"/>
  <c r="J35" i="6"/>
  <c r="K35" i="6"/>
  <c r="M35" i="6"/>
  <c r="N35" i="6"/>
  <c r="O35" i="6"/>
  <c r="C36" i="6"/>
  <c r="F36" i="6"/>
  <c r="L36" i="6"/>
  <c r="H36" i="6"/>
  <c r="I36" i="6"/>
  <c r="J36" i="6"/>
  <c r="K36" i="6"/>
  <c r="M36" i="6"/>
  <c r="N36" i="6"/>
  <c r="O36" i="6"/>
  <c r="C37" i="6"/>
  <c r="F37" i="6"/>
  <c r="L37" i="6"/>
  <c r="H37" i="6"/>
  <c r="I37" i="6"/>
  <c r="J37" i="6"/>
  <c r="K37" i="6"/>
  <c r="M37" i="6"/>
  <c r="N37" i="6"/>
  <c r="O37" i="6"/>
  <c r="C38" i="6"/>
  <c r="F38" i="6"/>
  <c r="L38" i="6"/>
  <c r="H38" i="6"/>
  <c r="I38" i="6"/>
  <c r="J38" i="6"/>
  <c r="K38" i="6"/>
  <c r="M38" i="6"/>
  <c r="N38" i="6"/>
  <c r="O38" i="6"/>
  <c r="C39" i="6"/>
  <c r="F39" i="6"/>
  <c r="L39" i="6"/>
  <c r="H39" i="6"/>
  <c r="I39" i="6"/>
  <c r="J39" i="6"/>
  <c r="K39" i="6"/>
  <c r="M39" i="6"/>
  <c r="N39" i="6"/>
  <c r="O39" i="6"/>
  <c r="C40" i="6"/>
  <c r="F40" i="6"/>
  <c r="L40" i="6"/>
  <c r="H40" i="6"/>
  <c r="I40" i="6"/>
  <c r="J40" i="6"/>
  <c r="K40" i="6"/>
  <c r="M40" i="6"/>
  <c r="N40" i="6"/>
  <c r="O40" i="6"/>
  <c r="C41" i="6"/>
  <c r="F41" i="6"/>
  <c r="L41" i="6"/>
  <c r="H41" i="6"/>
  <c r="I41" i="6"/>
  <c r="J41" i="6"/>
  <c r="K41" i="6"/>
  <c r="M41" i="6"/>
  <c r="N41" i="6"/>
  <c r="O41" i="6"/>
  <c r="C42" i="6"/>
  <c r="F42" i="6"/>
  <c r="L42" i="6"/>
  <c r="H42" i="6"/>
  <c r="I42" i="6"/>
  <c r="J42" i="6"/>
  <c r="K42" i="6"/>
  <c r="M42" i="6"/>
  <c r="N42" i="6"/>
  <c r="O42" i="6"/>
  <c r="C43" i="6"/>
  <c r="F43" i="6"/>
  <c r="L43" i="6"/>
  <c r="H43" i="6"/>
  <c r="I43" i="6"/>
  <c r="J43" i="6"/>
  <c r="K43" i="6"/>
  <c r="M43" i="6"/>
  <c r="N43" i="6"/>
  <c r="O43" i="6"/>
  <c r="C44" i="6"/>
  <c r="F44" i="6"/>
  <c r="L44" i="6"/>
  <c r="H44" i="6"/>
  <c r="I44" i="6"/>
  <c r="J44" i="6"/>
  <c r="K44" i="6"/>
  <c r="M44" i="6"/>
  <c r="N44" i="6"/>
  <c r="O44" i="6"/>
  <c r="C45" i="6"/>
  <c r="F45" i="6"/>
  <c r="L45" i="6"/>
  <c r="H45" i="6"/>
  <c r="I45" i="6"/>
  <c r="J45" i="6"/>
  <c r="K45" i="6"/>
  <c r="M45" i="6"/>
  <c r="N45" i="6"/>
  <c r="O45" i="6"/>
  <c r="C46" i="6"/>
  <c r="F46" i="6"/>
  <c r="L46" i="6"/>
  <c r="H46" i="6"/>
  <c r="I46" i="6"/>
  <c r="J46" i="6"/>
  <c r="K46" i="6"/>
  <c r="M46" i="6"/>
  <c r="N46" i="6"/>
  <c r="O46" i="6"/>
  <c r="H47" i="6"/>
  <c r="I47" i="6"/>
  <c r="J47" i="6"/>
  <c r="K47" i="6"/>
  <c r="L47" i="6"/>
  <c r="M47" i="6"/>
  <c r="N47" i="6"/>
  <c r="O47" i="6"/>
  <c r="C48" i="6"/>
  <c r="F48" i="6"/>
  <c r="L48" i="6"/>
  <c r="H48" i="6"/>
  <c r="I48" i="6"/>
  <c r="J48" i="6"/>
  <c r="K48" i="6"/>
  <c r="M48" i="6"/>
  <c r="N48" i="6"/>
  <c r="O48" i="6"/>
  <c r="C49" i="6"/>
  <c r="H49" i="6"/>
  <c r="I49" i="6"/>
  <c r="J49" i="6"/>
  <c r="K49" i="6"/>
  <c r="L49" i="6"/>
  <c r="M49" i="6"/>
  <c r="N49" i="6"/>
  <c r="O49" i="6"/>
  <c r="C50" i="6"/>
  <c r="F50" i="6"/>
  <c r="H50" i="6"/>
  <c r="I50" i="6"/>
  <c r="J50" i="6"/>
  <c r="K50" i="6"/>
  <c r="L50" i="6"/>
  <c r="M50" i="6"/>
  <c r="N50" i="6"/>
  <c r="O50" i="6"/>
  <c r="C51" i="6"/>
  <c r="F51" i="6"/>
  <c r="H51" i="6"/>
  <c r="I51" i="6"/>
  <c r="J51" i="6"/>
  <c r="K51" i="6"/>
  <c r="L51" i="6"/>
  <c r="M51" i="6"/>
  <c r="N51" i="6"/>
  <c r="O51" i="6"/>
  <c r="C52" i="6"/>
  <c r="F52" i="6"/>
  <c r="H52" i="6"/>
  <c r="I52" i="6"/>
  <c r="J52" i="6"/>
  <c r="K52" i="6"/>
  <c r="L52" i="6"/>
  <c r="M52" i="6"/>
  <c r="N52" i="6"/>
  <c r="O52" i="6"/>
  <c r="C53" i="6"/>
  <c r="H53" i="6"/>
  <c r="I53" i="6"/>
  <c r="F53" i="6"/>
  <c r="J53" i="6"/>
  <c r="K53" i="6"/>
  <c r="L53" i="6"/>
  <c r="M53" i="6"/>
  <c r="N53" i="6"/>
  <c r="O53" i="6"/>
  <c r="C54" i="6"/>
  <c r="H54" i="6"/>
  <c r="I54" i="6"/>
  <c r="F54" i="6"/>
  <c r="J54" i="6"/>
  <c r="K54" i="6"/>
  <c r="L54" i="6"/>
  <c r="M54" i="6"/>
  <c r="N54" i="6"/>
  <c r="O54" i="6"/>
  <c r="C55" i="6"/>
  <c r="H55" i="6"/>
  <c r="I55" i="6"/>
  <c r="F55" i="6"/>
  <c r="L55" i="6"/>
  <c r="J55" i="6"/>
  <c r="K55" i="6"/>
  <c r="M55" i="6"/>
  <c r="N55" i="6"/>
  <c r="O55" i="6"/>
  <c r="C56" i="6"/>
  <c r="F56" i="6"/>
  <c r="H56" i="6"/>
  <c r="I56" i="6"/>
  <c r="J56" i="6"/>
  <c r="K56" i="6"/>
  <c r="L56" i="6"/>
  <c r="M56" i="6"/>
  <c r="N56" i="6"/>
  <c r="O56" i="6"/>
  <c r="C57" i="6"/>
  <c r="H57" i="6"/>
  <c r="I57" i="6"/>
  <c r="F57" i="6"/>
  <c r="J57" i="6"/>
  <c r="K57" i="6"/>
  <c r="L57" i="6"/>
  <c r="M57" i="6"/>
  <c r="N57" i="6"/>
  <c r="O57" i="6"/>
  <c r="C58" i="6"/>
  <c r="F58" i="6"/>
  <c r="H58" i="6"/>
  <c r="I58" i="6"/>
  <c r="J58" i="6"/>
  <c r="K58" i="6"/>
  <c r="L58" i="6"/>
  <c r="M58" i="6"/>
  <c r="N58" i="6"/>
  <c r="O58" i="6"/>
  <c r="C59" i="6"/>
  <c r="F59" i="6"/>
  <c r="H59" i="6"/>
  <c r="I59" i="6"/>
  <c r="J59" i="6"/>
  <c r="K59" i="6"/>
  <c r="L59" i="6"/>
  <c r="M59" i="6"/>
  <c r="N59" i="6"/>
  <c r="O59" i="6"/>
  <c r="C60" i="6"/>
  <c r="H60" i="6"/>
  <c r="I60" i="6"/>
  <c r="F60" i="6"/>
  <c r="J60" i="6"/>
  <c r="K60" i="6"/>
  <c r="L60" i="6"/>
  <c r="M60" i="6"/>
  <c r="N60" i="6"/>
  <c r="O60" i="6"/>
  <c r="C61" i="6"/>
  <c r="F61" i="6"/>
  <c r="H61" i="6"/>
  <c r="I61" i="6"/>
  <c r="J61" i="6"/>
  <c r="K61" i="6"/>
  <c r="L61" i="6"/>
  <c r="M61" i="6"/>
  <c r="N61" i="6"/>
  <c r="O61" i="6"/>
  <c r="C62" i="6"/>
  <c r="F62" i="6"/>
  <c r="L62" i="6"/>
  <c r="H62" i="6"/>
  <c r="I62" i="6"/>
  <c r="J62" i="6"/>
  <c r="K62" i="6"/>
  <c r="M62" i="6"/>
  <c r="N62" i="6"/>
  <c r="O62" i="6"/>
  <c r="G223" i="8"/>
  <c r="G249" i="8"/>
  <c r="G255" i="8"/>
  <c r="K48" i="8"/>
  <c r="J48" i="8"/>
  <c r="G246" i="8"/>
  <c r="H88" i="2"/>
  <c r="M17" i="7"/>
  <c r="C153" i="7"/>
  <c r="D153" i="7"/>
  <c r="E153" i="7"/>
  <c r="F153" i="7"/>
  <c r="G153" i="7"/>
  <c r="H153" i="7"/>
  <c r="I153" i="7"/>
  <c r="J153" i="7"/>
  <c r="K153" i="7"/>
  <c r="L153" i="7"/>
  <c r="I49" i="25"/>
  <c r="H75" i="7"/>
  <c r="H79" i="7"/>
  <c r="H83" i="7"/>
  <c r="H87" i="7"/>
  <c r="I75" i="7"/>
  <c r="I79" i="7"/>
  <c r="I83" i="7"/>
  <c r="I87" i="7"/>
  <c r="G57" i="7"/>
  <c r="H25" i="7"/>
  <c r="H30" i="7"/>
  <c r="H57" i="7"/>
  <c r="H62" i="7"/>
  <c r="H172" i="2"/>
  <c r="H171" i="2"/>
  <c r="H170" i="2"/>
  <c r="H169" i="2"/>
  <c r="H168" i="2"/>
  <c r="H167" i="2"/>
  <c r="H166" i="2"/>
  <c r="H165" i="2"/>
  <c r="H164" i="2"/>
  <c r="H163" i="2"/>
  <c r="H162" i="2"/>
  <c r="H161" i="2"/>
  <c r="H160" i="2"/>
  <c r="H159" i="2"/>
  <c r="H158" i="2"/>
  <c r="H157" i="2"/>
  <c r="H156" i="2"/>
  <c r="H155" i="2"/>
  <c r="H150" i="2"/>
  <c r="H149" i="2"/>
  <c r="H148" i="2"/>
  <c r="H147" i="2"/>
  <c r="H146" i="2"/>
  <c r="H145" i="2"/>
  <c r="H144" i="2"/>
  <c r="H143" i="2"/>
  <c r="H142" i="2"/>
  <c r="H141" i="2"/>
  <c r="H140" i="2"/>
  <c r="H139" i="2"/>
  <c r="H138" i="2"/>
  <c r="H137" i="2"/>
  <c r="H131" i="2"/>
  <c r="H130" i="2"/>
  <c r="H129" i="2"/>
  <c r="H128" i="2"/>
  <c r="H127" i="2"/>
  <c r="H126" i="2"/>
  <c r="H125" i="2"/>
  <c r="H121" i="2"/>
  <c r="H120" i="2"/>
  <c r="H119" i="2"/>
  <c r="H118" i="2"/>
  <c r="H117" i="2"/>
  <c r="H116" i="2"/>
  <c r="H115" i="2"/>
  <c r="H114" i="2"/>
  <c r="H113" i="2"/>
  <c r="H112" i="2"/>
  <c r="H111" i="2"/>
  <c r="H110" i="2"/>
  <c r="H109" i="2"/>
  <c r="H108" i="2"/>
  <c r="H107" i="2"/>
  <c r="H106" i="2"/>
  <c r="H102" i="2"/>
  <c r="H101" i="2"/>
  <c r="H100" i="2"/>
  <c r="H99" i="2"/>
  <c r="H98" i="2"/>
  <c r="H97" i="2"/>
  <c r="H96" i="2"/>
  <c r="H95" i="2"/>
  <c r="H94" i="2"/>
  <c r="H93" i="2"/>
  <c r="H92" i="2"/>
  <c r="H91" i="2"/>
  <c r="H90" i="2"/>
  <c r="H89" i="2"/>
  <c r="H87" i="2"/>
  <c r="H86" i="2"/>
  <c r="H85" i="2"/>
  <c r="H84" i="2"/>
  <c r="H83" i="2"/>
  <c r="H82"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4" i="2"/>
  <c r="H43" i="2"/>
  <c r="H42" i="2"/>
  <c r="H41" i="2"/>
  <c r="H40" i="2"/>
  <c r="H39" i="2"/>
  <c r="H38" i="2"/>
  <c r="H37" i="2"/>
  <c r="H36" i="2"/>
  <c r="H35" i="2"/>
  <c r="H34" i="2"/>
  <c r="H33" i="2"/>
  <c r="H32" i="2"/>
  <c r="H31" i="2"/>
  <c r="H30" i="2"/>
  <c r="H29" i="2"/>
  <c r="H28" i="2"/>
  <c r="H27" i="2"/>
  <c r="H26" i="2"/>
  <c r="H25" i="2"/>
  <c r="H24" i="2"/>
  <c r="H23" i="2"/>
  <c r="H22" i="2"/>
  <c r="H21" i="2"/>
  <c r="H20" i="2"/>
  <c r="N32" i="9"/>
  <c r="N14" i="6"/>
  <c r="N15" i="6"/>
  <c r="G25" i="7"/>
  <c r="G30" i="7"/>
  <c r="L191" i="9"/>
  <c r="C85" i="6"/>
  <c r="E85" i="6"/>
  <c r="G85" i="6"/>
  <c r="P85" i="6"/>
  <c r="N85" i="6"/>
  <c r="O85" i="6"/>
  <c r="J59" i="14"/>
  <c r="I59" i="14"/>
  <c r="E107" i="14"/>
  <c r="B92" i="14"/>
  <c r="M39" i="28"/>
  <c r="M38" i="28"/>
  <c r="N13" i="28"/>
  <c r="N14" i="28"/>
  <c r="N26" i="28"/>
  <c r="N12" i="28"/>
  <c r="N20" i="28"/>
  <c r="N21" i="28"/>
  <c r="N28" i="28"/>
  <c r="M11" i="28"/>
  <c r="M10" i="28"/>
  <c r="N43" i="28"/>
  <c r="L49" i="25"/>
  <c r="K49" i="25"/>
  <c r="J49" i="25"/>
  <c r="C257" i="6"/>
  <c r="C258" i="6"/>
  <c r="C259" i="6"/>
  <c r="C260" i="6"/>
  <c r="C261" i="6"/>
  <c r="C262" i="6"/>
  <c r="C263" i="6"/>
  <c r="C264" i="6"/>
  <c r="C265" i="6"/>
  <c r="C266" i="6"/>
  <c r="C267" i="6"/>
  <c r="N235" i="9"/>
  <c r="I23" i="14"/>
  <c r="N11" i="20"/>
  <c r="D284" i="6"/>
  <c r="D282" i="6"/>
  <c r="D274" i="6"/>
  <c r="D276" i="6"/>
  <c r="D281" i="6"/>
  <c r="N43" i="20"/>
  <c r="N44" i="20"/>
  <c r="N38" i="20"/>
  <c r="N28" i="20"/>
  <c r="N29" i="20"/>
  <c r="N33" i="20" a="1"/>
  <c r="N33" i="20"/>
  <c r="N45" i="20"/>
  <c r="M31" i="9"/>
  <c r="M10" i="20"/>
  <c r="M445" i="20"/>
  <c r="D98" i="20"/>
  <c r="J98" i="20"/>
  <c r="N26" i="20"/>
  <c r="M26" i="20"/>
  <c r="D136" i="6"/>
  <c r="P136" i="6"/>
  <c r="D137" i="6"/>
  <c r="D139" i="6"/>
  <c r="D148" i="6"/>
  <c r="C111" i="6"/>
  <c r="E111" i="6"/>
  <c r="G111" i="6"/>
  <c r="P111" i="6"/>
  <c r="O111" i="6"/>
  <c r="C110" i="6"/>
  <c r="E110" i="6"/>
  <c r="G110" i="6"/>
  <c r="D110" i="6"/>
  <c r="H110" i="6"/>
  <c r="P110" i="6"/>
  <c r="O110" i="6"/>
  <c r="K110" i="6"/>
  <c r="C109" i="6"/>
  <c r="E109" i="6"/>
  <c r="G109" i="6"/>
  <c r="P109" i="6"/>
  <c r="D109" i="6"/>
  <c r="H109" i="6"/>
  <c r="O109" i="6"/>
  <c r="C108" i="6"/>
  <c r="E108" i="6"/>
  <c r="G108" i="6"/>
  <c r="P108" i="6"/>
  <c r="D108" i="6"/>
  <c r="O108" i="6"/>
  <c r="C107" i="6"/>
  <c r="E107" i="6"/>
  <c r="G107" i="6"/>
  <c r="O107" i="6"/>
  <c r="C106" i="6"/>
  <c r="E106" i="6"/>
  <c r="G106" i="6"/>
  <c r="P106" i="6"/>
  <c r="O106" i="6"/>
  <c r="C105" i="6"/>
  <c r="E105" i="6"/>
  <c r="G105" i="6"/>
  <c r="D105" i="6"/>
  <c r="P105" i="6"/>
  <c r="O105" i="6"/>
  <c r="C104" i="6"/>
  <c r="E104" i="6"/>
  <c r="G104" i="6"/>
  <c r="O104" i="6"/>
  <c r="C103" i="6"/>
  <c r="E103" i="6"/>
  <c r="G103" i="6"/>
  <c r="D103" i="6"/>
  <c r="I103" i="6"/>
  <c r="P103" i="6"/>
  <c r="O103" i="6"/>
  <c r="C102" i="6"/>
  <c r="E102" i="6"/>
  <c r="G102" i="6"/>
  <c r="O102" i="6"/>
  <c r="C101" i="6"/>
  <c r="E101" i="6"/>
  <c r="G101" i="6"/>
  <c r="O101" i="6"/>
  <c r="C100" i="6"/>
  <c r="E100" i="6"/>
  <c r="G100" i="6"/>
  <c r="O100" i="6"/>
  <c r="C99" i="6"/>
  <c r="E99" i="6"/>
  <c r="G99" i="6"/>
  <c r="D99" i="6"/>
  <c r="P99" i="6"/>
  <c r="O99" i="6"/>
  <c r="C98" i="6"/>
  <c r="E98" i="6"/>
  <c r="G98" i="6"/>
  <c r="D98" i="6"/>
  <c r="P98" i="6"/>
  <c r="O98" i="6"/>
  <c r="C97" i="6"/>
  <c r="E97" i="6"/>
  <c r="G97" i="6"/>
  <c r="D97" i="6"/>
  <c r="I97" i="6"/>
  <c r="J97" i="6"/>
  <c r="P97" i="6"/>
  <c r="O97" i="6"/>
  <c r="C95" i="6"/>
  <c r="E95" i="6"/>
  <c r="G95" i="6"/>
  <c r="P95" i="6"/>
  <c r="O95" i="6"/>
  <c r="C94" i="6"/>
  <c r="E94" i="6"/>
  <c r="G94" i="6"/>
  <c r="P94" i="6"/>
  <c r="O94" i="6"/>
  <c r="C93" i="6"/>
  <c r="E93" i="6"/>
  <c r="G93" i="6"/>
  <c r="D93" i="6"/>
  <c r="H93" i="6"/>
  <c r="P93" i="6"/>
  <c r="O93" i="6"/>
  <c r="K93" i="6"/>
  <c r="C92" i="6"/>
  <c r="E92" i="6"/>
  <c r="G92" i="6"/>
  <c r="P92" i="6"/>
  <c r="D92" i="6"/>
  <c r="H92" i="6"/>
  <c r="O92" i="6"/>
  <c r="C91" i="6"/>
  <c r="E91" i="6"/>
  <c r="G91" i="6"/>
  <c r="P91" i="6"/>
  <c r="D91" i="6"/>
  <c r="O91" i="6"/>
  <c r="K91" i="6"/>
  <c r="C90" i="6"/>
  <c r="E90" i="6"/>
  <c r="G90" i="6"/>
  <c r="O90" i="6"/>
  <c r="C89" i="6"/>
  <c r="E89" i="6"/>
  <c r="G89" i="6"/>
  <c r="O89" i="6"/>
  <c r="C88" i="6"/>
  <c r="E88" i="6"/>
  <c r="G88" i="6"/>
  <c r="D88" i="6"/>
  <c r="P88" i="6"/>
  <c r="O88" i="6"/>
  <c r="C87" i="6"/>
  <c r="E87" i="6"/>
  <c r="G87" i="6"/>
  <c r="P87" i="6"/>
  <c r="O87" i="6"/>
  <c r="C86" i="6"/>
  <c r="E86" i="6"/>
  <c r="G86" i="6"/>
  <c r="P86" i="6"/>
  <c r="D86" i="6"/>
  <c r="J86" i="6"/>
  <c r="M86" i="6"/>
  <c r="O86" i="6"/>
  <c r="C84" i="6"/>
  <c r="E84" i="6"/>
  <c r="G84" i="6"/>
  <c r="P84" i="6"/>
  <c r="D84" i="6"/>
  <c r="J84" i="6"/>
  <c r="M84" i="6"/>
  <c r="O84" i="6"/>
  <c r="C83" i="6"/>
  <c r="E83" i="6"/>
  <c r="G83" i="6"/>
  <c r="O83" i="6"/>
  <c r="C82" i="6"/>
  <c r="E82" i="6"/>
  <c r="G82" i="6"/>
  <c r="O82" i="6"/>
  <c r="C81" i="6"/>
  <c r="E81" i="6"/>
  <c r="G81" i="6"/>
  <c r="D81" i="6"/>
  <c r="H81" i="6"/>
  <c r="M81" i="6"/>
  <c r="P81" i="6"/>
  <c r="O81" i="6"/>
  <c r="K81" i="6"/>
  <c r="C80" i="6"/>
  <c r="E80" i="6"/>
  <c r="G80" i="6"/>
  <c r="D80" i="6"/>
  <c r="P80" i="6"/>
  <c r="O80" i="6"/>
  <c r="C79" i="6"/>
  <c r="E79" i="6"/>
  <c r="G79" i="6"/>
  <c r="O79" i="6"/>
  <c r="C78" i="6"/>
  <c r="E78" i="6"/>
  <c r="G78" i="6"/>
  <c r="O78" i="6"/>
  <c r="C77" i="6"/>
  <c r="E77" i="6"/>
  <c r="G77" i="6"/>
  <c r="D77" i="6"/>
  <c r="M77" i="6"/>
  <c r="P77" i="6"/>
  <c r="O77" i="6"/>
  <c r="K77" i="6"/>
  <c r="C76" i="6"/>
  <c r="E76" i="6"/>
  <c r="G76" i="6"/>
  <c r="P76" i="6"/>
  <c r="O76" i="6"/>
  <c r="C75" i="6"/>
  <c r="E75" i="6"/>
  <c r="G75" i="6"/>
  <c r="D75" i="6"/>
  <c r="I75" i="6"/>
  <c r="O75" i="6"/>
  <c r="C74" i="6"/>
  <c r="E74" i="6"/>
  <c r="G74" i="6"/>
  <c r="P74" i="6"/>
  <c r="O74" i="6"/>
  <c r="C73" i="6"/>
  <c r="E73" i="6"/>
  <c r="G73" i="6"/>
  <c r="D73" i="6"/>
  <c r="J73" i="6"/>
  <c r="P73" i="6"/>
  <c r="O73" i="6"/>
  <c r="C72" i="6"/>
  <c r="E72" i="6"/>
  <c r="G72" i="6"/>
  <c r="D72" i="6"/>
  <c r="J72" i="6"/>
  <c r="M72" i="6"/>
  <c r="P72" i="6"/>
  <c r="O72" i="6"/>
  <c r="C71" i="6"/>
  <c r="E71" i="6"/>
  <c r="G71" i="6"/>
  <c r="D71" i="6"/>
  <c r="I71" i="6"/>
  <c r="O71" i="6"/>
  <c r="C70" i="6"/>
  <c r="E70" i="6"/>
  <c r="G70" i="6"/>
  <c r="P70" i="6"/>
  <c r="O70" i="6"/>
  <c r="D128" i="6"/>
  <c r="O128" i="6"/>
  <c r="P128" i="6"/>
  <c r="C129" i="6"/>
  <c r="D130" i="6"/>
  <c r="O130" i="6"/>
  <c r="P130" i="6"/>
  <c r="D131" i="6"/>
  <c r="O131" i="6"/>
  <c r="P131" i="6"/>
  <c r="O132" i="6"/>
  <c r="O133" i="6"/>
  <c r="O134" i="6"/>
  <c r="O137" i="6"/>
  <c r="P137" i="6"/>
  <c r="O138" i="6"/>
  <c r="D149" i="6"/>
  <c r="D150" i="6"/>
  <c r="D151" i="6"/>
  <c r="D152" i="6"/>
  <c r="D153" i="6"/>
  <c r="D154" i="6"/>
  <c r="D155" i="6"/>
  <c r="D156" i="6"/>
  <c r="D157" i="6"/>
  <c r="D158" i="6"/>
  <c r="D159" i="6"/>
  <c r="H1878" i="21"/>
  <c r="H1877" i="21"/>
  <c r="H1876" i="21"/>
  <c r="H1875" i="21"/>
  <c r="H1874" i="21"/>
  <c r="H1873" i="21"/>
  <c r="H1872" i="21"/>
  <c r="H1871" i="21"/>
  <c r="H1870" i="21"/>
  <c r="H1869" i="21"/>
  <c r="H1868" i="21"/>
  <c r="H1867" i="21"/>
  <c r="H1866" i="21"/>
  <c r="H1865" i="21"/>
  <c r="H1864" i="21"/>
  <c r="H1863" i="21"/>
  <c r="H1862" i="21"/>
  <c r="H1861" i="21"/>
  <c r="H1860" i="21"/>
  <c r="H1859" i="21"/>
  <c r="H1858" i="21"/>
  <c r="H1857" i="21"/>
  <c r="H1856" i="21"/>
  <c r="H1855" i="21"/>
  <c r="H1854" i="21"/>
  <c r="H1853" i="21"/>
  <c r="H1852" i="21"/>
  <c r="H1851" i="21"/>
  <c r="H1850" i="21"/>
  <c r="H1849" i="21"/>
  <c r="H1848" i="21"/>
  <c r="H1847" i="21"/>
  <c r="H1846" i="21"/>
  <c r="H1845" i="21"/>
  <c r="H1844" i="21"/>
  <c r="H1843" i="21"/>
  <c r="H1842" i="21"/>
  <c r="H1841" i="21"/>
  <c r="H1840" i="21"/>
  <c r="H1839" i="21"/>
  <c r="H1838" i="21"/>
  <c r="H1837" i="21"/>
  <c r="H1836" i="21"/>
  <c r="H1835" i="21"/>
  <c r="H1834" i="21"/>
  <c r="H1833" i="21"/>
  <c r="H1832" i="21"/>
  <c r="H1831" i="21"/>
  <c r="H1830" i="21"/>
  <c r="H1829" i="21"/>
  <c r="H1828" i="21"/>
  <c r="H1827" i="21"/>
  <c r="H1826" i="21"/>
  <c r="H1825" i="21"/>
  <c r="H1824" i="21"/>
  <c r="H1823" i="21"/>
  <c r="H1822" i="21"/>
  <c r="H1821" i="21"/>
  <c r="H1820" i="21"/>
  <c r="H1819" i="21"/>
  <c r="H1818" i="21"/>
  <c r="H1817" i="21"/>
  <c r="H1816" i="21"/>
  <c r="H1815" i="21"/>
  <c r="H1814" i="21"/>
  <c r="H1813" i="21"/>
  <c r="H1812" i="21"/>
  <c r="H1811" i="21"/>
  <c r="H1810" i="21"/>
  <c r="H1809" i="21"/>
  <c r="H1808" i="21"/>
  <c r="H1807" i="21"/>
  <c r="H1806" i="21"/>
  <c r="H1805" i="21"/>
  <c r="H1804" i="21"/>
  <c r="H1803" i="21"/>
  <c r="H1802" i="21"/>
  <c r="H1801" i="21"/>
  <c r="H1800" i="21"/>
  <c r="H1799" i="21"/>
  <c r="H1798" i="21"/>
  <c r="H1797" i="21"/>
  <c r="H1796" i="21"/>
  <c r="H1795" i="21"/>
  <c r="H1794" i="21"/>
  <c r="H1793" i="21"/>
  <c r="H1792" i="21"/>
  <c r="H1791" i="21"/>
  <c r="H1790" i="21"/>
  <c r="H1789" i="21"/>
  <c r="H1788" i="21"/>
  <c r="H1787" i="21"/>
  <c r="H1786" i="21"/>
  <c r="H1785" i="21"/>
  <c r="H1784" i="21"/>
  <c r="H1783" i="21"/>
  <c r="H1782" i="21"/>
  <c r="H1781" i="21"/>
  <c r="H1780" i="21"/>
  <c r="H1779" i="21"/>
  <c r="H1778" i="21"/>
  <c r="H1777" i="21"/>
  <c r="H1776" i="21"/>
  <c r="H1775" i="21"/>
  <c r="H1774" i="21"/>
  <c r="H1773" i="21"/>
  <c r="H1772" i="21"/>
  <c r="H1771" i="21"/>
  <c r="H1770" i="21"/>
  <c r="H1769" i="21"/>
  <c r="H1768" i="21"/>
  <c r="H1767" i="21"/>
  <c r="H1766" i="21"/>
  <c r="H1765" i="21"/>
  <c r="H1764" i="21"/>
  <c r="H1763" i="21"/>
  <c r="H1762" i="21"/>
  <c r="H1761" i="21"/>
  <c r="H1760" i="21"/>
  <c r="H1759" i="21"/>
  <c r="H1758" i="21"/>
  <c r="H1757" i="21"/>
  <c r="H1756" i="21"/>
  <c r="H1755" i="21"/>
  <c r="H1754" i="21"/>
  <c r="H1753" i="21"/>
  <c r="H1752" i="21"/>
  <c r="H1751" i="21"/>
  <c r="H1750" i="21"/>
  <c r="H1749" i="21"/>
  <c r="H1748" i="21"/>
  <c r="H1747" i="21"/>
  <c r="H1746" i="21"/>
  <c r="H1745" i="21"/>
  <c r="H1744" i="21"/>
  <c r="H1743" i="21"/>
  <c r="H1742" i="21"/>
  <c r="H1741" i="21"/>
  <c r="H1740" i="21"/>
  <c r="H1739" i="21"/>
  <c r="H1738" i="21"/>
  <c r="H1737" i="21"/>
  <c r="H1736" i="21"/>
  <c r="H1735" i="21"/>
  <c r="H1734" i="21"/>
  <c r="H1733" i="21"/>
  <c r="H1732" i="21"/>
  <c r="H1731" i="21"/>
  <c r="H1730" i="21"/>
  <c r="H1729" i="21"/>
  <c r="H1728" i="21"/>
  <c r="H1727" i="21"/>
  <c r="H1726" i="21"/>
  <c r="H1725" i="21"/>
  <c r="H1724" i="21"/>
  <c r="H1723" i="21"/>
  <c r="H1722" i="21"/>
  <c r="H1721" i="21"/>
  <c r="H1720" i="21"/>
  <c r="H1719" i="21"/>
  <c r="H1718" i="21"/>
  <c r="H1717" i="21"/>
  <c r="H1716" i="21"/>
  <c r="H1715" i="21"/>
  <c r="H1714" i="21"/>
  <c r="H1713" i="21"/>
  <c r="H1712" i="21"/>
  <c r="H1711" i="21"/>
  <c r="H1710" i="21"/>
  <c r="H1709" i="21"/>
  <c r="H1708" i="21"/>
  <c r="H1707" i="21"/>
  <c r="H1706" i="21"/>
  <c r="H1705" i="21"/>
  <c r="H1704" i="21"/>
  <c r="H1703" i="21"/>
  <c r="H1702" i="21"/>
  <c r="H1701" i="21"/>
  <c r="H1700" i="21"/>
  <c r="H1699" i="21"/>
  <c r="H1698" i="21"/>
  <c r="H1697" i="21"/>
  <c r="H1696" i="21"/>
  <c r="H1695" i="21"/>
  <c r="H1694" i="21"/>
  <c r="H1693" i="21"/>
  <c r="H1692" i="21"/>
  <c r="H1691" i="21"/>
  <c r="H1690" i="21"/>
  <c r="H1689" i="21"/>
  <c r="H1688" i="21"/>
  <c r="H1687" i="21"/>
  <c r="H1686" i="21"/>
  <c r="H1685" i="21"/>
  <c r="H1684" i="21"/>
  <c r="H1683" i="21"/>
  <c r="H1682" i="21"/>
  <c r="H1681" i="21"/>
  <c r="H1680" i="21"/>
  <c r="H1679" i="21"/>
  <c r="H1678" i="21"/>
  <c r="H1677" i="21"/>
  <c r="H1676" i="21"/>
  <c r="H1675" i="21"/>
  <c r="H1674" i="21"/>
  <c r="H1673" i="21"/>
  <c r="H1672" i="21"/>
  <c r="H1671" i="21"/>
  <c r="H1670" i="21"/>
  <c r="H1669" i="21"/>
  <c r="H1668" i="21"/>
  <c r="H1667" i="21"/>
  <c r="H1666" i="21"/>
  <c r="H1665" i="21"/>
  <c r="H1664" i="21"/>
  <c r="H1663" i="21"/>
  <c r="H1662" i="21"/>
  <c r="H1661" i="21"/>
  <c r="H1660" i="21"/>
  <c r="H1659" i="21"/>
  <c r="H1658" i="21"/>
  <c r="H1657" i="21"/>
  <c r="H1656" i="21"/>
  <c r="H1655" i="21"/>
  <c r="H1654" i="21"/>
  <c r="H1653" i="21"/>
  <c r="H1652" i="21"/>
  <c r="H1651" i="21"/>
  <c r="H1650" i="21"/>
  <c r="H1649" i="21"/>
  <c r="H1648" i="21"/>
  <c r="H1647" i="21"/>
  <c r="H1646" i="21"/>
  <c r="H1645" i="21"/>
  <c r="H1644" i="21"/>
  <c r="H1643" i="21"/>
  <c r="H1642" i="21"/>
  <c r="H1641" i="21"/>
  <c r="H1640" i="21"/>
  <c r="H1639" i="21"/>
  <c r="H1638" i="21"/>
  <c r="H1637" i="21"/>
  <c r="H1636" i="21"/>
  <c r="H1635" i="21"/>
  <c r="H1634" i="21"/>
  <c r="H1633" i="21"/>
  <c r="H1632" i="21"/>
  <c r="H1631" i="21"/>
  <c r="H1630" i="21"/>
  <c r="H1629" i="21"/>
  <c r="H1628" i="21"/>
  <c r="H1627" i="21"/>
  <c r="H1626" i="21"/>
  <c r="H1625" i="21"/>
  <c r="H1624" i="21"/>
  <c r="H1623" i="21"/>
  <c r="H1622" i="21"/>
  <c r="H1621" i="21"/>
  <c r="H1620" i="21"/>
  <c r="H1619" i="21"/>
  <c r="H1618" i="21"/>
  <c r="H1617" i="21"/>
  <c r="H1616" i="21"/>
  <c r="H1615" i="21"/>
  <c r="H1614" i="21"/>
  <c r="H1613" i="21"/>
  <c r="H1612" i="21"/>
  <c r="H1611" i="21"/>
  <c r="H1610" i="21"/>
  <c r="H1609" i="21"/>
  <c r="H1608" i="21"/>
  <c r="H1607" i="21"/>
  <c r="H1606" i="21"/>
  <c r="H1605" i="21"/>
  <c r="H1604" i="21"/>
  <c r="H1603" i="21"/>
  <c r="H1602" i="21"/>
  <c r="H1601" i="21"/>
  <c r="H1600" i="21"/>
  <c r="H1599" i="21"/>
  <c r="H1598" i="21"/>
  <c r="H1597" i="21"/>
  <c r="H1596" i="21"/>
  <c r="H1595" i="21"/>
  <c r="H1594" i="21"/>
  <c r="H1593" i="21"/>
  <c r="H1592" i="21"/>
  <c r="H1591" i="21"/>
  <c r="H1590" i="21"/>
  <c r="H1589" i="21"/>
  <c r="H1588" i="21"/>
  <c r="H1587" i="21"/>
  <c r="H1586" i="21"/>
  <c r="H1585" i="21"/>
  <c r="H1584" i="21"/>
  <c r="H1583" i="21"/>
  <c r="H1582" i="21"/>
  <c r="H1581" i="21"/>
  <c r="H1580" i="21"/>
  <c r="H1579" i="21"/>
  <c r="H1578" i="21"/>
  <c r="H1577" i="21"/>
  <c r="H1576" i="21"/>
  <c r="H1575" i="21"/>
  <c r="H1574" i="21"/>
  <c r="H1573" i="21"/>
  <c r="H1572" i="21"/>
  <c r="H1571" i="21"/>
  <c r="H1570" i="21"/>
  <c r="H1569" i="21"/>
  <c r="H1568" i="21"/>
  <c r="H1567" i="21"/>
  <c r="H1566" i="21"/>
  <c r="H1565" i="21"/>
  <c r="H1564" i="21"/>
  <c r="H1563" i="21"/>
  <c r="H1562" i="21"/>
  <c r="H1561" i="21"/>
  <c r="H1560" i="21"/>
  <c r="H1559" i="21"/>
  <c r="H1558" i="21"/>
  <c r="H1557" i="21"/>
  <c r="H1556" i="21"/>
  <c r="H1555" i="21"/>
  <c r="H1554" i="21"/>
  <c r="H1553" i="21"/>
  <c r="H1552" i="21"/>
  <c r="H1551" i="21"/>
  <c r="H1550" i="21"/>
  <c r="H1549" i="21"/>
  <c r="H1548" i="21"/>
  <c r="H1547" i="21"/>
  <c r="H1546" i="21"/>
  <c r="H1545" i="21"/>
  <c r="H1544" i="21"/>
  <c r="H1543" i="21"/>
  <c r="H1542" i="21"/>
  <c r="H1541" i="21"/>
  <c r="H1540" i="21"/>
  <c r="H1539" i="21"/>
  <c r="H1538" i="21"/>
  <c r="H1537" i="21"/>
  <c r="H1536" i="21"/>
  <c r="H1535" i="21"/>
  <c r="H1534" i="21"/>
  <c r="H1533" i="21"/>
  <c r="H1532" i="21"/>
  <c r="H1531" i="21"/>
  <c r="H1530" i="21"/>
  <c r="H1529" i="21"/>
  <c r="H1528" i="21"/>
  <c r="H1527" i="21"/>
  <c r="H1526" i="21"/>
  <c r="H1525" i="21"/>
  <c r="H1524" i="21"/>
  <c r="H1523" i="21"/>
  <c r="H1522" i="21"/>
  <c r="H1521" i="21"/>
  <c r="H1520" i="21"/>
  <c r="H1519" i="21"/>
  <c r="H1518" i="21"/>
  <c r="H1517" i="21"/>
  <c r="H1516" i="21"/>
  <c r="H1515" i="21"/>
  <c r="H1514" i="21"/>
  <c r="H1513" i="21"/>
  <c r="H1512" i="21"/>
  <c r="H1511" i="21"/>
  <c r="H1510" i="21"/>
  <c r="H1509" i="21"/>
  <c r="H1508" i="21"/>
  <c r="H1507" i="21"/>
  <c r="H1506" i="21"/>
  <c r="H1505" i="21"/>
  <c r="H1504" i="21"/>
  <c r="H1503" i="21"/>
  <c r="H1502" i="21"/>
  <c r="H1501" i="21"/>
  <c r="H1500" i="21"/>
  <c r="H1499" i="21"/>
  <c r="H1498" i="21"/>
  <c r="H1497" i="21"/>
  <c r="H1496" i="21"/>
  <c r="H1495" i="21"/>
  <c r="H1494" i="21"/>
  <c r="H1493" i="21"/>
  <c r="H1492" i="21"/>
  <c r="H1491" i="21"/>
  <c r="H1490" i="21"/>
  <c r="H1489" i="21"/>
  <c r="H1488" i="21"/>
  <c r="H1487" i="21"/>
  <c r="H1486" i="21"/>
  <c r="H1485" i="21"/>
  <c r="H1484" i="21"/>
  <c r="H1483" i="21"/>
  <c r="H1482" i="21"/>
  <c r="H1481" i="21"/>
  <c r="H1480" i="21"/>
  <c r="H1479" i="21"/>
  <c r="H1478" i="21"/>
  <c r="H1477" i="21"/>
  <c r="H1476" i="21"/>
  <c r="H1475" i="21"/>
  <c r="H1474" i="21"/>
  <c r="H1473" i="21"/>
  <c r="H1472" i="21"/>
  <c r="H1471" i="21"/>
  <c r="H1470" i="21"/>
  <c r="H1469" i="21"/>
  <c r="H1468" i="21"/>
  <c r="H1467" i="21"/>
  <c r="H1466" i="21"/>
  <c r="H1465" i="21"/>
  <c r="H1464" i="21"/>
  <c r="H1463" i="21"/>
  <c r="H1462" i="21"/>
  <c r="H1461" i="21"/>
  <c r="H1460" i="21"/>
  <c r="H1459" i="21"/>
  <c r="H1458" i="21"/>
  <c r="H1457" i="21"/>
  <c r="H1456" i="21"/>
  <c r="H1455" i="21"/>
  <c r="H1454" i="21"/>
  <c r="H1453" i="21"/>
  <c r="H1452" i="21"/>
  <c r="H1451" i="21"/>
  <c r="H1450" i="21"/>
  <c r="H1449" i="21"/>
  <c r="H1448" i="21"/>
  <c r="H1447" i="21"/>
  <c r="H1446" i="21"/>
  <c r="H1445" i="21"/>
  <c r="H1444" i="21"/>
  <c r="H1443" i="21"/>
  <c r="H1442" i="21"/>
  <c r="H1441" i="21"/>
  <c r="H1440" i="21"/>
  <c r="H1439" i="21"/>
  <c r="H1438" i="21"/>
  <c r="H1437" i="21"/>
  <c r="H1436" i="21"/>
  <c r="H1435" i="21"/>
  <c r="H1434" i="21"/>
  <c r="H1433" i="21"/>
  <c r="H1432" i="21"/>
  <c r="H1431" i="21"/>
  <c r="H1430" i="21"/>
  <c r="H1429" i="21"/>
  <c r="H1428" i="21"/>
  <c r="H1427" i="21"/>
  <c r="H1426" i="21"/>
  <c r="H1425" i="21"/>
  <c r="H1424" i="21"/>
  <c r="H1423" i="21"/>
  <c r="H1422" i="21"/>
  <c r="H1421" i="21"/>
  <c r="H1420" i="21"/>
  <c r="H1419" i="21"/>
  <c r="H1418" i="21"/>
  <c r="H1417" i="21"/>
  <c r="H1416" i="21"/>
  <c r="H1415" i="21"/>
  <c r="H1414" i="21"/>
  <c r="H1413" i="21"/>
  <c r="H1412" i="21"/>
  <c r="H1411" i="21"/>
  <c r="H1410" i="21"/>
  <c r="H1409" i="21"/>
  <c r="H1408" i="21"/>
  <c r="H1407" i="21"/>
  <c r="H1406" i="21"/>
  <c r="H1405" i="21"/>
  <c r="H1404" i="21"/>
  <c r="H1403" i="21"/>
  <c r="H1402" i="21"/>
  <c r="H1401" i="21"/>
  <c r="H1400" i="21"/>
  <c r="H1399" i="21"/>
  <c r="H1398" i="21"/>
  <c r="H1397" i="21"/>
  <c r="H1396" i="21"/>
  <c r="H1395" i="21"/>
  <c r="H1394" i="21"/>
  <c r="H1393" i="21"/>
  <c r="H1392" i="21"/>
  <c r="H1391" i="21"/>
  <c r="H1390" i="21"/>
  <c r="H1389" i="21"/>
  <c r="H1388" i="21"/>
  <c r="H1387" i="21"/>
  <c r="H1386" i="21"/>
  <c r="H1385" i="21"/>
  <c r="H1384" i="21"/>
  <c r="H1383" i="21"/>
  <c r="H1382" i="21"/>
  <c r="H1381" i="21"/>
  <c r="H1380" i="21"/>
  <c r="H1379" i="21"/>
  <c r="H1378" i="21"/>
  <c r="H1377" i="21"/>
  <c r="H1376" i="21"/>
  <c r="H1375" i="21"/>
  <c r="H1374" i="21"/>
  <c r="H1373" i="21"/>
  <c r="H1372" i="21"/>
  <c r="H1371" i="21"/>
  <c r="H1370" i="21"/>
  <c r="H1369" i="21"/>
  <c r="H1368" i="21"/>
  <c r="H1367" i="21"/>
  <c r="H1366" i="21"/>
  <c r="H1365" i="21"/>
  <c r="H1364" i="21"/>
  <c r="H1363" i="21"/>
  <c r="H1362" i="21"/>
  <c r="H1361" i="21"/>
  <c r="H1360" i="21"/>
  <c r="H1359" i="21"/>
  <c r="H1358" i="21"/>
  <c r="H1357" i="21"/>
  <c r="H1356" i="21"/>
  <c r="H1355" i="21"/>
  <c r="H1354" i="21"/>
  <c r="H1353" i="21"/>
  <c r="H1352" i="21"/>
  <c r="H1351" i="21"/>
  <c r="H1350" i="21"/>
  <c r="H1349" i="21"/>
  <c r="H1348" i="21"/>
  <c r="H1347" i="21"/>
  <c r="H1346" i="21"/>
  <c r="H1345" i="21"/>
  <c r="H1344" i="21"/>
  <c r="H1343" i="21"/>
  <c r="H1342" i="21"/>
  <c r="H1341" i="21"/>
  <c r="H1340" i="21"/>
  <c r="H1339" i="21"/>
  <c r="H1338" i="21"/>
  <c r="H1337" i="21"/>
  <c r="H1336" i="21"/>
  <c r="H1335" i="21"/>
  <c r="H1334" i="21"/>
  <c r="H1333" i="21"/>
  <c r="H1332" i="21"/>
  <c r="H1331" i="21"/>
  <c r="H1330" i="21"/>
  <c r="H1329" i="21"/>
  <c r="H1328" i="21"/>
  <c r="H1327" i="21"/>
  <c r="H1326" i="21"/>
  <c r="H1325" i="21"/>
  <c r="H1324" i="21"/>
  <c r="H1323" i="21"/>
  <c r="H1322" i="21"/>
  <c r="H1321" i="21"/>
  <c r="H1320" i="21"/>
  <c r="H1319" i="21"/>
  <c r="H1318" i="21"/>
  <c r="H1317" i="21"/>
  <c r="H1316" i="21"/>
  <c r="H1315" i="21"/>
  <c r="H1314" i="21"/>
  <c r="H1313" i="21"/>
  <c r="H1312" i="21"/>
  <c r="H1311" i="21"/>
  <c r="H1310" i="21"/>
  <c r="H1309" i="21"/>
  <c r="H1308" i="21"/>
  <c r="H1307" i="21"/>
  <c r="H1306" i="21"/>
  <c r="H1305" i="21"/>
  <c r="H1304" i="21"/>
  <c r="H1303" i="21"/>
  <c r="H1302" i="21"/>
  <c r="H1301" i="21"/>
  <c r="H1300" i="21"/>
  <c r="H1299" i="21"/>
  <c r="H1298" i="21"/>
  <c r="H1297" i="21"/>
  <c r="H1296" i="21"/>
  <c r="H1295" i="21"/>
  <c r="H1294" i="21"/>
  <c r="H1293" i="21"/>
  <c r="H1292" i="21"/>
  <c r="H1291" i="21"/>
  <c r="H1290" i="21"/>
  <c r="H1289" i="21"/>
  <c r="H1288" i="21"/>
  <c r="H1287" i="21"/>
  <c r="H1286" i="21"/>
  <c r="H1285" i="21"/>
  <c r="H1284" i="21"/>
  <c r="H1283" i="21"/>
  <c r="H1282" i="21"/>
  <c r="H1281" i="21"/>
  <c r="H1280" i="21"/>
  <c r="H1279" i="21"/>
  <c r="H1278" i="21"/>
  <c r="H1277" i="21"/>
  <c r="H1276" i="21"/>
  <c r="H1275" i="21"/>
  <c r="H1274" i="21"/>
  <c r="H1273" i="21"/>
  <c r="H1272" i="21"/>
  <c r="H1271" i="21"/>
  <c r="H1270" i="21"/>
  <c r="H1269" i="21"/>
  <c r="H1268" i="21"/>
  <c r="H1267" i="21"/>
  <c r="H1266" i="21"/>
  <c r="H1265" i="21"/>
  <c r="H1264" i="21"/>
  <c r="H1263" i="21"/>
  <c r="H1262" i="21"/>
  <c r="H1261" i="21"/>
  <c r="H1260" i="21"/>
  <c r="H1259" i="21"/>
  <c r="H1258" i="21"/>
  <c r="H1257" i="21"/>
  <c r="H1256" i="21"/>
  <c r="H1255" i="21"/>
  <c r="H1254" i="21"/>
  <c r="H1253" i="21"/>
  <c r="H1252" i="21"/>
  <c r="H1251" i="21"/>
  <c r="H1250" i="21"/>
  <c r="H1249" i="21"/>
  <c r="H1248" i="21"/>
  <c r="H1247" i="21"/>
  <c r="H1246" i="21"/>
  <c r="H1245" i="21"/>
  <c r="H1244" i="21"/>
  <c r="H1243" i="21"/>
  <c r="H1242" i="21"/>
  <c r="H1241" i="21"/>
  <c r="H1240" i="21"/>
  <c r="H1239" i="21"/>
  <c r="H1238" i="21"/>
  <c r="H1237" i="21"/>
  <c r="H1236" i="21"/>
  <c r="H1235" i="21"/>
  <c r="H1234" i="21"/>
  <c r="H1233" i="21"/>
  <c r="H1232" i="21"/>
  <c r="H1231" i="21"/>
  <c r="H1230" i="21"/>
  <c r="H1229" i="21"/>
  <c r="H1228" i="21"/>
  <c r="H1227" i="21"/>
  <c r="H1226" i="21"/>
  <c r="H1225" i="21"/>
  <c r="H1224" i="21"/>
  <c r="H1223" i="21"/>
  <c r="H1222" i="21"/>
  <c r="H1221" i="21"/>
  <c r="H1220" i="21"/>
  <c r="H1219" i="21"/>
  <c r="H1218" i="21"/>
  <c r="H1217" i="21"/>
  <c r="H1216" i="21"/>
  <c r="H1215" i="21"/>
  <c r="H1214" i="21"/>
  <c r="H1213" i="21"/>
  <c r="H1212" i="21"/>
  <c r="H1211" i="21"/>
  <c r="H1210" i="21"/>
  <c r="H1209" i="21"/>
  <c r="H1208" i="21"/>
  <c r="H1207" i="21"/>
  <c r="H1206" i="21"/>
  <c r="H1205" i="21"/>
  <c r="H1204" i="21"/>
  <c r="H1203" i="21"/>
  <c r="H1202" i="21"/>
  <c r="H1201" i="21"/>
  <c r="H1200" i="21"/>
  <c r="H1199" i="21"/>
  <c r="H1198" i="21"/>
  <c r="H1197" i="21"/>
  <c r="H1196" i="21"/>
  <c r="H1195" i="21"/>
  <c r="H1194" i="21"/>
  <c r="H1193" i="21"/>
  <c r="H1192" i="21"/>
  <c r="H1191" i="21"/>
  <c r="H1190" i="21"/>
  <c r="H1189" i="21"/>
  <c r="H1188" i="21"/>
  <c r="H1187" i="21"/>
  <c r="H1186" i="21"/>
  <c r="H1185" i="21"/>
  <c r="H1184" i="21"/>
  <c r="H1183" i="21"/>
  <c r="H1182" i="21"/>
  <c r="H1181" i="21"/>
  <c r="H1180" i="21"/>
  <c r="H1179" i="21"/>
  <c r="H1178" i="21"/>
  <c r="H1177" i="21"/>
  <c r="H1176" i="21"/>
  <c r="H1175" i="21"/>
  <c r="H1174" i="21"/>
  <c r="H1173" i="21"/>
  <c r="H1172" i="21"/>
  <c r="H1171" i="21"/>
  <c r="H1170" i="21"/>
  <c r="H1169" i="21"/>
  <c r="H1168" i="21"/>
  <c r="H1167" i="21"/>
  <c r="H1166" i="21"/>
  <c r="H1165" i="21"/>
  <c r="H1164" i="21"/>
  <c r="H1163" i="21"/>
  <c r="H1162" i="21"/>
  <c r="H1161" i="21"/>
  <c r="H1160" i="21"/>
  <c r="H1159" i="21"/>
  <c r="H1158" i="21"/>
  <c r="H1157" i="21"/>
  <c r="H1156" i="21"/>
  <c r="H1155" i="21"/>
  <c r="H1154" i="21"/>
  <c r="H1153" i="21"/>
  <c r="H1152" i="21"/>
  <c r="H1151" i="21"/>
  <c r="H1150" i="21"/>
  <c r="H1149" i="21"/>
  <c r="H1148" i="21"/>
  <c r="H1147" i="21"/>
  <c r="H1146" i="21"/>
  <c r="H1145" i="21"/>
  <c r="H1144" i="21"/>
  <c r="H1143" i="21"/>
  <c r="H1142" i="21"/>
  <c r="H1141" i="21"/>
  <c r="H1140" i="21"/>
  <c r="H1139" i="21"/>
  <c r="H1138" i="21"/>
  <c r="H1137" i="21"/>
  <c r="H1136" i="21"/>
  <c r="H1135" i="21"/>
  <c r="H1134" i="21"/>
  <c r="H1133" i="21"/>
  <c r="H1132" i="21"/>
  <c r="H1131" i="21"/>
  <c r="H1130" i="21"/>
  <c r="H1129" i="21"/>
  <c r="H1128" i="21"/>
  <c r="H1127" i="21"/>
  <c r="H1126" i="21"/>
  <c r="H1125" i="21"/>
  <c r="H1124" i="21"/>
  <c r="H1123" i="21"/>
  <c r="H1122" i="21"/>
  <c r="H1121" i="21"/>
  <c r="H1120" i="21"/>
  <c r="H1119" i="21"/>
  <c r="H1118" i="21"/>
  <c r="H1117" i="21"/>
  <c r="H1116" i="21"/>
  <c r="H1115" i="21"/>
  <c r="H1114" i="21"/>
  <c r="H1113" i="21"/>
  <c r="H1112" i="21"/>
  <c r="H1111" i="21"/>
  <c r="H1110" i="21"/>
  <c r="H1109" i="21"/>
  <c r="H1108" i="21"/>
  <c r="H1107" i="21"/>
  <c r="H1106" i="21"/>
  <c r="H1105" i="21"/>
  <c r="H1104" i="21"/>
  <c r="H1103" i="21"/>
  <c r="H1102" i="21"/>
  <c r="H1101" i="21"/>
  <c r="H1100" i="21"/>
  <c r="H1099" i="21"/>
  <c r="H1098" i="21"/>
  <c r="H1097" i="21"/>
  <c r="H1096" i="21"/>
  <c r="H1095" i="21"/>
  <c r="H1094" i="21"/>
  <c r="H1093" i="21"/>
  <c r="H1092" i="21"/>
  <c r="H1091" i="21"/>
  <c r="H1090" i="21"/>
  <c r="H1089" i="21"/>
  <c r="H1088" i="21"/>
  <c r="H1087" i="21"/>
  <c r="H1086" i="21"/>
  <c r="H1085" i="21"/>
  <c r="H1084" i="21"/>
  <c r="H1083" i="21"/>
  <c r="H1082" i="21"/>
  <c r="H1081" i="21"/>
  <c r="H1080" i="21"/>
  <c r="H1079" i="21"/>
  <c r="H1078" i="21"/>
  <c r="H1077" i="21"/>
  <c r="H1076" i="21"/>
  <c r="H1075" i="21"/>
  <c r="H1074" i="21"/>
  <c r="H1073" i="21"/>
  <c r="H1072" i="21"/>
  <c r="H1071" i="21"/>
  <c r="H1070" i="21"/>
  <c r="H1069" i="21"/>
  <c r="H1068" i="21"/>
  <c r="H1067" i="21"/>
  <c r="H1066" i="21"/>
  <c r="H1065" i="21"/>
  <c r="H1064" i="21"/>
  <c r="H1063" i="21"/>
  <c r="H1062" i="21"/>
  <c r="H1061" i="21"/>
  <c r="H1060" i="21"/>
  <c r="H1059" i="21"/>
  <c r="H1058" i="21"/>
  <c r="H1057" i="21"/>
  <c r="H1056" i="21"/>
  <c r="H1055" i="21"/>
  <c r="H1054" i="21"/>
  <c r="H1053" i="21"/>
  <c r="H1052" i="21"/>
  <c r="H1051" i="21"/>
  <c r="H1050" i="21"/>
  <c r="H1049" i="21"/>
  <c r="H1048" i="21"/>
  <c r="H1047" i="21"/>
  <c r="H1046" i="21"/>
  <c r="H1045" i="21"/>
  <c r="H1044" i="21"/>
  <c r="H1043" i="21"/>
  <c r="H1042" i="21"/>
  <c r="H1041" i="21"/>
  <c r="H1040" i="21"/>
  <c r="H1039" i="21"/>
  <c r="H1038" i="21"/>
  <c r="H1037" i="21"/>
  <c r="H1036" i="21"/>
  <c r="H1035" i="21"/>
  <c r="H1034" i="21"/>
  <c r="H1033" i="21"/>
  <c r="H1032" i="21"/>
  <c r="H1031" i="21"/>
  <c r="H1030" i="21"/>
  <c r="H1029" i="21"/>
  <c r="H1028" i="21"/>
  <c r="H1027" i="21"/>
  <c r="H1026" i="21"/>
  <c r="H1025" i="21"/>
  <c r="H1024" i="21"/>
  <c r="H1023" i="21"/>
  <c r="H1022" i="21"/>
  <c r="H1021" i="21"/>
  <c r="H1020" i="21"/>
  <c r="H1019" i="21"/>
  <c r="H1018" i="21"/>
  <c r="H1017" i="21"/>
  <c r="H1016" i="21"/>
  <c r="H1015" i="21"/>
  <c r="H1014" i="21"/>
  <c r="H1013" i="21"/>
  <c r="H1012" i="21"/>
  <c r="H1011" i="21"/>
  <c r="H1010" i="21"/>
  <c r="H1009" i="21"/>
  <c r="H1008" i="21"/>
  <c r="H1007" i="21"/>
  <c r="H1006" i="21"/>
  <c r="H1005" i="21"/>
  <c r="H1004" i="21"/>
  <c r="H1003" i="21"/>
  <c r="H1002" i="21"/>
  <c r="H1001" i="21"/>
  <c r="H1000" i="21"/>
  <c r="H999" i="21"/>
  <c r="H998" i="21"/>
  <c r="H997" i="21"/>
  <c r="H996" i="21"/>
  <c r="H995" i="21"/>
  <c r="H994" i="21"/>
  <c r="H993" i="21"/>
  <c r="H992" i="21"/>
  <c r="H991" i="21"/>
  <c r="H990" i="21"/>
  <c r="H989" i="21"/>
  <c r="H988" i="21"/>
  <c r="H987" i="21"/>
  <c r="H986" i="21"/>
  <c r="H985" i="21"/>
  <c r="H984" i="21"/>
  <c r="H983" i="21"/>
  <c r="H982" i="21"/>
  <c r="H981" i="21"/>
  <c r="H980" i="21"/>
  <c r="H979" i="21"/>
  <c r="H978" i="21"/>
  <c r="H977" i="21"/>
  <c r="H976" i="21"/>
  <c r="H975" i="21"/>
  <c r="H974" i="21"/>
  <c r="H973" i="21"/>
  <c r="H972" i="21"/>
  <c r="H971" i="21"/>
  <c r="H970" i="21"/>
  <c r="H969" i="21"/>
  <c r="H968" i="21"/>
  <c r="H967" i="21"/>
  <c r="H966" i="21"/>
  <c r="H965" i="21"/>
  <c r="H964" i="21"/>
  <c r="H963" i="21"/>
  <c r="H962" i="21"/>
  <c r="H961" i="21"/>
  <c r="H960" i="21"/>
  <c r="H959" i="21"/>
  <c r="H958" i="21"/>
  <c r="H957" i="21"/>
  <c r="H956" i="21"/>
  <c r="H955" i="21"/>
  <c r="H954" i="21"/>
  <c r="H953" i="21"/>
  <c r="H952" i="21"/>
  <c r="H951" i="21"/>
  <c r="H950" i="21"/>
  <c r="H949" i="21"/>
  <c r="H948" i="21"/>
  <c r="H947" i="21"/>
  <c r="H946" i="21"/>
  <c r="H945" i="21"/>
  <c r="H944" i="21"/>
  <c r="H943" i="21"/>
  <c r="H942" i="21"/>
  <c r="H941" i="21"/>
  <c r="H940" i="21"/>
  <c r="H939" i="21"/>
  <c r="H938" i="21"/>
  <c r="H937" i="21"/>
  <c r="H936" i="21"/>
  <c r="H935" i="21"/>
  <c r="H934" i="21"/>
  <c r="H933" i="21"/>
  <c r="H932" i="21"/>
  <c r="H931" i="21"/>
  <c r="H930" i="21"/>
  <c r="H929" i="21"/>
  <c r="H928" i="21"/>
  <c r="H927" i="21"/>
  <c r="H926" i="21"/>
  <c r="H925" i="21"/>
  <c r="H924" i="21"/>
  <c r="H923" i="21"/>
  <c r="H922" i="21"/>
  <c r="H921" i="21"/>
  <c r="H920" i="21"/>
  <c r="H919" i="21"/>
  <c r="H918" i="21"/>
  <c r="H917" i="21"/>
  <c r="H916" i="21"/>
  <c r="H915" i="21"/>
  <c r="H914" i="21"/>
  <c r="H913" i="21"/>
  <c r="H912" i="21"/>
  <c r="H911" i="21"/>
  <c r="H910" i="21"/>
  <c r="H909" i="21"/>
  <c r="H908" i="21"/>
  <c r="H907" i="21"/>
  <c r="H906" i="21"/>
  <c r="H905" i="21"/>
  <c r="H904" i="21"/>
  <c r="H903" i="21"/>
  <c r="H902" i="21"/>
  <c r="H901" i="21"/>
  <c r="H900" i="21"/>
  <c r="H899" i="21"/>
  <c r="H898" i="21"/>
  <c r="H897" i="21"/>
  <c r="H896" i="21"/>
  <c r="H895" i="21"/>
  <c r="H894" i="21"/>
  <c r="H893" i="21"/>
  <c r="H892" i="21"/>
  <c r="H891" i="21"/>
  <c r="H890" i="21"/>
  <c r="H889" i="21"/>
  <c r="H888" i="21"/>
  <c r="H887" i="21"/>
  <c r="H886" i="21"/>
  <c r="H885" i="21"/>
  <c r="H884" i="21"/>
  <c r="H883" i="21"/>
  <c r="H882" i="21"/>
  <c r="H881" i="21"/>
  <c r="H880" i="21"/>
  <c r="H879" i="21"/>
  <c r="H878" i="21"/>
  <c r="H877" i="21"/>
  <c r="H876" i="21"/>
  <c r="H875" i="21"/>
  <c r="H874" i="21"/>
  <c r="H873" i="21"/>
  <c r="H872" i="21"/>
  <c r="H871" i="21"/>
  <c r="H870" i="21"/>
  <c r="H869" i="21"/>
  <c r="H868" i="21"/>
  <c r="H867" i="21"/>
  <c r="H866" i="21"/>
  <c r="H865" i="21"/>
  <c r="H864" i="21"/>
  <c r="H863" i="21"/>
  <c r="H862" i="21"/>
  <c r="H861" i="21"/>
  <c r="H860" i="21"/>
  <c r="H859" i="21"/>
  <c r="H858" i="21"/>
  <c r="H857" i="21"/>
  <c r="H856" i="21"/>
  <c r="H855" i="21"/>
  <c r="H854" i="21"/>
  <c r="H853" i="21"/>
  <c r="H852" i="21"/>
  <c r="H851" i="21"/>
  <c r="H850" i="21"/>
  <c r="H849" i="21"/>
  <c r="H848" i="21"/>
  <c r="H847" i="21"/>
  <c r="H846" i="21"/>
  <c r="H845" i="21"/>
  <c r="H844" i="21"/>
  <c r="H843" i="21"/>
  <c r="H842" i="21"/>
  <c r="H841" i="21"/>
  <c r="H840" i="21"/>
  <c r="H839" i="21"/>
  <c r="H838" i="21"/>
  <c r="H837" i="21"/>
  <c r="H836" i="21"/>
  <c r="H835" i="21"/>
  <c r="H834" i="21"/>
  <c r="H833" i="21"/>
  <c r="H832" i="21"/>
  <c r="H831" i="21"/>
  <c r="H830" i="21"/>
  <c r="H829" i="21"/>
  <c r="H828" i="21"/>
  <c r="H827" i="21"/>
  <c r="H826" i="21"/>
  <c r="H825" i="21"/>
  <c r="H824" i="21"/>
  <c r="H823" i="21"/>
  <c r="H822" i="21"/>
  <c r="H821" i="21"/>
  <c r="H820" i="21"/>
  <c r="H819" i="21"/>
  <c r="H818" i="21"/>
  <c r="H817" i="21"/>
  <c r="H816" i="21"/>
  <c r="H815" i="21"/>
  <c r="H814" i="21"/>
  <c r="H813" i="21"/>
  <c r="H812" i="21"/>
  <c r="H811" i="21"/>
  <c r="H810" i="21"/>
  <c r="H809" i="21"/>
  <c r="H808" i="21"/>
  <c r="H807" i="21"/>
  <c r="H806" i="21"/>
  <c r="H805" i="21"/>
  <c r="H804" i="21"/>
  <c r="H803" i="21"/>
  <c r="H802" i="21"/>
  <c r="H801" i="21"/>
  <c r="H800" i="21"/>
  <c r="H799" i="21"/>
  <c r="H798" i="21"/>
  <c r="H797" i="21"/>
  <c r="H796" i="21"/>
  <c r="H795" i="21"/>
  <c r="H794" i="21"/>
  <c r="H793" i="21"/>
  <c r="H792" i="21"/>
  <c r="H791" i="21"/>
  <c r="H790" i="21"/>
  <c r="H789" i="21"/>
  <c r="H788" i="21"/>
  <c r="H787" i="21"/>
  <c r="H786" i="21"/>
  <c r="H785" i="21"/>
  <c r="H784" i="21"/>
  <c r="H783" i="21"/>
  <c r="H782" i="21"/>
  <c r="H781" i="21"/>
  <c r="H780" i="21"/>
  <c r="H779" i="21"/>
  <c r="H778" i="21"/>
  <c r="H777" i="21"/>
  <c r="H776" i="21"/>
  <c r="H775" i="21"/>
  <c r="H774" i="21"/>
  <c r="H773" i="21"/>
  <c r="H772" i="21"/>
  <c r="H771" i="21"/>
  <c r="H770" i="21"/>
  <c r="H769" i="21"/>
  <c r="H768" i="21"/>
  <c r="H767" i="21"/>
  <c r="H766" i="21"/>
  <c r="H765" i="21"/>
  <c r="H764" i="21"/>
  <c r="H763" i="21"/>
  <c r="H762" i="21"/>
  <c r="H761" i="21"/>
  <c r="K195" i="21"/>
  <c r="J194" i="21"/>
  <c r="J195" i="21"/>
  <c r="H138" i="21"/>
  <c r="H139" i="21"/>
  <c r="H140" i="21"/>
  <c r="H141" i="21"/>
  <c r="H158" i="21"/>
  <c r="G158" i="21"/>
  <c r="K186" i="21"/>
  <c r="H185" i="21"/>
  <c r="H186" i="21"/>
  <c r="G185" i="21"/>
  <c r="G186" i="21"/>
  <c r="F185" i="21"/>
  <c r="F186" i="21"/>
  <c r="K177" i="21"/>
  <c r="J176" i="21"/>
  <c r="J177" i="21"/>
  <c r="H176" i="21"/>
  <c r="H177" i="21"/>
  <c r="G176" i="21"/>
  <c r="G177" i="21"/>
  <c r="B247" i="6"/>
  <c r="C239" i="6"/>
  <c r="C243" i="6"/>
  <c r="C247" i="6"/>
  <c r="D239" i="6"/>
  <c r="L17" i="7"/>
  <c r="J17" i="7"/>
  <c r="I17" i="7"/>
  <c r="M11" i="12"/>
  <c r="L11" i="12"/>
  <c r="D262" i="10"/>
  <c r="N280" i="10"/>
  <c r="M28" i="12"/>
  <c r="L28" i="12"/>
  <c r="N218" i="9"/>
  <c r="N219" i="9"/>
  <c r="N54" i="9"/>
  <c r="N55" i="9"/>
  <c r="M54" i="9"/>
  <c r="M55" i="9"/>
  <c r="P339" i="10"/>
  <c r="L339" i="10"/>
  <c r="G52" i="14"/>
  <c r="H339" i="10"/>
  <c r="D339" i="10"/>
  <c r="G40" i="25"/>
  <c r="N31" i="9"/>
  <c r="N30" i="9"/>
  <c r="P326" i="10"/>
  <c r="E53" i="14"/>
  <c r="E43" i="25"/>
  <c r="L326" i="10"/>
  <c r="E52" i="14"/>
  <c r="E42" i="25"/>
  <c r="H326" i="10"/>
  <c r="E51" i="14"/>
  <c r="E41" i="25"/>
  <c r="D326" i="10"/>
  <c r="E50" i="14"/>
  <c r="E40" i="25"/>
  <c r="O129" i="10"/>
  <c r="N129" i="10"/>
  <c r="I131" i="7"/>
  <c r="G131" i="7"/>
  <c r="I130" i="7"/>
  <c r="G130" i="7"/>
  <c r="I129" i="7"/>
  <c r="G129" i="7"/>
  <c r="I261" i="13"/>
  <c r="B93" i="14"/>
  <c r="B94" i="14"/>
  <c r="B95" i="14"/>
  <c r="D88" i="21"/>
  <c r="C9" i="8"/>
  <c r="N275" i="9"/>
  <c r="N274" i="9"/>
  <c r="N265" i="9"/>
  <c r="N264" i="9"/>
  <c r="N244" i="9"/>
  <c r="N243" i="9"/>
  <c r="N234" i="9"/>
  <c r="N233" i="9"/>
  <c r="N296" i="9"/>
  <c r="N295" i="9"/>
  <c r="N316" i="9"/>
  <c r="N317" i="9"/>
  <c r="G261" i="13"/>
  <c r="E205" i="21"/>
  <c r="I120" i="7"/>
  <c r="H120" i="7"/>
  <c r="I116" i="7"/>
  <c r="H116" i="7"/>
  <c r="I108" i="7"/>
  <c r="H108" i="7"/>
  <c r="I104" i="7"/>
  <c r="H104" i="7"/>
  <c r="H100" i="7"/>
  <c r="I100" i="7"/>
  <c r="I91" i="7"/>
  <c r="H91" i="7"/>
  <c r="G75" i="7"/>
  <c r="G76" i="7"/>
  <c r="G78" i="7"/>
  <c r="G79" i="7"/>
  <c r="G80" i="7"/>
  <c r="G82" i="7"/>
  <c r="G83" i="7"/>
  <c r="G84" i="7"/>
  <c r="G86" i="7"/>
  <c r="G87" i="7"/>
  <c r="G88" i="7"/>
  <c r="G90" i="7"/>
  <c r="G91" i="7"/>
  <c r="G92" i="7"/>
  <c r="G94" i="7"/>
  <c r="G95" i="7"/>
  <c r="G96" i="7"/>
  <c r="G99" i="7"/>
  <c r="G100" i="7"/>
  <c r="G101" i="7"/>
  <c r="G103" i="7"/>
  <c r="G104" i="7"/>
  <c r="G105" i="7"/>
  <c r="G107" i="7"/>
  <c r="G108" i="7"/>
  <c r="G109" i="7"/>
  <c r="G111" i="7"/>
  <c r="G112" i="7"/>
  <c r="G113" i="7"/>
  <c r="G115" i="7"/>
  <c r="G116" i="7"/>
  <c r="G117" i="7"/>
  <c r="G119" i="7"/>
  <c r="G120" i="7"/>
  <c r="G121" i="7"/>
  <c r="G74" i="7"/>
  <c r="I29" i="7"/>
  <c r="I30" i="7"/>
  <c r="I31" i="7"/>
  <c r="I32" i="7"/>
  <c r="I34" i="7"/>
  <c r="I35" i="7"/>
  <c r="I37" i="7"/>
  <c r="I38" i="7"/>
  <c r="I27" i="7"/>
  <c r="I26" i="7"/>
  <c r="I25" i="7"/>
  <c r="I24" i="7"/>
  <c r="I58" i="7"/>
  <c r="I57" i="7"/>
  <c r="I59" i="7"/>
  <c r="I61" i="7"/>
  <c r="I62" i="7"/>
  <c r="I63" i="7"/>
  <c r="I64" i="7"/>
  <c r="I68" i="7"/>
  <c r="I69" i="7"/>
  <c r="I70" i="7"/>
  <c r="I71" i="7"/>
  <c r="I56" i="7"/>
  <c r="G71" i="7"/>
  <c r="G62" i="7"/>
  <c r="G63" i="7"/>
  <c r="G64" i="7"/>
  <c r="G61" i="7"/>
  <c r="H63" i="7"/>
  <c r="H61" i="7"/>
  <c r="H58" i="7"/>
  <c r="G58" i="7"/>
  <c r="H56" i="7"/>
  <c r="G56" i="7"/>
  <c r="G31" i="7"/>
  <c r="H31" i="7"/>
  <c r="G26" i="7"/>
  <c r="H26" i="7"/>
  <c r="N266" i="9"/>
  <c r="I25" i="14"/>
  <c r="E28" i="12"/>
  <c r="V28" i="12"/>
  <c r="AC9" i="12"/>
  <c r="T9" i="12"/>
  <c r="AC30" i="12"/>
  <c r="S9" i="12"/>
  <c r="U28" i="12"/>
  <c r="D28" i="12"/>
  <c r="AB30" i="12"/>
  <c r="AB9" i="12"/>
  <c r="AG17" i="12"/>
  <c r="AH17" i="12"/>
  <c r="AF34" i="12"/>
  <c r="AE34" i="12"/>
  <c r="D203" i="6"/>
  <c r="D202" i="6"/>
  <c r="D204" i="6"/>
  <c r="D205" i="6"/>
  <c r="D206" i="6"/>
  <c r="D208" i="6"/>
  <c r="D209" i="6"/>
  <c r="C218" i="6"/>
  <c r="D210" i="6"/>
  <c r="C219" i="6"/>
  <c r="E21" i="21"/>
  <c r="I53" i="14"/>
  <c r="I52" i="14"/>
  <c r="I51" i="14"/>
  <c r="I50" i="14"/>
  <c r="I45" i="14"/>
  <c r="O283" i="10"/>
  <c r="I44" i="14"/>
  <c r="I42" i="14"/>
  <c r="I41" i="14"/>
  <c r="I40" i="14"/>
  <c r="N186" i="10"/>
  <c r="I37" i="14"/>
  <c r="N180" i="10"/>
  <c r="I36" i="14"/>
  <c r="N318" i="9"/>
  <c r="I29" i="14"/>
  <c r="E200" i="6"/>
  <c r="N276" i="9"/>
  <c r="I26" i="14"/>
  <c r="N297" i="9"/>
  <c r="I27" i="14"/>
  <c r="N245" i="9"/>
  <c r="I24" i="14"/>
  <c r="C256" i="6"/>
  <c r="E210" i="6"/>
  <c r="D219" i="6"/>
  <c r="E207" i="6"/>
  <c r="D207" i="6"/>
  <c r="D200" i="6"/>
  <c r="E30" i="21"/>
  <c r="E13" i="21"/>
  <c r="P130" i="10"/>
  <c r="P129" i="10"/>
  <c r="T153" i="10"/>
  <c r="T152" i="10"/>
  <c r="T150" i="10"/>
  <c r="T149" i="10"/>
  <c r="T148" i="10"/>
  <c r="T147" i="10"/>
  <c r="T146" i="10"/>
  <c r="T145" i="10"/>
  <c r="T144" i="10"/>
  <c r="T142" i="10"/>
  <c r="T141" i="10"/>
  <c r="T140" i="10"/>
  <c r="T139" i="10"/>
  <c r="T138" i="10"/>
  <c r="T137" i="10"/>
  <c r="T132" i="10"/>
  <c r="T133" i="10"/>
  <c r="T136" i="10"/>
  <c r="T135" i="10"/>
  <c r="M129" i="10"/>
  <c r="L129" i="10"/>
  <c r="N77" i="10"/>
  <c r="E116" i="21"/>
  <c r="E219" i="6"/>
  <c r="N33" i="9"/>
  <c r="C36" i="8"/>
  <c r="J294" i="8"/>
  <c r="C30" i="8"/>
  <c r="G50" i="14"/>
  <c r="J293" i="8"/>
  <c r="G42" i="25"/>
  <c r="J296" i="8"/>
  <c r="N30" i="10"/>
  <c r="J295" i="8"/>
  <c r="G167" i="21"/>
  <c r="G168" i="21"/>
  <c r="J185" i="21"/>
  <c r="J186" i="21"/>
  <c r="I168" i="21"/>
  <c r="G53" i="14"/>
  <c r="G43" i="25"/>
  <c r="G41" i="25"/>
  <c r="G51" i="14"/>
  <c r="N103" i="10"/>
  <c r="M48" i="33"/>
  <c r="M127" i="29"/>
  <c r="M156" i="29"/>
  <c r="M124" i="29"/>
  <c r="M153" i="29"/>
  <c r="M120" i="29"/>
  <c r="M134" i="29"/>
  <c r="M119" i="29"/>
  <c r="M148" i="29"/>
  <c r="N32" i="20"/>
  <c r="C10" i="8"/>
  <c r="G228" i="8"/>
  <c r="N57" i="28"/>
  <c r="E177" i="21"/>
  <c r="N96" i="6"/>
  <c r="N75" i="6"/>
  <c r="N77" i="6"/>
  <c r="N79" i="6"/>
  <c r="N81" i="6"/>
  <c r="N83" i="6"/>
  <c r="N86" i="6"/>
  <c r="N90" i="6"/>
  <c r="N92" i="6"/>
  <c r="N97" i="6"/>
  <c r="N100" i="6"/>
  <c r="N101" i="6"/>
  <c r="N102" i="6"/>
  <c r="N105" i="6"/>
  <c r="N107" i="6"/>
  <c r="N109" i="6"/>
  <c r="K176" i="21"/>
  <c r="K185" i="21"/>
  <c r="K194" i="21"/>
  <c r="N61" i="28"/>
  <c r="N62" i="28"/>
  <c r="N60" i="28"/>
  <c r="M149" i="29"/>
  <c r="M117" i="29"/>
  <c r="M131" i="29"/>
  <c r="D51" i="24"/>
  <c r="M133" i="29"/>
  <c r="J151" i="33"/>
  <c r="K151" i="33"/>
  <c r="J145" i="33"/>
  <c r="K145" i="33"/>
  <c r="F145" i="33"/>
  <c r="G145" i="33"/>
  <c r="J146" i="33"/>
  <c r="K146" i="33"/>
  <c r="T248" i="33"/>
  <c r="T246" i="33"/>
  <c r="T244" i="33"/>
  <c r="T242" i="33"/>
  <c r="T240" i="33"/>
  <c r="T238" i="33"/>
  <c r="T236" i="33"/>
  <c r="T234" i="33"/>
  <c r="T232" i="33"/>
  <c r="T230" i="33"/>
  <c r="T228" i="33"/>
  <c r="T226" i="33"/>
  <c r="T224" i="33"/>
  <c r="T222" i="33"/>
  <c r="T220" i="33"/>
  <c r="T218" i="33"/>
  <c r="T216" i="33"/>
  <c r="T214" i="33"/>
  <c r="T212" i="33"/>
  <c r="T210" i="33"/>
  <c r="T208" i="33"/>
  <c r="T206" i="33"/>
  <c r="T204" i="33"/>
  <c r="T202" i="33"/>
  <c r="T200" i="33"/>
  <c r="T198" i="33"/>
  <c r="T196" i="33"/>
  <c r="T194" i="33"/>
  <c r="T192" i="33"/>
  <c r="T190" i="33"/>
  <c r="T188" i="33"/>
  <c r="T186" i="33"/>
  <c r="T184" i="33"/>
  <c r="T182" i="33"/>
  <c r="T180" i="33"/>
  <c r="T178" i="33"/>
  <c r="T176" i="33"/>
  <c r="T174" i="33"/>
  <c r="T172" i="33"/>
  <c r="T250" i="33"/>
  <c r="N65" i="28"/>
  <c r="D199" i="6"/>
  <c r="C215" i="6"/>
  <c r="M146" i="29"/>
  <c r="Z249" i="29"/>
  <c r="H96" i="6"/>
  <c r="Z251" i="29"/>
  <c r="Z250" i="29"/>
  <c r="D215" i="6"/>
  <c r="M151" i="29"/>
  <c r="N43" i="29"/>
  <c r="N71" i="29"/>
  <c r="D217" i="6"/>
  <c r="M132" i="29"/>
  <c r="M154" i="29"/>
  <c r="M150" i="29"/>
  <c r="E260" i="6"/>
  <c r="D260" i="6"/>
  <c r="D264" i="6"/>
  <c r="E264" i="6"/>
  <c r="D262" i="6"/>
  <c r="D266" i="6"/>
  <c r="E266" i="6"/>
  <c r="E262" i="6"/>
  <c r="E261" i="6"/>
  <c r="D263" i="6"/>
  <c r="E265" i="6"/>
  <c r="D129" i="6"/>
  <c r="B243" i="6"/>
  <c r="N76" i="6"/>
  <c r="H80" i="6"/>
  <c r="K80" i="6"/>
  <c r="M80" i="6"/>
  <c r="J88" i="6"/>
  <c r="M88" i="6"/>
  <c r="H88" i="6"/>
  <c r="I88" i="6"/>
  <c r="L88" i="6"/>
  <c r="D90" i="6"/>
  <c r="P90" i="6"/>
  <c r="M99" i="6"/>
  <c r="H99" i="6"/>
  <c r="I99" i="6"/>
  <c r="J99" i="6"/>
  <c r="L99" i="6"/>
  <c r="Q99" i="6"/>
  <c r="H105" i="6"/>
  <c r="I105" i="6"/>
  <c r="J105" i="6"/>
  <c r="L105" i="6"/>
  <c r="K105" i="6"/>
  <c r="M105" i="6"/>
  <c r="Q105" i="6"/>
  <c r="M108" i="6"/>
  <c r="J108" i="6"/>
  <c r="H108" i="6"/>
  <c r="AF12" i="12"/>
  <c r="AF16" i="12"/>
  <c r="P135" i="6"/>
  <c r="O135" i="6"/>
  <c r="N71" i="6"/>
  <c r="D70" i="6"/>
  <c r="N70" i="6"/>
  <c r="H73" i="6"/>
  <c r="I73" i="6"/>
  <c r="L73" i="6"/>
  <c r="M73" i="6"/>
  <c r="K73" i="6"/>
  <c r="N87" i="6"/>
  <c r="D89" i="6"/>
  <c r="N89" i="6"/>
  <c r="M91" i="6"/>
  <c r="J91" i="6"/>
  <c r="H91" i="6"/>
  <c r="I93" i="6"/>
  <c r="J93" i="6"/>
  <c r="L93" i="6"/>
  <c r="D94" i="6"/>
  <c r="I94" i="6"/>
  <c r="N94" i="6"/>
  <c r="H98" i="6"/>
  <c r="I98" i="6"/>
  <c r="J98" i="6"/>
  <c r="L98" i="6"/>
  <c r="K98" i="6"/>
  <c r="M98" i="6"/>
  <c r="K99" i="6"/>
  <c r="P101" i="6"/>
  <c r="D101" i="6"/>
  <c r="D104" i="6"/>
  <c r="N104" i="6"/>
  <c r="N62" i="20"/>
  <c r="N88" i="6"/>
  <c r="E263" i="6"/>
  <c r="D265" i="6"/>
  <c r="B248" i="6"/>
  <c r="J71" i="6"/>
  <c r="M71" i="6"/>
  <c r="H71" i="6"/>
  <c r="N74" i="6"/>
  <c r="D74" i="6"/>
  <c r="D76" i="6"/>
  <c r="I80" i="6"/>
  <c r="N80" i="6"/>
  <c r="P82" i="6"/>
  <c r="P83" i="6"/>
  <c r="D83" i="6"/>
  <c r="K83" i="6"/>
  <c r="D95" i="6"/>
  <c r="N95" i="6"/>
  <c r="K108" i="6"/>
  <c r="I96" i="6"/>
  <c r="J96" i="6"/>
  <c r="L96" i="6"/>
  <c r="M96" i="6"/>
  <c r="K96" i="6"/>
  <c r="D261" i="6"/>
  <c r="I70" i="6"/>
  <c r="N73" i="6"/>
  <c r="M75" i="6"/>
  <c r="J75" i="6"/>
  <c r="H75" i="6"/>
  <c r="H77" i="6"/>
  <c r="I77" i="6"/>
  <c r="J77" i="6"/>
  <c r="L77" i="6"/>
  <c r="Q77" i="6"/>
  <c r="P78" i="6"/>
  <c r="P79" i="6"/>
  <c r="J80" i="6"/>
  <c r="I83" i="6"/>
  <c r="D87" i="6"/>
  <c r="I87" i="6"/>
  <c r="K88" i="6"/>
  <c r="I89" i="6"/>
  <c r="N91" i="6"/>
  <c r="I91" i="6"/>
  <c r="N133" i="6"/>
  <c r="Q133" i="6"/>
  <c r="C249" i="6"/>
  <c r="C250" i="6"/>
  <c r="B249" i="6"/>
  <c r="B250" i="6"/>
  <c r="P133" i="6"/>
  <c r="N98" i="6"/>
  <c r="P100" i="6"/>
  <c r="D100" i="6"/>
  <c r="K100" i="6"/>
  <c r="P102" i="6"/>
  <c r="D102" i="6"/>
  <c r="K102" i="6"/>
  <c r="J103" i="6"/>
  <c r="M103" i="6"/>
  <c r="D106" i="6"/>
  <c r="N106" i="6"/>
  <c r="P107" i="6"/>
  <c r="I108" i="6"/>
  <c r="N108" i="6"/>
  <c r="D111" i="6"/>
  <c r="O21" i="6"/>
  <c r="AF10" i="12"/>
  <c r="N111" i="6"/>
  <c r="N103" i="6"/>
  <c r="N99" i="6"/>
  <c r="O136" i="6"/>
  <c r="K71" i="6"/>
  <c r="P71" i="6"/>
  <c r="I72" i="6"/>
  <c r="N72" i="6"/>
  <c r="D79" i="6"/>
  <c r="J81" i="6"/>
  <c r="I81" i="6"/>
  <c r="L81" i="6"/>
  <c r="Q81" i="6"/>
  <c r="N82" i="6"/>
  <c r="D82" i="6"/>
  <c r="K82" i="6"/>
  <c r="I84" i="6"/>
  <c r="N84" i="6"/>
  <c r="I86" i="6"/>
  <c r="I92" i="6"/>
  <c r="J92" i="6"/>
  <c r="L92" i="6"/>
  <c r="N93" i="6"/>
  <c r="H97" i="6"/>
  <c r="L97" i="6"/>
  <c r="K97" i="6"/>
  <c r="M97" i="6"/>
  <c r="Q97" i="6"/>
  <c r="H103" i="6"/>
  <c r="L103" i="6"/>
  <c r="P104" i="6"/>
  <c r="D107" i="6"/>
  <c r="I109" i="6"/>
  <c r="J109" i="6"/>
  <c r="L109" i="6"/>
  <c r="I110" i="6"/>
  <c r="J110" i="6"/>
  <c r="L110" i="6"/>
  <c r="N110" i="6"/>
  <c r="D85" i="6"/>
  <c r="I85" i="6"/>
  <c r="C248" i="6"/>
  <c r="H72" i="6"/>
  <c r="K72" i="6"/>
  <c r="P75" i="6"/>
  <c r="K75" i="6"/>
  <c r="D78" i="6"/>
  <c r="N78" i="6"/>
  <c r="H84" i="6"/>
  <c r="L84" i="6"/>
  <c r="Q84" i="6"/>
  <c r="K84" i="6"/>
  <c r="K85" i="6"/>
  <c r="H86" i="6"/>
  <c r="L86" i="6"/>
  <c r="Q86" i="6"/>
  <c r="K86" i="6"/>
  <c r="P89" i="6"/>
  <c r="M92" i="6"/>
  <c r="K92" i="6"/>
  <c r="M93" i="6"/>
  <c r="K103" i="6"/>
  <c r="M109" i="6"/>
  <c r="M110" i="6"/>
  <c r="I101" i="6"/>
  <c r="K109" i="6"/>
  <c r="Q130" i="6"/>
  <c r="AF11" i="12"/>
  <c r="P138" i="6"/>
  <c r="P134" i="6"/>
  <c r="E46" i="23"/>
  <c r="M67" i="23"/>
  <c r="M68" i="23"/>
  <c r="D49" i="24"/>
  <c r="M179" i="29"/>
  <c r="M19" i="29"/>
  <c r="H46" i="23"/>
  <c r="M69" i="23"/>
  <c r="M70" i="23"/>
  <c r="E40" i="24"/>
  <c r="M176" i="29"/>
  <c r="M18" i="29"/>
  <c r="G236" i="8"/>
  <c r="M164" i="29"/>
  <c r="M11" i="29"/>
  <c r="Q110" i="6"/>
  <c r="J95" i="6"/>
  <c r="M95" i="6"/>
  <c r="H95" i="6"/>
  <c r="I95" i="6"/>
  <c r="L95" i="6"/>
  <c r="H76" i="6"/>
  <c r="I76" i="6"/>
  <c r="J76" i="6"/>
  <c r="L76" i="6"/>
  <c r="K76" i="6"/>
  <c r="M76" i="6"/>
  <c r="Q76" i="6"/>
  <c r="K95" i="6"/>
  <c r="M83" i="6"/>
  <c r="J83" i="6"/>
  <c r="H83" i="6"/>
  <c r="L72" i="6"/>
  <c r="Q72" i="6"/>
  <c r="J85" i="6"/>
  <c r="M85" i="6"/>
  <c r="H85" i="6"/>
  <c r="L85" i="6"/>
  <c r="M107" i="6"/>
  <c r="H107" i="6"/>
  <c r="I107" i="6"/>
  <c r="J107" i="6"/>
  <c r="M74" i="6"/>
  <c r="J74" i="6"/>
  <c r="H74" i="6"/>
  <c r="K74" i="6"/>
  <c r="I74" i="6"/>
  <c r="J104" i="6"/>
  <c r="H104" i="6"/>
  <c r="M104" i="6"/>
  <c r="Q98" i="6"/>
  <c r="Q88" i="6"/>
  <c r="L80" i="6"/>
  <c r="Q92" i="6"/>
  <c r="J78" i="6"/>
  <c r="M78" i="6"/>
  <c r="H78" i="6"/>
  <c r="J111" i="6"/>
  <c r="H111" i="6"/>
  <c r="K111" i="6"/>
  <c r="M111" i="6"/>
  <c r="Q103" i="6"/>
  <c r="M100" i="6"/>
  <c r="H100" i="6"/>
  <c r="I100" i="6"/>
  <c r="J100" i="6"/>
  <c r="L100" i="6"/>
  <c r="H87" i="6"/>
  <c r="M87" i="6"/>
  <c r="K87" i="6"/>
  <c r="J87" i="6"/>
  <c r="Q96" i="6"/>
  <c r="Q93" i="6"/>
  <c r="M82" i="6"/>
  <c r="J82" i="6"/>
  <c r="I82" i="6"/>
  <c r="H82" i="6"/>
  <c r="L82" i="6"/>
  <c r="J79" i="6"/>
  <c r="M79" i="6"/>
  <c r="I79" i="6"/>
  <c r="H79" i="6"/>
  <c r="L79" i="6"/>
  <c r="H106" i="6"/>
  <c r="M106" i="6"/>
  <c r="J106" i="6"/>
  <c r="I106" i="6"/>
  <c r="K106" i="6"/>
  <c r="K79" i="6"/>
  <c r="H101" i="6"/>
  <c r="M101" i="6"/>
  <c r="J101" i="6"/>
  <c r="L91" i="6"/>
  <c r="Q91" i="6"/>
  <c r="J89" i="6"/>
  <c r="M89" i="6"/>
  <c r="H89" i="6"/>
  <c r="L89" i="6"/>
  <c r="Q89" i="6"/>
  <c r="M90" i="6"/>
  <c r="H90" i="6"/>
  <c r="I90" i="6"/>
  <c r="J90" i="6"/>
  <c r="I78" i="6"/>
  <c r="O129" i="6"/>
  <c r="P129" i="6"/>
  <c r="H102" i="6"/>
  <c r="I102" i="6"/>
  <c r="J102" i="6"/>
  <c r="L102" i="6"/>
  <c r="M102" i="6"/>
  <c r="Q102" i="6"/>
  <c r="Q109" i="6"/>
  <c r="K89" i="6"/>
  <c r="K104" i="6"/>
  <c r="I111" i="6"/>
  <c r="K107" i="6"/>
  <c r="K101" i="6"/>
  <c r="K78" i="6"/>
  <c r="L75" i="6"/>
  <c r="Q75" i="6"/>
  <c r="L71" i="6"/>
  <c r="Q71" i="6"/>
  <c r="I104" i="6"/>
  <c r="J94" i="6"/>
  <c r="H94" i="6"/>
  <c r="L94" i="6"/>
  <c r="K94" i="6"/>
  <c r="M94" i="6"/>
  <c r="Q73" i="6"/>
  <c r="J70" i="6"/>
  <c r="M70" i="6"/>
  <c r="H70" i="6"/>
  <c r="K70" i="6"/>
  <c r="L108" i="6"/>
  <c r="Q108" i="6"/>
  <c r="K90" i="6"/>
  <c r="Q80" i="6"/>
  <c r="M17" i="29"/>
  <c r="L101" i="6"/>
  <c r="Q101" i="6"/>
  <c r="L87" i="6"/>
  <c r="Q87" i="6"/>
  <c r="Q100" i="6"/>
  <c r="L111" i="6"/>
  <c r="Q111" i="6"/>
  <c r="Q85" i="6"/>
  <c r="L83" i="6"/>
  <c r="Q95" i="6"/>
  <c r="L70" i="6"/>
  <c r="Q94" i="6"/>
  <c r="L106" i="6"/>
  <c r="Q106" i="6"/>
  <c r="Q79" i="6"/>
  <c r="L107" i="6"/>
  <c r="Q107" i="6"/>
  <c r="Q70" i="6"/>
  <c r="L90" i="6"/>
  <c r="Q90" i="6"/>
  <c r="Q82" i="6"/>
  <c r="L78" i="6"/>
  <c r="Q78" i="6"/>
  <c r="L104" i="6"/>
  <c r="Q104" i="6"/>
  <c r="L74" i="6"/>
  <c r="Q74" i="6"/>
  <c r="Q83" i="6"/>
  <c r="M74" i="23"/>
  <c r="D58" i="24"/>
  <c r="M165" i="29"/>
  <c r="M14" i="29"/>
  <c r="M73" i="23"/>
  <c r="D71" i="24"/>
  <c r="D256" i="6"/>
  <c r="D257" i="6"/>
  <c r="D258" i="6"/>
  <c r="D259" i="6"/>
  <c r="D267" i="6"/>
  <c r="E257" i="6"/>
  <c r="E258" i="6"/>
  <c r="E259" i="6"/>
  <c r="E267" i="6"/>
  <c r="E256" i="6"/>
  <c r="N159" i="9"/>
  <c r="E218" i="6"/>
  <c r="M128" i="29"/>
  <c r="M162" i="29"/>
  <c r="M13" i="29"/>
  <c r="M12" i="29"/>
  <c r="G240" i="8"/>
  <c r="M161" i="29"/>
  <c r="M10" i="29"/>
  <c r="M9" i="29"/>
  <c r="E215" i="6"/>
  <c r="D216" i="6"/>
  <c r="D176" i="21"/>
  <c r="D177" i="21"/>
  <c r="I176" i="21"/>
  <c r="I177" i="21"/>
  <c r="F176" i="21"/>
  <c r="F177" i="21"/>
  <c r="C167" i="21"/>
  <c r="E167" i="21"/>
  <c r="E168" i="21"/>
  <c r="K118" i="29"/>
  <c r="M62" i="20"/>
  <c r="D201" i="6"/>
  <c r="F194" i="21"/>
  <c r="F195" i="21"/>
  <c r="H167" i="21"/>
  <c r="H168" i="21"/>
  <c r="F167" i="21"/>
  <c r="F168" i="21"/>
  <c r="C176" i="21"/>
  <c r="D167" i="21"/>
  <c r="D168" i="21"/>
  <c r="M138" i="29"/>
  <c r="M139" i="29"/>
  <c r="C185" i="21"/>
  <c r="C186" i="21"/>
  <c r="D185" i="21"/>
  <c r="D186" i="21"/>
  <c r="E185" i="21"/>
  <c r="E186" i="21"/>
  <c r="I185" i="21"/>
  <c r="I186" i="21"/>
  <c r="C216" i="6"/>
  <c r="E216" i="6"/>
  <c r="C217" i="6"/>
  <c r="E217" i="6"/>
  <c r="M157" i="29"/>
  <c r="M180" i="29"/>
  <c r="M23" i="29"/>
  <c r="G264" i="8"/>
  <c r="M177" i="29"/>
  <c r="M22" i="29"/>
  <c r="M135" i="29"/>
  <c r="C177" i="21"/>
  <c r="C168" i="21"/>
  <c r="M8" i="29"/>
  <c r="G234" i="8"/>
  <c r="G242" i="8"/>
  <c r="G241" i="8"/>
  <c r="M21" i="29"/>
  <c r="M16" i="29"/>
  <c r="L27" i="26"/>
  <c r="L111" i="26"/>
  <c r="L50" i="26"/>
  <c r="L80" i="26"/>
  <c r="I194" i="21"/>
  <c r="I195" i="21"/>
  <c r="G194" i="21"/>
  <c r="G195" i="21"/>
  <c r="H194" i="21"/>
  <c r="H195" i="21"/>
  <c r="C194" i="21"/>
  <c r="C195" i="21"/>
  <c r="D194" i="21"/>
  <c r="D195" i="21"/>
  <c r="N164" i="9"/>
  <c r="N165" i="9"/>
  <c r="M280" i="9"/>
  <c r="C169" i="10"/>
  <c r="M324" i="9"/>
  <c r="M270" i="9"/>
  <c r="M269" i="9"/>
  <c r="R339" i="10"/>
  <c r="N339" i="10"/>
  <c r="J339" i="10"/>
  <c r="F339" i="10"/>
  <c r="B339" i="10"/>
  <c r="M218" i="9"/>
  <c r="M14" i="20"/>
  <c r="H22" i="25"/>
  <c r="M135" i="9"/>
  <c r="M139" i="9"/>
  <c r="M274" i="9"/>
  <c r="M275" i="9"/>
  <c r="N153" i="9"/>
  <c r="M153" i="9"/>
  <c r="N156" i="9"/>
  <c r="M156" i="9"/>
  <c r="L56" i="9"/>
  <c r="J288" i="8"/>
  <c r="M272" i="9"/>
  <c r="N155" i="9"/>
  <c r="M155" i="9"/>
  <c r="N154" i="9"/>
  <c r="M154" i="9"/>
  <c r="M271" i="9"/>
  <c r="M48" i="28"/>
  <c r="J284" i="8"/>
  <c r="M301" i="9"/>
  <c r="M302" i="9"/>
  <c r="N15" i="33"/>
  <c r="K107" i="8"/>
  <c r="M161" i="20"/>
  <c r="M263" i="20"/>
  <c r="N196" i="9"/>
  <c r="N197" i="9"/>
  <c r="N201" i="9"/>
  <c r="M12" i="20"/>
  <c r="M165" i="20"/>
  <c r="M164" i="20"/>
  <c r="M57" i="28"/>
  <c r="M61" i="28"/>
  <c r="N214" i="9"/>
  <c r="M214" i="9"/>
  <c r="M166" i="20"/>
  <c r="M169" i="20"/>
  <c r="M201" i="9"/>
  <c r="N189" i="9"/>
  <c r="M167" i="20"/>
  <c r="M200" i="9"/>
  <c r="F179" i="13"/>
  <c r="F184" i="13"/>
  <c r="F68" i="4"/>
  <c r="F71" i="4"/>
  <c r="F69" i="4"/>
  <c r="F70" i="4"/>
  <c r="F72" i="4"/>
  <c r="E160" i="13"/>
  <c r="E161" i="13"/>
  <c r="M41" i="20"/>
  <c r="M38" i="20"/>
  <c r="M28" i="20"/>
  <c r="M29" i="20"/>
  <c r="M33" i="20" a="1"/>
  <c r="M33" i="20"/>
  <c r="L203" i="9"/>
  <c r="J291" i="8"/>
  <c r="M202" i="9"/>
  <c r="M53" i="28"/>
  <c r="J285" i="8"/>
  <c r="AN41" i="9"/>
  <c r="E66" i="4"/>
  <c r="E69" i="4"/>
  <c r="M46" i="29"/>
  <c r="M47" i="29"/>
  <c r="M48" i="29"/>
  <c r="M178" i="10"/>
  <c r="M164" i="10"/>
  <c r="M310" i="9"/>
  <c r="N202" i="9"/>
  <c r="J281" i="8"/>
  <c r="M15" i="6"/>
  <c r="M33" i="33"/>
  <c r="M177" i="10"/>
  <c r="L49" i="9"/>
  <c r="J287" i="8"/>
  <c r="K287" i="8"/>
  <c r="D65" i="4"/>
  <c r="D66" i="4"/>
  <c r="D72" i="4"/>
  <c r="M176" i="10"/>
  <c r="M304" i="9"/>
  <c r="N199" i="9"/>
  <c r="M311" i="9"/>
  <c r="M305" i="9"/>
  <c r="G66" i="4"/>
  <c r="F180" i="13"/>
  <c r="F181" i="13"/>
  <c r="F186" i="13"/>
  <c r="R48" i="33"/>
  <c r="M141" i="29"/>
  <c r="M52" i="33"/>
  <c r="M142" i="29"/>
  <c r="N113" i="9"/>
  <c r="N114" i="9"/>
  <c r="N67" i="13"/>
  <c r="N72" i="13"/>
  <c r="N64" i="9"/>
  <c r="E165" i="13"/>
  <c r="E166" i="13"/>
  <c r="L66" i="9"/>
  <c r="J290" i="8"/>
  <c r="C170" i="10"/>
  <c r="M37" i="33"/>
  <c r="G81" i="33"/>
  <c r="G79" i="33"/>
  <c r="M58" i="33"/>
  <c r="M45" i="9"/>
  <c r="N139" i="9"/>
  <c r="N140" i="9"/>
  <c r="AN40" i="9"/>
  <c r="H21" i="25"/>
  <c r="M309" i="9"/>
  <c r="N200" i="9"/>
  <c r="N169" i="9"/>
  <c r="N170" i="9"/>
  <c r="N168" i="9"/>
  <c r="N167" i="9"/>
  <c r="M15" i="20"/>
  <c r="M32" i="20"/>
  <c r="R314" i="20"/>
  <c r="R312" i="20"/>
  <c r="F227" i="13"/>
  <c r="M60" i="28"/>
  <c r="E145" i="13"/>
  <c r="E146" i="13"/>
  <c r="M62" i="28"/>
  <c r="M140" i="9"/>
  <c r="N138" i="9"/>
  <c r="M138" i="9"/>
  <c r="M219" i="9"/>
  <c r="D68" i="4"/>
  <c r="N75" i="8"/>
  <c r="F182" i="13"/>
  <c r="F187" i="13"/>
  <c r="F185" i="13"/>
  <c r="M191" i="20"/>
  <c r="M192" i="20"/>
  <c r="M203" i="20"/>
  <c r="M244" i="20"/>
  <c r="M183" i="10"/>
  <c r="I168" i="10"/>
  <c r="D70" i="4"/>
  <c r="E70" i="4"/>
  <c r="D69" i="4"/>
  <c r="AM45" i="9"/>
  <c r="N47" i="9"/>
  <c r="M94" i="4"/>
  <c r="M9" i="4"/>
  <c r="G258" i="8"/>
  <c r="G266" i="8"/>
  <c r="M317" i="10"/>
  <c r="F73" i="4"/>
  <c r="M43" i="20"/>
  <c r="M42" i="20"/>
  <c r="F163" i="13"/>
  <c r="F162" i="13"/>
  <c r="G72" i="4"/>
  <c r="G71" i="4"/>
  <c r="G69" i="4"/>
  <c r="G70" i="4"/>
  <c r="G68" i="4"/>
  <c r="E71" i="4"/>
  <c r="E68" i="4"/>
  <c r="E72" i="4"/>
  <c r="F158" i="13"/>
  <c r="F157" i="13"/>
  <c r="D71" i="4"/>
  <c r="T161" i="33"/>
  <c r="M40" i="33"/>
  <c r="F167" i="13"/>
  <c r="F168" i="13"/>
  <c r="N116" i="9"/>
  <c r="N117" i="9"/>
  <c r="N118" i="9"/>
  <c r="N119" i="9"/>
  <c r="F222" i="13"/>
  <c r="F223" i="13"/>
  <c r="E37" i="12"/>
  <c r="E38" i="12"/>
  <c r="F251" i="13"/>
  <c r="F265" i="13"/>
  <c r="L14" i="25"/>
  <c r="F203" i="13"/>
  <c r="F202" i="13"/>
  <c r="F198" i="13"/>
  <c r="F197" i="13"/>
  <c r="M20" i="29"/>
  <c r="G237" i="8"/>
  <c r="G235" i="8"/>
  <c r="L314" i="20"/>
  <c r="L312" i="20"/>
  <c r="M169" i="9"/>
  <c r="M170" i="9"/>
  <c r="M283" i="9"/>
  <c r="M281" i="9"/>
  <c r="M282" i="9"/>
  <c r="M290" i="9"/>
  <c r="M284" i="9"/>
  <c r="M288" i="9"/>
  <c r="M289" i="9"/>
  <c r="M168" i="9"/>
  <c r="F228" i="13"/>
  <c r="D97" i="20"/>
  <c r="D95" i="20"/>
  <c r="J97" i="20"/>
  <c r="J95" i="20"/>
  <c r="L338" i="20"/>
  <c r="L336" i="20"/>
  <c r="D118" i="20"/>
  <c r="D116" i="20"/>
  <c r="M65" i="28"/>
  <c r="E73" i="4"/>
  <c r="M204" i="20"/>
  <c r="M245" i="20"/>
  <c r="G201" i="8"/>
  <c r="C38" i="8"/>
  <c r="H81" i="33"/>
  <c r="H79" i="33"/>
  <c r="M195" i="20"/>
  <c r="M236" i="20"/>
  <c r="M199" i="20"/>
  <c r="M240" i="20"/>
  <c r="M200" i="20"/>
  <c r="M241" i="20"/>
  <c r="M205" i="20"/>
  <c r="M246" i="20"/>
  <c r="M47" i="9"/>
  <c r="D73" i="4"/>
  <c r="M202" i="20"/>
  <c r="M243" i="20"/>
  <c r="M194" i="20"/>
  <c r="M235" i="20"/>
  <c r="G73" i="4"/>
  <c r="I72" i="33"/>
  <c r="I70" i="33"/>
  <c r="M196" i="20"/>
  <c r="M237" i="20"/>
  <c r="M197" i="20"/>
  <c r="M238" i="20"/>
  <c r="M198" i="20"/>
  <c r="M239" i="20"/>
  <c r="M201" i="20"/>
  <c r="M242" i="20"/>
  <c r="F148" i="13"/>
  <c r="F147" i="13"/>
  <c r="R168" i="10"/>
  <c r="N15" i="12"/>
  <c r="M44" i="20"/>
  <c r="G251" i="13"/>
  <c r="E35" i="12"/>
  <c r="M257" i="9"/>
  <c r="M252" i="9"/>
  <c r="M118" i="9"/>
  <c r="M259" i="9"/>
  <c r="M258" i="9"/>
  <c r="M251" i="9"/>
  <c r="M119" i="9"/>
  <c r="M253" i="9"/>
  <c r="M117" i="9"/>
  <c r="I81" i="33"/>
  <c r="I79" i="33"/>
  <c r="H251" i="13"/>
  <c r="H265" i="13"/>
  <c r="E29" i="12"/>
  <c r="N14" i="12"/>
  <c r="M249" i="9"/>
  <c r="M250" i="9"/>
  <c r="H72" i="33"/>
  <c r="H70" i="33"/>
  <c r="I251" i="13"/>
  <c r="I265" i="13"/>
  <c r="N182" i="9"/>
  <c r="N85" i="9"/>
  <c r="N83" i="9"/>
  <c r="N84" i="9"/>
  <c r="M182" i="9"/>
  <c r="H19" i="25"/>
  <c r="G233" i="13"/>
  <c r="G238" i="13"/>
  <c r="M85" i="9"/>
  <c r="M83" i="9"/>
  <c r="M84" i="9"/>
  <c r="H15" i="25"/>
  <c r="F232" i="13"/>
  <c r="F218" i="13"/>
  <c r="F217" i="13"/>
  <c r="M95" i="4"/>
  <c r="M10" i="4"/>
  <c r="G259" i="8"/>
  <c r="G268" i="8"/>
  <c r="M249" i="20"/>
  <c r="M207" i="20"/>
  <c r="M251" i="20"/>
  <c r="M253" i="20"/>
  <c r="H27" i="25"/>
  <c r="H25" i="25"/>
  <c r="P164" i="10"/>
  <c r="R338" i="20"/>
  <c r="R336" i="20"/>
  <c r="J118" i="20"/>
  <c r="J116" i="20"/>
  <c r="M45" i="20"/>
  <c r="M274" i="20"/>
  <c r="N16" i="33"/>
  <c r="M16" i="33"/>
  <c r="N17" i="33"/>
  <c r="M61" i="33"/>
  <c r="M35" i="12"/>
  <c r="N12" i="12"/>
  <c r="M15" i="12"/>
  <c r="M14" i="12"/>
  <c r="M55" i="33"/>
  <c r="N17" i="12"/>
  <c r="M17" i="12"/>
  <c r="N16" i="12"/>
  <c r="M16" i="12"/>
  <c r="N18" i="12"/>
  <c r="M18" i="12"/>
  <c r="E36" i="12"/>
  <c r="M60" i="33"/>
  <c r="G265" i="13"/>
  <c r="C17" i="12"/>
  <c r="N13" i="12"/>
  <c r="M62" i="33"/>
  <c r="G235" i="13"/>
  <c r="G232" i="13"/>
  <c r="G237" i="13"/>
  <c r="F233" i="13"/>
  <c r="G202" i="8"/>
  <c r="C20" i="8"/>
  <c r="M259" i="20"/>
  <c r="M268" i="20"/>
  <c r="M278" i="20"/>
  <c r="M282" i="20"/>
  <c r="M29" i="12"/>
  <c r="M59" i="33"/>
  <c r="M34" i="12"/>
  <c r="M56" i="33"/>
  <c r="M30" i="12"/>
  <c r="R32" i="33"/>
  <c r="M17" i="33"/>
  <c r="M13" i="12"/>
  <c r="M54" i="33"/>
  <c r="M12" i="12"/>
  <c r="N19" i="12"/>
  <c r="M318" i="10"/>
  <c r="M316" i="10"/>
  <c r="N108" i="9"/>
  <c r="N107" i="9"/>
  <c r="M127" i="13"/>
  <c r="N11" i="13"/>
  <c r="N82" i="13"/>
  <c r="N276" i="10"/>
  <c r="M31" i="12"/>
  <c r="M32" i="12"/>
  <c r="U249" i="33"/>
  <c r="U177" i="33"/>
  <c r="U179" i="33"/>
  <c r="U208" i="33"/>
  <c r="U219" i="33"/>
  <c r="U248" i="33"/>
  <c r="U214" i="33"/>
  <c r="U243" i="33"/>
  <c r="U245" i="33"/>
  <c r="U203" i="33"/>
  <c r="U189" i="33"/>
  <c r="U246" i="33"/>
  <c r="U182" i="33"/>
  <c r="U190" i="33"/>
  <c r="U209" i="33"/>
  <c r="U247" i="33"/>
  <c r="U236" i="33"/>
  <c r="U213" i="33"/>
  <c r="U178" i="33"/>
  <c r="T163" i="33"/>
  <c r="U193" i="33"/>
  <c r="U186" i="33"/>
  <c r="U228" i="33"/>
  <c r="U225" i="33"/>
  <c r="U217" i="33"/>
  <c r="U197" i="33"/>
  <c r="U205" i="33"/>
  <c r="U223" i="33"/>
  <c r="U210" i="33"/>
  <c r="U202" i="33"/>
  <c r="U220" i="33"/>
  <c r="U238" i="33"/>
  <c r="U172" i="33"/>
  <c r="U211" i="33"/>
  <c r="U242" i="33"/>
  <c r="U180" i="33"/>
  <c r="U187" i="33"/>
  <c r="U227" i="33"/>
  <c r="U229" i="33"/>
  <c r="U181" i="33"/>
  <c r="U221" i="33"/>
  <c r="U244" i="33"/>
  <c r="U171" i="33"/>
  <c r="U196" i="33"/>
  <c r="U200" i="33"/>
  <c r="U215" i="33"/>
  <c r="U198" i="33"/>
  <c r="U235" i="33"/>
  <c r="U222" i="33"/>
  <c r="U195" i="33"/>
  <c r="U183" i="33"/>
  <c r="U233" i="33"/>
  <c r="U176" i="33"/>
  <c r="U191" i="33"/>
  <c r="U194" i="33"/>
  <c r="U216" i="33"/>
  <c r="U174" i="33"/>
  <c r="U201" i="33"/>
  <c r="U185" i="33"/>
  <c r="U199" i="33"/>
  <c r="U234" i="33"/>
  <c r="U184" i="33"/>
  <c r="U239" i="33"/>
  <c r="U170" i="33"/>
  <c r="T164" i="33"/>
  <c r="U175" i="33"/>
  <c r="U212" i="33"/>
  <c r="U192" i="33"/>
  <c r="U230" i="33"/>
  <c r="U173" i="33"/>
  <c r="U188" i="33"/>
  <c r="U204" i="33"/>
  <c r="U237" i="33"/>
  <c r="U224" i="33"/>
  <c r="U206" i="33"/>
  <c r="U240" i="33"/>
  <c r="U241" i="33"/>
  <c r="U232" i="33"/>
  <c r="U226" i="33"/>
  <c r="U207" i="33"/>
  <c r="U218" i="33"/>
  <c r="U231" i="33"/>
  <c r="M33" i="12"/>
  <c r="K33" i="12"/>
  <c r="M53" i="33"/>
  <c r="M50" i="33"/>
  <c r="F81" i="33"/>
  <c r="K32" i="12"/>
  <c r="M36" i="12"/>
  <c r="M250" i="10"/>
  <c r="N281" i="10"/>
  <c r="N283" i="10"/>
  <c r="N277" i="10"/>
  <c r="N288" i="10"/>
  <c r="M19" i="12"/>
  <c r="N77" i="13"/>
  <c r="K34" i="12"/>
  <c r="N101" i="9"/>
  <c r="N102" i="9"/>
  <c r="N97" i="10"/>
  <c r="F72" i="33"/>
  <c r="F70" i="33"/>
  <c r="M102" i="9"/>
  <c r="M101" i="9"/>
  <c r="N290" i="10"/>
  <c r="F213" i="13"/>
  <c r="F212" i="13"/>
  <c r="H268" i="10"/>
  <c r="F252" i="13"/>
  <c r="F266" i="13"/>
  <c r="L24" i="25"/>
  <c r="L51" i="25"/>
  <c r="E235" i="13"/>
  <c r="F235" i="13"/>
  <c r="K24" i="25"/>
  <c r="K51" i="25"/>
  <c r="F79" i="33"/>
  <c r="H34" i="25"/>
  <c r="H33" i="25"/>
  <c r="I258" i="10"/>
  <c r="N100" i="9"/>
  <c r="F170" i="13"/>
  <c r="M100" i="9"/>
  <c r="G252" i="13"/>
  <c r="G266" i="13"/>
  <c r="AC36" i="12"/>
  <c r="AD34" i="12"/>
  <c r="AA27" i="12"/>
  <c r="AC31" i="12"/>
  <c r="AC35" i="12"/>
  <c r="F138" i="13"/>
  <c r="F137" i="13"/>
  <c r="F208" i="13"/>
  <c r="F207" i="13"/>
  <c r="F250" i="13"/>
  <c r="F264" i="13"/>
  <c r="F152" i="13"/>
  <c r="H249" i="13"/>
  <c r="H263" i="13"/>
  <c r="F153" i="13"/>
  <c r="I249" i="13"/>
  <c r="I263" i="13"/>
  <c r="G249" i="13"/>
  <c r="G263" i="13"/>
  <c r="F249" i="13"/>
  <c r="F263" i="13"/>
  <c r="J45" i="25"/>
  <c r="H16" i="25"/>
  <c r="S198" i="10"/>
  <c r="I252" i="13"/>
  <c r="I266" i="13"/>
  <c r="F238" i="13"/>
  <c r="I250" i="13"/>
  <c r="I264" i="13"/>
  <c r="AC32" i="12"/>
  <c r="AC33" i="12"/>
  <c r="F172" i="13"/>
  <c r="M16" i="13"/>
  <c r="G250" i="13"/>
  <c r="G264" i="13"/>
  <c r="H252" i="13"/>
  <c r="H266" i="13"/>
  <c r="F237" i="13"/>
  <c r="H250" i="13"/>
  <c r="H264" i="13"/>
  <c r="G193" i="8"/>
  <c r="C37" i="8"/>
  <c r="G198" i="8"/>
  <c r="C14" i="8"/>
  <c r="G205" i="8"/>
  <c r="C19" i="8"/>
  <c r="E79" i="14"/>
  <c r="K109" i="8"/>
  <c r="I109" i="8"/>
  <c r="J282" i="8"/>
  <c r="G197" i="8"/>
  <c r="C34" i="8"/>
  <c r="G194" i="8"/>
  <c r="C18" i="8"/>
  <c r="F173" i="13"/>
  <c r="K30" i="12"/>
  <c r="K31" i="12"/>
  <c r="J40" i="12"/>
  <c r="J286" i="8"/>
  <c r="AC34" i="12"/>
  <c r="G59" i="25"/>
  <c r="E104" i="14"/>
  <c r="E141" i="13"/>
  <c r="N16" i="13"/>
  <c r="M202" i="10"/>
  <c r="R206" i="10"/>
  <c r="E203" i="10"/>
  <c r="U16" i="12"/>
  <c r="P13" i="12"/>
  <c r="T10" i="12"/>
  <c r="H32" i="25"/>
  <c r="H29" i="25"/>
  <c r="R210" i="10"/>
  <c r="T15" i="12"/>
  <c r="T13" i="12"/>
  <c r="T14" i="12"/>
  <c r="T12" i="12"/>
  <c r="T11" i="12"/>
  <c r="P197" i="10"/>
  <c r="I201" i="10"/>
  <c r="E140" i="13"/>
  <c r="E171" i="13"/>
  <c r="G246" i="13"/>
  <c r="G248" i="13"/>
  <c r="G262" i="13"/>
  <c r="G201" i="10"/>
  <c r="N79" i="10"/>
  <c r="T16" i="12"/>
  <c r="G260" i="13"/>
  <c r="G268" i="13"/>
  <c r="G254" i="13"/>
  <c r="AC20" i="12"/>
  <c r="AC19" i="12"/>
  <c r="F248" i="13"/>
  <c r="F262" i="13"/>
  <c r="J24" i="25"/>
  <c r="E170" i="13"/>
  <c r="F246" i="13"/>
  <c r="N80" i="10"/>
  <c r="AC11" i="12"/>
  <c r="C275" i="6"/>
  <c r="AP19" i="12"/>
  <c r="J297" i="8"/>
  <c r="H246" i="13"/>
  <c r="H248" i="13"/>
  <c r="H262" i="13"/>
  <c r="I246" i="13"/>
  <c r="I248" i="13"/>
  <c r="I262" i="13"/>
  <c r="J51" i="25"/>
  <c r="V36" i="12"/>
  <c r="F260" i="13"/>
  <c r="F268" i="13"/>
  <c r="F254" i="13"/>
  <c r="AC10" i="12"/>
  <c r="AC16" i="12"/>
  <c r="AC15" i="12"/>
  <c r="AC14" i="12"/>
  <c r="AC13" i="12"/>
  <c r="AC12" i="12"/>
  <c r="AE11" i="12"/>
  <c r="C278" i="6"/>
  <c r="AE13" i="12"/>
  <c r="C273" i="6"/>
  <c r="AC17" i="12"/>
  <c r="AE10" i="12"/>
  <c r="C304" i="6"/>
  <c r="M372" i="20"/>
  <c r="M143" i="20"/>
  <c r="D275" i="6"/>
  <c r="N11" i="23"/>
  <c r="N12" i="23"/>
  <c r="N13" i="23"/>
  <c r="E81" i="14"/>
  <c r="C279" i="6"/>
  <c r="AE14" i="12"/>
  <c r="AP28" i="12"/>
  <c r="J298" i="8"/>
  <c r="D304" i="10"/>
  <c r="C280" i="6"/>
  <c r="AE15" i="12"/>
  <c r="H260" i="13"/>
  <c r="H268" i="13"/>
  <c r="H254" i="13"/>
  <c r="I260" i="13"/>
  <c r="I268" i="13"/>
  <c r="I254" i="13"/>
  <c r="C277" i="6"/>
  <c r="AE12" i="12"/>
  <c r="C283" i="6"/>
  <c r="AE16" i="12"/>
  <c r="N20" i="23"/>
  <c r="AL29" i="12"/>
  <c r="G61" i="25"/>
  <c r="E95" i="14"/>
  <c r="E106" i="14"/>
  <c r="C306" i="6"/>
  <c r="M374" i="20"/>
  <c r="D277" i="6"/>
  <c r="M145" i="20"/>
  <c r="E304" i="10"/>
  <c r="B296" i="6"/>
  <c r="C302" i="6"/>
  <c r="C285" i="6"/>
  <c r="B294" i="6"/>
  <c r="M370" i="20"/>
  <c r="D273" i="6"/>
  <c r="B289" i="6"/>
  <c r="M141" i="20"/>
  <c r="D279" i="6"/>
  <c r="M376" i="20"/>
  <c r="M147" i="20"/>
  <c r="C308" i="6"/>
  <c r="C312" i="6"/>
  <c r="D283" i="6"/>
  <c r="M151" i="20"/>
  <c r="M380" i="20"/>
  <c r="M148" i="20"/>
  <c r="D280" i="6"/>
  <c r="C309" i="6"/>
  <c r="M377" i="20"/>
  <c r="AE17" i="12"/>
  <c r="AC18" i="12"/>
  <c r="M146" i="20"/>
  <c r="D278" i="6"/>
  <c r="M375" i="20"/>
  <c r="C307" i="6"/>
  <c r="N131" i="9"/>
  <c r="M131" i="9"/>
  <c r="F304" i="10"/>
  <c r="M81" i="23"/>
  <c r="H50" i="25"/>
  <c r="H49" i="25"/>
  <c r="D285" i="6"/>
  <c r="C294" i="6"/>
  <c r="C296" i="6"/>
  <c r="C289" i="6"/>
  <c r="E312" i="6"/>
  <c r="D303" i="6"/>
  <c r="D313" i="6"/>
  <c r="D309" i="6"/>
  <c r="D305" i="6"/>
  <c r="E307" i="6"/>
  <c r="E313" i="6"/>
  <c r="D307" i="6"/>
  <c r="E306" i="6"/>
  <c r="D302" i="6"/>
  <c r="E309" i="6"/>
  <c r="D306" i="6"/>
  <c r="D311" i="6"/>
  <c r="E303" i="6"/>
  <c r="D308" i="6"/>
  <c r="E305" i="6"/>
  <c r="E304" i="6"/>
  <c r="E308" i="6"/>
  <c r="D310" i="6"/>
  <c r="E302" i="6"/>
  <c r="D304" i="6"/>
  <c r="E310" i="6"/>
  <c r="D312" i="6"/>
  <c r="E311" i="6"/>
  <c r="M386" i="20"/>
  <c r="M384" i="20"/>
  <c r="M382" i="20"/>
  <c r="B297" i="6"/>
  <c r="M155" i="20"/>
  <c r="M153" i="20"/>
  <c r="M157" i="20"/>
  <c r="B295" i="6"/>
  <c r="H127" i="21"/>
  <c r="J127" i="21"/>
  <c r="G127" i="21"/>
  <c r="I127" i="21"/>
  <c r="M365" i="20"/>
  <c r="M367" i="20"/>
  <c r="H17" i="25"/>
  <c r="H14" i="25"/>
  <c r="M178" i="20"/>
  <c r="M217" i="20"/>
  <c r="M397" i="20"/>
  <c r="M418" i="20"/>
  <c r="M451" i="20"/>
  <c r="M262" i="20"/>
  <c r="M158" i="20"/>
  <c r="M403" i="20"/>
  <c r="M424" i="20"/>
  <c r="M457" i="20"/>
  <c r="M184" i="20"/>
  <c r="M223" i="20"/>
  <c r="M180" i="20"/>
  <c r="M219" i="20"/>
  <c r="M399" i="20"/>
  <c r="M420" i="20"/>
  <c r="M453" i="20"/>
  <c r="M404" i="20"/>
  <c r="M425" i="20"/>
  <c r="M458" i="20"/>
  <c r="M185" i="20"/>
  <c r="M224" i="20"/>
  <c r="C297" i="6"/>
  <c r="M174" i="20"/>
  <c r="M393" i="20"/>
  <c r="M414" i="20"/>
  <c r="M175" i="20"/>
  <c r="M214" i="20"/>
  <c r="M394" i="20"/>
  <c r="M415" i="20"/>
  <c r="M448" i="20"/>
  <c r="C295" i="6"/>
  <c r="M398" i="20"/>
  <c r="M419" i="20"/>
  <c r="M452" i="20"/>
  <c r="M179" i="20"/>
  <c r="M218" i="20"/>
  <c r="M400" i="20"/>
  <c r="M421" i="20"/>
  <c r="M454" i="20"/>
  <c r="M181" i="20"/>
  <c r="M220" i="20"/>
  <c r="M182" i="20"/>
  <c r="M221" i="20"/>
  <c r="M401" i="20"/>
  <c r="M422" i="20"/>
  <c r="M455" i="20"/>
  <c r="M387" i="20"/>
  <c r="M440" i="20"/>
  <c r="M395" i="20"/>
  <c r="M416" i="20"/>
  <c r="M176" i="20"/>
  <c r="M215" i="20"/>
  <c r="M183" i="20"/>
  <c r="M222" i="20"/>
  <c r="M402" i="20"/>
  <c r="M423" i="20"/>
  <c r="M456" i="20"/>
  <c r="M396" i="20"/>
  <c r="M417" i="20"/>
  <c r="M450" i="20"/>
  <c r="M177" i="20"/>
  <c r="M216" i="20"/>
  <c r="M449" i="20"/>
  <c r="M434" i="20"/>
  <c r="N307" i="10"/>
  <c r="M187" i="20"/>
  <c r="M213" i="20"/>
  <c r="M447" i="20"/>
  <c r="M436" i="20"/>
  <c r="M428" i="20"/>
  <c r="M430" i="20"/>
  <c r="N306" i="10"/>
  <c r="M406" i="20"/>
  <c r="M408" i="20"/>
  <c r="N119" i="10"/>
  <c r="N118" i="10"/>
  <c r="N309" i="10"/>
  <c r="M227" i="20"/>
  <c r="M231" i="20"/>
  <c r="M258" i="20"/>
  <c r="M267" i="20"/>
  <c r="M432" i="20"/>
  <c r="M463" i="20"/>
  <c r="M461" i="20"/>
  <c r="M462" i="20"/>
  <c r="M468" i="20"/>
  <c r="M229" i="20"/>
  <c r="M270" i="20"/>
  <c r="M277" i="20"/>
  <c r="J102" i="20"/>
  <c r="J100" i="20"/>
  <c r="I111" i="20"/>
  <c r="M471" i="20"/>
  <c r="M474" i="20"/>
  <c r="H37" i="25"/>
  <c r="H36" i="25"/>
  <c r="H28" i="25"/>
  <c r="H24" i="25"/>
  <c r="E67" i="14"/>
  <c r="E92" i="14"/>
  <c r="E71" i="14"/>
  <c r="E96" i="14"/>
  <c r="H20" i="14"/>
  <c r="E69" i="14"/>
  <c r="E72" i="14"/>
  <c r="E78" i="14"/>
  <c r="D102" i="20"/>
  <c r="D100" i="20"/>
  <c r="M281" i="20"/>
  <c r="D128" i="20"/>
  <c r="D107" i="20"/>
  <c r="D105" i="20"/>
  <c r="J128" i="20"/>
  <c r="J125" i="20"/>
  <c r="D123" i="20"/>
  <c r="D121" i="20"/>
  <c r="J123" i="20"/>
  <c r="J121" i="20"/>
  <c r="M475" i="20"/>
  <c r="M479" i="20"/>
  <c r="M484" i="20"/>
  <c r="I132" i="20"/>
  <c r="D126" i="20"/>
  <c r="E132" i="20"/>
  <c r="G134" i="20"/>
  <c r="E111" i="20"/>
  <c r="G111" i="20"/>
  <c r="E94" i="14"/>
  <c r="E97" i="14"/>
  <c r="AQ26" i="12"/>
  <c r="D319" i="20"/>
  <c r="D317" i="20"/>
  <c r="D343" i="20"/>
  <c r="D341" i="20"/>
  <c r="D338" i="20"/>
  <c r="D336" i="20"/>
  <c r="M482" i="20"/>
  <c r="M486" i="20"/>
  <c r="I333" i="20"/>
  <c r="H333" i="20"/>
  <c r="I351" i="20"/>
  <c r="H351" i="20"/>
  <c r="D314" i="20"/>
  <c r="D312" i="20"/>
  <c r="J342" i="20"/>
  <c r="J340" i="20"/>
  <c r="J319" i="20"/>
  <c r="J317" i="20"/>
  <c r="R343" i="20"/>
  <c r="R341" i="20"/>
  <c r="R320" i="20"/>
  <c r="R318" i="20"/>
  <c r="Q328" i="20"/>
  <c r="P351" i="20"/>
  <c r="O351" i="20"/>
  <c r="G58" i="25"/>
  <c r="E80" i="14"/>
  <c r="G60" i="25"/>
  <c r="G63" i="25"/>
  <c r="E84" i="14"/>
  <c r="E103" i="14"/>
  <c r="E105" i="14"/>
  <c r="E108" i="14"/>
  <c r="E357" i="20"/>
  <c r="G132" i="20"/>
  <c r="E328" i="20"/>
  <c r="I328" i="20"/>
  <c r="M328" i="20"/>
  <c r="O328" i="20"/>
  <c r="I357" i="20"/>
  <c r="G346" i="20"/>
  <c r="T346" i="20"/>
  <c r="Q357" i="20"/>
  <c r="M357" i="20"/>
  <c r="O346" i="20"/>
  <c r="AR26" i="12"/>
  <c r="I97" i="8"/>
  <c r="J301" i="8"/>
  <c r="AP31" i="12"/>
  <c r="M488" i="20"/>
  <c r="G357" i="20"/>
  <c r="G328" i="20"/>
  <c r="O357" i="20"/>
  <c r="M65" i="20"/>
  <c r="J299" i="8"/>
  <c r="J140" i="8"/>
  <c r="D5" i="8"/>
  <c r="H61" i="14"/>
  <c r="G163" i="8"/>
  <c r="G169" i="8"/>
  <c r="G175" i="8"/>
  <c r="G181" i="8"/>
  <c r="G209" i="8"/>
  <c r="C39" i="8"/>
  <c r="C31" i="8"/>
  <c r="C35" i="8"/>
  <c r="C32" i="8"/>
  <c r="C33" i="8"/>
  <c r="H12" i="25"/>
  <c r="I12" i="25"/>
  <c r="G165" i="8"/>
  <c r="G164" i="8"/>
  <c r="G171" i="8"/>
  <c r="G172" i="8"/>
  <c r="G170" i="8"/>
  <c r="G177" i="8"/>
  <c r="G178" i="8"/>
  <c r="G176" i="8"/>
  <c r="G184" i="8"/>
  <c r="G182" i="8"/>
  <c r="G207" i="8"/>
  <c r="G211" i="8"/>
  <c r="C22" i="8"/>
  <c r="C13" i="8"/>
  <c r="E83" i="14"/>
  <c r="C21" i="8"/>
  <c r="C12" i="8"/>
  <c r="H51" i="25"/>
  <c r="C17" i="8"/>
  <c r="C11" i="8"/>
  <c r="I51" i="25"/>
</calcChain>
</file>

<file path=xl/sharedStrings.xml><?xml version="1.0" encoding="utf-8"?>
<sst xmlns="http://schemas.openxmlformats.org/spreadsheetml/2006/main" count="8707" uniqueCount="4143">
  <si>
    <t>Adam R. Brandt</t>
  </si>
  <si>
    <t>Overview</t>
  </si>
  <si>
    <t>Authors</t>
  </si>
  <si>
    <t>This model computes the greenhouse gas emissions from conventional and unconventional upstream oil operations, including all major upstream processes.</t>
  </si>
  <si>
    <t>Exploration</t>
  </si>
  <si>
    <t>Separations and surface operations</t>
  </si>
  <si>
    <t>Treatment and waste disposal</t>
  </si>
  <si>
    <t>Drilling and development</t>
  </si>
  <si>
    <t>Production and extraction</t>
  </si>
  <si>
    <t>Transport</t>
  </si>
  <si>
    <t>Organization and overview</t>
  </si>
  <si>
    <t>Main stage</t>
  </si>
  <si>
    <t>Process</t>
  </si>
  <si>
    <t>Sub-process</t>
  </si>
  <si>
    <t>Included?</t>
  </si>
  <si>
    <t>Emissions source</t>
  </si>
  <si>
    <t>Seismic exploration</t>
  </si>
  <si>
    <t>Oceanic seismic</t>
  </si>
  <si>
    <t>Developmental drilling</t>
  </si>
  <si>
    <t>Waste handling and disposal</t>
  </si>
  <si>
    <t>Terrestrial seismic</t>
  </si>
  <si>
    <t>Terrestrial drilling</t>
  </si>
  <si>
    <t>Oceanic drilling</t>
  </si>
  <si>
    <t>Fracturing fluid disposal</t>
  </si>
  <si>
    <t>Produced water disposal</t>
  </si>
  <si>
    <t>Vehicular emissions</t>
  </si>
  <si>
    <t>Consumed materials (charges etc.)</t>
  </si>
  <si>
    <t>Land use impacts</t>
  </si>
  <si>
    <t>Data processing</t>
  </si>
  <si>
    <t>Consumed materials</t>
  </si>
  <si>
    <t>Prime mover emissions</t>
  </si>
  <si>
    <t>Vents and upset emissions</t>
  </si>
  <si>
    <t>Casing and cement</t>
  </si>
  <si>
    <t>Drilling flares</t>
  </si>
  <si>
    <t>Energy consumption (other than prime mover)</t>
  </si>
  <si>
    <t>Fugitives from mud</t>
  </si>
  <si>
    <t>Mud and fluid handling</t>
  </si>
  <si>
    <t>Disposal of mud</t>
  </si>
  <si>
    <t>Clearing and construction</t>
  </si>
  <si>
    <t>Exploratory drilling</t>
  </si>
  <si>
    <t>Other materials consumption (e.g., frac sand)</t>
  </si>
  <si>
    <t>Processing and disposal of fracturing fluid</t>
  </si>
  <si>
    <t>Processing of produced water</t>
  </si>
  <si>
    <t>Disposal of produced water (remote or on-site reinjection)</t>
  </si>
  <si>
    <t>Processing capital investment</t>
  </si>
  <si>
    <t>Storage capital investment</t>
  </si>
  <si>
    <t>Transport capital investment</t>
  </si>
  <si>
    <t>Water reinjection wells</t>
  </si>
  <si>
    <t>Pumps</t>
  </si>
  <si>
    <t>Tank assembly</t>
  </si>
  <si>
    <t>Tank fabrication</t>
  </si>
  <si>
    <t>Raw materials manufacture</t>
  </si>
  <si>
    <t>Pipeline assembly</t>
  </si>
  <si>
    <t>Tank transport</t>
  </si>
  <si>
    <t>Pipe fabrication</t>
  </si>
  <si>
    <t>Pipe transport</t>
  </si>
  <si>
    <t>Oil/gas/water separators</t>
  </si>
  <si>
    <t>Pipeline capital investment</t>
  </si>
  <si>
    <t>Other transport capital investment</t>
  </si>
  <si>
    <t>Separator assembly</t>
  </si>
  <si>
    <t>Separator fabrication</t>
  </si>
  <si>
    <t>Separator transport</t>
  </si>
  <si>
    <t>Various drilling emissions from reinjection wells (see above)</t>
  </si>
  <si>
    <t>Pump fabrication and raw materials manufacture</t>
  </si>
  <si>
    <t>Pump assembly</t>
  </si>
  <si>
    <t>Pump transport</t>
  </si>
  <si>
    <t>This sheet provides an overview of the model stages and outlines which sub-processes are included or excluded from each model stage</t>
  </si>
  <si>
    <t>Lifting</t>
  </si>
  <si>
    <t>Gas lift</t>
  </si>
  <si>
    <t>Steam injection</t>
  </si>
  <si>
    <t>Surfactant/other injection</t>
  </si>
  <si>
    <t>Compression electricity emissions</t>
  </si>
  <si>
    <t>Water treatment</t>
  </si>
  <si>
    <t>Water pre-treatment</t>
  </si>
  <si>
    <t>HRSG duct firing (combined cycle)</t>
  </si>
  <si>
    <t xml:space="preserve">Turbine gas consumption (combined cycle) </t>
  </si>
  <si>
    <t>[-] Electricity co-production offsets (combined cycle)</t>
  </si>
  <si>
    <t>Polymer embodied energy</t>
  </si>
  <si>
    <t>Polymer mixing</t>
  </si>
  <si>
    <t>Polymer/water mixture pumping energy</t>
  </si>
  <si>
    <t>Surfactant/other embodied energy</t>
  </si>
  <si>
    <t>Surfactant/other mixing</t>
  </si>
  <si>
    <t>Surfactant/other mixture pumping energy</t>
  </si>
  <si>
    <t>Other infrastructure fabrication and assembly</t>
  </si>
  <si>
    <t>Separation and surface processing</t>
  </si>
  <si>
    <t>Pipeline transport</t>
  </si>
  <si>
    <t>Tanker transport</t>
  </si>
  <si>
    <t>Storage</t>
  </si>
  <si>
    <t>Storage (as part of transport)</t>
  </si>
  <si>
    <t>Crude product transport</t>
  </si>
  <si>
    <t>Pipeline construction</t>
  </si>
  <si>
    <t>Construction energy</t>
  </si>
  <si>
    <t>Tanker construction</t>
  </si>
  <si>
    <t>Loading and unloading pumping</t>
  </si>
  <si>
    <t>Embodied energy in pipeline materials (cement and steel)</t>
  </si>
  <si>
    <t>Embodied energy in tanker materials (steel)</t>
  </si>
  <si>
    <t>Storage pumping energy</t>
  </si>
  <si>
    <t>Offshore drilling</t>
  </si>
  <si>
    <t>Other waste separation and disposal</t>
  </si>
  <si>
    <t>Ship emissions</t>
  </si>
  <si>
    <t>Water treatment and disposal</t>
  </si>
  <si>
    <t>Solid waste disposal</t>
  </si>
  <si>
    <t>End of life and decommissioning</t>
  </si>
  <si>
    <t>Scrap and waste disposal</t>
  </si>
  <si>
    <t>[-] Credit for waste recycling (embodied energy)</t>
  </si>
  <si>
    <t>Solid waste separation and processing</t>
  </si>
  <si>
    <t>Solid waste transport and disposal</t>
  </si>
  <si>
    <t>Other waste separation and processing</t>
  </si>
  <si>
    <t>Other waste disposal</t>
  </si>
  <si>
    <t>Other waste transport</t>
  </si>
  <si>
    <t>Other waste disposal (non-hazardous)</t>
  </si>
  <si>
    <t>Other waste disposal (hazardous)</t>
  </si>
  <si>
    <t>Other waste storage</t>
  </si>
  <si>
    <t>Spills and other upsets</t>
  </si>
  <si>
    <t>Water reinjection and disposal</t>
  </si>
  <si>
    <t>Water treatment waste disposal</t>
  </si>
  <si>
    <t>Subsurface disposal of concentrated WW residuals</t>
  </si>
  <si>
    <t>Surface disposal of concentrated WW residuals</t>
  </si>
  <si>
    <t>Produced water cleanup</t>
  </si>
  <si>
    <t>Produced water handling and pumping</t>
  </si>
  <si>
    <t xml:space="preserve">Oil-water-gas separation </t>
  </si>
  <si>
    <t>Surface disposal of separated solids</t>
  </si>
  <si>
    <t>Oil-water-gas separation with heater-treaters</t>
  </si>
  <si>
    <t>Produced water reinjection</t>
  </si>
  <si>
    <t>Waste treatment and disposal</t>
  </si>
  <si>
    <t>Oil-water-gas separation</t>
  </si>
  <si>
    <t>Solid/fluid separation</t>
  </si>
  <si>
    <t>Fluid separation</t>
  </si>
  <si>
    <t>Solid separation from fluids</t>
  </si>
  <si>
    <t>Solids removal from separation</t>
  </si>
  <si>
    <t>Produced gas dehydration</t>
  </si>
  <si>
    <t>Produced gas venting and flaring</t>
  </si>
  <si>
    <t>Electricity</t>
  </si>
  <si>
    <t>Venting</t>
  </si>
  <si>
    <t>c</t>
  </si>
  <si>
    <t>Code</t>
  </si>
  <si>
    <t>d</t>
  </si>
  <si>
    <t>Variants</t>
  </si>
  <si>
    <t>Estimated magnitude</t>
  </si>
  <si>
    <t>*</t>
  </si>
  <si>
    <t>**</t>
  </si>
  <si>
    <t>***</t>
  </si>
  <si>
    <t>****</t>
  </si>
  <si>
    <t>Estimated size</t>
  </si>
  <si>
    <t>Degree of treatment</t>
  </si>
  <si>
    <t>Included with defaults or excluded</t>
  </si>
  <si>
    <t>Excluded</t>
  </si>
  <si>
    <t>Included with ease of customization</t>
  </si>
  <si>
    <t>g/MJ</t>
  </si>
  <si>
    <t>Land clearing and construction</t>
  </si>
  <si>
    <t>Other material consumption (e.g., frac sand)</t>
  </si>
  <si>
    <t>Importance code</t>
  </si>
  <si>
    <t>Sensitivity code</t>
  </si>
  <si>
    <t>Pumping</t>
  </si>
  <si>
    <t>Combustion for pump driver</t>
  </si>
  <si>
    <t>Electricity for pump driver</t>
  </si>
  <si>
    <t>Combustion for pump prime mover</t>
  </si>
  <si>
    <t>Electricity for pump use</t>
  </si>
  <si>
    <t>Leaks (pipeline losses)</t>
  </si>
  <si>
    <t>Process upsets (one-time events)</t>
  </si>
  <si>
    <t>Construction equipment energy use</t>
  </si>
  <si>
    <t>Combustion in tanker prime mover (bunker fuels)</t>
  </si>
  <si>
    <t>Tank assembly and installation</t>
  </si>
  <si>
    <t>Tank materials manufacture</t>
  </si>
  <si>
    <t>Value</t>
  </si>
  <si>
    <t>Units</t>
  </si>
  <si>
    <t>%</t>
  </si>
  <si>
    <t>Default reference</t>
  </si>
  <si>
    <t>User reference</t>
  </si>
  <si>
    <t>MJ/MJ</t>
  </si>
  <si>
    <t>Equation</t>
  </si>
  <si>
    <t>Reference</t>
  </si>
  <si>
    <t>MJ</t>
  </si>
  <si>
    <r>
      <t>gCO</t>
    </r>
    <r>
      <rPr>
        <vertAlign val="subscript"/>
        <sz val="12"/>
        <color theme="1"/>
        <rFont val="Helvetica"/>
      </rPr>
      <t>2</t>
    </r>
    <r>
      <rPr>
        <sz val="12"/>
        <color theme="1"/>
        <rFont val="Helvetica"/>
        <family val="2"/>
      </rPr>
      <t>eq/MJ</t>
    </r>
  </si>
  <si>
    <t>Associated gas venting</t>
  </si>
  <si>
    <t>Associated gas flaring</t>
  </si>
  <si>
    <t>-</t>
  </si>
  <si>
    <t>Casing and cement embodied emissions</t>
  </si>
  <si>
    <t>Compressor prime mover emissions</t>
  </si>
  <si>
    <t>Steam pumping energy (if any)</t>
  </si>
  <si>
    <t>Polymer flood</t>
  </si>
  <si>
    <t>Estimated magnitude (gCO2 eq./MJ)</t>
  </si>
  <si>
    <t>OTSG fuel combustion</t>
  </si>
  <si>
    <t>NG, produced oil</t>
  </si>
  <si>
    <t>Low, med, high efficiency</t>
  </si>
  <si>
    <t>Grid mix variation</t>
  </si>
  <si>
    <t>Variations in flare efficiency</t>
  </si>
  <si>
    <t>Flares</t>
  </si>
  <si>
    <t>Vents, leaks and upsets</t>
  </si>
  <si>
    <t>Gas compression energy</t>
  </si>
  <si>
    <t>[-] Gas sequestration credit (CO2 flood)</t>
  </si>
  <si>
    <t>Storage (as part of separation)</t>
  </si>
  <si>
    <t>Evaporative and fugitive emissions</t>
  </si>
  <si>
    <t>Indirect land use impacts (opening of inaccessible land)</t>
  </si>
  <si>
    <t>Well workover</t>
  </si>
  <si>
    <t>Other maintenance</t>
  </si>
  <si>
    <t>Terrestrial well workover</t>
  </si>
  <si>
    <t>Offshore well workover</t>
  </si>
  <si>
    <t>Workover rig energy use</t>
  </si>
  <si>
    <t>Fugitive emissions during workover</t>
  </si>
  <si>
    <t>Embodied energy in consumed replacement parts</t>
  </si>
  <si>
    <t>Maintenance and workovers</t>
  </si>
  <si>
    <t>Solid waste disposal and project decommissioning</t>
  </si>
  <si>
    <t>Demolition and decommissioning</t>
  </si>
  <si>
    <t>Crude Extraction</t>
  </si>
  <si>
    <t>Calculation of GHG emissions from crude oil extraction using different techniques.</t>
  </si>
  <si>
    <t>2. Artificial lifting methods:</t>
  </si>
  <si>
    <t>wt%</t>
  </si>
  <si>
    <t>Generic</t>
  </si>
  <si>
    <t>STB/d</t>
  </si>
  <si>
    <t>mol%</t>
  </si>
  <si>
    <t>C1</t>
  </si>
  <si>
    <t>C2</t>
  </si>
  <si>
    <t>C3</t>
  </si>
  <si>
    <r>
      <t>H</t>
    </r>
    <r>
      <rPr>
        <vertAlign val="subscript"/>
        <sz val="12"/>
        <color theme="1"/>
        <rFont val="Helvetica"/>
      </rPr>
      <t>2</t>
    </r>
    <r>
      <rPr>
        <sz val="12"/>
        <color theme="1"/>
        <rFont val="Helvetica"/>
        <family val="2"/>
      </rPr>
      <t>S</t>
    </r>
  </si>
  <si>
    <r>
      <t>CO</t>
    </r>
    <r>
      <rPr>
        <vertAlign val="subscript"/>
        <sz val="12"/>
        <color theme="1"/>
        <rFont val="Helvetica"/>
      </rPr>
      <t>2</t>
    </r>
  </si>
  <si>
    <r>
      <t>N</t>
    </r>
    <r>
      <rPr>
        <vertAlign val="subscript"/>
        <sz val="12"/>
        <color theme="1"/>
        <rFont val="Helvetica"/>
      </rPr>
      <t>2</t>
    </r>
  </si>
  <si>
    <t>1. Oil recovery stages: Primary, secondary and tertiary</t>
  </si>
  <si>
    <t>Comp.</t>
  </si>
  <si>
    <t>psi</t>
  </si>
  <si>
    <t>ft</t>
  </si>
  <si>
    <t>Default</t>
  </si>
  <si>
    <t>User</t>
  </si>
  <si>
    <t>1=</t>
  </si>
  <si>
    <t>2=</t>
  </si>
  <si>
    <t>3=</t>
  </si>
  <si>
    <t>Diesel-fired engine</t>
  </si>
  <si>
    <t>4=</t>
  </si>
  <si>
    <t>NG-fired turbine</t>
  </si>
  <si>
    <t>NGL (butane or propane)</t>
  </si>
  <si>
    <t>Not applicable</t>
  </si>
  <si>
    <t>C4</t>
  </si>
  <si>
    <t>Casing and wellhead fugitive emissions</t>
  </si>
  <si>
    <t>Water processing waste</t>
  </si>
  <si>
    <t>External gas processing (e.g., N2 production)</t>
  </si>
  <si>
    <t>McAllister, E. W. (2009)</t>
  </si>
  <si>
    <t>psia</t>
  </si>
  <si>
    <t>NA</t>
  </si>
  <si>
    <t>scf/d</t>
  </si>
  <si>
    <t>Unit</t>
  </si>
  <si>
    <t>lb/lbmol</t>
  </si>
  <si>
    <t>in</t>
  </si>
  <si>
    <t>Dimensionless</t>
  </si>
  <si>
    <t>mg/L</t>
  </si>
  <si>
    <r>
      <t>lbm/ft</t>
    </r>
    <r>
      <rPr>
        <vertAlign val="superscript"/>
        <sz val="12"/>
        <color theme="1"/>
        <rFont val="Helvetica"/>
      </rPr>
      <t>3</t>
    </r>
  </si>
  <si>
    <t>hp</t>
  </si>
  <si>
    <t>Rose et al., p.27, eq. (5.2)</t>
  </si>
  <si>
    <t>hp/MMscf/d</t>
  </si>
  <si>
    <t>Oil Field Processing</t>
  </si>
  <si>
    <t>1= Monoethanolamine (MEA)</t>
  </si>
  <si>
    <t>4= Diglycolamine (DGA)</t>
  </si>
  <si>
    <t>5= Methyldiethanolamine (MDEA)</t>
  </si>
  <si>
    <t>1= Yes</t>
  </si>
  <si>
    <t>6= Other</t>
  </si>
  <si>
    <t>Calculation of GHG emissions from field oil, gas and water processing.</t>
  </si>
  <si>
    <t>Manning, F. and Thompson, R. (1991), p.115</t>
  </si>
  <si>
    <t>Manning, F. and Thompson, R. (1991), p.117, Figure 7-9</t>
  </si>
  <si>
    <t>Manning, F. and Thompson, R. (1991), p.155</t>
  </si>
  <si>
    <t>Manning, F. and Thompson, R. (1991), p.147</t>
  </si>
  <si>
    <t>Manning, F. and Thompson, R. (1991), p.160</t>
  </si>
  <si>
    <t>2= Centrifugal pump</t>
  </si>
  <si>
    <t>Vlasopoulos et al. (2006)</t>
  </si>
  <si>
    <t>Enter "1" where applicable and "0" where not applicable</t>
  </si>
  <si>
    <t>Categorization of treatment technologies is based on Vlasopoulos et al. (2006), originally from Dillon (2003)</t>
  </si>
  <si>
    <t>No more than one option is allowed in each treatment stage</t>
  </si>
  <si>
    <t>bopd</t>
  </si>
  <si>
    <t>bwpd</t>
  </si>
  <si>
    <t>Heat</t>
  </si>
  <si>
    <t>MMBtu/d</t>
  </si>
  <si>
    <t>MMBtu</t>
  </si>
  <si>
    <t>Note: if not applicable enter "NA"</t>
  </si>
  <si>
    <t>0= No</t>
  </si>
  <si>
    <t>Manning, F. and Thompson, R. (1991), p.136</t>
  </si>
  <si>
    <t>MMscf/d</t>
  </si>
  <si>
    <t>gpm</t>
  </si>
  <si>
    <t>Amine</t>
  </si>
  <si>
    <t>Sour gas</t>
  </si>
  <si>
    <t>Scrubber</t>
  </si>
  <si>
    <t>Flash tank</t>
  </si>
  <si>
    <t>Low pressure</t>
  </si>
  <si>
    <t>Reboiler</t>
  </si>
  <si>
    <t>Still</t>
  </si>
  <si>
    <t>Reflux</t>
  </si>
  <si>
    <t>accum.</t>
  </si>
  <si>
    <t>pump</t>
  </si>
  <si>
    <t>filter</t>
  </si>
  <si>
    <t>Charcoal</t>
  </si>
  <si>
    <t>Booster</t>
  </si>
  <si>
    <t>cooler</t>
  </si>
  <si>
    <t>Charge</t>
  </si>
  <si>
    <t>Flashed gas</t>
  </si>
  <si>
    <t>Solids</t>
  </si>
  <si>
    <t>Contactor</t>
  </si>
  <si>
    <t>exchanger</t>
  </si>
  <si>
    <t xml:space="preserve">        Sweet gas</t>
  </si>
  <si>
    <t xml:space="preserve">          Acid gas</t>
  </si>
  <si>
    <t xml:space="preserve">       Rich amine</t>
  </si>
  <si>
    <t xml:space="preserve">    Lean amine</t>
  </si>
  <si>
    <t>cond.</t>
  </si>
  <si>
    <t>Power</t>
  </si>
  <si>
    <t xml:space="preserve">    Power</t>
  </si>
  <si>
    <t xml:space="preserve">   Power</t>
  </si>
  <si>
    <t>Absorber</t>
  </si>
  <si>
    <t xml:space="preserve">Glycol to </t>
  </si>
  <si>
    <t>gas exch.</t>
  </si>
  <si>
    <t>Accumulator</t>
  </si>
  <si>
    <t>Glycol</t>
  </si>
  <si>
    <t>Stripping</t>
  </si>
  <si>
    <t>column</t>
  </si>
  <si>
    <t>Wet gas</t>
  </si>
  <si>
    <t>Manning, F. and Thompson, R. (1991), p. 163</t>
  </si>
  <si>
    <t>gal TEG/d</t>
  </si>
  <si>
    <t>Dry gas</t>
  </si>
  <si>
    <t>Water</t>
  </si>
  <si>
    <t>EC</t>
  </si>
  <si>
    <t>Apply</t>
  </si>
  <si>
    <t>Values of energy consumption can be changed in the user columns</t>
  </si>
  <si>
    <t>kWh/d</t>
  </si>
  <si>
    <t>DAF</t>
  </si>
  <si>
    <t>HYDRO</t>
  </si>
  <si>
    <t>RBC</t>
  </si>
  <si>
    <t>ABS</t>
  </si>
  <si>
    <t>AS</t>
  </si>
  <si>
    <t>TF</t>
  </si>
  <si>
    <t>AIR</t>
  </si>
  <si>
    <t>AL</t>
  </si>
  <si>
    <t>CWL</t>
  </si>
  <si>
    <t>MF</t>
  </si>
  <si>
    <t>DMF</t>
  </si>
  <si>
    <t>GAC</t>
  </si>
  <si>
    <t>SSF</t>
  </si>
  <si>
    <t>OZO</t>
  </si>
  <si>
    <t>ORG</t>
  </si>
  <si>
    <t>UF</t>
  </si>
  <si>
    <t>NF</t>
  </si>
  <si>
    <t>RO</t>
  </si>
  <si>
    <t>EDR</t>
  </si>
  <si>
    <t>Volume loss</t>
  </si>
  <si>
    <r>
      <t xml:space="preserve">Sources: Vlasopoulos, N. </t>
    </r>
    <r>
      <rPr>
        <i/>
        <sz val="12"/>
        <color theme="1"/>
        <rFont val="Helvetica"/>
      </rPr>
      <t>et al.</t>
    </r>
    <r>
      <rPr>
        <sz val="12"/>
        <color theme="1"/>
        <rFont val="Helvetica"/>
        <family val="2"/>
      </rPr>
      <t xml:space="preserve"> (2006)</t>
    </r>
  </si>
  <si>
    <t>Total</t>
  </si>
  <si>
    <t>SG</t>
  </si>
  <si>
    <t>Lifting gas</t>
  </si>
  <si>
    <t>Reinjection</t>
  </si>
  <si>
    <t>1= Gas fired</t>
  </si>
  <si>
    <t>2= Electric</t>
  </si>
  <si>
    <t>MMBtu/MMBtu</t>
  </si>
  <si>
    <t>kWh/MMBtu</t>
  </si>
  <si>
    <t>kWh/hp-d</t>
  </si>
  <si>
    <t>Notes</t>
  </si>
  <si>
    <t>If "ERROR" is reported, check below for consistency.</t>
  </si>
  <si>
    <t>deg. API</t>
  </si>
  <si>
    <t>MJ/d</t>
  </si>
  <si>
    <t>bbl CWE/d</t>
  </si>
  <si>
    <t>Barrels of cold water equivalent (CWE) steam</t>
  </si>
  <si>
    <t>Btu/Btu</t>
  </si>
  <si>
    <t>Check</t>
  </si>
  <si>
    <t>Shares of steam generation technologies must sum to 1.</t>
  </si>
  <si>
    <t>Water in</t>
  </si>
  <si>
    <t>kg/d</t>
  </si>
  <si>
    <t>Steam out</t>
  </si>
  <si>
    <t>Once-through steam generator</t>
  </si>
  <si>
    <t>(OTSG)</t>
  </si>
  <si>
    <t>Air in</t>
  </si>
  <si>
    <t>Exhaust out</t>
  </si>
  <si>
    <t>Mass balance</t>
  </si>
  <si>
    <t>lbs/d</t>
  </si>
  <si>
    <t>Fuel in</t>
  </si>
  <si>
    <t>Mass in</t>
  </si>
  <si>
    <t>Mass out</t>
  </si>
  <si>
    <t>kg</t>
  </si>
  <si>
    <t>Water H</t>
  </si>
  <si>
    <t>Air H</t>
  </si>
  <si>
    <t>Energy balance</t>
  </si>
  <si>
    <t>Other waste heat out</t>
  </si>
  <si>
    <t>Energy in</t>
  </si>
  <si>
    <t>Check:</t>
  </si>
  <si>
    <t>Energy out</t>
  </si>
  <si>
    <t>Element balance</t>
  </si>
  <si>
    <t>N</t>
  </si>
  <si>
    <t>O</t>
  </si>
  <si>
    <t>H</t>
  </si>
  <si>
    <t>C</t>
  </si>
  <si>
    <t>S</t>
  </si>
  <si>
    <t>°F</t>
  </si>
  <si>
    <t>lb/bbl</t>
  </si>
  <si>
    <t>Assume inlet water density is invariant with temperature and pressure.</t>
  </si>
  <si>
    <t>Steam pressure at wellbore must be higher than reservoir pressure.</t>
  </si>
  <si>
    <t>kg steam / kg H2O</t>
  </si>
  <si>
    <t>Lookup table. 10-1000 psia by increments of 10 psia, 1025-3000 psia by increments of 25 psia</t>
  </si>
  <si>
    <r>
      <t>N</t>
    </r>
    <r>
      <rPr>
        <vertAlign val="subscript"/>
        <sz val="12"/>
        <color theme="1"/>
        <rFont val="Helvetica"/>
      </rPr>
      <t xml:space="preserve">2, </t>
    </r>
    <r>
      <rPr>
        <sz val="12"/>
        <color theme="1"/>
        <rFont val="Helvetica"/>
        <family val="2"/>
      </rPr>
      <t>Ar</t>
    </r>
  </si>
  <si>
    <r>
      <t>O</t>
    </r>
    <r>
      <rPr>
        <vertAlign val="subscript"/>
        <sz val="12"/>
        <color theme="1"/>
        <rFont val="Helvetica"/>
      </rPr>
      <t>2</t>
    </r>
  </si>
  <si>
    <r>
      <t>H</t>
    </r>
    <r>
      <rPr>
        <vertAlign val="subscript"/>
        <sz val="12"/>
        <color theme="1"/>
        <rFont val="Helvetica"/>
      </rPr>
      <t>2</t>
    </r>
    <r>
      <rPr>
        <sz val="12"/>
        <color theme="1"/>
        <rFont val="Helvetica"/>
        <family val="2"/>
      </rPr>
      <t>O</t>
    </r>
  </si>
  <si>
    <r>
      <t>CH</t>
    </r>
    <r>
      <rPr>
        <vertAlign val="subscript"/>
        <sz val="12"/>
        <color theme="1"/>
        <rFont val="Helvetica"/>
      </rPr>
      <t>4</t>
    </r>
  </si>
  <si>
    <r>
      <t>C</t>
    </r>
    <r>
      <rPr>
        <vertAlign val="subscript"/>
        <sz val="12"/>
        <color theme="1"/>
        <rFont val="Helvetica"/>
      </rPr>
      <t>2</t>
    </r>
    <r>
      <rPr>
        <sz val="12"/>
        <color theme="1"/>
        <rFont val="Helvetica"/>
        <family val="2"/>
      </rPr>
      <t>H</t>
    </r>
    <r>
      <rPr>
        <vertAlign val="subscript"/>
        <sz val="12"/>
        <color theme="1"/>
        <rFont val="Helvetica"/>
      </rPr>
      <t>6</t>
    </r>
  </si>
  <si>
    <r>
      <t>C</t>
    </r>
    <r>
      <rPr>
        <vertAlign val="subscript"/>
        <sz val="12"/>
        <color theme="1"/>
        <rFont val="Helvetica"/>
      </rPr>
      <t>3</t>
    </r>
    <r>
      <rPr>
        <sz val="12"/>
        <color theme="1"/>
        <rFont val="Helvetica"/>
        <family val="2"/>
      </rPr>
      <t>H</t>
    </r>
    <r>
      <rPr>
        <vertAlign val="subscript"/>
        <sz val="12"/>
        <color theme="1"/>
        <rFont val="Helvetica"/>
      </rPr>
      <t>8</t>
    </r>
  </si>
  <si>
    <r>
      <t>n-C</t>
    </r>
    <r>
      <rPr>
        <vertAlign val="subscript"/>
        <sz val="12"/>
        <color theme="1"/>
        <rFont val="Helvetica"/>
      </rPr>
      <t>4</t>
    </r>
    <r>
      <rPr>
        <sz val="12"/>
        <color theme="1"/>
        <rFont val="Helvetica"/>
        <family val="2"/>
      </rPr>
      <t>H</t>
    </r>
    <r>
      <rPr>
        <vertAlign val="subscript"/>
        <sz val="12"/>
        <color theme="1"/>
        <rFont val="Helvetica"/>
      </rPr>
      <t>10</t>
    </r>
  </si>
  <si>
    <t>CO</t>
  </si>
  <si>
    <r>
      <t>H</t>
    </r>
    <r>
      <rPr>
        <vertAlign val="subscript"/>
        <sz val="12"/>
        <color theme="1"/>
        <rFont val="Helvetica"/>
      </rPr>
      <t>2</t>
    </r>
  </si>
  <si>
    <r>
      <t>SO</t>
    </r>
    <r>
      <rPr>
        <vertAlign val="subscript"/>
        <sz val="12"/>
        <color theme="1"/>
        <rFont val="Helvetica"/>
      </rPr>
      <t>2</t>
    </r>
  </si>
  <si>
    <t>Composition fractions must sum to 1.</t>
  </si>
  <si>
    <t>Btu</t>
  </si>
  <si>
    <t>OTSG outlet exhaust temperature</t>
  </si>
  <si>
    <t>Btu/Btu fuel</t>
  </si>
  <si>
    <t>Ganapathy (2003) pg. 262 cites as "unaccounted loss"</t>
  </si>
  <si>
    <t>4 Combined heat and power - Gas turbine (GT) + heat recovery steam generator (HRSG)</t>
  </si>
  <si>
    <t>Gas turbine</t>
  </si>
  <si>
    <t>HRSG</t>
  </si>
  <si>
    <t>GT exhaust out</t>
  </si>
  <si>
    <t>HRSG exhaust out</t>
  </si>
  <si>
    <t>Power out</t>
  </si>
  <si>
    <t>Exhaust in/out</t>
  </si>
  <si>
    <t>Energy check will report "ERROR" due to approximate gas turbine model.</t>
  </si>
  <si>
    <t>Fuel shares for gas turbine must sum to 1.</t>
  </si>
  <si>
    <t>Change composition of natural gas, associated gas in "Fuel Specs" sheet.</t>
  </si>
  <si>
    <r>
      <t>mol O</t>
    </r>
    <r>
      <rPr>
        <vertAlign val="subscript"/>
        <sz val="12"/>
        <color theme="1"/>
        <rFont val="Helvetica"/>
      </rPr>
      <t>2</t>
    </r>
    <r>
      <rPr>
        <sz val="12"/>
        <color theme="1"/>
        <rFont val="Helvetica"/>
        <family val="2"/>
      </rPr>
      <t xml:space="preserve"> real/mol O</t>
    </r>
    <r>
      <rPr>
        <vertAlign val="subscript"/>
        <sz val="12"/>
        <color theme="1"/>
        <rFont val="Helvetica"/>
      </rPr>
      <t>2</t>
    </r>
    <r>
      <rPr>
        <sz val="12"/>
        <color theme="1"/>
        <rFont val="Helvetica"/>
        <family val="2"/>
      </rPr>
      <t xml:space="preserve"> stoichiometric</t>
    </r>
  </si>
  <si>
    <t>Btu e-/lb of working fluid</t>
  </si>
  <si>
    <t>mol CO2/mol exhaust</t>
  </si>
  <si>
    <t>Assume same as inlet composition due to no duct firing</t>
  </si>
  <si>
    <t>HRSG outlet exhaust temperature</t>
  </si>
  <si>
    <t>Ganapathy (2003)</t>
  </si>
  <si>
    <t>Btu steam/Btu inlet enthalpy</t>
  </si>
  <si>
    <t>This sheet provides other needed data inputs, except crude oil and other fuel properties</t>
  </si>
  <si>
    <t>Parameter</t>
  </si>
  <si>
    <t>Case</t>
  </si>
  <si>
    <t>Source</t>
  </si>
  <si>
    <t>feet per meter</t>
  </si>
  <si>
    <t>ft/m</t>
  </si>
  <si>
    <t>meters per foot</t>
  </si>
  <si>
    <t>m/ft</t>
  </si>
  <si>
    <t>meters per inch</t>
  </si>
  <si>
    <t>m/in</t>
  </si>
  <si>
    <t>inches per meter</t>
  </si>
  <si>
    <t>in/m</t>
  </si>
  <si>
    <t>miles per kilometer</t>
  </si>
  <si>
    <t>mi/km</t>
  </si>
  <si>
    <t>pounds per kilogram</t>
  </si>
  <si>
    <t>kilogram per pounds</t>
  </si>
  <si>
    <t>kg/lb</t>
  </si>
  <si>
    <t>grams per kilogram</t>
  </si>
  <si>
    <t>g/kg</t>
  </si>
  <si>
    <t>kilograms per gram</t>
  </si>
  <si>
    <t>kg/g</t>
  </si>
  <si>
    <t>grams per pound</t>
  </si>
  <si>
    <t>g/lb</t>
  </si>
  <si>
    <t>Volume</t>
  </si>
  <si>
    <t>m3 per yd3</t>
  </si>
  <si>
    <t>m3/yd3</t>
  </si>
  <si>
    <t>gallons per barrel</t>
  </si>
  <si>
    <t>gal/bbl</t>
  </si>
  <si>
    <t>bbls per gallon</t>
  </si>
  <si>
    <t>bbl/gal</t>
  </si>
  <si>
    <t>liters per gallon</t>
  </si>
  <si>
    <t>l/gal</t>
  </si>
  <si>
    <t>liters per cuft</t>
  </si>
  <si>
    <t>l/cuft</t>
  </si>
  <si>
    <t>liters per bbl</t>
  </si>
  <si>
    <t>l/bbl</t>
  </si>
  <si>
    <t>m3 per bbl</t>
  </si>
  <si>
    <t>m3/bbl</t>
  </si>
  <si>
    <t>bbl per m3</t>
  </si>
  <si>
    <t>bbl/m3</t>
  </si>
  <si>
    <t>liters per mol @ STP</t>
  </si>
  <si>
    <t>l/mol</t>
  </si>
  <si>
    <t>Btu per Joule</t>
  </si>
  <si>
    <t>Btu/J</t>
  </si>
  <si>
    <t>Joules per Btu</t>
  </si>
  <si>
    <t>J/Btu</t>
  </si>
  <si>
    <t>Joules per calorie</t>
  </si>
  <si>
    <t>J/cal</t>
  </si>
  <si>
    <t>MJ per kWh</t>
  </si>
  <si>
    <t>MJ/kWh</t>
  </si>
  <si>
    <t>Density of fresh water</t>
  </si>
  <si>
    <t>lb/gal</t>
  </si>
  <si>
    <t>at 32 °F</t>
  </si>
  <si>
    <r>
      <t>Water h</t>
    </r>
    <r>
      <rPr>
        <vertAlign val="subscript"/>
        <sz val="12"/>
        <color theme="1"/>
        <rFont val="Helvetica"/>
      </rPr>
      <t>fg</t>
    </r>
  </si>
  <si>
    <t>Enthalpy of vaporization of pure water @ 0C</t>
  </si>
  <si>
    <t>Cengel &amp; Boles (2006, 5th edition) Table A-4E</t>
  </si>
  <si>
    <t>conv.</t>
  </si>
  <si>
    <t>Btu/g</t>
  </si>
  <si>
    <t>Btu/mol</t>
  </si>
  <si>
    <t>mols/mol dry air</t>
  </si>
  <si>
    <t>Moisture in air</t>
  </si>
  <si>
    <t>mols/mol moist air</t>
  </si>
  <si>
    <t>Molar mass moist air</t>
  </si>
  <si>
    <t>Functions useful from 491-3240 Rankine</t>
  </si>
  <si>
    <t>Cengel &amp; Boles (2006, 5th edition) Table A-2E</t>
  </si>
  <si>
    <t>See table below for a, b, c, d</t>
  </si>
  <si>
    <t>Air</t>
  </si>
  <si>
    <t>a</t>
  </si>
  <si>
    <t>b</t>
  </si>
  <si>
    <t>Change in enthalpy with change in temperature</t>
  </si>
  <si>
    <t>dh = Cp * dT</t>
  </si>
  <si>
    <t>Integrating to get change in enthalpy</t>
  </si>
  <si>
    <t>h = int (dh) _(T=0C) ^(T=T)</t>
  </si>
  <si>
    <t>h = int (Cp*dT) from: _(T=0C) ^(T=T)</t>
  </si>
  <si>
    <t xml:space="preserve">Assumed reference temperature: </t>
  </si>
  <si>
    <t xml:space="preserve">Set enthalpy h = </t>
  </si>
  <si>
    <t>Solve for C to obtain set point of h = 0 @ 0C</t>
  </si>
  <si>
    <t>R</t>
  </si>
  <si>
    <t>C =</t>
  </si>
  <si>
    <t>Enthalpy (Btu/mol)</t>
  </si>
  <si>
    <t>Gas turbine exhaust temperature</t>
  </si>
  <si>
    <t>Source: Knovel Steam Tables, Table: 1b. Saturation Properties vs. Temperature - English Units</t>
  </si>
  <si>
    <t>T</t>
  </si>
  <si>
    <t>P</t>
  </si>
  <si>
    <t>Liquid volume</t>
  </si>
  <si>
    <t>Liquid U</t>
  </si>
  <si>
    <t>Liquid H</t>
  </si>
  <si>
    <t>Liquid S</t>
  </si>
  <si>
    <t>Vapor volume</t>
  </si>
  <si>
    <t>ft^3/lb</t>
  </si>
  <si>
    <t>P (psia)</t>
  </si>
  <si>
    <t>Source: Knovel Steam Tables - Table: 2b. Compressed Water and Superheated Steam  - English Units</t>
  </si>
  <si>
    <t xml:space="preserve">v </t>
  </si>
  <si>
    <t xml:space="preserve">u </t>
  </si>
  <si>
    <t>h</t>
  </si>
  <si>
    <t xml:space="preserve">s </t>
  </si>
  <si>
    <t>(psia)</t>
  </si>
  <si>
    <t xml:space="preserve">(°F) </t>
  </si>
  <si>
    <t xml:space="preserve">(ft^3/lb) </t>
  </si>
  <si>
    <t>(Btu/mol)</t>
  </si>
  <si>
    <t>This sheet provides an overview of crude oil and fuel properties used in the model</t>
  </si>
  <si>
    <t>Crude density</t>
  </si>
  <si>
    <t>LHV - US Standard Units</t>
  </si>
  <si>
    <t>HHV - US Standard Units</t>
  </si>
  <si>
    <t>LHV - SI units</t>
  </si>
  <si>
    <t>HHV - SI units</t>
  </si>
  <si>
    <t>Deg API</t>
  </si>
  <si>
    <t>Btu/lb</t>
  </si>
  <si>
    <t>Btu/gal</t>
  </si>
  <si>
    <t>Btu/l</t>
  </si>
  <si>
    <t>MJ/lb</t>
  </si>
  <si>
    <t>MJ/kg</t>
  </si>
  <si>
    <t>MJ/bbl</t>
  </si>
  <si>
    <t>Source: Fuel oil manual, Schmidt (1985), pg. 41</t>
  </si>
  <si>
    <t>Input values:</t>
  </si>
  <si>
    <t>Oxygen + Nitrogen content (wt%)</t>
  </si>
  <si>
    <t>Carbon</t>
  </si>
  <si>
    <t>Hydrogen</t>
  </si>
  <si>
    <t>Sulfur</t>
  </si>
  <si>
    <t>Oxygen + Nitrogen</t>
  </si>
  <si>
    <t>Source: Mechanical engineer's handbook - Energy &amp; Power (3rd edition). John Wiley &amp; Sons. Chapter 17: Gaseous Fuels, Table 2</t>
  </si>
  <si>
    <t>Source: Ganapathy (2003) - Industrial boilers and heat recovery steam generators, Design, Applications, and Calculations, Marcel Dekker Inc.</t>
  </si>
  <si>
    <t>Mol mass</t>
  </si>
  <si>
    <t>Mol C</t>
  </si>
  <si>
    <t>Mol H</t>
  </si>
  <si>
    <t>Btu/scf</t>
  </si>
  <si>
    <t>g/mol</t>
  </si>
  <si>
    <t>mol/kg</t>
  </si>
  <si>
    <t>mol/mol</t>
  </si>
  <si>
    <t>HHV</t>
  </si>
  <si>
    <t>LHV</t>
  </si>
  <si>
    <t>Mol S</t>
  </si>
  <si>
    <t>Reactive mol/mol</t>
  </si>
  <si>
    <t>Input gas</t>
  </si>
  <si>
    <t>Mols reactants</t>
  </si>
  <si>
    <t>Mols from air</t>
  </si>
  <si>
    <t>Products</t>
  </si>
  <si>
    <t>Inputs</t>
  </si>
  <si>
    <t>Outputs</t>
  </si>
  <si>
    <t>mol/mol fuel</t>
  </si>
  <si>
    <t>Reactants from air</t>
  </si>
  <si>
    <t>Products from fuel +air</t>
  </si>
  <si>
    <t>Mols/mol fuel</t>
  </si>
  <si>
    <t>Reactants/mol fuel</t>
  </si>
  <si>
    <t>Products/mol fuel</t>
  </si>
  <si>
    <r>
      <rPr>
        <vertAlign val="superscript"/>
        <sz val="12"/>
        <color theme="1"/>
        <rFont val="Helvetica"/>
      </rPr>
      <t>◦</t>
    </r>
    <r>
      <rPr>
        <sz val="12"/>
        <color theme="1"/>
        <rFont val="Helvetica"/>
        <family val="2"/>
      </rPr>
      <t>F</t>
    </r>
  </si>
  <si>
    <r>
      <t>C</t>
    </r>
    <r>
      <rPr>
        <vertAlign val="subscript"/>
        <sz val="12"/>
        <color theme="1"/>
        <rFont val="Helvetica"/>
      </rPr>
      <t>4</t>
    </r>
    <r>
      <rPr>
        <sz val="12"/>
        <color theme="1"/>
        <rFont val="Helvetica"/>
        <family val="2"/>
      </rPr>
      <t>H</t>
    </r>
    <r>
      <rPr>
        <vertAlign val="subscript"/>
        <sz val="12"/>
        <color theme="1"/>
        <rFont val="Helvetica"/>
      </rPr>
      <t>10</t>
    </r>
  </si>
  <si>
    <t>Fuel type</t>
  </si>
  <si>
    <t>Production &amp; Extraction</t>
  </si>
  <si>
    <t>Downhole pump</t>
  </si>
  <si>
    <t>Water re-injection pump</t>
  </si>
  <si>
    <t>Gas re-injection compressor</t>
  </si>
  <si>
    <t>Fuel code</t>
  </si>
  <si>
    <t>1A</t>
  </si>
  <si>
    <t>Diesel</t>
  </si>
  <si>
    <t>Fuel codes:</t>
  </si>
  <si>
    <r>
      <t>lb H</t>
    </r>
    <r>
      <rPr>
        <vertAlign val="subscript"/>
        <sz val="11"/>
        <color theme="1"/>
        <rFont val="Helvetica"/>
      </rPr>
      <t>2</t>
    </r>
    <r>
      <rPr>
        <sz val="11"/>
        <color theme="1"/>
        <rFont val="Helvetica"/>
      </rPr>
      <t>O/d</t>
    </r>
  </si>
  <si>
    <t xml:space="preserve"> </t>
  </si>
  <si>
    <t>Production</t>
  </si>
  <si>
    <t>Crude oil processing</t>
  </si>
  <si>
    <t>Change on sheet "Production &amp; Extraction (p)"</t>
  </si>
  <si>
    <t>Air separation unit</t>
  </si>
  <si>
    <t>Dehydration heater</t>
  </si>
  <si>
    <t>Stabilizer column</t>
  </si>
  <si>
    <t>Gas processing</t>
  </si>
  <si>
    <t>Amine treater</t>
  </si>
  <si>
    <t>Air coolers</t>
  </si>
  <si>
    <t>Glycol pump</t>
  </si>
  <si>
    <t>Stage 1:</t>
  </si>
  <si>
    <t>Stage 2:</t>
  </si>
  <si>
    <t>Stage 3:</t>
  </si>
  <si>
    <t>Stage 4:</t>
  </si>
  <si>
    <t>Glycol dehydrator</t>
  </si>
  <si>
    <t>ft3 per bbl</t>
  </si>
  <si>
    <t>ft3/bbl</t>
  </si>
  <si>
    <t>lb/ft3</t>
  </si>
  <si>
    <t>Vol</t>
  </si>
  <si>
    <t>kWh/scf</t>
  </si>
  <si>
    <t>Crude Transport</t>
  </si>
  <si>
    <t>Calculation of GHG emissions from crude oil transportation to refinery</t>
  </si>
  <si>
    <t>Positive value is import (subject to debit)</t>
  </si>
  <si>
    <t>Negative value is export (subject to credit)</t>
  </si>
  <si>
    <t>Hassan M. El-Houjeiri</t>
  </si>
  <si>
    <t xml:space="preserve">Note(s): </t>
  </si>
  <si>
    <t>Biomass</t>
  </si>
  <si>
    <t>Coal</t>
  </si>
  <si>
    <t>NG</t>
  </si>
  <si>
    <t>Nuclear</t>
  </si>
  <si>
    <t>Renewables</t>
  </si>
  <si>
    <t>Oil</t>
  </si>
  <si>
    <t>Feedstock</t>
  </si>
  <si>
    <t>Fuel</t>
  </si>
  <si>
    <t>Note(s):</t>
  </si>
  <si>
    <t>MMBtu/bbl</t>
  </si>
  <si>
    <t>Natural Gas</t>
  </si>
  <si>
    <t>Diesel Fuel</t>
  </si>
  <si>
    <t>Large Gas Turbine</t>
  </si>
  <si>
    <t>CC Gas Turbine</t>
  </si>
  <si>
    <t>Small Turbine</t>
  </si>
  <si>
    <t>Stationary Reciprocating Engine</t>
  </si>
  <si>
    <t>Industrial Boiler</t>
  </si>
  <si>
    <t>Commercial Boiler</t>
  </si>
  <si>
    <t>Turbine</t>
  </si>
  <si>
    <t>VOC</t>
  </si>
  <si>
    <t>CH4</t>
  </si>
  <si>
    <t>N2O</t>
  </si>
  <si>
    <t>CO2</t>
  </si>
  <si>
    <t>GHG</t>
  </si>
  <si>
    <t>GHG emissions panel</t>
  </si>
  <si>
    <t>gCO2eq/d</t>
  </si>
  <si>
    <t>Glycol pump is electric by default - Direct GHG emissions is 0</t>
  </si>
  <si>
    <t>Air coolers in amine treater use electricity driven fans - Direct GHG emissions is 0</t>
  </si>
  <si>
    <t>Pumps in amine treater are electric by default - Direct GHG emissions is 0</t>
  </si>
  <si>
    <t>All fuel used in water treatment is electricity - Direct GHG emissions is 0</t>
  </si>
  <si>
    <t>Glycol reboiler is natural gas fired by default</t>
  </si>
  <si>
    <t>Natural gas fired</t>
  </si>
  <si>
    <t>Either natural gas fired or electric</t>
  </si>
  <si>
    <t>All fuel used in a cryogenic air separator is electricity - Direct GHG emissions is 0</t>
  </si>
  <si>
    <t>Flaring</t>
  </si>
  <si>
    <t>Electricity supply GHG emissions</t>
  </si>
  <si>
    <t>MJ per Btu</t>
  </si>
  <si>
    <t>MJ/Btu</t>
  </si>
  <si>
    <t>Remaining gas</t>
  </si>
  <si>
    <t>User inputs and summary results</t>
  </si>
  <si>
    <t>These results are derived from calculations in following sheets</t>
  </si>
  <si>
    <t>Drilling &amp; development</t>
  </si>
  <si>
    <t>User Reference</t>
  </si>
  <si>
    <t>Assumed zero unless reported otherwise by the operator</t>
  </si>
  <si>
    <t>Only amine treater is assumed. No replacement of solid materials.</t>
  </si>
  <si>
    <t>Event/yr</t>
  </si>
  <si>
    <t>g/Event</t>
  </si>
  <si>
    <t>ARB (2007), Tables 2-3 and 4-8</t>
  </si>
  <si>
    <t>ARB (2007), Tables 2-3 and 4-10</t>
  </si>
  <si>
    <t>Well workovers</t>
  </si>
  <si>
    <t xml:space="preserve">Ultra-Heavy Oil (API&lt;10) </t>
  </si>
  <si>
    <t>Heavy Oil (API 10-20)</t>
  </si>
  <si>
    <t>Light Oil (API 20-30)</t>
  </si>
  <si>
    <t>Ultra-Light Oil (API&gt;30)</t>
  </si>
  <si>
    <t>Gas dehydrator</t>
  </si>
  <si>
    <t>g/MMscf</t>
  </si>
  <si>
    <t>Compressors</t>
  </si>
  <si>
    <t>g/unit-yr</t>
  </si>
  <si>
    <t>Startups</t>
  </si>
  <si>
    <t>Blowdowns</t>
  </si>
  <si>
    <t>ARB (2007), Tables 15-1 &amp; 15-5</t>
  </si>
  <si>
    <t>ARB (2007), Tables 15-1 &amp; 15-6</t>
  </si>
  <si>
    <t>Source: ARB (2007)</t>
  </si>
  <si>
    <t>Venting source</t>
  </si>
  <si>
    <t>Note(s)</t>
  </si>
  <si>
    <t>Gathering pipeline maintenance and pigging</t>
  </si>
  <si>
    <t>Maintenance</t>
  </si>
  <si>
    <t xml:space="preserve">ARB (2007), Tables 16-1 &amp; 16-4 </t>
  </si>
  <si>
    <t>Pigging</t>
  </si>
  <si>
    <t>Total emissions divided by total number of gathering system pipeline miles</t>
  </si>
  <si>
    <t xml:space="preserve">ARB (2007), Tables 16-3 &amp; 16-4 </t>
  </si>
  <si>
    <t xml:space="preserve">Total emissions divided by total number of compressor years </t>
  </si>
  <si>
    <t>No emissions reported for ultra-heavy oil facilities</t>
  </si>
  <si>
    <t>Total emissions divided by total number of reported events</t>
  </si>
  <si>
    <t>Well cleanups</t>
  </si>
  <si>
    <t>Method limitation(s):</t>
  </si>
  <si>
    <t>ARB (2007), Table 4-8</t>
  </si>
  <si>
    <t>ARB (2007), Table 4-10</t>
  </si>
  <si>
    <t>g/mile-yr</t>
  </si>
  <si>
    <t>Fugitives source</t>
  </si>
  <si>
    <t>2- Units/events/pipelines (e.g. compressors, openings, miles) are allocated evenly between facilities irrespective of facility type (e.g. onshore crude, natural gas processing) and size</t>
  </si>
  <si>
    <t>Active wells</t>
  </si>
  <si>
    <t>ARB (2007), Table 4-5</t>
  </si>
  <si>
    <t>ARB (2007), Table 4-7</t>
  </si>
  <si>
    <t>Total emissions divided by number of wells associated with ultra-heavy oil production</t>
  </si>
  <si>
    <t>Total emissions divided by number of wells associated with heavy oil production</t>
  </si>
  <si>
    <t>Total emissions divided by number of wells associated with light oil production</t>
  </si>
  <si>
    <t>Total emissions divided by number of wells associated with ultra-light oil production</t>
  </si>
  <si>
    <t>Well cellars</t>
  </si>
  <si>
    <t>AGR unit</t>
  </si>
  <si>
    <t>Gathering pipeline</t>
  </si>
  <si>
    <t>ARB (2007), Table 16-5</t>
  </si>
  <si>
    <t>ARB (2007), Table 17-3</t>
  </si>
  <si>
    <t>Total fugitives of gathering pipelines divided by number of pipeline miles</t>
  </si>
  <si>
    <t>Sumps and pits</t>
  </si>
  <si>
    <t>ARB (2007), Table 18-1</t>
  </si>
  <si>
    <t>Total fugitives of crude oil sumps and pits divided by total number of sumps and pits</t>
  </si>
  <si>
    <t>Gas service</t>
  </si>
  <si>
    <t>Light oil service</t>
  </si>
  <si>
    <t>Heavy oil service</t>
  </si>
  <si>
    <t>Connectors</t>
  </si>
  <si>
    <t>Flanges</t>
  </si>
  <si>
    <t>Valves</t>
  </si>
  <si>
    <t>Open end lines</t>
  </si>
  <si>
    <t>Pump seals</t>
  </si>
  <si>
    <t>Components &lt;10,000 ppmv</t>
  </si>
  <si>
    <t>Others (compressors, hatches, etc)</t>
  </si>
  <si>
    <t>Components &gt;=10,000 ppmv</t>
  </si>
  <si>
    <t>Separators (e.g. free knock out, etc)</t>
  </si>
  <si>
    <t>pounds per component-day</t>
  </si>
  <si>
    <t>g per component-yr</t>
  </si>
  <si>
    <t>1- Emissions are allocated evenly between units (e.g. compressors) irrespective of unit type (e.g. reciprocating), age, specs and size</t>
  </si>
  <si>
    <t>Total fugitives of separators divided by number of separators</t>
  </si>
  <si>
    <t>API (1996), Pub. 4638, Tables 2 &amp; 3</t>
  </si>
  <si>
    <t>unit</t>
  </si>
  <si>
    <t>mile</t>
  </si>
  <si>
    <t>Event</t>
  </si>
  <si>
    <t>ARB (2007), Tables 2-3 and 16-1</t>
  </si>
  <si>
    <t>ARB (2007), Tables 2-3 and 16-3</t>
  </si>
  <si>
    <t>MMscf/yr</t>
  </si>
  <si>
    <t>ARB (2007), Tables 2-3 and 4-5</t>
  </si>
  <si>
    <t>ARB (2007), Tables 2-3 and 4-7</t>
  </si>
  <si>
    <t>t/MMscf</t>
  </si>
  <si>
    <t>t/Event</t>
  </si>
  <si>
    <t>t/unit-yr</t>
  </si>
  <si>
    <t>t/mile-yr</t>
  </si>
  <si>
    <t>ARB (2007), Tables 2-3 and 17-1</t>
  </si>
  <si>
    <t>ARB (2007), Tables 2-3 and 18-1</t>
  </si>
  <si>
    <t>The number of connectors is about three times the number of valves</t>
  </si>
  <si>
    <t>About 10% of all valves have one side that can be opened to the atmosphere (open-ends)</t>
  </si>
  <si>
    <t>The number of other components is approximately 5% of the number of valves</t>
  </si>
  <si>
    <t>The number of flanges is usually about the same as the number of valves</t>
  </si>
  <si>
    <t>API (1996), Publ. 4638, p.14</t>
  </si>
  <si>
    <t>BCM/yr</t>
  </si>
  <si>
    <t>MMscf/bbl</t>
  </si>
  <si>
    <t>ft3/m3</t>
  </si>
  <si>
    <t>ft3 per m3</t>
  </si>
  <si>
    <t>1000 BPD</t>
  </si>
  <si>
    <t>MJ per MMBtu</t>
  </si>
  <si>
    <t>MJ/MMBtu</t>
  </si>
  <si>
    <t>Water flooding injection pump</t>
  </si>
  <si>
    <t>Gas lifting compressor</t>
  </si>
  <si>
    <t>g/d</t>
  </si>
  <si>
    <t>Gas</t>
  </si>
  <si>
    <t>g/ft3</t>
  </si>
  <si>
    <t>C2H6</t>
  </si>
  <si>
    <t>C3H8</t>
  </si>
  <si>
    <t>C4H10</t>
  </si>
  <si>
    <t>tCO2eq/d</t>
  </si>
  <si>
    <t>Weight (g/d)</t>
  </si>
  <si>
    <t>Volume (scf/d)</t>
  </si>
  <si>
    <t>LHV (Btu/d)</t>
  </si>
  <si>
    <t>HHV (Btu/d)</t>
  </si>
  <si>
    <t>Workovers &amp; Cleanups</t>
  </si>
  <si>
    <t>Gathering pipelines</t>
  </si>
  <si>
    <t>Loss factor</t>
  </si>
  <si>
    <t>CH4: combustion</t>
  </si>
  <si>
    <t>Emissions (g/MMBtu):</t>
  </si>
  <si>
    <t>Other</t>
  </si>
  <si>
    <t>Energy use (Btu/Btu)</t>
  </si>
  <si>
    <t>Separators</t>
  </si>
  <si>
    <t>Components</t>
  </si>
  <si>
    <t>Assume 75% of valves are in crude service and 25% are in gas service</t>
  </si>
  <si>
    <t>VOC speciation (31% C2, 42% C3 and 27% C4) is assumed based on a ratio generated from fugitives gas composition in Table ES-1, API (1998), Publ. 4683</t>
  </si>
  <si>
    <t>tCO2eq/yr</t>
  </si>
  <si>
    <t>Low number events and units are not rounded</t>
  </si>
  <si>
    <t>MMBtu/yr</t>
  </si>
  <si>
    <t>Fugitives</t>
  </si>
  <si>
    <t>Crude production and extraction (p)</t>
  </si>
  <si>
    <t>Surface processing (s)</t>
  </si>
  <si>
    <t>Maintenance (m)</t>
  </si>
  <si>
    <t>Category</t>
  </si>
  <si>
    <t>Surface flaring unit - includes flaring of recovered gas from maintenance</t>
  </si>
  <si>
    <t>No direct flaring in maintenance</t>
  </si>
  <si>
    <t>No direct flaring in extraction</t>
  </si>
  <si>
    <t>Fugitives of active wells and well cellars</t>
  </si>
  <si>
    <t>Fugitives of gas processing units, separators, pipeline gatherings, sumps and pits, and components (valves, seals, flanges, etc)</t>
  </si>
  <si>
    <t>Vents of compressor blowdowns, well workovers and cleanups, separators cleaning and repair, pipeline gathering maintenance and pigging</t>
  </si>
  <si>
    <t>G3306</t>
  </si>
  <si>
    <t>Btu/bhp-hr</t>
  </si>
  <si>
    <t>100% Load</t>
  </si>
  <si>
    <t>75% Load</t>
  </si>
  <si>
    <t>bhp</t>
  </si>
  <si>
    <t>G3304</t>
  </si>
  <si>
    <t>G3408/TM9151-05</t>
  </si>
  <si>
    <t>G3408/TM8633-01</t>
  </si>
  <si>
    <t>G3408/TM9213-04</t>
  </si>
  <si>
    <t>G3412/DM8646-00</t>
  </si>
  <si>
    <t>G3412/DM5206-04</t>
  </si>
  <si>
    <t>G3512 LE/DM8617-01</t>
  </si>
  <si>
    <t>G3512 LE/DM8619-01</t>
  </si>
  <si>
    <t>Saturn 20</t>
  </si>
  <si>
    <t>Centaur 40</t>
  </si>
  <si>
    <t>Centaur 50</t>
  </si>
  <si>
    <t>Source: Solar Turbines (Caterpillar) technical data sheets (http://mysolar.cat.com/cda/layout?m=35881&amp;x=7)</t>
  </si>
  <si>
    <t>Taurus 60</t>
  </si>
  <si>
    <t>Taurus 70</t>
  </si>
  <si>
    <t>Mars 90</t>
  </si>
  <si>
    <t>Mars 100</t>
  </si>
  <si>
    <t>Titan 130</t>
  </si>
  <si>
    <t>3406C</t>
  </si>
  <si>
    <t>G3516B/DM5490</t>
  </si>
  <si>
    <t>hp per kW</t>
  </si>
  <si>
    <t>hp/kW</t>
  </si>
  <si>
    <t>kWh per MJ</t>
  </si>
  <si>
    <t>kWh/MJ</t>
  </si>
  <si>
    <t>Btu per MJ</t>
  </si>
  <si>
    <t>Btu/MJ</t>
  </si>
  <si>
    <t>G3608/DM5047</t>
  </si>
  <si>
    <t>G3608/DM5046</t>
  </si>
  <si>
    <t>G3520C</t>
  </si>
  <si>
    <t>50% Load</t>
  </si>
  <si>
    <t>H2S + 1.5O2 =&gt; SO2 + H2O</t>
  </si>
  <si>
    <t>Density</t>
  </si>
  <si>
    <t>C ratio</t>
  </si>
  <si>
    <t>(% by wt)</t>
  </si>
  <si>
    <t>Liquid Fuels:</t>
  </si>
  <si>
    <t>grams/gal</t>
  </si>
  <si>
    <t>Reformulated or low-sulfur gasoline</t>
  </si>
  <si>
    <t>CA reformulated gasoline</t>
  </si>
  <si>
    <t>Diesel for non-road engines</t>
  </si>
  <si>
    <t>Low-sulfur diesel</t>
  </si>
  <si>
    <t>U.S. conventional diesel</t>
  </si>
  <si>
    <t>3412C</t>
  </si>
  <si>
    <t>Notes:</t>
  </si>
  <si>
    <t>3512B</t>
  </si>
  <si>
    <t>3512B-HD</t>
  </si>
  <si>
    <t>Source: Caterpillar technical data sheets</t>
  </si>
  <si>
    <t>3516B</t>
  </si>
  <si>
    <t>C175-16</t>
  </si>
  <si>
    <t>Source: General Electric (GE) technical data sheets</t>
  </si>
  <si>
    <t>841 IEC/N495</t>
  </si>
  <si>
    <t>841 IEC/N424</t>
  </si>
  <si>
    <t>841 IEC/N434</t>
  </si>
  <si>
    <t>841 IEC/N437</t>
  </si>
  <si>
    <t>841 IEC/N443</t>
  </si>
  <si>
    <t>841 IEC/N455</t>
  </si>
  <si>
    <t>841 IEC/N462</t>
  </si>
  <si>
    <t>841 IEC/N468</t>
  </si>
  <si>
    <t>Quantum-LMV</t>
  </si>
  <si>
    <t>NA= Not available</t>
  </si>
  <si>
    <t>kWh/Btu</t>
  </si>
  <si>
    <t>kWh per Btu</t>
  </si>
  <si>
    <t>MMBtu per MWh</t>
  </si>
  <si>
    <t>Btu per kWh</t>
  </si>
  <si>
    <t>Btu/kWh</t>
  </si>
  <si>
    <t>MMBtu/MWh</t>
  </si>
  <si>
    <t>3= Diesel generator set</t>
  </si>
  <si>
    <t>kW per hp</t>
  </si>
  <si>
    <t>kW/hp</t>
  </si>
  <si>
    <t>A typical CAT generator efficiency of 96% is assumed</t>
  </si>
  <si>
    <t>Vents from workovers and cleanups</t>
  </si>
  <si>
    <t xml:space="preserve">Fugitives from active wells and well cellars </t>
  </si>
  <si>
    <t>GOR is calculated at the separator</t>
  </si>
  <si>
    <t>Total vents and fugitives</t>
  </si>
  <si>
    <t>Adjusted to account for recovered gas</t>
  </si>
  <si>
    <t>Electric motor</t>
  </si>
  <si>
    <t>Note:</t>
  </si>
  <si>
    <t>C18</t>
  </si>
  <si>
    <t>VFF</t>
  </si>
  <si>
    <t>Drilling</t>
  </si>
  <si>
    <t>Processing</t>
  </si>
  <si>
    <t>Waste</t>
  </si>
  <si>
    <t>Energy consumption [MJ/MJ]</t>
  </si>
  <si>
    <t>EPA (2008)</t>
  </si>
  <si>
    <t>kWh/bhp-hr</t>
  </si>
  <si>
    <t>bbl steam/bbl oil</t>
  </si>
  <si>
    <t>N2</t>
  </si>
  <si>
    <t>H2S</t>
  </si>
  <si>
    <t>Composition on dry basis</t>
  </si>
  <si>
    <t>bbl water/bbl oil</t>
  </si>
  <si>
    <t>scf/bbl oil</t>
  </si>
  <si>
    <t>Waste disposal emissions are not included in the current version of the model</t>
  </si>
  <si>
    <t>NGL</t>
  </si>
  <si>
    <t>Default calculated based on satellite data from NOAA</t>
  </si>
  <si>
    <t>GHG emissions [gCO2eq/MJ]</t>
  </si>
  <si>
    <t>Typical Cp/Cv ratios in oil-producing operations: 1.16, 1.28, 1.40</t>
  </si>
  <si>
    <t>Manning, F. and Thompson, R. (1991), p. 160</t>
  </si>
  <si>
    <t>Energy consumption compilation sheet</t>
  </si>
  <si>
    <t>This sheet compiles results on energy consumption from all other sheets for use in the "User inputs &amp; Results" sheet.</t>
  </si>
  <si>
    <t>GHG emissions compilation sheet</t>
  </si>
  <si>
    <t>This sheet compiles emissions quantities from the various pages for use in the "User Inputs &amp; Results" sheet.</t>
  </si>
  <si>
    <r>
      <t>Btu/bbl-</t>
    </r>
    <r>
      <rPr>
        <vertAlign val="superscript"/>
        <sz val="12"/>
        <color theme="1"/>
        <rFont val="Helvetica"/>
      </rPr>
      <t>◦</t>
    </r>
    <r>
      <rPr>
        <sz val="12"/>
        <color theme="1"/>
        <rFont val="Helvetica"/>
        <family val="2"/>
      </rPr>
      <t>F</t>
    </r>
  </si>
  <si>
    <r>
      <t>gal TEG/lb H</t>
    </r>
    <r>
      <rPr>
        <vertAlign val="subscript"/>
        <sz val="12"/>
        <color theme="1"/>
        <rFont val="Helvetica"/>
      </rPr>
      <t>2</t>
    </r>
    <r>
      <rPr>
        <sz val="12"/>
        <color theme="1"/>
        <rFont val="Helvetica"/>
        <family val="2"/>
      </rPr>
      <t>O</t>
    </r>
  </si>
  <si>
    <r>
      <t>lb H</t>
    </r>
    <r>
      <rPr>
        <vertAlign val="subscript"/>
        <sz val="12"/>
        <color theme="1"/>
        <rFont val="Helvetica"/>
      </rPr>
      <t>2</t>
    </r>
    <r>
      <rPr>
        <sz val="12"/>
        <color theme="1"/>
        <rFont val="Helvetica"/>
        <family val="2"/>
      </rPr>
      <t>O/MMscf</t>
    </r>
  </si>
  <si>
    <r>
      <t>lb H</t>
    </r>
    <r>
      <rPr>
        <vertAlign val="subscript"/>
        <sz val="12"/>
        <color theme="1"/>
        <rFont val="Helvetica"/>
      </rPr>
      <t>2</t>
    </r>
    <r>
      <rPr>
        <sz val="12"/>
        <color theme="1"/>
        <rFont val="Helvetica"/>
        <family val="2"/>
      </rPr>
      <t>O/d</t>
    </r>
  </si>
  <si>
    <r>
      <t>Btu/lb H</t>
    </r>
    <r>
      <rPr>
        <vertAlign val="subscript"/>
        <sz val="12"/>
        <color theme="1"/>
        <rFont val="Helvetica"/>
      </rPr>
      <t>2</t>
    </r>
    <r>
      <rPr>
        <sz val="12"/>
        <color theme="1"/>
        <rFont val="Helvetica"/>
        <family val="2"/>
      </rPr>
      <t>O</t>
    </r>
  </si>
  <si>
    <t>Supplemental worksheet: Gas balance</t>
  </si>
  <si>
    <t xml:space="preserve">This supplemental worksheet tracks the gas balance across process stages and ensures that gas is conserved in the system. </t>
  </si>
  <si>
    <t>Supplemental worksheet: Steam injection for thermal oil recovery</t>
  </si>
  <si>
    <r>
      <t xml:space="preserve">This </t>
    </r>
    <r>
      <rPr>
        <sz val="12"/>
        <color theme="1"/>
        <rFont val="Helvetica"/>
        <family val="2"/>
      </rPr>
      <t>supplemental work</t>
    </r>
    <r>
      <rPr>
        <sz val="12"/>
        <color theme="1"/>
        <rFont val="Helvetica"/>
        <family val="2"/>
      </rPr>
      <t>sheet models the energy consumption and emissions from steam generation for thermal enhanced oil recovery</t>
    </r>
  </si>
  <si>
    <t>Supplemental worksheet: Electricity generation</t>
  </si>
  <si>
    <r>
      <t xml:space="preserve">This </t>
    </r>
    <r>
      <rPr>
        <sz val="12"/>
        <color theme="1"/>
        <rFont val="Helvetica"/>
        <family val="2"/>
      </rPr>
      <t>supplemental work</t>
    </r>
    <r>
      <rPr>
        <sz val="12"/>
        <color theme="1"/>
        <rFont val="Helvetica"/>
        <family val="2"/>
      </rPr>
      <t>sheet calculates the amount of electricity generation, fuel consumption and GHG emissions</t>
    </r>
  </si>
  <si>
    <t>Supplemental worksheet: Drivers</t>
  </si>
  <si>
    <t>Supplemental worksheet: Fuel cycle emissions</t>
  </si>
  <si>
    <t>Supplemental worksheet: Emissions factors</t>
  </si>
  <si>
    <t>This worksheet also contains emissions factors for fugitive emissions from operations.</t>
  </si>
  <si>
    <t>Supplemental worksheet: Crude oil and other fuel specifications</t>
  </si>
  <si>
    <t>Supplemental worksheet: Other model data inputs</t>
  </si>
  <si>
    <t>Maintenance is included in the current model version within the venting, flaring and fugitive (VFF) supplemental worksheet.</t>
  </si>
  <si>
    <t>Waste disposal</t>
  </si>
  <si>
    <t>Waste disposal is not included in the current version of the model.</t>
  </si>
  <si>
    <t>N2, Ar</t>
  </si>
  <si>
    <t>O2</t>
  </si>
  <si>
    <t>H2O</t>
  </si>
  <si>
    <t>n-C4H10</t>
  </si>
  <si>
    <t>H2</t>
  </si>
  <si>
    <t>SO2</t>
  </si>
  <si>
    <t>Other (assume N2)</t>
  </si>
  <si>
    <t>H2O (v)</t>
  </si>
  <si>
    <t>Fuel inputs (assume CH4)</t>
  </si>
  <si>
    <t>H2O latent heat vaporization (hfg) @ 0 °C</t>
  </si>
  <si>
    <t>Notes: Copy highlighted column and paste 'as numbers' to generate a record</t>
  </si>
  <si>
    <t>Notes: Enter "1" where applicable and "0" where not applicable</t>
  </si>
  <si>
    <t>If water flooding applies then "0"</t>
  </si>
  <si>
    <t>Notes: Enter "NA" where not applicable</t>
  </si>
  <si>
    <r>
      <t>C</t>
    </r>
    <r>
      <rPr>
        <vertAlign val="subscript"/>
        <sz val="12"/>
        <color theme="1"/>
        <rFont val="Helvetica"/>
      </rPr>
      <t>1</t>
    </r>
  </si>
  <si>
    <r>
      <t>C</t>
    </r>
    <r>
      <rPr>
        <vertAlign val="subscript"/>
        <sz val="12"/>
        <color theme="1"/>
        <rFont val="Helvetica"/>
      </rPr>
      <t>2</t>
    </r>
  </si>
  <si>
    <r>
      <t>C</t>
    </r>
    <r>
      <rPr>
        <vertAlign val="subscript"/>
        <sz val="12"/>
        <color theme="1"/>
        <rFont val="Helvetica"/>
      </rPr>
      <t>3</t>
    </r>
  </si>
  <si>
    <t>Note(s): Correlations relating crude oil energy density as a function of API gravity</t>
  </si>
  <si>
    <r>
      <t>Source: Schmidt (1985)</t>
    </r>
    <r>
      <rPr>
        <i/>
        <sz val="12"/>
        <color theme="0" tint="-0.34998626667073579"/>
        <rFont val="Helvetica"/>
      </rPr>
      <t xml:space="preserve"> Fuel Oil Manual</t>
    </r>
  </si>
  <si>
    <r>
      <t>C</t>
    </r>
    <r>
      <rPr>
        <vertAlign val="subscript"/>
        <sz val="12"/>
        <color theme="0" tint="-0.34998626667073579"/>
        <rFont val="Helvetica"/>
      </rPr>
      <t>p</t>
    </r>
    <r>
      <rPr>
        <sz val="12"/>
        <color theme="0" tint="-0.34998626667073579"/>
        <rFont val="Helvetica"/>
      </rPr>
      <t xml:space="preserve"> = a + bT + cT</t>
    </r>
    <r>
      <rPr>
        <vertAlign val="superscript"/>
        <sz val="12"/>
        <color theme="0" tint="-0.34998626667073579"/>
        <rFont val="Helvetica"/>
      </rPr>
      <t>2</t>
    </r>
    <r>
      <rPr>
        <sz val="12"/>
        <color theme="0" tint="-0.34998626667073579"/>
        <rFont val="Helvetica"/>
      </rPr>
      <t xml:space="preserve"> + dT</t>
    </r>
    <r>
      <rPr>
        <vertAlign val="superscript"/>
        <sz val="12"/>
        <color theme="0" tint="-0.34998626667073579"/>
        <rFont val="Helvetica"/>
      </rPr>
      <t>3</t>
    </r>
  </si>
  <si>
    <r>
      <t>h = aT + b/2T</t>
    </r>
    <r>
      <rPr>
        <vertAlign val="superscript"/>
        <sz val="12"/>
        <color theme="0" tint="-0.34998626667073579"/>
        <rFont val="Helvetica"/>
      </rPr>
      <t>2</t>
    </r>
    <r>
      <rPr>
        <sz val="12"/>
        <color theme="0" tint="-0.34998626667073579"/>
        <rFont val="Helvetica"/>
      </rPr>
      <t xml:space="preserve"> + c/3*T</t>
    </r>
    <r>
      <rPr>
        <vertAlign val="superscript"/>
        <sz val="12"/>
        <color theme="0" tint="-0.34998626667073579"/>
        <rFont val="Helvetica"/>
      </rPr>
      <t>3</t>
    </r>
    <r>
      <rPr>
        <sz val="12"/>
        <color theme="0" tint="-0.34998626667073579"/>
        <rFont val="Helvetica"/>
      </rPr>
      <t xml:space="preserve"> + d/4*T</t>
    </r>
    <r>
      <rPr>
        <vertAlign val="superscript"/>
        <sz val="12"/>
        <color theme="0" tint="-0.34998626667073579"/>
        <rFont val="Helvetica"/>
      </rPr>
      <t>4</t>
    </r>
    <r>
      <rPr>
        <sz val="12"/>
        <color theme="0" tint="-0.34998626667073579"/>
        <rFont val="Helvetica"/>
      </rPr>
      <t xml:space="preserve"> + C</t>
    </r>
  </si>
  <si>
    <r>
      <t>T</t>
    </r>
    <r>
      <rPr>
        <vertAlign val="subscript"/>
        <sz val="12"/>
        <color theme="0" tint="-0.34998626667073579"/>
        <rFont val="Helvetica"/>
      </rPr>
      <t>0</t>
    </r>
    <r>
      <rPr>
        <sz val="12"/>
        <color theme="0" tint="-0.34998626667073579"/>
        <rFont val="Helvetica"/>
      </rPr>
      <t xml:space="preserve"> =</t>
    </r>
  </si>
  <si>
    <t>Oil Production Greenhouse gas Emissions Estimator (OPGEE)</t>
  </si>
  <si>
    <t>Electricity from grid</t>
  </si>
  <si>
    <t>Energy exports/imports by fuel type</t>
  </si>
  <si>
    <t>Some emissions sources have the potential to reduce effective emissions through offsets. These are marked with [-].</t>
  </si>
  <si>
    <t>Assumed 80% cooling (imperfect cooling); discharge temperature calculated using eq. (5.7), SPE monopgraph volume 22</t>
  </si>
  <si>
    <t>Low carbon stock (semi-arid grasslands)</t>
  </si>
  <si>
    <t>Moderate carbon stock (mixed)</t>
  </si>
  <si>
    <t>Low intensity</t>
  </si>
  <si>
    <t>Moderate intensity</t>
  </si>
  <si>
    <t>High intensity</t>
  </si>
  <si>
    <t>Soil carbon</t>
  </si>
  <si>
    <t>Foregone sequestration</t>
  </si>
  <si>
    <t>Low intensity drilling</t>
  </si>
  <si>
    <t>High intensity drilling</t>
  </si>
  <si>
    <t xml:space="preserve">Source: Brandt (2011) p. 1843, eq. 4 &amp; 5. Original data from Canadian drilling operations, cited in Petroleum Services Association of Canada (2001, 2002, 2005) </t>
  </si>
  <si>
    <t>Conventional, in situ production via wellbore</t>
  </si>
  <si>
    <t>Mining-based production</t>
  </si>
  <si>
    <t>Mining-based production does not include land use change on this sheet, because this is counted in GHGenius</t>
  </si>
  <si>
    <t>Low carbon richness (semi-arid grasslands)</t>
  </si>
  <si>
    <t>Yeh et al. (2010)</t>
  </si>
  <si>
    <t>Corresponds to Yeh et al. (2010) California Marginal case (Table 3)</t>
  </si>
  <si>
    <t>Moderate carbon richness (mixed)</t>
  </si>
  <si>
    <t>Corresponds to mixed ecosystem</t>
  </si>
  <si>
    <t>High carbon richness (forested)</t>
  </si>
  <si>
    <t>Corresponds to Yeh et al. (2010) Alberta Marginal case</t>
  </si>
  <si>
    <t>Low intensity development and low oxidation</t>
  </si>
  <si>
    <t>Corresponds to Yeh et al. (2010) low end of range (Table 3)</t>
  </si>
  <si>
    <t>Moderate intensity development and moderate oxidation</t>
  </si>
  <si>
    <t>Corresponds to Yeh et al. (2010) representative value (Table 3)</t>
  </si>
  <si>
    <t>High intensity development and high oxidation</t>
  </si>
  <si>
    <t>Corresponds to Yeh et al. (2010) high end of range (Table 3)</t>
  </si>
  <si>
    <t>Emissions code:</t>
  </si>
  <si>
    <t>See above.</t>
  </si>
  <si>
    <t>Estimation of GHG emissions from drilling and field development</t>
  </si>
  <si>
    <t>Fuel Transported</t>
  </si>
  <si>
    <t>Crude Oil</t>
  </si>
  <si>
    <t>Ocean Tanker</t>
  </si>
  <si>
    <t>Barge</t>
  </si>
  <si>
    <t>Crude Pipeline</t>
  </si>
  <si>
    <t>Trip from Product Origin to Destination</t>
  </si>
  <si>
    <t>Trip from Product Destination Back to Origin</t>
  </si>
  <si>
    <t xml:space="preserve">Average Speed (Miles/Hour) </t>
  </si>
  <si>
    <t xml:space="preserve">    Load Factor</t>
  </si>
  <si>
    <t>Transportation Mode</t>
  </si>
  <si>
    <t>Pipeline</t>
  </si>
  <si>
    <t>Rail</t>
  </si>
  <si>
    <t>Distance (Miles, one-way)</t>
  </si>
  <si>
    <t>Share of Fuel Type Used:</t>
  </si>
  <si>
    <t xml:space="preserve">                   Natural Gas</t>
  </si>
  <si>
    <t xml:space="preserve">                   Electricity</t>
  </si>
  <si>
    <t>Energy Intensity: Btu/ton-mile</t>
  </si>
  <si>
    <t xml:space="preserve">                  Origin to Destination</t>
  </si>
  <si>
    <t xml:space="preserve">                  Back-Haul</t>
  </si>
  <si>
    <t xml:space="preserve">              CO</t>
  </si>
  <si>
    <t xml:space="preserve">              N2O</t>
  </si>
  <si>
    <t xml:space="preserve">              CO2</t>
  </si>
  <si>
    <t xml:space="preserve">                   Residual Oil</t>
  </si>
  <si>
    <t xml:space="preserve">                   Diesel</t>
  </si>
  <si>
    <t>Distance (Miles, one-way) - Default</t>
  </si>
  <si>
    <t>Total Emissions: grams/MMBtu-mile fuel transported</t>
  </si>
  <si>
    <t>Total Energy consumption: Btu/MMBtu-mile fuel transported</t>
  </si>
  <si>
    <t>Feed loss</t>
  </si>
  <si>
    <t xml:space="preserve">              GHG</t>
  </si>
  <si>
    <t>Btu/MMBtu</t>
  </si>
  <si>
    <t>gCO2eq/MMBtu</t>
  </si>
  <si>
    <t xml:space="preserve">           Ocean tanker</t>
  </si>
  <si>
    <t xml:space="preserve">           Barge</t>
  </si>
  <si>
    <t xml:space="preserve">           Pipeline</t>
  </si>
  <si>
    <t xml:space="preserve">           Rail</t>
  </si>
  <si>
    <t>The shares here are for each mode traveled by the distance assumed above.</t>
  </si>
  <si>
    <t>Calculated from crude oil losses</t>
  </si>
  <si>
    <t xml:space="preserve">              CH4 (incl. fugitive)</t>
  </si>
  <si>
    <t xml:space="preserve">              VOC (incl. VOC from bulk terminal)</t>
  </si>
  <si>
    <t>Imported water</t>
  </si>
  <si>
    <t>2. Volume losses are small except in the case of wetlands</t>
  </si>
  <si>
    <t>3. It is seen that the electricity consumption in water treatment is significant in the cases of sea water desalination for injection</t>
  </si>
  <si>
    <t>&amp;</t>
  </si>
  <si>
    <t>Liquid petroleum gas (LPG)</t>
  </si>
  <si>
    <t>Gaseous Fuels (at 32F and 1atm):</t>
  </si>
  <si>
    <t>Btu/ft3</t>
  </si>
  <si>
    <t>gms/ft3</t>
  </si>
  <si>
    <t>Natural gas</t>
  </si>
  <si>
    <t>Gaseous hydrogen</t>
  </si>
  <si>
    <t>Carbon Dioxide</t>
  </si>
  <si>
    <t>Still gas (in refineries)</t>
  </si>
  <si>
    <t>For G3516 to G3520 the energy consumption  of the engine is calculated from the given generator set efficiency</t>
  </si>
  <si>
    <t>Sheet</t>
  </si>
  <si>
    <t>Cell</t>
  </si>
  <si>
    <t>Status</t>
  </si>
  <si>
    <t>Drilling &amp; Development</t>
  </si>
  <si>
    <t>Gas Balance</t>
  </si>
  <si>
    <t>Surface Processing</t>
  </si>
  <si>
    <t>Steam Injection</t>
  </si>
  <si>
    <t>MJ of crude output</t>
  </si>
  <si>
    <t>MJ of crude transported</t>
  </si>
  <si>
    <t>MJ of crude at refinery gate</t>
  </si>
  <si>
    <t>HHV=1</t>
  </si>
  <si>
    <t>LHV=2</t>
  </si>
  <si>
    <t>User Inputs &amp; Results</t>
  </si>
  <si>
    <t>Copyright statement</t>
  </si>
  <si>
    <t>All rights reserved.</t>
  </si>
  <si>
    <t xml:space="preserve">The Oil Production Greenhouse Gas Emissions Estimator (OPGEE) Program (Software), source code, binary files, and operating manuals are being provided free of charge.  Software may be downloaded, modified and redistributed freely under the following terms and conditions: </t>
  </si>
  <si>
    <t>Redistributions of any of the following: Software's source code, executables, and any other materials provided must</t>
  </si>
  <si>
    <t>Neither the name of Stanford University nor the names of the contributors may be used to endorse or promote products derived from this Software without specific prior written permission.</t>
  </si>
  <si>
    <t>Software is being provided “AS IS” and With All Faults. Users acknowledge that Stanford or contributors will not provide any maintenance or support for Software.</t>
  </si>
  <si>
    <t>Stanford makes no representations and extends no warranties of any kind, either express or implied.</t>
  </si>
  <si>
    <t>Stanford disclaims any express or implied warranty of merchantability, or fitness for a particular purpose, of non-infringement, or arising out of any course of dealing.</t>
  </si>
  <si>
    <t>Stanford is not liable for any special, consequential, lost profits, expectation, punitive or other indirect damages in connection with any claim arising out of or related to the use of Software whether grounded in tort (including negligence), strict liability, contract, or otherwise; and,</t>
  </si>
  <si>
    <t>Users will indemnify, hold harmless and defend Stanford against any claim of any kind arising out of or related to the exercise of any rights in this Agreement.</t>
  </si>
  <si>
    <r>
      <rPr>
        <sz val="12"/>
        <color theme="1"/>
        <rFont val="Helvetica"/>
        <family val="2"/>
      </rPr>
      <t>*</t>
    </r>
    <r>
      <rPr>
        <sz val="12"/>
        <color theme="1"/>
        <rFont val="Helvetica"/>
        <family val="2"/>
      </rPr>
      <t xml:space="preserve"> retain the above copyright notice</t>
    </r>
  </si>
  <si>
    <r>
      <rPr>
        <sz val="12"/>
        <color theme="1"/>
        <rFont val="Helvetica"/>
        <family val="2"/>
      </rPr>
      <t xml:space="preserve">* </t>
    </r>
    <r>
      <rPr>
        <sz val="12"/>
        <color theme="1"/>
        <rFont val="Helvetica"/>
        <family val="2"/>
      </rPr>
      <t>require that the source and executable with any modifications be made publicly available under these same terms and conditions and</t>
    </r>
  </si>
  <si>
    <r>
      <rPr>
        <sz val="12"/>
        <color theme="1"/>
        <rFont val="Helvetica"/>
        <family val="2"/>
      </rPr>
      <t xml:space="preserve">* </t>
    </r>
    <r>
      <rPr>
        <sz val="12"/>
        <color theme="1"/>
        <rFont val="Helvetica"/>
        <family val="2"/>
      </rPr>
      <t>be sent to: Adam Brandt, Department of Energy Resources Engineering, Stanford University, abrandt@stanford.edu</t>
    </r>
  </si>
  <si>
    <r>
      <rPr>
        <sz val="12"/>
        <color theme="1"/>
        <rFont val="Helvetica"/>
        <family val="2"/>
      </rPr>
      <t>* include t</t>
    </r>
    <r>
      <rPr>
        <sz val="12"/>
        <color theme="1"/>
        <rFont val="Helvetica"/>
        <family val="2"/>
      </rPr>
      <t xml:space="preserve">his entire Agreement </t>
    </r>
    <r>
      <rPr>
        <sz val="12"/>
        <color theme="1"/>
        <rFont val="Helvetica"/>
        <family val="2"/>
      </rPr>
      <t>with</t>
    </r>
    <r>
      <rPr>
        <sz val="12"/>
        <color theme="1"/>
        <rFont val="Helvetica"/>
        <family val="2"/>
      </rPr>
      <t xml:space="preserve"> any redistribution</t>
    </r>
  </si>
  <si>
    <t>USA</t>
  </si>
  <si>
    <t>A</t>
  </si>
  <si>
    <t>B</t>
  </si>
  <si>
    <t>D</t>
  </si>
  <si>
    <t>F</t>
  </si>
  <si>
    <t>Choose "A", "B", "C", "D"</t>
  </si>
  <si>
    <t>Turbine exhaust temp.</t>
  </si>
  <si>
    <t>Turbine specific power</t>
  </si>
  <si>
    <t>Btu e-/lb of exhaust</t>
  </si>
  <si>
    <t>Turbine efficiency</t>
  </si>
  <si>
    <t>Turbine excess air</t>
  </si>
  <si>
    <t>Mol O2/Mol O2 stoichiometric</t>
  </si>
  <si>
    <t>Assume 50 deg. F temperature loss between turbine and HRSG</t>
  </si>
  <si>
    <t>Enter primary input parameters and choices</t>
  </si>
  <si>
    <t>Produced water</t>
  </si>
  <si>
    <t>Mr</t>
  </si>
  <si>
    <t>Mr%</t>
  </si>
  <si>
    <t>Demethanizer</t>
  </si>
  <si>
    <t>Associated gas venting and fugitives</t>
  </si>
  <si>
    <r>
      <t>CO</t>
    </r>
    <r>
      <rPr>
        <vertAlign val="subscript"/>
        <sz val="10"/>
        <color rgb="FF000000"/>
        <rFont val="Helvetica"/>
      </rPr>
      <t>2</t>
    </r>
  </si>
  <si>
    <r>
      <t>C</t>
    </r>
    <r>
      <rPr>
        <vertAlign val="subscript"/>
        <sz val="10"/>
        <color rgb="FF000000"/>
        <rFont val="Helvetica"/>
      </rPr>
      <t>1</t>
    </r>
  </si>
  <si>
    <r>
      <t>C</t>
    </r>
    <r>
      <rPr>
        <vertAlign val="subscript"/>
        <sz val="10"/>
        <color rgb="FF000000"/>
        <rFont val="Helvetica"/>
      </rPr>
      <t>2</t>
    </r>
  </si>
  <si>
    <r>
      <t>C</t>
    </r>
    <r>
      <rPr>
        <vertAlign val="subscript"/>
        <sz val="10"/>
        <color rgb="FF000000"/>
        <rFont val="Helvetica"/>
      </rPr>
      <t>3</t>
    </r>
  </si>
  <si>
    <r>
      <t>C</t>
    </r>
    <r>
      <rPr>
        <vertAlign val="subscript"/>
        <sz val="10"/>
        <color rgb="FF000000"/>
        <rFont val="Helvetica"/>
      </rPr>
      <t>4</t>
    </r>
  </si>
  <si>
    <r>
      <t>H</t>
    </r>
    <r>
      <rPr>
        <vertAlign val="subscript"/>
        <sz val="10"/>
        <color rgb="FF000000"/>
        <rFont val="Helvetica"/>
      </rPr>
      <t>2</t>
    </r>
    <r>
      <rPr>
        <sz val="10"/>
        <color rgb="FF000000"/>
        <rFont val="Helvetica"/>
      </rPr>
      <t>S</t>
    </r>
  </si>
  <si>
    <r>
      <t>N</t>
    </r>
    <r>
      <rPr>
        <vertAlign val="subscript"/>
        <sz val="10"/>
        <color rgb="FF000000"/>
        <rFont val="Helvetica"/>
      </rPr>
      <t>2</t>
    </r>
  </si>
  <si>
    <t xml:space="preserve">H2S to sulfur </t>
  </si>
  <si>
    <t>The higher the operating pressure, the higher is the oil yield</t>
  </si>
  <si>
    <t>Median of reported values</t>
  </si>
  <si>
    <t>Assumed electric by default</t>
  </si>
  <si>
    <t>Prime mover is electric by default</t>
  </si>
  <si>
    <t>Manning, F. and Thompson, R. (1991)</t>
  </si>
  <si>
    <t>scf/bbl</t>
  </si>
  <si>
    <t>bbl/d</t>
  </si>
  <si>
    <t>tCO2/d</t>
  </si>
  <si>
    <t>Density @ STP</t>
  </si>
  <si>
    <t>VOCs</t>
  </si>
  <si>
    <t>GWP</t>
  </si>
  <si>
    <t>Overall gas composition check:</t>
  </si>
  <si>
    <t>1= Natural gas generator set</t>
  </si>
  <si>
    <t>2= Natural gas turbine</t>
  </si>
  <si>
    <t>Natural gas engine</t>
  </si>
  <si>
    <t>Source: IPCC, 2007 (Fourth Report)</t>
  </si>
  <si>
    <t>Round inlet water temperature to nearest 20 F.</t>
  </si>
  <si>
    <t>Chilingarian et al. 1987, p. 228</t>
  </si>
  <si>
    <t>Chilingarian, Robertson et al. note that "piping friction losses can represent 10-50% of the steam pressure developed at the outlet of the steam generator." (p. 228)  We assume 25% loss of reservoir pressure for moderate approach.</t>
  </si>
  <si>
    <t>Round steam pressure to nearest 5 psia</t>
  </si>
  <si>
    <t>Only choose 1 from gaseous or liquid fuels</t>
  </si>
  <si>
    <t>Shares for OTSG gaseous fuel must sum to 1.</t>
  </si>
  <si>
    <t>t/d</t>
  </si>
  <si>
    <t>GJ/d</t>
  </si>
  <si>
    <t>Eff:</t>
  </si>
  <si>
    <t>Computes weighted average from fraction natural gas vs. produced gas. Change composition of natural gas and associated gas in "Fuel Specs" sheet.</t>
  </si>
  <si>
    <t>Check: Composition fractions must sum to 1.</t>
  </si>
  <si>
    <t>Mass fraction carbon</t>
  </si>
  <si>
    <r>
      <t>h</t>
    </r>
    <r>
      <rPr>
        <vertAlign val="subscript"/>
        <sz val="12"/>
        <color theme="1"/>
        <rFont val="Helvetica"/>
      </rPr>
      <t>ai</t>
    </r>
  </si>
  <si>
    <t>Efficiency:</t>
  </si>
  <si>
    <t>Overall cogen. effic.:</t>
  </si>
  <si>
    <t>GJ</t>
  </si>
  <si>
    <r>
      <t xml:space="preserve">Btu e-/Btu </t>
    </r>
    <r>
      <rPr>
        <sz val="12"/>
        <color theme="1"/>
        <rFont val="Helvetica"/>
        <family val="2"/>
      </rPr>
      <t>LHV</t>
    </r>
  </si>
  <si>
    <r>
      <t xml:space="preserve">Based on </t>
    </r>
    <r>
      <rPr>
        <sz val="12"/>
        <color theme="1"/>
        <rFont val="Helvetica"/>
        <family val="2"/>
      </rPr>
      <t>Kim (2004), Table 2</t>
    </r>
  </si>
  <si>
    <t>See documentation for calculation notes</t>
  </si>
  <si>
    <r>
      <t xml:space="preserve">Btu loss / Btu </t>
    </r>
    <r>
      <rPr>
        <sz val="12"/>
        <color theme="1"/>
        <rFont val="Helvetica"/>
        <family val="2"/>
      </rPr>
      <t>LHV</t>
    </r>
  </si>
  <si>
    <r>
      <t xml:space="preserve">Btu exhaust / Btu </t>
    </r>
    <r>
      <rPr>
        <sz val="12"/>
        <color theme="1"/>
        <rFont val="Helvetica"/>
        <family val="2"/>
      </rPr>
      <t>LHV</t>
    </r>
  </si>
  <si>
    <r>
      <t xml:space="preserve">MJ </t>
    </r>
    <r>
      <rPr>
        <sz val="12"/>
        <color theme="1"/>
        <rFont val="Helvetica"/>
        <family val="2"/>
      </rPr>
      <t>L</t>
    </r>
    <r>
      <rPr>
        <sz val="12"/>
        <color theme="1"/>
        <rFont val="Helvetica"/>
        <family val="2"/>
      </rPr>
      <t>HV/mol</t>
    </r>
  </si>
  <si>
    <r>
      <rPr>
        <sz val="12"/>
        <color theme="1"/>
        <rFont val="Helvetica"/>
        <family val="2"/>
      </rPr>
      <t xml:space="preserve">Based on </t>
    </r>
    <r>
      <rPr>
        <sz val="12"/>
        <color theme="1"/>
        <rFont val="Helvetica"/>
        <family val="2"/>
      </rPr>
      <t>Kim (2004)</t>
    </r>
  </si>
  <si>
    <t>Moles of O2 at combustion conditions compared to mols of O2 at stoichiometic conditions. See documentation for calculation notes.</t>
  </si>
  <si>
    <t>This temperature is calculated externally to satisfy the energy balance on the gas turbine.  See documentation for calculation notes.</t>
  </si>
  <si>
    <t>Turbine loss</t>
  </si>
  <si>
    <t>Btu loss/Btu HHV fuel</t>
  </si>
  <si>
    <t>300 °K = 540 R</t>
  </si>
  <si>
    <t>0 @ 30 °C or 540 R</t>
  </si>
  <si>
    <t>T  (°F)</t>
  </si>
  <si>
    <t>liquid v  (ft3/lb)</t>
  </si>
  <si>
    <t>liquid u (Btu/lb)</t>
  </si>
  <si>
    <t>liquid h (Btu/lb)</t>
  </si>
  <si>
    <t>liquid s (Btu/(lb °R))</t>
  </si>
  <si>
    <t>vapor v  (ft3/lb)</t>
  </si>
  <si>
    <t>vapor u (Btu/lb)</t>
  </si>
  <si>
    <t>vapor h (Btu/lb)</t>
  </si>
  <si>
    <t>vapor s (Btu/(lb °R))</t>
  </si>
  <si>
    <t>Relative molar proportions</t>
  </si>
  <si>
    <t>Stoichiometric O2</t>
  </si>
  <si>
    <r>
      <t>O</t>
    </r>
    <r>
      <rPr>
        <vertAlign val="subscript"/>
        <sz val="10"/>
        <color theme="0"/>
        <rFont val="Helvetica"/>
      </rPr>
      <t>2</t>
    </r>
    <r>
      <rPr>
        <sz val="10"/>
        <color theme="0"/>
        <rFont val="Helvetica"/>
      </rPr>
      <t xml:space="preserve"> per C atom</t>
    </r>
  </si>
  <si>
    <t>Default sulfur content (wt%) for mid-weight crudes</t>
  </si>
  <si>
    <t>Sulfur content is increased in very heavy crudes and decreased in light crudes as per data from Speight.</t>
  </si>
  <si>
    <t>Assume for stoichiometric combustion that N/O is all N</t>
  </si>
  <si>
    <t>SOR</t>
  </si>
  <si>
    <t>psia/psia</t>
  </si>
  <si>
    <t>Land use</t>
  </si>
  <si>
    <t>Gas flooding injection compressor</t>
  </si>
  <si>
    <t>Electricity generation</t>
  </si>
  <si>
    <t>Net energy consumption by fuel type</t>
  </si>
  <si>
    <t>Table 2: Energy consumption by component</t>
  </si>
  <si>
    <t>Table 4: Energy exports/imports by fuel type</t>
  </si>
  <si>
    <t>Table 5: Net energy consumption by fuel type</t>
  </si>
  <si>
    <t xml:space="preserve">Electricity consumed minus electricity generated onsite minus electricity co-generated in steam generation </t>
  </si>
  <si>
    <t>Calculations approach:</t>
  </si>
  <si>
    <t>Energy consumption by component</t>
  </si>
  <si>
    <t>Table 1: GHG emissions panel</t>
  </si>
  <si>
    <t>First we collect the energy consumption of each component in Table 2. From the energy consumption by component we sum the energy consumption by fuel</t>
  </si>
  <si>
    <t>the indirect energy consumption. Third, the net energy consumption is calculated in Table 5. The net energy consumption is equal to energy consumption except for</t>
  </si>
  <si>
    <t>Combustion</t>
  </si>
  <si>
    <t xml:space="preserve">type in Table 3. Second, we use the energy consumption by fuel type to calculate the exports or imports of each fuel in Table 4. This will be used to calculate </t>
  </si>
  <si>
    <t>electricity where the net energy consumption is the electricity from grid. The energy consumed and produced onsite in the form of electricity is already accounted</t>
  </si>
  <si>
    <t>Various</t>
  </si>
  <si>
    <t>Crude oil</t>
  </si>
  <si>
    <t>OTSG</t>
  </si>
  <si>
    <t>Crude oil is the main product</t>
  </si>
  <si>
    <t>Crude</t>
  </si>
  <si>
    <r>
      <t xml:space="preserve">Exploration is not included in the current version of </t>
    </r>
    <r>
      <rPr>
        <sz val="12"/>
        <color theme="1"/>
        <rFont val="Helvetica"/>
        <family val="2"/>
      </rPr>
      <t>OPGEE. Exploration emissions are expected to be too small to meet significance cutoffs.</t>
    </r>
  </si>
  <si>
    <t>Zero CO2 fugitives. All remaining CO2 is vented.</t>
  </si>
  <si>
    <t>From gas balance</t>
  </si>
  <si>
    <t>1.2. Drilling energy consumption during field development</t>
  </si>
  <si>
    <t>1.3. Per-well lifetime productivity</t>
  </si>
  <si>
    <t>bbl/well</t>
  </si>
  <si>
    <t>Source: Yeh et al. (2010) for California. Cumulative production to date in California is 25.99 Gbbl.  Known wells total approximately 200,000 (although early wells are missing from this dataset).  Therefore per-well lifetime productivity is ~130,000 bbl/well.</t>
  </si>
  <si>
    <t>1.3.1.1. Expected lifetime energy production</t>
  </si>
  <si>
    <t>1.4. Fractional energy consumption per well drilled</t>
  </si>
  <si>
    <t>Bitumen extraction and upgrading</t>
  </si>
  <si>
    <t>This worksheet contains a simple model of emissions from bitumen extraction and upgrading</t>
  </si>
  <si>
    <t>GHGenius 4.0c</t>
  </si>
  <si>
    <t>Default bitumen API gravity in GHGenius 4.0c</t>
  </si>
  <si>
    <t>sg</t>
  </si>
  <si>
    <t>www.crudemonitor.ca</t>
  </si>
  <si>
    <t>Typical value for Suncor Synthetic A</t>
  </si>
  <si>
    <t>Only choose one type of product.</t>
  </si>
  <si>
    <t>Only choose one extraction method.  You cannot choose "Mining integrated" if your choose "non-upgraded".  Otherwise, any extraction type can be chosen with "non-upgraded".</t>
  </si>
  <si>
    <t>bbl steam/bbl bitumen</t>
  </si>
  <si>
    <r>
      <t>GHGenius 4.0c, (S&amp;T)</t>
    </r>
    <r>
      <rPr>
        <vertAlign val="superscript"/>
        <sz val="12"/>
        <color theme="1"/>
        <rFont val="Helvetica"/>
      </rPr>
      <t>2</t>
    </r>
    <r>
      <rPr>
        <sz val="12"/>
        <color theme="1"/>
        <rFont val="Helvetica"/>
        <family val="2"/>
      </rPr>
      <t xml:space="preserve"> March 2011 Update of oil production and refining in GHGenius, p. 44</t>
    </r>
  </si>
  <si>
    <t>Default SOR for SAGD operations used to compute energy intensity of SAGD</t>
  </si>
  <si>
    <r>
      <t>GHGenius 4.0c, (S&amp;T)</t>
    </r>
    <r>
      <rPr>
        <vertAlign val="superscript"/>
        <sz val="12"/>
        <color theme="1"/>
        <rFont val="Helvetica"/>
      </rPr>
      <t>2</t>
    </r>
    <r>
      <rPr>
        <sz val="12"/>
        <color theme="1"/>
        <rFont val="Helvetica"/>
        <family val="2"/>
      </rPr>
      <t xml:space="preserve"> March 2011 Update of oil production and refining in GHGenius, p. 42</t>
    </r>
  </si>
  <si>
    <t>Default SOR for CSS operations used to compute energy intensity of CSS</t>
  </si>
  <si>
    <t>bbl diluent/bbl dilbit</t>
  </si>
  <si>
    <t>Moderate value from the literature.  Cited diluent blend percentages range from 20-40%</t>
  </si>
  <si>
    <t>bbl bitumen/bbl dilbit</t>
  </si>
  <si>
    <t>2 Calculations</t>
  </si>
  <si>
    <t>Volumetric and mass units</t>
  </si>
  <si>
    <t>Primary</t>
  </si>
  <si>
    <t>SAGD</t>
  </si>
  <si>
    <t>CSS</t>
  </si>
  <si>
    <t>Mining</t>
  </si>
  <si>
    <t xml:space="preserve">Diesel fuel </t>
  </si>
  <si>
    <t xml:space="preserve">Natural gas </t>
  </si>
  <si>
    <t>Coke</t>
  </si>
  <si>
    <t>Still Gas</t>
  </si>
  <si>
    <t>Flaring emissions</t>
  </si>
  <si>
    <t>Stand-alone upgrader</t>
  </si>
  <si>
    <t>Integrated mining &amp; upgrading</t>
  </si>
  <si>
    <t>Notes: GHGenius assumes a 1:1 mass ratio for bitumen to SCO production for stand-alone operations.</t>
  </si>
  <si>
    <t>The density of SCO assumed in GHGenius is not clear, so we assume 32 API as in Suncor Synthetic A synthetic crude oil</t>
  </si>
  <si>
    <t>We assume that fugitives are same as above for mining operations, but that integrated upgrading adds the remainder as flare emissions.</t>
  </si>
  <si>
    <r>
      <t>GHGenius 4.0c, (S&amp;T)</t>
    </r>
    <r>
      <rPr>
        <vertAlign val="superscript"/>
        <sz val="12"/>
        <color theme="0" tint="-0.34998626667073579"/>
        <rFont val="Helvetica"/>
      </rPr>
      <t>2</t>
    </r>
    <r>
      <rPr>
        <sz val="12"/>
        <color theme="0" tint="-0.34998626667073579"/>
        <rFont val="Helvetica"/>
      </rPr>
      <t>, March 2011 Update of oil production and refining in GHGenius, p. 40-44</t>
    </r>
  </si>
  <si>
    <r>
      <t>m</t>
    </r>
    <r>
      <rPr>
        <vertAlign val="superscript"/>
        <sz val="12"/>
        <color theme="1"/>
        <rFont val="Helvetica"/>
      </rPr>
      <t>3</t>
    </r>
    <r>
      <rPr>
        <sz val="12"/>
        <color theme="1"/>
        <rFont val="Helvetica"/>
        <family val="2"/>
      </rPr>
      <t xml:space="preserve"> SCO/m</t>
    </r>
    <r>
      <rPr>
        <vertAlign val="superscript"/>
        <sz val="12"/>
        <color theme="1"/>
        <rFont val="Helvetica"/>
      </rPr>
      <t>3</t>
    </r>
    <r>
      <rPr>
        <sz val="12"/>
        <color theme="1"/>
        <rFont val="Helvetica"/>
        <family val="2"/>
      </rPr>
      <t xml:space="preserve"> bitumen</t>
    </r>
  </si>
  <si>
    <t>Diluent type</t>
  </si>
  <si>
    <t>API gravity</t>
  </si>
  <si>
    <t>C1-C3</t>
  </si>
  <si>
    <t>C5</t>
  </si>
  <si>
    <t>C6</t>
  </si>
  <si>
    <t>C7</t>
  </si>
  <si>
    <t>C8</t>
  </si>
  <si>
    <t>C9</t>
  </si>
  <si>
    <t>C10</t>
  </si>
  <si>
    <t>C11</t>
  </si>
  <si>
    <t>C12</t>
  </si>
  <si>
    <t>C12+</t>
  </si>
  <si>
    <t>Mass C</t>
  </si>
  <si>
    <t>Mass H</t>
  </si>
  <si>
    <t>Mass Frac C</t>
  </si>
  <si>
    <t>Mass Frac H</t>
  </si>
  <si>
    <t>CRW-675</t>
  </si>
  <si>
    <t>CPC 475 PetroCanada condensate (2006)</t>
  </si>
  <si>
    <t>CPR 0822 Peace condensate (2006)</t>
  </si>
  <si>
    <t>Assumed species</t>
  </si>
  <si>
    <t>C5H12</t>
  </si>
  <si>
    <t>C6H14</t>
  </si>
  <si>
    <t>C7H16</t>
  </si>
  <si>
    <t>C8H18</t>
  </si>
  <si>
    <t>C9H20</t>
  </si>
  <si>
    <t>C10H22</t>
  </si>
  <si>
    <t>C11H24</t>
  </si>
  <si>
    <t>C12H26</t>
  </si>
  <si>
    <t>C14H30</t>
  </si>
  <si>
    <t>C5 contains normal and iso-pentane, as well as cyclopentane</t>
  </si>
  <si>
    <t>C6 contains Benzene and methylcyclopentane as well as cyclohexane</t>
  </si>
  <si>
    <t>C7 contains heptanes as well as toluene and methylcyclohexane</t>
  </si>
  <si>
    <t>C8 contains octanes plus xylenes</t>
  </si>
  <si>
    <t>C9 contains nonanes as well as 1,2,4 trimethybenzene</t>
  </si>
  <si>
    <t>For simplicity, assume parafinic HCs</t>
  </si>
  <si>
    <t>Dulong formula is used to approximate the heating value of the condensate/diluent</t>
  </si>
  <si>
    <t>Property</t>
  </si>
  <si>
    <t>Dilbit blending energy</t>
  </si>
  <si>
    <t>Diluent embodied energy</t>
  </si>
  <si>
    <t>Diluent embodied emissions</t>
  </si>
  <si>
    <t>Assume diluent has identical embodied energy and emissions as natural gas</t>
  </si>
  <si>
    <t>Btu/ton</t>
  </si>
  <si>
    <t>Petroleum coke</t>
  </si>
  <si>
    <t>Bituminous coal</t>
  </si>
  <si>
    <t>Coking coal</t>
  </si>
  <si>
    <t>Total =</t>
  </si>
  <si>
    <t>fraction</t>
  </si>
  <si>
    <t>Table 2: Indirect GHG emissions</t>
  </si>
  <si>
    <t>Table 6: Indirect energy consumption</t>
  </si>
  <si>
    <t>Table 3: Gross energy consumption by fuel type</t>
  </si>
  <si>
    <t>in the form of natural gas or diesel which fuel the electricity generator. Table 6 calculates the indirect energy consumption using exports/imports from Table 4.</t>
  </si>
  <si>
    <t>Gross energy consumption by fuel type</t>
  </si>
  <si>
    <t>Negative (-) value is an energy credit from exported fuel</t>
  </si>
  <si>
    <t>GHG emissions from electricity supply/export</t>
  </si>
  <si>
    <t>GHG emissions from NGL supply/export</t>
  </si>
  <si>
    <t>GHG emissions from natural gas supply/export</t>
  </si>
  <si>
    <t>GHG emissions from crude oil supply/export</t>
  </si>
  <si>
    <t>GHG emissions from fuel supply/export</t>
  </si>
  <si>
    <t>Energy for fuel supply/export</t>
  </si>
  <si>
    <t>Energy for NGL supply/export</t>
  </si>
  <si>
    <t>Energy for Diesel supply/export</t>
  </si>
  <si>
    <t>Energy for electricity supply/export</t>
  </si>
  <si>
    <t>Energy for crude oil supply/export</t>
  </si>
  <si>
    <t>Energy for natural gas supply/export</t>
  </si>
  <si>
    <t>1= Natural gas</t>
  </si>
  <si>
    <t>Mscf/d</t>
  </si>
  <si>
    <t>1. No complete data is available on the volume losses in each treatment stage. To avoid the error of circular reference the volume losses are left as user input in imported water treatment and the default is zero.</t>
  </si>
  <si>
    <t>Products generated onsite include crude oil, diesel fuel, residual fuel, gasoline, coke, still gas.  Electricity is net onsite consumption (negative = export)</t>
  </si>
  <si>
    <t>Table 1.1: Length conversion factors</t>
  </si>
  <si>
    <t>Table 1.2: Mass conversion factors</t>
  </si>
  <si>
    <t>Table 1.3: Volume conversion factors</t>
  </si>
  <si>
    <t>Table 1.4: Energy conversion factors</t>
  </si>
  <si>
    <t>Table 1.5: Power conversion factors</t>
  </si>
  <si>
    <t>2. Properties of gases</t>
  </si>
  <si>
    <t>Table 2.1: Global warming potentials</t>
  </si>
  <si>
    <t>Table 2.2: Gas densities</t>
  </si>
  <si>
    <t>Source: www.engineeringtoolbox.com</t>
  </si>
  <si>
    <t>Notes: Assume N2 molar mass for all N2, Ar components</t>
  </si>
  <si>
    <r>
      <rPr>
        <sz val="12"/>
        <color theme="1"/>
        <rFont val="Helvetica"/>
        <family val="2"/>
      </rPr>
      <t xml:space="preserve">Table 2.3: </t>
    </r>
    <r>
      <rPr>
        <sz val="12"/>
        <color theme="1"/>
        <rFont val="Helvetica"/>
        <family val="2"/>
      </rPr>
      <t>Composition of dry air</t>
    </r>
  </si>
  <si>
    <t>3. Gas turbine characteristics</t>
  </si>
  <si>
    <t>Notes: Gas turbines are classed as "A" through "D" with "D" being most efficient.  Data based roughly on turbines from Kim (2004), Table 2.  Calculations for turbine efficiency and exit temperature documented in model documentation.</t>
  </si>
  <si>
    <t>Table 3.1: Gas turbine characteristics</t>
  </si>
  <si>
    <t>4. Enthalpy of air and exhaust gas</t>
  </si>
  <si>
    <r>
      <t>Table 4.1: Coefficients for specific heat capacity C</t>
    </r>
    <r>
      <rPr>
        <vertAlign val="subscript"/>
        <sz val="12"/>
        <color theme="1"/>
        <rFont val="Helvetica"/>
      </rPr>
      <t>p</t>
    </r>
    <r>
      <rPr>
        <sz val="12"/>
        <color theme="1"/>
        <rFont val="Helvetica"/>
        <family val="2"/>
      </rPr>
      <t xml:space="preserve"> as a function of temperature</t>
    </r>
  </si>
  <si>
    <t>Table 4.3: OTSG inlet combustion conditions</t>
  </si>
  <si>
    <t>Table 4.2: Coefficients of integration for enthalpy as a function of temperature</t>
  </si>
  <si>
    <t>Result</t>
  </si>
  <si>
    <t>Table 4.4: OTSG outlet exhaust conditions</t>
  </si>
  <si>
    <t>Table 4.6: HRSG outlet exhaust conditions</t>
  </si>
  <si>
    <t>5. Properties of water and steam</t>
  </si>
  <si>
    <t>Table 5.1: Properties of water</t>
  </si>
  <si>
    <t>Table 5.3: Properties of saturated water and steam as a function of pressure</t>
  </si>
  <si>
    <t>Source: Knovel Steam Tables: Table: 1d. Saturation Properties vs. Pressure - English Units</t>
  </si>
  <si>
    <t>Table 5.4: Properties of compressed water and superheated steam</t>
  </si>
  <si>
    <r>
      <t>Table 1</t>
    </r>
    <r>
      <rPr>
        <sz val="12"/>
        <color theme="1"/>
        <rFont val="Helvetica"/>
        <family val="2"/>
      </rPr>
      <t>.1:</t>
    </r>
    <r>
      <rPr>
        <sz val="12"/>
        <color theme="1"/>
        <rFont val="Helvetica"/>
        <family val="2"/>
      </rPr>
      <t xml:space="preserve"> Crude oil heating values</t>
    </r>
  </si>
  <si>
    <r>
      <t xml:space="preserve">Table </t>
    </r>
    <r>
      <rPr>
        <sz val="12"/>
        <color theme="1"/>
        <rFont val="Helvetica"/>
        <family val="2"/>
      </rPr>
      <t>1.2:</t>
    </r>
    <r>
      <rPr>
        <sz val="12"/>
        <color theme="1"/>
        <rFont val="Helvetica"/>
        <family val="2"/>
      </rPr>
      <t xml:space="preserve"> Crude oil chemical composition</t>
    </r>
  </si>
  <si>
    <r>
      <t xml:space="preserve">Table </t>
    </r>
    <r>
      <rPr>
        <sz val="12"/>
        <color theme="1"/>
        <rFont val="Helvetica"/>
        <family val="2"/>
      </rPr>
      <t>2.1:</t>
    </r>
    <r>
      <rPr>
        <sz val="12"/>
        <color theme="1"/>
        <rFont val="Helvetica"/>
        <family val="2"/>
      </rPr>
      <t xml:space="preserve"> Heat of combustion</t>
    </r>
  </si>
  <si>
    <t>Notes: Assume N2, Ar, other has properties of N2 for simplicity</t>
  </si>
  <si>
    <r>
      <t xml:space="preserve">Table </t>
    </r>
    <r>
      <rPr>
        <sz val="12"/>
        <color theme="1"/>
        <rFont val="Helvetica"/>
        <family val="2"/>
      </rPr>
      <t>2.2:</t>
    </r>
    <r>
      <rPr>
        <sz val="12"/>
        <color theme="1"/>
        <rFont val="Helvetica"/>
        <family val="2"/>
      </rPr>
      <t xml:space="preserve"> Molar masses and reactive C, H, and S</t>
    </r>
  </si>
  <si>
    <r>
      <t xml:space="preserve">Table </t>
    </r>
    <r>
      <rPr>
        <sz val="12"/>
        <color theme="1"/>
        <rFont val="Helvetica"/>
        <family val="2"/>
      </rPr>
      <t>2.3:</t>
    </r>
    <r>
      <rPr>
        <sz val="12"/>
        <color theme="1"/>
        <rFont val="Helvetica"/>
        <family val="2"/>
      </rPr>
      <t xml:space="preserve"> Combustion coefficients: Reactants needed per mol of input gas on left</t>
    </r>
  </si>
  <si>
    <r>
      <t xml:space="preserve">Table </t>
    </r>
    <r>
      <rPr>
        <sz val="12"/>
        <color theme="1"/>
        <rFont val="Helvetica"/>
        <family val="2"/>
      </rPr>
      <t>2.4:</t>
    </r>
    <r>
      <rPr>
        <sz val="12"/>
        <color theme="1"/>
        <rFont val="Helvetica"/>
        <family val="2"/>
      </rPr>
      <t xml:space="preserve"> Combustion coefficients: Products generated per mol of input gas on the left</t>
    </r>
  </si>
  <si>
    <r>
      <t xml:space="preserve">Table </t>
    </r>
    <r>
      <rPr>
        <sz val="12"/>
        <color theme="1"/>
        <rFont val="Helvetica"/>
        <family val="2"/>
      </rPr>
      <t>2.5:</t>
    </r>
    <r>
      <rPr>
        <sz val="12"/>
        <color theme="1"/>
        <rFont val="Helvetica"/>
        <family val="2"/>
      </rPr>
      <t xml:space="preserve"> Example combustion calculation</t>
    </r>
  </si>
  <si>
    <r>
      <t xml:space="preserve">Table </t>
    </r>
    <r>
      <rPr>
        <sz val="12"/>
        <color theme="1"/>
        <rFont val="Helvetica"/>
        <family val="2"/>
      </rPr>
      <t>2.6:</t>
    </r>
    <r>
      <rPr>
        <sz val="12"/>
        <color theme="1"/>
        <rFont val="Helvetica"/>
        <family val="2"/>
      </rPr>
      <t xml:space="preserve"> Check on example element balance</t>
    </r>
  </si>
  <si>
    <r>
      <rPr>
        <sz val="12"/>
        <color theme="1"/>
        <rFont val="Helvetica"/>
        <family val="2"/>
      </rPr>
      <t>Table 3.1: Natural g</t>
    </r>
    <r>
      <rPr>
        <sz val="12"/>
        <color theme="1"/>
        <rFont val="Helvetica"/>
        <family val="2"/>
      </rPr>
      <t>as composition</t>
    </r>
  </si>
  <si>
    <r>
      <t xml:space="preserve">Table 3.2: </t>
    </r>
    <r>
      <rPr>
        <sz val="12"/>
        <color theme="1"/>
        <rFont val="Helvetica"/>
        <family val="2"/>
      </rPr>
      <t>Reaction results</t>
    </r>
    <r>
      <rPr>
        <sz val="12"/>
        <color theme="1"/>
        <rFont val="Helvetica"/>
        <family val="2"/>
      </rPr>
      <t xml:space="preserve"> - Natural gas</t>
    </r>
  </si>
  <si>
    <t>Table 3.4: Reaction results - Produced gas</t>
  </si>
  <si>
    <t>Table 4.1: Other fuels properties</t>
  </si>
  <si>
    <t>This supplemental worksheet includes emissions factors for combustion of a variety of fuels in a variety of combustion devices.</t>
  </si>
  <si>
    <r>
      <t xml:space="preserve">Table </t>
    </r>
    <r>
      <rPr>
        <sz val="12"/>
        <color theme="1"/>
        <rFont val="Helvetica"/>
        <family val="2"/>
      </rPr>
      <t>1.</t>
    </r>
    <r>
      <rPr>
        <sz val="12"/>
        <color theme="1"/>
        <rFont val="Helvetica"/>
        <family val="2"/>
      </rPr>
      <t>2: Emission Factors of Venting (unit specified below)</t>
    </r>
  </si>
  <si>
    <t>Table 1.3: Emission Factors of Fugitives (unit specified below)</t>
  </si>
  <si>
    <t>Notes: NA= Not available</t>
  </si>
  <si>
    <t>Table 1.4: Electric motors energy consumption</t>
  </si>
  <si>
    <t>This supplemental worksheet calculates upstream emissions associated with other fuel cycles (e.g., natural gas production, etc.)</t>
  </si>
  <si>
    <t>1  Input assumptions and data</t>
  </si>
  <si>
    <t>2  Calculations</t>
  </si>
  <si>
    <t>Excluding co-generation and combined heat and electricity</t>
  </si>
  <si>
    <t>1  Gas balance flowsheet</t>
  </si>
  <si>
    <t>Table 1.1: Production gas composition and volume</t>
  </si>
  <si>
    <t>Table 1.2: Flared gas composition and volume</t>
  </si>
  <si>
    <t>Table 1.4: Gas processing vents composition and volume</t>
  </si>
  <si>
    <t>Table 1.5: Processed gas composition and volumes</t>
  </si>
  <si>
    <t>Table 1.6: Pipeline quality gas composition</t>
  </si>
  <si>
    <t>Table 1.7: Demethanizer heavy product composition</t>
  </si>
  <si>
    <t>Table 1.3: Gas to processing comp. and volume</t>
  </si>
  <si>
    <t>1  Results</t>
  </si>
  <si>
    <t>2  Input assumptions and data</t>
  </si>
  <si>
    <t>Table 2.1: Cargo Payload By Transportation Mode and by Product Fuel Type: Tons</t>
  </si>
  <si>
    <t>Table 2.2: Horsepower Requirements for Ocean Tanker and Barges: Calculated with Cargo Capacity (unit is in HP)</t>
  </si>
  <si>
    <t>3  Calculations</t>
  </si>
  <si>
    <t>Mode</t>
  </si>
  <si>
    <t>Trip</t>
  </si>
  <si>
    <t>Intensity</t>
  </si>
  <si>
    <t>Percent</t>
  </si>
  <si>
    <t>The upstream energy consumption is accounted by subtracting this amount from the crude oil output</t>
  </si>
  <si>
    <t>Included with significant treatment and uncertainty analysis</t>
  </si>
  <si>
    <t>Gas lifting injection (does not include gas reinjected into the reservoir)</t>
  </si>
  <si>
    <t>Exploration emissions are not included in the current version of the model</t>
  </si>
  <si>
    <t>MMBtu/1000 ft</t>
  </si>
  <si>
    <t>MMBtu/well</t>
  </si>
  <si>
    <t>MMBtu LHV/bbl</t>
  </si>
  <si>
    <t>bpd</t>
  </si>
  <si>
    <t>1= Reciprocating pump</t>
  </si>
  <si>
    <t xml:space="preserve">    Energy Consumption: Btu/hp-hr</t>
  </si>
  <si>
    <t>The total percentage of all modes may exceed 100% for some feedstocks or fuels because more than one transportation legs may be involved for transporting the feedstocks.</t>
  </si>
  <si>
    <t>Energy units (MMBtu/bbl SCO)</t>
  </si>
  <si>
    <t>Source: Analysis of Blending Data used in Condensate EQ model.  Prepared for Canadian Association of Petroleum Producers (CAPP) by Advantage Insight Group Inc. January 2007</t>
  </si>
  <si>
    <t>MMBtu/MMBtu diluent</t>
  </si>
  <si>
    <t>g/MMBtu diluent</t>
  </si>
  <si>
    <t>Assume blending dilbit has negligible energy cost</t>
  </si>
  <si>
    <t>MBtu/d</t>
  </si>
  <si>
    <t>MMBtu/bbl dilbit</t>
  </si>
  <si>
    <t xml:space="preserve">MMBtu/d </t>
  </si>
  <si>
    <r>
      <t>bbl</t>
    </r>
    <r>
      <rPr>
        <sz val="12"/>
        <color theme="1"/>
        <rFont val="Helvetica"/>
        <family val="2"/>
      </rPr>
      <t xml:space="preserve"> steam</t>
    </r>
    <r>
      <rPr>
        <sz val="12"/>
        <color theme="1"/>
        <rFont val="Helvetica"/>
        <family val="2"/>
      </rPr>
      <t>/STB</t>
    </r>
    <r>
      <rPr>
        <sz val="12"/>
        <color theme="1"/>
        <rFont val="Helvetica"/>
        <family val="2"/>
      </rPr>
      <t xml:space="preserve"> oil</t>
    </r>
  </si>
  <si>
    <t>Moles of O2 at combustion conditions compared to mols of O2 at stoichiometric conditions</t>
  </si>
  <si>
    <t>Assume no O, but small amounts of N.</t>
  </si>
  <si>
    <r>
      <rPr>
        <sz val="12"/>
        <color theme="1"/>
        <rFont val="Helvetica"/>
        <family val="2"/>
      </rPr>
      <t>MM</t>
    </r>
    <r>
      <rPr>
        <sz val="12"/>
        <color theme="1"/>
        <rFont val="Helvetica"/>
        <family val="2"/>
      </rPr>
      <t>Btu/d</t>
    </r>
  </si>
  <si>
    <r>
      <t xml:space="preserve">This </t>
    </r>
    <r>
      <rPr>
        <sz val="12"/>
        <color theme="1"/>
        <rFont val="Helvetica"/>
        <family val="2"/>
      </rPr>
      <t>supplemental work</t>
    </r>
    <r>
      <rPr>
        <sz val="12"/>
        <color theme="1"/>
        <rFont val="Helvetica"/>
        <family val="2"/>
      </rPr>
      <t>sheet calculates</t>
    </r>
    <r>
      <rPr>
        <sz val="12"/>
        <color theme="1"/>
        <rFont val="Helvetica"/>
        <family val="2"/>
      </rPr>
      <t xml:space="preserve"> energy use for prime movers (engines) and motors used in processes.</t>
    </r>
  </si>
  <si>
    <t>Source: Caterpillar technical data sheets (http://www.catoilandgasinfo.com/gas_compression.asp?src=11cpt22&amp;regstatus=true)</t>
  </si>
  <si>
    <t>Utility/ Industrial Boiler (&gt;100 MMBtu/hr input)</t>
  </si>
  <si>
    <t>Small Industrial Boiler (10-100 MMBtu/hr input)</t>
  </si>
  <si>
    <t>Total emissions divided by total number of openings - event is defined as opening of launchers/receivers</t>
  </si>
  <si>
    <t>High carbon stock (forested)</t>
  </si>
  <si>
    <t>The percentage of components by type is similar in different facilities such as petroleum production and gas processing [API (1993), Publ. 4589, p. W-4, Table 4]</t>
  </si>
  <si>
    <t>Adjusted based on the users knowledge of production and processing facilities or judgment based on the environmental regulations in the field location</t>
  </si>
  <si>
    <t>Solid fuels</t>
  </si>
  <si>
    <t>wt% of constituents</t>
  </si>
  <si>
    <t>Specific heats as a function of temperature</t>
  </si>
  <si>
    <t>OTSG inlet air and fuel temperature</t>
  </si>
  <si>
    <r>
      <t>h = 0 @ 300</t>
    </r>
    <r>
      <rPr>
        <sz val="12"/>
        <color theme="1"/>
        <rFont val="Helvetica"/>
        <family val="2"/>
      </rPr>
      <t xml:space="preserve"> °</t>
    </r>
    <r>
      <rPr>
        <sz val="12"/>
        <color theme="1"/>
        <rFont val="Helvetica"/>
        <family val="2"/>
      </rPr>
      <t>K, water in vapor phase</t>
    </r>
  </si>
  <si>
    <t>Table 5.2: Properties of saturated water and steam as a function of temperature</t>
  </si>
  <si>
    <t>1 Summary results</t>
  </si>
  <si>
    <t>Table 1.1: Summary GHG emissions</t>
  </si>
  <si>
    <t>Table 1.2: Summary energy consumption</t>
  </si>
  <si>
    <t>Figure 1.1: Summary GHG emissions</t>
  </si>
  <si>
    <t>1 Drilling combustion emissions</t>
  </si>
  <si>
    <t>2 Land use impacts</t>
  </si>
  <si>
    <t>1 Input assumptions</t>
  </si>
  <si>
    <t>2 Input data</t>
  </si>
  <si>
    <t>3 Calculations</t>
  </si>
  <si>
    <t>1 Emissions factors tables</t>
  </si>
  <si>
    <t>1 Data inputs and calculations</t>
  </si>
  <si>
    <t>2 Calculations - Once-through steam generator (OTSG)</t>
  </si>
  <si>
    <t>3 Calculations - System for SAGD with heat recovery from produced fluids, significant water recycle, and blowdown</t>
  </si>
  <si>
    <t>This system is not included in OPGEE v.1.0</t>
  </si>
  <si>
    <t>1 Conversion factors</t>
  </si>
  <si>
    <t>1 Crude oil properties</t>
  </si>
  <si>
    <t>2 Gaseous fuel properties</t>
  </si>
  <si>
    <t>3 Gaseous fuels composition</t>
  </si>
  <si>
    <t>4 Other fuels properties</t>
  </si>
  <si>
    <t>1 Prime mover and motor data tables</t>
  </si>
  <si>
    <r>
      <t>Table 1:</t>
    </r>
    <r>
      <rPr>
        <sz val="12"/>
        <color theme="1"/>
        <rFont val="Helvetica"/>
        <family val="2"/>
      </rPr>
      <t xml:space="preserve"> Fuel codes</t>
    </r>
  </si>
  <si>
    <t>1 Emissions magnitude estimation</t>
  </si>
  <si>
    <t>2 Inclusion and exclusion in current model version</t>
  </si>
  <si>
    <r>
      <rPr>
        <sz val="12"/>
        <color theme="1"/>
        <rFont val="Helvetica"/>
        <family val="2"/>
      </rPr>
      <t>4.3.2.2. Gas turbine fuel input weighted molar mass</t>
    </r>
  </si>
  <si>
    <t>1.1   Production methods</t>
  </si>
  <si>
    <t>1.1.1   Downhole pump</t>
  </si>
  <si>
    <t>1.1   Field drilling and development properties</t>
  </si>
  <si>
    <t>1.1.1   Crude location</t>
  </si>
  <si>
    <t>1.2.1   Energy intensity of drilling</t>
  </si>
  <si>
    <t>1.3.1   Expected lifetime well productivity</t>
  </si>
  <si>
    <t>2.1   Crude development properties</t>
  </si>
  <si>
    <t>2.1.1   Crude location</t>
  </si>
  <si>
    <t>2.2.1   Soil carbon emissions</t>
  </si>
  <si>
    <t>2.1   Downhole pump (e.g. Sucker-rod pump, submersible motor pump)</t>
  </si>
  <si>
    <t>2.1   Field and production parameters</t>
  </si>
  <si>
    <t>2.1.1   Product crude</t>
  </si>
  <si>
    <t>2.1.1.1   Crude location</t>
  </si>
  <si>
    <t>2.1.2.1   Gas composition</t>
  </si>
  <si>
    <t>2.1.3.1   Water cut (WOR)</t>
  </si>
  <si>
    <t>2.2.4.1   Natural gas engine</t>
  </si>
  <si>
    <t>2.3.4.1   Natural gas engine</t>
  </si>
  <si>
    <t>2.5.1   Water injection volume</t>
  </si>
  <si>
    <t>2.5.3.4.1   Natural gas engine</t>
  </si>
  <si>
    <t>2.6.1   Gas injection volume</t>
  </si>
  <si>
    <t>2.7.1   Type of gas flooded</t>
  </si>
  <si>
    <t>2.8.1   Steam oil ratio (SOR)</t>
  </si>
  <si>
    <t>3.1   Downhole pump</t>
  </si>
  <si>
    <t>3.1.1   Pressure traverse</t>
  </si>
  <si>
    <t>3.1.1.1   Elevation component</t>
  </si>
  <si>
    <t>3.1.4.1   Prime mover fuel use</t>
  </si>
  <si>
    <t>3.2.3.1   Prime mover fuel use</t>
  </si>
  <si>
    <t>3.4.3.1   Prime mover fuel use</t>
  </si>
  <si>
    <t>3.7.1   Energy consumption</t>
  </si>
  <si>
    <t>3.7.1.1   Once-through steam generator (OTSG)</t>
  </si>
  <si>
    <t>1.1   Crude oil processing</t>
  </si>
  <si>
    <t>1.1.2.1   Application of stabilizer</t>
  </si>
  <si>
    <t>1.1.2.2.1   Reboiler pressure</t>
  </si>
  <si>
    <t>1.1.2.2.6.1   Type of heater</t>
  </si>
  <si>
    <t>1.3.1   Treatment technologies</t>
  </si>
  <si>
    <t>1.3.1.1   Stage 1 of treatment</t>
  </si>
  <si>
    <t>1.3.1.1.1   Dissolved air flotation</t>
  </si>
  <si>
    <t>1.3.1.2.1   Rotating biological contactors</t>
  </si>
  <si>
    <t>1.3.1.1.3.1   Dual media filtration</t>
  </si>
  <si>
    <t>1.3.1.4.1   Reverse osmosis</t>
  </si>
  <si>
    <t>2.1   Crude oil processing</t>
  </si>
  <si>
    <t>2.1.1   Dehydration heater/treater</t>
  </si>
  <si>
    <t>2.1.2.1   Volume of oil heated</t>
  </si>
  <si>
    <t>2.2.1   Amine process (Ball et al., 1988)</t>
  </si>
  <si>
    <t>2.2.1.1   Contact tower</t>
  </si>
  <si>
    <t>2.2.1.1.1   Amine circulation rate</t>
  </si>
  <si>
    <t>2.2.1.2.1   Circulation pumps</t>
  </si>
  <si>
    <t>2.2.1.2.5.1   Prime mover fuel use</t>
  </si>
  <si>
    <t>2.2.1.3.1   Amine cooler</t>
  </si>
  <si>
    <t>2.2.1.3.4.1   Prime mover fuel use</t>
  </si>
  <si>
    <t>2.2.1.4.1   Energy consumption</t>
  </si>
  <si>
    <t>2.2.1.4.1.1   Prime mover fuel use</t>
  </si>
  <si>
    <t>2.2.2.1   Materials balance</t>
  </si>
  <si>
    <t>2.2.2.1.1   Amount of water in inlet gas</t>
  </si>
  <si>
    <t>2.2.2.2.1   Regenerator duty</t>
  </si>
  <si>
    <t>2.3.1   Total electricity use</t>
  </si>
  <si>
    <t>2.3.1.1   Total electricity use in imported water treatment</t>
  </si>
  <si>
    <t>1.1   Total energy consumption</t>
  </si>
  <si>
    <t>3.1   Crude transport energy consumption</t>
  </si>
  <si>
    <t>1.1   Field properties</t>
  </si>
  <si>
    <t>1.1.1   Crude name</t>
  </si>
  <si>
    <t>1.1.6.1   Simple once-through steam generator (OTSG)</t>
  </si>
  <si>
    <t>1.1.6.1   Gas-turbine plus heat recovery steam generator (HRSG)</t>
  </si>
  <si>
    <t>1.2.1   Inlet water temperature</t>
  </si>
  <si>
    <t>1.2.1.1   Approximate inlet water temperature</t>
  </si>
  <si>
    <t>1.2.2.1   Approximate water inlet pressure</t>
  </si>
  <si>
    <t>1.2.8.1   Approximate steam pressure</t>
  </si>
  <si>
    <t>1.3.1   OTSG inlet air composition</t>
  </si>
  <si>
    <t>2.1   OTSG inputs</t>
  </si>
  <si>
    <t>2.1.1   OTSG fuel input type (binary)</t>
  </si>
  <si>
    <t>2.1.1.1   Gaseous fuels</t>
  </si>
  <si>
    <t>2.1.2.1   Fraction natural gas</t>
  </si>
  <si>
    <t>2.3.1   OTSG gaseous fuels</t>
  </si>
  <si>
    <t>2.3.1.1   OTSG fuel gas composition</t>
  </si>
  <si>
    <t>2.4.1   OTSG inlet air properties - Gaseous fuels</t>
  </si>
  <si>
    <t>2.4.1.1   Air requirements - gaseous fuels combustion</t>
  </si>
  <si>
    <t>2.4.1   OTSG inlet air properties - Crude liquid fuels</t>
  </si>
  <si>
    <t>2.4.2.1   Stoichiometric O2 requirement</t>
  </si>
  <si>
    <t>2.5.1   OTSG exhaust properties - Gaseous fuels</t>
  </si>
  <si>
    <t>2.5.1.1   OTSG outlet exhaust moles per mole of fuel consumed</t>
  </si>
  <si>
    <t>2.6.1   OTSG maximum available energy</t>
  </si>
  <si>
    <t>2.6.1.1   OTSG available enthalpy - Gaseous fuel combustion</t>
  </si>
  <si>
    <t>2.7.1   Energy demand for steam enthalpy change</t>
  </si>
  <si>
    <t>2.7.2.1   Gaseous fuels combusted for steam generation</t>
  </si>
  <si>
    <t>2.7.3.1   Gaseous fuel energy for steam generation</t>
  </si>
  <si>
    <t>4.1   GT + HRSG inputs</t>
  </si>
  <si>
    <t>4.1.1   Gas turbine properties</t>
  </si>
  <si>
    <t>4.1.1.1   Turbine type</t>
  </si>
  <si>
    <t>4.1.1.2.1   Fraction natural gas</t>
  </si>
  <si>
    <t>4.1.1.2.1   Fraction product gas</t>
  </si>
  <si>
    <t>4.1.2.1   HRSG outlet exhaust temperature</t>
  </si>
  <si>
    <t>4.3.1   Gas turbine efficiencies</t>
  </si>
  <si>
    <t>4.3.1.1   Input - Energy</t>
  </si>
  <si>
    <t>4.3.2.1   Gas turbine fuel composition</t>
  </si>
  <si>
    <t>4.3.3.1   Gas turbine excess air in combustion</t>
  </si>
  <si>
    <t>4.3.4.1   Gas turbine air demand per mol of fuel consumed (stoichiometric + excess air)</t>
  </si>
  <si>
    <t>4.3.5.1   Gas turbine outlet exhaust temperature</t>
  </si>
  <si>
    <t>4.3.5.8.1   Gas turbine other inefficiencies</t>
  </si>
  <si>
    <t>4.4.1   HRSG inlet gas properties</t>
  </si>
  <si>
    <t>4.4.1.1   HRSG inlet gas temperature</t>
  </si>
  <si>
    <t>4.4.2.1   HRSG exhaust composition</t>
  </si>
  <si>
    <t>4.4.3.1   HRSG shell loss</t>
  </si>
  <si>
    <t>4.4.4.1   HRSG enthalpy available after exhaust loss and other inefficiencies</t>
  </si>
  <si>
    <t>4.5.1   Moles of fuel consumed per day</t>
  </si>
  <si>
    <t>2.1   Electricity production</t>
  </si>
  <si>
    <t>1.1   Crude oil heating value selector</t>
  </si>
  <si>
    <t>3.1   Average molecular mass - Natural gas</t>
  </si>
  <si>
    <t>1.1.2   Crude name</t>
  </si>
  <si>
    <t>1.2.2   Energy intensity of drilling</t>
  </si>
  <si>
    <t>2.1.2   Crude name</t>
  </si>
  <si>
    <t>2.2.2   Biomass carbon emissions</t>
  </si>
  <si>
    <t>2.2   Water flooding</t>
  </si>
  <si>
    <t>1.1.2   Water reinjection</t>
  </si>
  <si>
    <t>2.1.1.2   Crude name</t>
  </si>
  <si>
    <t>2.1.2   Associated gas</t>
  </si>
  <si>
    <t>2.1.2.2   Gas gravity</t>
  </si>
  <si>
    <t>2.1.3.2   Concentration of dissolved solids (TDS)</t>
  </si>
  <si>
    <t>2.1.4.2   Well completion</t>
  </si>
  <si>
    <t>2.2   Downhole pump</t>
  </si>
  <si>
    <t>2.2.2   Prime mover type</t>
  </si>
  <si>
    <t>2.2.4.2   Electric motor</t>
  </si>
  <si>
    <t>2.3.2   Prime mover type</t>
  </si>
  <si>
    <t>2.3.4.2   Electric motor</t>
  </si>
  <si>
    <t>2.5.3.2   Prime mover type</t>
  </si>
  <si>
    <t>2.5.3.4.2   Electric motor</t>
  </si>
  <si>
    <t>2.7.2   Gas injection volume</t>
  </si>
  <si>
    <t>2.8.2   Steam injection rate</t>
  </si>
  <si>
    <t>3.1.1.2   Friction component</t>
  </si>
  <si>
    <t>3.1.2   Pressure for lifting</t>
  </si>
  <si>
    <t>3.1.3.2   Pump efficiency</t>
  </si>
  <si>
    <t>3.1.4.2   Prime mover fuel usage per day of operation</t>
  </si>
  <si>
    <t>3.2   Water reinjection pump</t>
  </si>
  <si>
    <t>3.2.2   Brake horse power (BHP)</t>
  </si>
  <si>
    <t>3.2.2.2   Pump efficiency</t>
  </si>
  <si>
    <t>3.2.3.2   Prime mover fuel usage per day of operation</t>
  </si>
  <si>
    <t>3.4.2   Brake horse power (BHP)</t>
  </si>
  <si>
    <t>3.4.2.2   Pump efficiency</t>
  </si>
  <si>
    <t>3.4.3.2   Prime mover fuel usage per day of operation</t>
  </si>
  <si>
    <t>3.7.1.2   Combined heat and power (GT + HRSG)</t>
  </si>
  <si>
    <t>1.1.2   Oil-gas separation</t>
  </si>
  <si>
    <t>1.1.2.2   Reboiled stabilizer column</t>
  </si>
  <si>
    <t>1.1.2.2.2   Feed temperature</t>
  </si>
  <si>
    <t>1.1.2.2.6.2   NG fuel type</t>
  </si>
  <si>
    <t>1.2   Separator gas processing</t>
  </si>
  <si>
    <t>1.3.1.1.2   Hydrocyclones</t>
  </si>
  <si>
    <t>1.3.1.2   Stage 2 of treatment</t>
  </si>
  <si>
    <t>1.3.1.2.2   Absorbents</t>
  </si>
  <si>
    <t>1.3.1.3.2   Granular activated carbon</t>
  </si>
  <si>
    <t>1.3.1.4.2   Electrodialysis reversal</t>
  </si>
  <si>
    <t>2.1.2   Stabilizer column</t>
  </si>
  <si>
    <t>2.1.2.2   Heat duty</t>
  </si>
  <si>
    <t>2.2   Separator gas processing</t>
  </si>
  <si>
    <t>2.2.1.2   Pumps brake horse power</t>
  </si>
  <si>
    <t>2.2.1.2.2   Booster pumps</t>
  </si>
  <si>
    <t>2.2.1.2.5.2   Fuel usage per day</t>
  </si>
  <si>
    <t>2.2.1.3.2   Reflux condenser</t>
  </si>
  <si>
    <t>2.2.1.3.4.2   Fuel usage per day</t>
  </si>
  <si>
    <t>2.2.1.4.1.2   Total fuel use</t>
  </si>
  <si>
    <t>2.2.2   Glycol dehydrator</t>
  </si>
  <si>
    <t>2.2.2.1.2   Amount of water in outlet gas</t>
  </si>
  <si>
    <t>2.2.2.2   Reboiler</t>
  </si>
  <si>
    <t>2.2.2.2.2   Reboiler heat duty</t>
  </si>
  <si>
    <t>2.3.1.2   Total electricity use in produced water treatment</t>
  </si>
  <si>
    <t>1.2   Total GHG emissions</t>
  </si>
  <si>
    <t>3.2   Crude transport GHG emissions</t>
  </si>
  <si>
    <t>1.1.2   Crude API gravity</t>
  </si>
  <si>
    <t>1.2   OTSG water and steam properties</t>
  </si>
  <si>
    <t>1.2.2   Inlet water pressure</t>
  </si>
  <si>
    <t>1.3.2   OTSG inlet air weighted molar mass</t>
  </si>
  <si>
    <t>2.1.1.2   Produced heavy crude</t>
  </si>
  <si>
    <t>2.1.2   OTSG gaseous fuels share</t>
  </si>
  <si>
    <t>2.1.2.2   Fraction produced gas</t>
  </si>
  <si>
    <t>2.2   Summary results - OTSG mass and energy balance</t>
  </si>
  <si>
    <t>2.3.1.2   OTSG fuel gas input weighted molar mass</t>
  </si>
  <si>
    <t>2.3.2   OTSG liquid fuels</t>
  </si>
  <si>
    <t>2.3.2.2   OTSG crude liquid fuel mass fraction C</t>
  </si>
  <si>
    <t>2.4.1.2   Inlet air enthalpy - gaseous fuels combustion</t>
  </si>
  <si>
    <t>2.4.2.2   Real O2 requirements</t>
  </si>
  <si>
    <t>2.5.1.2   Average molar mass of OTSG exhaust</t>
  </si>
  <si>
    <t>2.5.2   OTSG exhaust properties - Crude liquid fuels</t>
  </si>
  <si>
    <t>2.5.2.2   Average molar mass of OTSG exhaust</t>
  </si>
  <si>
    <t>2.6.1.2   OTSG available enthalpy - Liquid fuel combustion</t>
  </si>
  <si>
    <t>2.6.2   OTSG shell losses</t>
  </si>
  <si>
    <t>2.7.2   Fuels combusted for steam generation</t>
  </si>
  <si>
    <t>2.7.2.2   Liquid fuels combusted for steam generation</t>
  </si>
  <si>
    <t>2.7.3.2   Liquid fuel energy for steam generation</t>
  </si>
  <si>
    <t>4.1.1.2   Gas turbine fuel input type</t>
  </si>
  <si>
    <t>4.1.2   HRSG properties</t>
  </si>
  <si>
    <t>4.2.2.2   HRSG shell losses</t>
  </si>
  <si>
    <t>4.2   GT + HRSG resulting mass and energy balances</t>
  </si>
  <si>
    <t>4.3.1.2   Output - Electricity</t>
  </si>
  <si>
    <t>4.3.2   Gas turbine fuel properties</t>
  </si>
  <si>
    <t>4.2.4.2   Gas turbine inlet air mass</t>
  </si>
  <si>
    <t>4.3.5.2   Gas turbine outlet exhaust moles per mole of fuel consumed</t>
  </si>
  <si>
    <t>4.3.5.8.2   Gas turbine other loss</t>
  </si>
  <si>
    <t>4.4.1.2   HRSG inlet moles per mole of fuel consumed in gas turbine</t>
  </si>
  <si>
    <t>4.4.2   HRSG exhaust properties</t>
  </si>
  <si>
    <t>4.4.2.2   Enthalpy of HRSG outlet exhaust</t>
  </si>
  <si>
    <t>4.4.4.2   HRSG efficiency</t>
  </si>
  <si>
    <t>4.5.2   Overall energy balance</t>
  </si>
  <si>
    <t>4.5.2.2   Heat content provided to steam per day (MMBtu enthalpy of steam)</t>
  </si>
  <si>
    <t>2.2   Fuel consumption</t>
  </si>
  <si>
    <t>1.2   Crude oil heating value</t>
  </si>
  <si>
    <t>3.2   Heating value - Natural gas</t>
  </si>
  <si>
    <t>1.1.3   Gas reinjection</t>
  </si>
  <si>
    <t>1.1.3   Field depth</t>
  </si>
  <si>
    <t>1.2.3   Energy intensity per well</t>
  </si>
  <si>
    <t>2.1.3   Crude production method</t>
  </si>
  <si>
    <t>2.2.3   Foregone sequestration emissions</t>
  </si>
  <si>
    <t>2.3   Gas flooding (e.g., N2 flooding)</t>
  </si>
  <si>
    <t>2.1.1.3   API</t>
  </si>
  <si>
    <t>2.1.2.3   Gas-oil ratio (GOR)</t>
  </si>
  <si>
    <t>2.1.3   Produced water</t>
  </si>
  <si>
    <t>2.1.3.3   Water specific gravity</t>
  </si>
  <si>
    <t>2.2.3   NG fuel type</t>
  </si>
  <si>
    <t>2.2.4.3   Diesel-fired engine</t>
  </si>
  <si>
    <t>2.3   Water reinjection pump</t>
  </si>
  <si>
    <t>2.3.3   NG fuel type</t>
  </si>
  <si>
    <t>2.3.4.3   Diesel-fired engine</t>
  </si>
  <si>
    <t>2.5.3   Water flooding injection pump</t>
  </si>
  <si>
    <t>2.5.3.3   NG fuel type</t>
  </si>
  <si>
    <t>2.5.3.4.3   Diesel-fired engine</t>
  </si>
  <si>
    <t>3.1.3   Brake horse power (BHP)</t>
  </si>
  <si>
    <t>3.1.4.3   Total fuel use (for N number of producing wells)</t>
  </si>
  <si>
    <t>3.2.3   Energy consumption</t>
  </si>
  <si>
    <t>3.3   Gas reinjection compressor</t>
  </si>
  <si>
    <t>3.4.3   Energy consumption</t>
  </si>
  <si>
    <t>3.7.3   CHP electricity generation</t>
  </si>
  <si>
    <t>1.1.2.2.3   Process temperature</t>
  </si>
  <si>
    <t>1.1.2.2.6.3   Heater fuel use</t>
  </si>
  <si>
    <t>1.2.2.1.3   Operating pressure</t>
  </si>
  <si>
    <t>1.3   Water treatment</t>
  </si>
  <si>
    <t>1.3.1.2.3   Activated sludge</t>
  </si>
  <si>
    <t>1.3.1.3   Stage 3 of treatment</t>
  </si>
  <si>
    <t>1.3.1.3.3   Slow sand filtration</t>
  </si>
  <si>
    <t>2.1.2.3   Energy consumption</t>
  </si>
  <si>
    <t>2.2.1.2.3   Reflux pumps</t>
  </si>
  <si>
    <t>2.2.1.2.5.3   Total fuel use</t>
  </si>
  <si>
    <t>2.2.1.3   Air coolers brake horse power</t>
  </si>
  <si>
    <t>2.2.1.3.3   Total cooling horsepower</t>
  </si>
  <si>
    <t>2.2.1.3.4.3   Total fuel use</t>
  </si>
  <si>
    <t>2.2.2.1.3   Amount of water removed</t>
  </si>
  <si>
    <t>2.2.2.2.3   Energy consumption</t>
  </si>
  <si>
    <t>2.2.2.3   Glycol pump</t>
  </si>
  <si>
    <t>2.3   Water treatment</t>
  </si>
  <si>
    <t>1.1.3   Crude Production rate</t>
  </si>
  <si>
    <t>1.2.3   Inlet water density</t>
  </si>
  <si>
    <t>1.3   OTSG and GT + HRSG inlet air properties</t>
  </si>
  <si>
    <t>2.1.3   OTSG excess air in combustion</t>
  </si>
  <si>
    <t>2.3   OTSG fuel properties</t>
  </si>
  <si>
    <t>2.3.2.3   OTSG crude liquid fuel composition</t>
  </si>
  <si>
    <t>2.4.2.3   Air requirements - liquid fuel combustion</t>
  </si>
  <si>
    <t>2.5.1.3   OTSG exhaust mole fraction CO2</t>
  </si>
  <si>
    <t>2.5.2.3   OTSG exhaust mole fraction CO2</t>
  </si>
  <si>
    <t>2.7.3   Energy consumed for steam generation</t>
  </si>
  <si>
    <t>4.3   Gas turbine properties</t>
  </si>
  <si>
    <t>4.3.1.3   Output - Other loss</t>
  </si>
  <si>
    <t>4.3.3   Gas turbine combustion parameters</t>
  </si>
  <si>
    <t>4.3.4.3   Gas turbine inlet air enthalpy</t>
  </si>
  <si>
    <t>4.3.5.3   Average molar mass of gas turbine exhaust</t>
  </si>
  <si>
    <t>4.4.1.3   Average molar mass HRSG inlet exhaust</t>
  </si>
  <si>
    <t>4.4.3   HRSG other inefficiencies</t>
  </si>
  <si>
    <t>4.5.2.3   Power generated per day (MMBtu electricity)</t>
  </si>
  <si>
    <t>4.5.3   Overall cogeneration efficiency [(Btu elec + Btu steam) / Btu energy input]</t>
  </si>
  <si>
    <t>2.3   GHG emissions</t>
  </si>
  <si>
    <t>3.3   Average molecular mass - Produced gas</t>
  </si>
  <si>
    <t>1.1.4   Water flooding</t>
  </si>
  <si>
    <t>1.1.4   API gravity</t>
  </si>
  <si>
    <t>2.1.4   Crude ecosystem carbon richness</t>
  </si>
  <si>
    <t>2.4   Gas lifting</t>
  </si>
  <si>
    <t>2.1.1.4   Specific gravity</t>
  </si>
  <si>
    <t>2.1.2.4   Fraction of remaining gas to reinjection</t>
  </si>
  <si>
    <t>2.1.3.4   Density of water at standard conditions</t>
  </si>
  <si>
    <t>2.1.4   Well description</t>
  </si>
  <si>
    <t>2.1.4.4   Number of producing wells</t>
  </si>
  <si>
    <t>2.2.4   Prime mover fuel use</t>
  </si>
  <si>
    <t>2.2.4.4   NG-fired turbine</t>
  </si>
  <si>
    <t>2.3.4   Prime mover fuel use</t>
  </si>
  <si>
    <t>2.3.4.4   NG-fired turbine</t>
  </si>
  <si>
    <t>2.5.3.4   Prime mover fuel use</t>
  </si>
  <si>
    <t>2.5.3.4.4   NG-fired turbine</t>
  </si>
  <si>
    <t>3.1.4   Energy consumption</t>
  </si>
  <si>
    <t>3.4   Water flooding pump</t>
  </si>
  <si>
    <t>1.1.2.2.4   Specific heat of crude oil</t>
  </si>
  <si>
    <t>1.3.1.2.4   Trickling filters</t>
  </si>
  <si>
    <t>1.3.1.3.4   Ozone</t>
  </si>
  <si>
    <t>1.3.1.4   Stage 4 of treatment</t>
  </si>
  <si>
    <t>2.2.1.2.4   Total pumping horsepower</t>
  </si>
  <si>
    <t>2.2.1.3.4   Energy consumption</t>
  </si>
  <si>
    <t>2.2.1.4   Reboiler heat duty</t>
  </si>
  <si>
    <t>2.2.2.1.4   Rate of water removal</t>
  </si>
  <si>
    <t>1.1.4   Steam oil ratio (SOR)</t>
  </si>
  <si>
    <t>1.2.4   Required water mass</t>
  </si>
  <si>
    <t>1.4   Overall sheet check</t>
  </si>
  <si>
    <t>2.1.4   OTSG inlet air temperature</t>
  </si>
  <si>
    <t>2.3.2.4   OTSG crude liquid fuel stoichiometric O2 requirements per C</t>
  </si>
  <si>
    <t>2.4   OTSG air composition and requirements</t>
  </si>
  <si>
    <t>2.4.2.4   Inlet air enthalpy - liquid fuel combustion</t>
  </si>
  <si>
    <t>2.5.1.4   OTSG exhaust enthalpy</t>
  </si>
  <si>
    <t>2.5.2.4   OTSG exhaust enthalpy</t>
  </si>
  <si>
    <t>4.3.1.4   Output - Exhaust thermal energy</t>
  </si>
  <si>
    <t>4.3.4   Gas turbine inlet air properties</t>
  </si>
  <si>
    <t>4.3.5.4   Mass of gas turbine exhaust</t>
  </si>
  <si>
    <t>4.4   HRSG properties</t>
  </si>
  <si>
    <t>4.4.1.4   Mass of HRSG inlet exhaust</t>
  </si>
  <si>
    <t>4.4.4   Overall HRSG efficiency parameters</t>
  </si>
  <si>
    <t>3.4   Heating value - Produced gas</t>
  </si>
  <si>
    <t>Table 2.4   Composition of moist air</t>
  </si>
  <si>
    <t>1.1.5   Gas lifting</t>
  </si>
  <si>
    <t>1.1.5   Crude oil heating value</t>
  </si>
  <si>
    <t>2.5   Steam flooding</t>
  </si>
  <si>
    <t>2.1.1.5   Sulfur</t>
  </si>
  <si>
    <t>2.1.3.5   Fraction of water to reinjection/flooding</t>
  </si>
  <si>
    <t>2.5   Water flooding</t>
  </si>
  <si>
    <t>3.5   Gas lifting compressor</t>
  </si>
  <si>
    <t>1.1.2.2.5   Heat loss</t>
  </si>
  <si>
    <t>1.3.1.2.5   Air stripping</t>
  </si>
  <si>
    <t>1.3.1.3.5   Organoclay</t>
  </si>
  <si>
    <t>2.2.1.2.5   Energy consumption</t>
  </si>
  <si>
    <t>2.2.2.1.5   Rate of TEG circulation</t>
  </si>
  <si>
    <t>1.1.5   Steam injection rate</t>
  </si>
  <si>
    <t>1.2.5   Inlet water enthalpy</t>
  </si>
  <si>
    <t>2.1.5   OTSG outlet exhaust temperature</t>
  </si>
  <si>
    <t>2.5   OTSG exhaust properties</t>
  </si>
  <si>
    <t>4.3.5   Gas turbine exhaust properties</t>
  </si>
  <si>
    <t>4.3.5.5   Gas turbine specific power</t>
  </si>
  <si>
    <t>4.4.1.5   Enthalpy of HRSG inlet exhaust</t>
  </si>
  <si>
    <t>4.5   HRSG overall energy consumption and emissions</t>
  </si>
  <si>
    <t>Table 2.5   Molar mass air components</t>
  </si>
  <si>
    <t>Table 4.5   Gas turbine exhaust conditions - Identical to HRSG inlet gas conditions</t>
  </si>
  <si>
    <t>1.1.6   Gas flooding</t>
  </si>
  <si>
    <t>2.1.1.6   Production volume</t>
  </si>
  <si>
    <t>2.6   Gas lifting</t>
  </si>
  <si>
    <t>3.6   Gas flooding compressor</t>
  </si>
  <si>
    <t>1.1.2.2.6   Prime mover</t>
  </si>
  <si>
    <t>1.3.1.2.6   Aerated lagoons</t>
  </si>
  <si>
    <t>1.3.1.3.6   Ultrafiltration</t>
  </si>
  <si>
    <t>1.1.6   Share of steam production by steam generator type</t>
  </si>
  <si>
    <t>1.2.6   Reservoir pressure</t>
  </si>
  <si>
    <t>2.6   OTSG efficiency</t>
  </si>
  <si>
    <t>4.3.5.6   Gas turbine exhaust mole fraction CO2</t>
  </si>
  <si>
    <t>1.1.7   Steam flooding</t>
  </si>
  <si>
    <t>2.7   Gas flooding</t>
  </si>
  <si>
    <t>3.7   Steam injection</t>
  </si>
  <si>
    <t>1.3.1.2.7   Wetlands</t>
  </si>
  <si>
    <t>1.3.1.3.7   Nanofiltration</t>
  </si>
  <si>
    <t>1.2.7   Excess pressure required for steam distribution losses</t>
  </si>
  <si>
    <t>2.7   OTSG energy consumption and emissions</t>
  </si>
  <si>
    <t>4.3.5.7   Gas turbine exhaust enthalpy</t>
  </si>
  <si>
    <t>2.8   Steam injection</t>
  </si>
  <si>
    <t>1.3.1.2.8   Microfiltration - used as a combined stage 1 and stage 2 technology</t>
  </si>
  <si>
    <t>1.2.8   Steam pressure at outlet of steam generator</t>
  </si>
  <si>
    <t>4.3.5.8   Gas turbine other inefficiencies</t>
  </si>
  <si>
    <t>1.2.9   Steam quality at steam generator outlet</t>
  </si>
  <si>
    <t>1.2.10   Saturated steam temperature (Tsteam)</t>
  </si>
  <si>
    <r>
      <t xml:space="preserve">1.2.11   </t>
    </r>
    <r>
      <rPr>
        <sz val="12"/>
        <color theme="1"/>
        <rFont val="Helvetica"/>
        <family val="2"/>
      </rPr>
      <t>Steam mixture fluid enthalpy</t>
    </r>
  </si>
  <si>
    <r>
      <t xml:space="preserve">1.2.12   </t>
    </r>
    <r>
      <rPr>
        <sz val="12"/>
        <color theme="1"/>
        <rFont val="Helvetica"/>
        <family val="2"/>
      </rPr>
      <t>Steam mixture vapor enthalpy</t>
    </r>
  </si>
  <si>
    <r>
      <t xml:space="preserve">1.2.13   </t>
    </r>
    <r>
      <rPr>
        <sz val="12"/>
        <color theme="1"/>
        <rFont val="Helvetica"/>
        <family val="2"/>
      </rPr>
      <t>Weighted enthalpy of saturated steam</t>
    </r>
  </si>
  <si>
    <r>
      <t xml:space="preserve">1.2.14   </t>
    </r>
    <r>
      <rPr>
        <sz val="12"/>
        <color theme="1"/>
        <rFont val="Helvetica"/>
        <family val="2"/>
      </rPr>
      <t>Enthalpy increase of water</t>
    </r>
  </si>
  <si>
    <t>lbmol/lbmol air</t>
  </si>
  <si>
    <t>lb/lbmol air</t>
  </si>
  <si>
    <t>lbmol O2 real/lbmol O2 stoichiometric</t>
  </si>
  <si>
    <t>lbmol/lbmol fuel</t>
  </si>
  <si>
    <t>lbmol O2/lbmol C</t>
  </si>
  <si>
    <t>Btu/lbmol fuel</t>
  </si>
  <si>
    <t>lb/lbmol exhaust</t>
  </si>
  <si>
    <t>lbmol CO2/lbmol exhaust</t>
  </si>
  <si>
    <t>lbmol/d</t>
  </si>
  <si>
    <t>lb air/lbmol fuel</t>
  </si>
  <si>
    <t>lb/lbmol of exhaust</t>
  </si>
  <si>
    <t>lb/lbmol of fuel burned</t>
  </si>
  <si>
    <t>lbmol/lb mol fuel</t>
  </si>
  <si>
    <t>lb/lbmol of fuel</t>
  </si>
  <si>
    <t>Btu/lbmol fuel combusted</t>
  </si>
  <si>
    <t>lbmol fuel combusted per day</t>
  </si>
  <si>
    <t>lbmol/lb crude liquid fuel</t>
  </si>
  <si>
    <t>lbmol O2 required</t>
  </si>
  <si>
    <t>Btu/lbmol</t>
  </si>
  <si>
    <t>Btu/lbmol-R</t>
  </si>
  <si>
    <t>Enthalpy (Btu/lbmol)</t>
  </si>
  <si>
    <t>MBtu/kg</t>
  </si>
  <si>
    <t>lbm/d</t>
  </si>
  <si>
    <t>Btu/lbm</t>
  </si>
  <si>
    <t>Assume that produced crude is burned directly without upgrading.  Because molar mass is uncertain, liquid fuels are tracked on mass basis (lbm)</t>
  </si>
  <si>
    <t>lbm C/lbm crude</t>
  </si>
  <si>
    <t>lbmol /lbm fuel consumed</t>
  </si>
  <si>
    <t>lbmol O2 stoich./lbm crude liquid fuel consumed</t>
  </si>
  <si>
    <t>lbmol O2 real/lbm crude liquid fuel consumed</t>
  </si>
  <si>
    <t>lbmol air/lbm crude liquid fuel</t>
  </si>
  <si>
    <t>Btu/lbm crude liquid fuel</t>
  </si>
  <si>
    <t>2.5.2.1   OTSG outlet exhaust moles per lbm of crude liquid fuel consumed</t>
  </si>
  <si>
    <t>lbmol exhaust/lbm crude liquid fuel</t>
  </si>
  <si>
    <t>Btu/lbm fuel</t>
  </si>
  <si>
    <t>Btu/lbmass</t>
  </si>
  <si>
    <t>Btu/(lbm °R)</t>
  </si>
  <si>
    <t xml:space="preserve">(Btu/lbm) </t>
  </si>
  <si>
    <t xml:space="preserve">(Btu/(lbm °R)) </t>
  </si>
  <si>
    <t>kWh/hp-hr</t>
  </si>
  <si>
    <t>2= Diethanolamine (DEA) - conventional (30 wt%)</t>
  </si>
  <si>
    <t>3= Diethanolamine (DEA) - high load (35 wt%)</t>
  </si>
  <si>
    <r>
      <t>C</t>
    </r>
    <r>
      <rPr>
        <vertAlign val="subscript"/>
        <sz val="12"/>
        <color theme="1"/>
        <rFont val="Helvetica"/>
      </rPr>
      <t>4</t>
    </r>
    <r>
      <rPr>
        <sz val="12"/>
        <color theme="1"/>
        <rFont val="Helvetica"/>
        <family val="2"/>
      </rPr>
      <t>+</t>
    </r>
  </si>
  <si>
    <t>L64</t>
  </si>
  <si>
    <t>L49</t>
  </si>
  <si>
    <t>L56</t>
  </si>
  <si>
    <t>M43</t>
  </si>
  <si>
    <t>M48</t>
  </si>
  <si>
    <t>M53</t>
  </si>
  <si>
    <t>M45</t>
  </si>
  <si>
    <t>M65</t>
  </si>
  <si>
    <t>yr</t>
  </si>
  <si>
    <t>1.2.1   Btu</t>
  </si>
  <si>
    <t>1.2.2   MJ</t>
  </si>
  <si>
    <r>
      <t>Overall check</t>
    </r>
    <r>
      <rPr>
        <sz val="12"/>
        <color theme="1"/>
        <rFont val="Helvetica"/>
        <family val="2"/>
      </rPr>
      <t>:</t>
    </r>
  </si>
  <si>
    <r>
      <t>Check</t>
    </r>
    <r>
      <rPr>
        <sz val="12"/>
        <color theme="1"/>
        <rFont val="Helvetica"/>
        <family val="2"/>
      </rPr>
      <t>:</t>
    </r>
  </si>
  <si>
    <t>UAE</t>
  </si>
  <si>
    <t>Angola</t>
  </si>
  <si>
    <t>Argentina</t>
  </si>
  <si>
    <t>Australia</t>
  </si>
  <si>
    <t>Azerbaijan</t>
  </si>
  <si>
    <t>Bolivia</t>
  </si>
  <si>
    <t>Brazil</t>
  </si>
  <si>
    <t>Brunei</t>
  </si>
  <si>
    <t>Cameroon</t>
  </si>
  <si>
    <t>Chad</t>
  </si>
  <si>
    <t>Chile</t>
  </si>
  <si>
    <t>Colombia</t>
  </si>
  <si>
    <t>Congo</t>
  </si>
  <si>
    <t>Denmark</t>
  </si>
  <si>
    <t>Ecuador</t>
  </si>
  <si>
    <t>Egypt</t>
  </si>
  <si>
    <t>Equatorial Guinea</t>
  </si>
  <si>
    <t>Gabon</t>
  </si>
  <si>
    <t>Ghana</t>
  </si>
  <si>
    <t>India</t>
  </si>
  <si>
    <t>Mauritania</t>
  </si>
  <si>
    <t>Myanmar</t>
  </si>
  <si>
    <t>New Zealand</t>
  </si>
  <si>
    <t>Norway</t>
  </si>
  <si>
    <t>Peru</t>
  </si>
  <si>
    <t>Philippines</t>
  </si>
  <si>
    <t>Romania</t>
  </si>
  <si>
    <t>South Africa</t>
  </si>
  <si>
    <t>Sudan</t>
  </si>
  <si>
    <t>Syria</t>
  </si>
  <si>
    <t>Thailand</t>
  </si>
  <si>
    <t>Trinidad</t>
  </si>
  <si>
    <t>Tunisia</t>
  </si>
  <si>
    <t>Turkmenistan</t>
  </si>
  <si>
    <t>UK</t>
  </si>
  <si>
    <t>Uzbekistan</t>
  </si>
  <si>
    <t>Vietnam</t>
  </si>
  <si>
    <t>Yemen</t>
  </si>
  <si>
    <t>Algeria</t>
  </si>
  <si>
    <t>Canada</t>
  </si>
  <si>
    <t>China</t>
  </si>
  <si>
    <t>Indonesia</t>
  </si>
  <si>
    <t>Iran</t>
  </si>
  <si>
    <t>Iraq</t>
  </si>
  <si>
    <t>Kazakhstan</t>
  </si>
  <si>
    <t>Kuwait</t>
  </si>
  <si>
    <t>Libya</t>
  </si>
  <si>
    <t>Malaysia</t>
  </si>
  <si>
    <t>Mexico</t>
  </si>
  <si>
    <t>Nigeria</t>
  </si>
  <si>
    <t>Oman</t>
  </si>
  <si>
    <t>Qatar</t>
  </si>
  <si>
    <t>Russia</t>
  </si>
  <si>
    <t>Saudi Arabia</t>
  </si>
  <si>
    <t>Venezuela</t>
  </si>
  <si>
    <t>Specific gravity</t>
  </si>
  <si>
    <t>NGL emissions factor is assumed the same as natural gas</t>
  </si>
  <si>
    <t>NGL is substituted by natural gas</t>
  </si>
  <si>
    <t>Ocean tanker</t>
  </si>
  <si>
    <t>Locomotive</t>
  </si>
  <si>
    <t>Pipeline turbine</t>
  </si>
  <si>
    <t>Pipeline engine</t>
  </si>
  <si>
    <t>Residual oil</t>
  </si>
  <si>
    <t>Table 2.3: Energy Consumption for Ocean Tanker and Barge</t>
  </si>
  <si>
    <t>Table 2.4: Energy Intensity of Rail Transportation: Btu/ton-mile</t>
  </si>
  <si>
    <t>Table 2.5: Energy Intensity of Pipeline Transportation: Btu/ton-mile</t>
  </si>
  <si>
    <t>Reciprocating Engine: Current</t>
  </si>
  <si>
    <t>Table 2.6: Share of Power Generation Technologies for Pipeline Compression Stations</t>
  </si>
  <si>
    <t xml:space="preserve">Table 2.7: Energy Consumption and Emissions of Feedstock Transportation </t>
  </si>
  <si>
    <t>Table 2.8: Percentage of Fuel Transported by a Given Mode</t>
  </si>
  <si>
    <r>
      <t>Table 2.</t>
    </r>
    <r>
      <rPr>
        <sz val="12"/>
        <color theme="1"/>
        <rFont val="Helvetica"/>
        <family val="2"/>
      </rPr>
      <t>9</t>
    </r>
    <r>
      <rPr>
        <sz val="12"/>
        <color theme="1"/>
        <rFont val="Helvetica"/>
        <family val="2"/>
      </rPr>
      <t>: Feed losses: Btu/MMBtu fuel transported</t>
    </r>
  </si>
  <si>
    <t>Pet. Coke</t>
  </si>
  <si>
    <t>HDV truck</t>
  </si>
  <si>
    <t>2 Input assumptions and data</t>
  </si>
  <si>
    <t>2.1   Crude or SCO name</t>
  </si>
  <si>
    <t>2.2   Crude bitumen properties</t>
  </si>
  <si>
    <t>2.2.1   Crude bitumen API gravity</t>
  </si>
  <si>
    <t>2.2.2   Crude bitumen specific gravity</t>
  </si>
  <si>
    <t>2.2.3   Crude bitumen heating value</t>
  </si>
  <si>
    <t>2.3   Synthetic crude oil (SCO) properties</t>
  </si>
  <si>
    <t>2.3.1   SCO API gravity</t>
  </si>
  <si>
    <t>2.3.2   SCO specific gravity</t>
  </si>
  <si>
    <t>2.3.3   SCO heating value</t>
  </si>
  <si>
    <t>2.4   Diluent properties</t>
  </si>
  <si>
    <t>2.4.1   Diluent API gravity</t>
  </si>
  <si>
    <t>2.4.2   Diluent specific gravity</t>
  </si>
  <si>
    <t>2.4.3   Diluent heating value</t>
  </si>
  <si>
    <t>2.5   Oil production rate (choose bitumen output or SCO below)</t>
  </si>
  <si>
    <t>2.6   Project pathway choices</t>
  </si>
  <si>
    <t>2.6.1   Upgrading or blending</t>
  </si>
  <si>
    <t>2.6.1.1   Hydrocarbon upgraded - Produce SCO</t>
  </si>
  <si>
    <t>2.6.1.2   Hydrocarbon not upgraded - Produce bitumen for dilution</t>
  </si>
  <si>
    <t>2.6.2   Primary extraction methodology</t>
  </si>
  <si>
    <t>2.6.2.1   Mining integrated</t>
  </si>
  <si>
    <t>2.6.2.2   Mining non-integrated</t>
  </si>
  <si>
    <t>2.6.2.3   In situ - Non-thermal production (primary)</t>
  </si>
  <si>
    <t>2.6.2.4   In situ - Steam assisted gravity drainage (SAGD)</t>
  </si>
  <si>
    <t>2.6.2.5   In situ - Cyclic steam stimulation (CSS)</t>
  </si>
  <si>
    <t>2.7   In situ steam oil ratio (SOR)</t>
  </si>
  <si>
    <t>2.7.1   Steam assisted gravity drainage (SAGD) SOR</t>
  </si>
  <si>
    <t>2.7.2   Cyclic steam stimulation (CSS) SOR</t>
  </si>
  <si>
    <t>2.8   Diluent blending</t>
  </si>
  <si>
    <t>2.8.1   Volume fraction of dilbit as diluent</t>
  </si>
  <si>
    <t>2.8.2   Volume fraction of dilbit as bitumen</t>
  </si>
  <si>
    <t>2.8.3   Dilbit heating value</t>
  </si>
  <si>
    <t>3.1   Direct energy consumption</t>
  </si>
  <si>
    <t>3.1.1   Energy consumed primary extraction (in situ and mining, includes mining for integrated mining &amp; upgrading)</t>
  </si>
  <si>
    <t>3.1.2   Energy consumed upgrading (includes upgrading for integrated mining &amp; upgrading)</t>
  </si>
  <si>
    <t>3.1.3   Direct energy consumed (net, extraction + upgrading)</t>
  </si>
  <si>
    <t>3.2   Fugitive emissions, venting, and flaring</t>
  </si>
  <si>
    <t>3.2.1   Gas released via fugitive emissions and direct venting</t>
  </si>
  <si>
    <t>3.2.2   Gas consumed in flares</t>
  </si>
  <si>
    <t>3.3   Energy imports (net imports for computing upstream fuel cycle emissions)</t>
  </si>
  <si>
    <t>3.4 Total energy consumption</t>
  </si>
  <si>
    <t>3.4.1 Direct energy consumption</t>
  </si>
  <si>
    <t>3.4.2 Indirect energy consumption</t>
  </si>
  <si>
    <t>4 Data tables</t>
  </si>
  <si>
    <t>Injection</t>
  </si>
  <si>
    <t>Gas injection</t>
  </si>
  <si>
    <t>Gas treatment</t>
  </si>
  <si>
    <t>Btu LHV/lb</t>
  </si>
  <si>
    <r>
      <t>MMBtu/bbl (</t>
    </r>
    <r>
      <rPr>
        <sz val="12"/>
        <color theme="1"/>
        <rFont val="Helvetica"/>
        <family val="2"/>
      </rPr>
      <t>L</t>
    </r>
    <r>
      <rPr>
        <sz val="12"/>
        <color theme="1"/>
        <rFont val="Helvetica"/>
        <family val="2"/>
      </rPr>
      <t>HV)</t>
    </r>
  </si>
  <si>
    <r>
      <rPr>
        <sz val="12"/>
        <color theme="1"/>
        <rFont val="Helvetica"/>
        <family val="2"/>
      </rPr>
      <t>Mbtu LHV</t>
    </r>
    <r>
      <rPr>
        <sz val="12"/>
        <color theme="1"/>
        <rFont val="Helvetica"/>
        <family val="2"/>
      </rPr>
      <t>/d</t>
    </r>
  </si>
  <si>
    <r>
      <t>2.</t>
    </r>
    <r>
      <rPr>
        <sz val="12"/>
        <color theme="1"/>
        <rFont val="Helvetica"/>
        <family val="2"/>
      </rPr>
      <t>1</t>
    </r>
    <r>
      <rPr>
        <sz val="12"/>
        <color theme="1"/>
        <rFont val="Helvetica"/>
        <family val="2"/>
      </rPr>
      <t>.</t>
    </r>
    <r>
      <rPr>
        <sz val="12"/>
        <color theme="1"/>
        <rFont val="Helvetica"/>
        <family val="2"/>
      </rPr>
      <t>6</t>
    </r>
    <r>
      <rPr>
        <sz val="12"/>
        <color theme="1"/>
        <rFont val="Helvetica"/>
        <family val="2"/>
      </rPr>
      <t xml:space="preserve">   Other OTSG loss</t>
    </r>
  </si>
  <si>
    <r>
      <t>2.</t>
    </r>
    <r>
      <rPr>
        <sz val="12"/>
        <color theme="1"/>
        <rFont val="Helvetica"/>
        <family val="2"/>
      </rPr>
      <t>1.6.1</t>
    </r>
    <r>
      <rPr>
        <sz val="12"/>
        <color theme="1"/>
        <rFont val="Helvetica"/>
        <family val="2"/>
      </rPr>
      <t xml:space="preserve">   OTSG shell loss inefficiency</t>
    </r>
  </si>
  <si>
    <r>
      <t>2.</t>
    </r>
    <r>
      <rPr>
        <sz val="12"/>
        <color theme="1"/>
        <rFont val="Helvetica"/>
        <family val="2"/>
      </rPr>
      <t>1.6.2</t>
    </r>
    <r>
      <rPr>
        <sz val="12"/>
        <color theme="1"/>
        <rFont val="Helvetica"/>
        <family val="2"/>
      </rPr>
      <t xml:space="preserve">   OTSG other loss - Gaseous fuels</t>
    </r>
  </si>
  <si>
    <r>
      <t>2.</t>
    </r>
    <r>
      <rPr>
        <sz val="12"/>
        <color theme="1"/>
        <rFont val="Helvetica"/>
        <family val="2"/>
      </rPr>
      <t>1.6.3</t>
    </r>
    <r>
      <rPr>
        <sz val="12"/>
        <color theme="1"/>
        <rFont val="Helvetica"/>
        <family val="2"/>
      </rPr>
      <t xml:space="preserve">   OTSG other loss - Liquid fuels</t>
    </r>
  </si>
  <si>
    <r>
      <t>2.6.2.</t>
    </r>
    <r>
      <rPr>
        <sz val="12"/>
        <color theme="1"/>
        <rFont val="Helvetica"/>
        <family val="2"/>
      </rPr>
      <t>1</t>
    </r>
    <r>
      <rPr>
        <sz val="12"/>
        <color theme="1"/>
        <rFont val="Helvetica"/>
        <family val="2"/>
      </rPr>
      <t xml:space="preserve">   OTSG shell loss - Gaseous fuels</t>
    </r>
  </si>
  <si>
    <r>
      <t>2.6.2.</t>
    </r>
    <r>
      <rPr>
        <sz val="12"/>
        <color theme="1"/>
        <rFont val="Helvetica"/>
        <family val="2"/>
      </rPr>
      <t xml:space="preserve">2  </t>
    </r>
    <r>
      <rPr>
        <sz val="12"/>
        <color theme="1"/>
        <rFont val="Helvetica"/>
        <family val="2"/>
      </rPr>
      <t xml:space="preserve"> OTSG shell loss - Liquid fuels</t>
    </r>
  </si>
  <si>
    <r>
      <t>2.6.</t>
    </r>
    <r>
      <rPr>
        <sz val="12"/>
        <color theme="1"/>
        <rFont val="Helvetica"/>
        <family val="2"/>
      </rPr>
      <t>3</t>
    </r>
    <r>
      <rPr>
        <sz val="12"/>
        <color theme="1"/>
        <rFont val="Helvetica"/>
        <family val="2"/>
      </rPr>
      <t xml:space="preserve">   Enthalpy available for raising steam</t>
    </r>
  </si>
  <si>
    <r>
      <t>2.6.</t>
    </r>
    <r>
      <rPr>
        <sz val="12"/>
        <color theme="1"/>
        <rFont val="Helvetica"/>
        <family val="2"/>
      </rPr>
      <t>3</t>
    </r>
    <r>
      <rPr>
        <sz val="12"/>
        <color theme="1"/>
        <rFont val="Helvetica"/>
        <family val="2"/>
      </rPr>
      <t>.1   Enthalpy available after exhaust and other loss - Gaseous fuels</t>
    </r>
  </si>
  <si>
    <r>
      <t>2.6.</t>
    </r>
    <r>
      <rPr>
        <sz val="12"/>
        <color theme="1"/>
        <rFont val="Helvetica"/>
        <family val="2"/>
      </rPr>
      <t>3</t>
    </r>
    <r>
      <rPr>
        <sz val="12"/>
        <color theme="1"/>
        <rFont val="Helvetica"/>
        <family val="2"/>
      </rPr>
      <t>.2   Enthalpy available after exhaust and other loss - Liquid fuels</t>
    </r>
  </si>
  <si>
    <r>
      <t>2.6.</t>
    </r>
    <r>
      <rPr>
        <sz val="12"/>
        <color theme="1"/>
        <rFont val="Helvetica"/>
        <family val="2"/>
      </rPr>
      <t>4</t>
    </r>
    <r>
      <rPr>
        <sz val="12"/>
        <color theme="1"/>
        <rFont val="Helvetica"/>
        <family val="2"/>
      </rPr>
      <t xml:space="preserve">   OTSG efficiency</t>
    </r>
  </si>
  <si>
    <t>Data quality for primary production is poor.  O'Connor models primary production between heavy oil production and SAGD based on a consultancy study (GHGenius oil production update, March 2011, p. 41)</t>
  </si>
  <si>
    <t>Stand alone upgrading gain</t>
  </si>
  <si>
    <t>Integrated upgrading gain</t>
  </si>
  <si>
    <t>GHGenius assumes a 1:1 mass ratio for bitumen to SCO production for stand-alone operations.</t>
  </si>
  <si>
    <t>GHGenius assumes a 1.25:1 mass ratio for bitumen to SCO production for integrated upgraders (coking based rather than via hydrogen addition as in stand-alone Scotford upgrader)</t>
  </si>
  <si>
    <t>Conventional oil and in situ production</t>
  </si>
  <si>
    <t>Oil sands mining</t>
  </si>
  <si>
    <r>
      <t xml:space="preserve">2.2   </t>
    </r>
    <r>
      <rPr>
        <sz val="12"/>
        <color theme="1"/>
        <rFont val="Helvetica"/>
        <family val="2"/>
      </rPr>
      <t>Source-specific</t>
    </r>
    <r>
      <rPr>
        <sz val="12"/>
        <color theme="1"/>
        <rFont val="Helvetica"/>
        <family val="2"/>
      </rPr>
      <t xml:space="preserve"> land use emissions</t>
    </r>
  </si>
  <si>
    <r>
      <t>2.</t>
    </r>
    <r>
      <rPr>
        <sz val="12"/>
        <color theme="1"/>
        <rFont val="Helvetica"/>
        <family val="2"/>
      </rPr>
      <t>3</t>
    </r>
    <r>
      <rPr>
        <sz val="12"/>
        <color theme="1"/>
        <rFont val="Helvetica"/>
        <family val="2"/>
      </rPr>
      <t xml:space="preserve">   Total land use emissions</t>
    </r>
  </si>
  <si>
    <t>2 Petroleum resource</t>
  </si>
  <si>
    <t>2.1   Conventional</t>
  </si>
  <si>
    <t>2.2   Bitumen</t>
  </si>
  <si>
    <t>4 User inputs - Bitumen</t>
  </si>
  <si>
    <t>These results are derived from calculations in Bitumen Extraction &amp; Upgrading sheet.</t>
  </si>
  <si>
    <t>MJ of bitumen output</t>
  </si>
  <si>
    <t>3.1   Production methods</t>
  </si>
  <si>
    <t>3.1.1   Downhole pump</t>
  </si>
  <si>
    <t xml:space="preserve">3.1.2   Water reinjection </t>
  </si>
  <si>
    <t>3.1.3   Gas reinjection</t>
  </si>
  <si>
    <t>3.1.4   Water flooding</t>
  </si>
  <si>
    <t>3.1.5   Gas lifting</t>
  </si>
  <si>
    <t>3.1.6   Gas flooding</t>
  </si>
  <si>
    <t>3.1.7   Steam flooding</t>
  </si>
  <si>
    <t>3.2   Field properties</t>
  </si>
  <si>
    <t>3.2.1   Field location (Country)</t>
  </si>
  <si>
    <t>3.2.2   Field name</t>
  </si>
  <si>
    <t>3.2.3   Field age</t>
  </si>
  <si>
    <t>3.2.4   Field depth</t>
  </si>
  <si>
    <t>3.3   Fluid properties</t>
  </si>
  <si>
    <t>3.3.1   API gravity of produced crude</t>
  </si>
  <si>
    <t>3.3.2   Associated gas composition</t>
  </si>
  <si>
    <t>3.4   Production practices</t>
  </si>
  <si>
    <t>3.4.1   Gas-to-oil ratio (GOR)</t>
  </si>
  <si>
    <t>3.4.2   Water-to-oil ratio (WOR)</t>
  </si>
  <si>
    <t>3.4.3   Water injection ratio</t>
  </si>
  <si>
    <t>3.4.6   Steam-to-oil ratio (SOR)</t>
  </si>
  <si>
    <t>3.5   Processing practices</t>
  </si>
  <si>
    <t>5 Summary results - Conventional</t>
  </si>
  <si>
    <t>5.1   Exploration</t>
  </si>
  <si>
    <t>5.1.1   Total energy consumption</t>
  </si>
  <si>
    <t>5.1.2   Total GHG emissions</t>
  </si>
  <si>
    <t>5.1.2.1   Combustion/land use</t>
  </si>
  <si>
    <t>5.1.2.2   VFF</t>
  </si>
  <si>
    <t>5.2   Drilling &amp; Development</t>
  </si>
  <si>
    <t>5.2.1   Total energy consumption</t>
  </si>
  <si>
    <t>5.2.2   Total GHG emissions</t>
  </si>
  <si>
    <t>5.2.2.1   Combustion/land use</t>
  </si>
  <si>
    <t>5.2.2.2   VFF</t>
  </si>
  <si>
    <t>5.3   Crude production &amp; extraction</t>
  </si>
  <si>
    <t>5.3.1   Total energy consumption</t>
  </si>
  <si>
    <t>5.3.2   Total GHG emissions</t>
  </si>
  <si>
    <t>5.3.2.1   Combustion/land use</t>
  </si>
  <si>
    <t>5.3.2.2   VFF</t>
  </si>
  <si>
    <t>5.4   Surface processing</t>
  </si>
  <si>
    <t>5.4.1   Total energy consumption</t>
  </si>
  <si>
    <t>5.4.2   Total GHG emissions</t>
  </si>
  <si>
    <t xml:space="preserve">5.4.2.1   Combustion/land use </t>
  </si>
  <si>
    <t xml:space="preserve">5.4.2.2   VFF </t>
  </si>
  <si>
    <t>5.5   Maintenance</t>
  </si>
  <si>
    <t>5.5.1   Total energy consumption</t>
  </si>
  <si>
    <t>5.5.2   Total GHG emissions</t>
  </si>
  <si>
    <t xml:space="preserve">5.5.2.1   Combustion/land use </t>
  </si>
  <si>
    <t xml:space="preserve">5.5.2.2   VFF </t>
  </si>
  <si>
    <t>5.6   Waste disposal</t>
  </si>
  <si>
    <t>5.6.1   Total energy consumption</t>
  </si>
  <si>
    <t>5.6.2   Total GHG emissions</t>
  </si>
  <si>
    <t>5.7.1   Total energy consumption</t>
  </si>
  <si>
    <t>5.7.2   Total GHG emissions</t>
  </si>
  <si>
    <t>6 Summary result - Bitumen</t>
  </si>
  <si>
    <t>6.1   Exploration</t>
  </si>
  <si>
    <t>6.1.1   Total energy consumption</t>
  </si>
  <si>
    <t>6.1.2   Total GHG emissions</t>
  </si>
  <si>
    <t>6.2   Drilling &amp; Development</t>
  </si>
  <si>
    <t>6.2.1   Total energy consumption</t>
  </si>
  <si>
    <t>6.2.2   Total GHG emissions</t>
  </si>
  <si>
    <t>6.3.1   Total energy consumption</t>
  </si>
  <si>
    <t>6.3.2   Total GHG emissions</t>
  </si>
  <si>
    <t>6.4.1   Total energy consumption</t>
  </si>
  <si>
    <t>6.4.2   Total GHG emissions</t>
  </si>
  <si>
    <t>6.5   Maintenance</t>
  </si>
  <si>
    <t>6.5.1   Total energy consumption</t>
  </si>
  <si>
    <t>6.5.2   Total GHG emissions</t>
  </si>
  <si>
    <t>6.6   Waste disposal</t>
  </si>
  <si>
    <t>6.6.1   Total energy consumption</t>
  </si>
  <si>
    <t>6.6.2   Total GHG emissions</t>
  </si>
  <si>
    <t>6.7   Crude transport</t>
  </si>
  <si>
    <t>6.7.1   Total energy consumption</t>
  </si>
  <si>
    <t>6.7.2   Total GHG emissions</t>
  </si>
  <si>
    <t>6.7.3   Loss factor</t>
  </si>
  <si>
    <t>7 Error check</t>
  </si>
  <si>
    <t>Change user inputs in Bitumen Extraction &amp; Upgrading sheet.</t>
  </si>
  <si>
    <t>Change crude production method in Drilling &amp; Development sheet (section 2.1.3).</t>
  </si>
  <si>
    <t>6.3  Bitumen extraction</t>
  </si>
  <si>
    <t>6.4   Upgrading</t>
  </si>
  <si>
    <t>Upgrading</t>
  </si>
  <si>
    <t>Exploration energy use is not included in the current version of the model</t>
  </si>
  <si>
    <t>Waste disposal energy use is not included in the current version of the model</t>
  </si>
  <si>
    <t>Energy use and emissions from mine preparation are included in bitumen extraction figures</t>
  </si>
  <si>
    <r>
      <rPr>
        <sz val="12"/>
        <color theme="1"/>
        <rFont val="Helvetica"/>
        <family val="2"/>
      </rPr>
      <t>2.9.1</t>
    </r>
    <r>
      <rPr>
        <sz val="12"/>
        <color theme="1"/>
        <rFont val="Helvetica"/>
        <family val="2"/>
      </rPr>
      <t xml:space="preserve">   Diesel fuel </t>
    </r>
  </si>
  <si>
    <r>
      <rPr>
        <sz val="12"/>
        <color theme="1"/>
        <rFont val="Helvetica"/>
        <family val="2"/>
      </rPr>
      <t>2.9.2</t>
    </r>
    <r>
      <rPr>
        <sz val="12"/>
        <color theme="1"/>
        <rFont val="Helvetica"/>
        <family val="2"/>
      </rPr>
      <t xml:space="preserve">   Natural gas </t>
    </r>
  </si>
  <si>
    <r>
      <t>2.9.3</t>
    </r>
    <r>
      <rPr>
        <sz val="12"/>
        <color theme="1"/>
        <rFont val="Helvetica"/>
        <family val="2"/>
      </rPr>
      <t xml:space="preserve">   Electricity</t>
    </r>
  </si>
  <si>
    <r>
      <rPr>
        <sz val="12"/>
        <color theme="1"/>
        <rFont val="Helvetica"/>
        <family val="2"/>
      </rPr>
      <t>2.9.4</t>
    </r>
    <r>
      <rPr>
        <sz val="12"/>
        <color theme="1"/>
        <rFont val="Helvetica"/>
        <family val="2"/>
      </rPr>
      <t xml:space="preserve">   Coke</t>
    </r>
  </si>
  <si>
    <r>
      <rPr>
        <sz val="12"/>
        <color theme="1"/>
        <rFont val="Helvetica"/>
        <family val="2"/>
      </rPr>
      <t>2.9.5</t>
    </r>
    <r>
      <rPr>
        <sz val="12"/>
        <color theme="1"/>
        <rFont val="Helvetica"/>
        <family val="2"/>
      </rPr>
      <t xml:space="preserve">   Still Gas</t>
    </r>
  </si>
  <si>
    <t>3.4.1.1   Primary extraction</t>
  </si>
  <si>
    <t>3.4.1.2   Upgrading</t>
  </si>
  <si>
    <t>3.4.2.1   Primary extraction</t>
  </si>
  <si>
    <t>3.4.2.2   Upgrading</t>
  </si>
  <si>
    <r>
      <t>3.5</t>
    </r>
    <r>
      <rPr>
        <sz val="12"/>
        <color theme="1"/>
        <rFont val="Helvetica"/>
        <family val="2"/>
      </rPr>
      <t xml:space="preserve">.1 Direct </t>
    </r>
    <r>
      <rPr>
        <sz val="12"/>
        <color theme="1"/>
        <rFont val="Helvetica"/>
        <family val="2"/>
      </rPr>
      <t>GHG emissions</t>
    </r>
  </si>
  <si>
    <r>
      <t>3.5</t>
    </r>
    <r>
      <rPr>
        <sz val="12"/>
        <color theme="1"/>
        <rFont val="Helvetica"/>
        <family val="2"/>
      </rPr>
      <t xml:space="preserve">.2 Indirect </t>
    </r>
    <r>
      <rPr>
        <sz val="12"/>
        <color theme="1"/>
        <rFont val="Helvetica"/>
        <family val="2"/>
      </rPr>
      <t>GHG emissions</t>
    </r>
  </si>
  <si>
    <t>3.5.1.1   Primary extraction</t>
  </si>
  <si>
    <t>3.5.1.2   Upgrading</t>
  </si>
  <si>
    <t>3.5.2.1   Primary extraction</t>
  </si>
  <si>
    <t>3.5.2.2   Upgrading</t>
  </si>
  <si>
    <r>
      <t>3.1.1.</t>
    </r>
    <r>
      <rPr>
        <sz val="12"/>
        <color theme="1"/>
        <rFont val="Helvetica"/>
        <family val="2"/>
      </rPr>
      <t>1</t>
    </r>
    <r>
      <rPr>
        <sz val="12"/>
        <color theme="1"/>
        <rFont val="Helvetica"/>
        <family val="2"/>
      </rPr>
      <t xml:space="preserve">   Diesel fuel </t>
    </r>
  </si>
  <si>
    <r>
      <t>3.1.1.</t>
    </r>
    <r>
      <rPr>
        <sz val="12"/>
        <color theme="1"/>
        <rFont val="Helvetica"/>
        <family val="2"/>
      </rPr>
      <t>2</t>
    </r>
    <r>
      <rPr>
        <sz val="12"/>
        <color theme="1"/>
        <rFont val="Helvetica"/>
        <family val="2"/>
      </rPr>
      <t xml:space="preserve">   Natural gas </t>
    </r>
  </si>
  <si>
    <r>
      <t>3.1.1.</t>
    </r>
    <r>
      <rPr>
        <sz val="12"/>
        <color theme="1"/>
        <rFont val="Helvetica"/>
        <family val="2"/>
      </rPr>
      <t>3</t>
    </r>
    <r>
      <rPr>
        <sz val="12"/>
        <color theme="1"/>
        <rFont val="Helvetica"/>
        <family val="2"/>
      </rPr>
      <t xml:space="preserve">   Electricity</t>
    </r>
  </si>
  <si>
    <r>
      <t>3.1.1.</t>
    </r>
    <r>
      <rPr>
        <sz val="12"/>
        <color theme="1"/>
        <rFont val="Helvetica"/>
        <family val="2"/>
      </rPr>
      <t>4</t>
    </r>
    <r>
      <rPr>
        <sz val="12"/>
        <color theme="1"/>
        <rFont val="Helvetica"/>
        <family val="2"/>
      </rPr>
      <t xml:space="preserve">   Coke</t>
    </r>
  </si>
  <si>
    <r>
      <t>3.1.1.</t>
    </r>
    <r>
      <rPr>
        <sz val="12"/>
        <color theme="1"/>
        <rFont val="Helvetica"/>
        <family val="2"/>
      </rPr>
      <t>5</t>
    </r>
    <r>
      <rPr>
        <sz val="12"/>
        <color theme="1"/>
        <rFont val="Helvetica"/>
        <family val="2"/>
      </rPr>
      <t xml:space="preserve">   Still Gas</t>
    </r>
  </si>
  <si>
    <t xml:space="preserve">3.1.2.1   Diesel fuel </t>
  </si>
  <si>
    <t xml:space="preserve">3.1.2.2   Natural gas </t>
  </si>
  <si>
    <t>3.1.2.3   Electricity</t>
  </si>
  <si>
    <t>3.1.2.4   Coke</t>
  </si>
  <si>
    <t>3.1.2.5   Still Gas</t>
  </si>
  <si>
    <t xml:space="preserve">3.1.3.1   Diesel fuel </t>
  </si>
  <si>
    <t xml:space="preserve">3.1.3.2   Natural gas </t>
  </si>
  <si>
    <t>3.1.3.3   Electricity</t>
  </si>
  <si>
    <t>3.1.3.4   Coke</t>
  </si>
  <si>
    <t>3.1.3.5   Still Gas</t>
  </si>
  <si>
    <r>
      <t>3.</t>
    </r>
    <r>
      <rPr>
        <sz val="12"/>
        <color theme="1"/>
        <rFont val="Helvetica"/>
        <family val="2"/>
      </rPr>
      <t>3.1.2</t>
    </r>
    <r>
      <rPr>
        <sz val="12"/>
        <color theme="1"/>
        <rFont val="Helvetica"/>
        <family val="2"/>
      </rPr>
      <t xml:space="preserve">   Natural gas </t>
    </r>
  </si>
  <si>
    <r>
      <t>3.</t>
    </r>
    <r>
      <rPr>
        <sz val="12"/>
        <color theme="1"/>
        <rFont val="Helvetica"/>
        <family val="2"/>
      </rPr>
      <t>3.1.3</t>
    </r>
    <r>
      <rPr>
        <sz val="12"/>
        <color theme="1"/>
        <rFont val="Helvetica"/>
        <family val="2"/>
      </rPr>
      <t xml:space="preserve">   Electricity</t>
    </r>
  </si>
  <si>
    <r>
      <t>3.</t>
    </r>
    <r>
      <rPr>
        <sz val="12"/>
        <color theme="1"/>
        <rFont val="Helvetica"/>
        <family val="2"/>
      </rPr>
      <t>3.1.4</t>
    </r>
    <r>
      <rPr>
        <sz val="12"/>
        <color theme="1"/>
        <rFont val="Helvetica"/>
        <family val="2"/>
      </rPr>
      <t xml:space="preserve">   Coke</t>
    </r>
  </si>
  <si>
    <t>3.3.1.6   Diluent</t>
  </si>
  <si>
    <r>
      <t>3</t>
    </r>
    <r>
      <rPr>
        <sz val="12"/>
        <color theme="1"/>
        <rFont val="Helvetica"/>
        <family val="2"/>
      </rPr>
      <t>.3.2.1</t>
    </r>
    <r>
      <rPr>
        <sz val="12"/>
        <color theme="1"/>
        <rFont val="Helvetica"/>
        <family val="2"/>
      </rPr>
      <t xml:space="preserve">   Diesel fuel </t>
    </r>
  </si>
  <si>
    <r>
      <t>3.</t>
    </r>
    <r>
      <rPr>
        <sz val="12"/>
        <color theme="1"/>
        <rFont val="Helvetica"/>
        <family val="2"/>
      </rPr>
      <t>3.2.2</t>
    </r>
    <r>
      <rPr>
        <sz val="12"/>
        <color theme="1"/>
        <rFont val="Helvetica"/>
        <family val="2"/>
      </rPr>
      <t xml:space="preserve">   Natural gas </t>
    </r>
  </si>
  <si>
    <r>
      <t>3.</t>
    </r>
    <r>
      <rPr>
        <sz val="12"/>
        <color theme="1"/>
        <rFont val="Helvetica"/>
        <family val="2"/>
      </rPr>
      <t>3.2.4</t>
    </r>
    <r>
      <rPr>
        <sz val="12"/>
        <color theme="1"/>
        <rFont val="Helvetica"/>
        <family val="2"/>
      </rPr>
      <t xml:space="preserve">   Coke</t>
    </r>
  </si>
  <si>
    <r>
      <t>3.3.2.3</t>
    </r>
    <r>
      <rPr>
        <sz val="12"/>
        <color theme="1"/>
        <rFont val="Helvetica"/>
        <family val="2"/>
      </rPr>
      <t xml:space="preserve"> </t>
    </r>
    <r>
      <rPr>
        <sz val="12"/>
        <color theme="1"/>
        <rFont val="Helvetica"/>
        <family val="2"/>
      </rPr>
      <t xml:space="preserve">  </t>
    </r>
    <r>
      <rPr>
        <sz val="12"/>
        <color theme="1"/>
        <rFont val="Helvetica"/>
        <family val="2"/>
      </rPr>
      <t>Electricity</t>
    </r>
  </si>
  <si>
    <r>
      <t>3.3.2.5</t>
    </r>
    <r>
      <rPr>
        <sz val="12"/>
        <color theme="1"/>
        <rFont val="Helvetica"/>
        <family val="2"/>
      </rPr>
      <t xml:space="preserve">  </t>
    </r>
    <r>
      <rPr>
        <sz val="12"/>
        <color theme="1"/>
        <rFont val="Helvetica"/>
        <family val="2"/>
      </rPr>
      <t xml:space="preserve"> </t>
    </r>
    <r>
      <rPr>
        <sz val="12"/>
        <color theme="1"/>
        <rFont val="Helvetica"/>
        <family val="2"/>
      </rPr>
      <t>Still Gas</t>
    </r>
  </si>
  <si>
    <r>
      <t>3.3.1.1</t>
    </r>
    <r>
      <rPr>
        <sz val="12"/>
        <color theme="1"/>
        <rFont val="Helvetica"/>
        <family val="2"/>
      </rPr>
      <t xml:space="preserve">  </t>
    </r>
    <r>
      <rPr>
        <sz val="12"/>
        <color theme="1"/>
        <rFont val="Helvetica"/>
        <family val="2"/>
      </rPr>
      <t xml:space="preserve"> </t>
    </r>
    <r>
      <rPr>
        <sz val="12"/>
        <color theme="1"/>
        <rFont val="Helvetica"/>
        <family val="2"/>
      </rPr>
      <t xml:space="preserve">Diesel fuel </t>
    </r>
  </si>
  <si>
    <r>
      <t>3.3.1.5</t>
    </r>
    <r>
      <rPr>
        <sz val="12"/>
        <color theme="1"/>
        <rFont val="Helvetica"/>
        <family val="2"/>
      </rPr>
      <t xml:space="preserve">  </t>
    </r>
    <r>
      <rPr>
        <sz val="12"/>
        <color theme="1"/>
        <rFont val="Helvetica"/>
        <family val="2"/>
      </rPr>
      <t xml:space="preserve"> </t>
    </r>
    <r>
      <rPr>
        <sz val="12"/>
        <color theme="1"/>
        <rFont val="Helvetica"/>
        <family val="2"/>
      </rPr>
      <t>Still Gas</t>
    </r>
  </si>
  <si>
    <t>Model diluent upstream consumption as identical to natural gas per unit of energy</t>
  </si>
  <si>
    <t>1.1.1   Total energy consumption primary extraction</t>
  </si>
  <si>
    <t>1.1.2   Total energy consumption upgrading</t>
  </si>
  <si>
    <t>1.1.1.1   Direct energy consumption primary extraction</t>
  </si>
  <si>
    <t>1.1.1.2   Indirect energy consumption primary extraction</t>
  </si>
  <si>
    <t>1.1.2.1   Direct energy consumption upgrading</t>
  </si>
  <si>
    <t>1.1.2.2   Indirect energy consumption upgrading</t>
  </si>
  <si>
    <t>1.2.1.1   Direct emissions primary extraction</t>
  </si>
  <si>
    <t>1.2.1.2   Indirect emissions primary extraction</t>
  </si>
  <si>
    <r>
      <rPr>
        <sz val="12"/>
        <color theme="1"/>
        <rFont val="Helvetica"/>
        <family val="2"/>
      </rPr>
      <t>Table 3.3: Gas composition - Product gas (after gas processing)</t>
    </r>
  </si>
  <si>
    <t>3.2.1.1   Fugitive emissions GWP weighted</t>
  </si>
  <si>
    <t>3.2.1.1   Gas flared - Combustion products GWP weighted</t>
  </si>
  <si>
    <t>3.2.1.2   Gas flared - Slippage products GWP weighted</t>
  </si>
  <si>
    <t>No VFF emissions associated with non-integrated upgrading, so we assume all VFFs (including from integrated mining &amp; upgrading) come from primary extraction.</t>
  </si>
  <si>
    <t>1.2.2.1   Direct emissions upgrading</t>
  </si>
  <si>
    <t>1.2.2.2   Indirect emissions upgrading</t>
  </si>
  <si>
    <t>3.5   Land use GHGs</t>
  </si>
  <si>
    <r>
      <rPr>
        <sz val="12"/>
        <color theme="1"/>
        <rFont val="Helvetica"/>
        <family val="2"/>
      </rPr>
      <t>3.5</t>
    </r>
    <r>
      <rPr>
        <sz val="12"/>
        <color theme="1"/>
        <rFont val="Helvetica"/>
        <family val="2"/>
      </rPr>
      <t>.1   Soil carbon emissions</t>
    </r>
  </si>
  <si>
    <r>
      <rPr>
        <sz val="12"/>
        <color theme="1"/>
        <rFont val="Helvetica"/>
        <family val="2"/>
      </rPr>
      <t>3.5</t>
    </r>
    <r>
      <rPr>
        <sz val="12"/>
        <color theme="1"/>
        <rFont val="Helvetica"/>
        <family val="2"/>
      </rPr>
      <t>.2   Biomass carbon emissions</t>
    </r>
  </si>
  <si>
    <r>
      <rPr>
        <sz val="12"/>
        <color theme="1"/>
        <rFont val="Helvetica"/>
        <family val="2"/>
      </rPr>
      <t>3.5</t>
    </r>
    <r>
      <rPr>
        <sz val="12"/>
        <color theme="1"/>
        <rFont val="Helvetica"/>
        <family val="2"/>
      </rPr>
      <t>.3   Foregone sequestration emissions</t>
    </r>
  </si>
  <si>
    <t>3.5.4   Total land use emissions</t>
  </si>
  <si>
    <r>
      <t>1.2.2</t>
    </r>
    <r>
      <rPr>
        <sz val="12"/>
        <color theme="1"/>
        <rFont val="Helvetica"/>
        <family val="2"/>
      </rPr>
      <t xml:space="preserve">   </t>
    </r>
    <r>
      <rPr>
        <sz val="12"/>
        <color theme="1"/>
        <rFont val="Helvetica"/>
        <family val="2"/>
      </rPr>
      <t xml:space="preserve">Primary extraction - </t>
    </r>
    <r>
      <rPr>
        <sz val="12"/>
        <color theme="1"/>
        <rFont val="Helvetica"/>
        <family val="2"/>
      </rPr>
      <t>VFF emissions</t>
    </r>
    <r>
      <rPr>
        <sz val="12"/>
        <color theme="1"/>
        <rFont val="Helvetica"/>
        <family val="2"/>
      </rPr>
      <t/>
    </r>
  </si>
  <si>
    <r>
      <t xml:space="preserve">1.2.2   </t>
    </r>
    <r>
      <rPr>
        <sz val="12"/>
        <color theme="1"/>
        <rFont val="Helvetica"/>
        <family val="2"/>
      </rPr>
      <t>Upgrading - combustion emissions</t>
    </r>
  </si>
  <si>
    <t>1.2.1   Primary extraction total GHG emissions - combustion emissions</t>
  </si>
  <si>
    <t>Excludes exploration, drilling, maintenance, waste, and transport</t>
  </si>
  <si>
    <t>Table 4.9: Flaring emissions from bitumen extraction operations</t>
  </si>
  <si>
    <t>Fugitive emissions</t>
  </si>
  <si>
    <t>L/tonne bitumen</t>
  </si>
  <si>
    <t>All mining emissions are fugitives, as these are mine face fugitive methane and methane from tailings ponds.  See GHGenius 2011 report: Update of oil production and refining data in GHGenius, Tables 4-18 and 4-19.</t>
  </si>
  <si>
    <t>All in situ emissions are fugitives from gathering and processing systems (batteries).  See GHGenius 2011 report: Update of oil production and refining data in GHGenius, Figure 4-16 for 2009.</t>
  </si>
  <si>
    <t>Values for flaring emissions from NOAA satellite observations for average Canadian crude production, for consistency with other flaring datasets and due to its verifiable data source.</t>
  </si>
  <si>
    <t>6.8   Other small sources</t>
  </si>
  <si>
    <t>Misc.</t>
  </si>
  <si>
    <t>Table 4.1: Energy demand for primary bitumen extraction</t>
  </si>
  <si>
    <r>
      <t>Table 4.2</t>
    </r>
    <r>
      <rPr>
        <sz val="12"/>
        <color theme="1"/>
        <rFont val="Helvetica"/>
        <family val="2"/>
      </rPr>
      <t>: Energy demand for primary bitumen extraction</t>
    </r>
  </si>
  <si>
    <t>Table 4.3: Energy demand for upgrading</t>
  </si>
  <si>
    <t>Table 4.4: Energy demand for upgrading</t>
  </si>
  <si>
    <t>Table 4.5: Steam injection rates for in situ projects</t>
  </si>
  <si>
    <t>Table 4.6: Volumetric gain upon conversion to SCO</t>
  </si>
  <si>
    <t>Table 4.7: Diluent composition</t>
  </si>
  <si>
    <t>Table 4.8: Other dilbit properties</t>
  </si>
  <si>
    <t>Table 4.10: Fugitive emissions from bitumen extraction operations</t>
  </si>
  <si>
    <t>Gain</t>
  </si>
  <si>
    <t>[-]</t>
  </si>
  <si>
    <t>3.4.7   Fraction of required electricity generated onsite</t>
  </si>
  <si>
    <t>3.4.4   Gas lifting injection ratio</t>
  </si>
  <si>
    <t>scf/bbl liquid</t>
  </si>
  <si>
    <t>Takacs (2005), p. 269</t>
  </si>
  <si>
    <t>3.2.6   Number of producing wells</t>
  </si>
  <si>
    <t>3.2.5   Oil production volume</t>
  </si>
  <si>
    <t>EPA (1996), p. 23</t>
  </si>
  <si>
    <t xml:space="preserve">2.3.1   Pump efficiency </t>
  </si>
  <si>
    <t>2.5.3.1   Pump efficiency</t>
  </si>
  <si>
    <t>2.1.4.1   Average reservoir pressure</t>
  </si>
  <si>
    <t>2.1.4.2.1   Depth</t>
  </si>
  <si>
    <t>2.1.4.2.2   Diameter</t>
  </si>
  <si>
    <t>2.1.4.3   Well head pressure</t>
  </si>
  <si>
    <t>2.2.1   Pump efficiency</t>
  </si>
  <si>
    <t>3.1.3.1   Liquid flow rate</t>
  </si>
  <si>
    <t>3.4.2.1   Water flow rate</t>
  </si>
  <si>
    <t>3.2.2.1   Water flow rate</t>
  </si>
  <si>
    <t>Jarrell, P. M. (2002)</t>
  </si>
  <si>
    <t>Fanchi, J.R. (2007), p.-490</t>
  </si>
  <si>
    <t>Assumed 90% of maximum allowed pressure and 50 psi of friction loss</t>
  </si>
  <si>
    <t>Default for gas lifting injection volume is 1500 scf/bbl liquod</t>
  </si>
  <si>
    <t>Manning, F., and Thompson, R. (1991)</t>
  </si>
  <si>
    <t>Manning, F., and Thompson, R. (1995), p. 20</t>
  </si>
  <si>
    <t>Nominal heater efficiency (80%) &lt;http://www.epa.gov/climateleadership/documents/resources/draft_reforestation_offset_protocol.pdf&gt;</t>
  </si>
  <si>
    <t>Manning, F. and Thompson, R. (1991), p.115; Khan and Manning (1985)</t>
  </si>
  <si>
    <t>Manning, F. and Thompson, R. (1991), p.118; Jones and Perry (1973)</t>
  </si>
  <si>
    <t>Manning, F. and Thompson, R. (1991), p.118; Jones and Perry, 1973</t>
  </si>
  <si>
    <t>Manning, F. and Thompson, R. (1991), p. 117; Jones and Perry (1973)</t>
  </si>
  <si>
    <t>US Continental</t>
  </si>
  <si>
    <t>Country / location</t>
  </si>
  <si>
    <t>1 Inputs</t>
  </si>
  <si>
    <t>Output variables</t>
  </si>
  <si>
    <t>Field 2</t>
  </si>
  <si>
    <t>Field 3</t>
  </si>
  <si>
    <t>Field 4</t>
  </si>
  <si>
    <t>Field 5</t>
  </si>
  <si>
    <t>Field 6</t>
  </si>
  <si>
    <t>Field 7</t>
  </si>
  <si>
    <t>Field 8</t>
  </si>
  <si>
    <t>Field 9</t>
  </si>
  <si>
    <t>Field 10</t>
  </si>
  <si>
    <t>Field 11</t>
  </si>
  <si>
    <t>Field 12</t>
  </si>
  <si>
    <t>Field 13</t>
  </si>
  <si>
    <t>Field 14</t>
  </si>
  <si>
    <t>Field 15</t>
  </si>
  <si>
    <t>Field 16</t>
  </si>
  <si>
    <t>Field 17</t>
  </si>
  <si>
    <t>Field 18</t>
  </si>
  <si>
    <t>Field 19</t>
  </si>
  <si>
    <t>Field 20</t>
  </si>
  <si>
    <t>Field 21</t>
  </si>
  <si>
    <t>Field 22</t>
  </si>
  <si>
    <t>Field 23</t>
  </si>
  <si>
    <t>Field 24</t>
  </si>
  <si>
    <t>Field 25</t>
  </si>
  <si>
    <t>Field 26</t>
  </si>
  <si>
    <t>Field 27</t>
  </si>
  <si>
    <t>Field 28</t>
  </si>
  <si>
    <t>Field 29</t>
  </si>
  <si>
    <t>Field 30</t>
  </si>
  <si>
    <t>Field 31</t>
  </si>
  <si>
    <t>Field 32</t>
  </si>
  <si>
    <t>Field 33</t>
  </si>
  <si>
    <t>Field 34</t>
  </si>
  <si>
    <t>Field 35</t>
  </si>
  <si>
    <t>Field 36</t>
  </si>
  <si>
    <t>Field 37</t>
  </si>
  <si>
    <t>Field 38</t>
  </si>
  <si>
    <t>Field 39</t>
  </si>
  <si>
    <t>Field 40</t>
  </si>
  <si>
    <t>Field 41</t>
  </si>
  <si>
    <t>Field 42</t>
  </si>
  <si>
    <t>Field 43</t>
  </si>
  <si>
    <t>Field 44</t>
  </si>
  <si>
    <t>Field 45</t>
  </si>
  <si>
    <t>Field 46</t>
  </si>
  <si>
    <t>Field 47</t>
  </si>
  <si>
    <t>Field 48</t>
  </si>
  <si>
    <t>Field 49</t>
  </si>
  <si>
    <t>Field 50</t>
  </si>
  <si>
    <t xml:space="preserve">1.1.2   Water reinjection </t>
  </si>
  <si>
    <t>1.2    Field properties</t>
  </si>
  <si>
    <t>1.2.1   Field location (Country)</t>
  </si>
  <si>
    <t>1.2.2   Field name</t>
  </si>
  <si>
    <t>1.2.3   Field age</t>
  </si>
  <si>
    <t>yr.</t>
  </si>
  <si>
    <t>1.2.4   Field depth</t>
  </si>
  <si>
    <t>1.3   Fluid properties</t>
  </si>
  <si>
    <t>1.3.1   API gravity</t>
  </si>
  <si>
    <t>1.3.2   Gas composition</t>
  </si>
  <si>
    <t>1.4   Production practices</t>
  </si>
  <si>
    <t>1.4.1   Gas-to-oil ratio (GOR)</t>
  </si>
  <si>
    <t>1.4.2   Water-to-oil ratio (WOR)</t>
  </si>
  <si>
    <t>1.4.3   Water injection ratio</t>
  </si>
  <si>
    <t>1.4.6   Steam-to-oil ratio (SOR)</t>
  </si>
  <si>
    <t>1.5   Processing practices</t>
  </si>
  <si>
    <t>1.5.1   Heater/treater</t>
  </si>
  <si>
    <t>1.5.2   Stabilizer column</t>
  </si>
  <si>
    <t>2 Outputs</t>
  </si>
  <si>
    <t>Field name</t>
  </si>
  <si>
    <t>2.1   Exploration (e)</t>
  </si>
  <si>
    <t>2.1.1   Total energy consumption</t>
  </si>
  <si>
    <t>2.1.2   Total GHG emissions</t>
  </si>
  <si>
    <t>2.1.2.1   Combustion/land use</t>
  </si>
  <si>
    <t>2.1.2.2   VFF</t>
  </si>
  <si>
    <t>2.2   Drilling &amp; Development (d)</t>
  </si>
  <si>
    <t>2.2.1   Total energy consumption</t>
  </si>
  <si>
    <t>2.2.2   Total GHG emissions</t>
  </si>
  <si>
    <t>2.2.2.1   Combustion/land use</t>
  </si>
  <si>
    <t>2.2.2.2   VFF</t>
  </si>
  <si>
    <t>2.3   Crude production &amp; extraction (p)</t>
  </si>
  <si>
    <t>2.3.1   Total energy consumption</t>
  </si>
  <si>
    <t>2.3.2   Total GHG emissions</t>
  </si>
  <si>
    <t>2.3.2.1   Combustion/land use</t>
  </si>
  <si>
    <t>2.3.2.2   VFF</t>
  </si>
  <si>
    <t>2.4   Surface processing (s)</t>
  </si>
  <si>
    <t>2.4.1   Total energy consumption</t>
  </si>
  <si>
    <t>2.4.2   Total GHG emissions</t>
  </si>
  <si>
    <t>2.4.2.1   Combustion/land use</t>
  </si>
  <si>
    <t>2.4.2.2   VFF</t>
  </si>
  <si>
    <t>2.5   Maintenance (m)</t>
  </si>
  <si>
    <t>2.5.1   Total energy consumption</t>
  </si>
  <si>
    <t>2.5.2   Total GHG emissions</t>
  </si>
  <si>
    <t>2.5.2.1   Combustion/land use</t>
  </si>
  <si>
    <t>2.5.2.2   VFF</t>
  </si>
  <si>
    <t>2.6   Waste disposal (w)</t>
  </si>
  <si>
    <t>2.6.1   Total energy consumption</t>
  </si>
  <si>
    <t>2.6.2   Total GHG emissions</t>
  </si>
  <si>
    <t>2.6.2.1   Combustion\land use</t>
  </si>
  <si>
    <t>2.6.2.2   VFF</t>
  </si>
  <si>
    <t>2.7.1   Total energy consumption</t>
  </si>
  <si>
    <t>2.7.2   Total GHG emissions</t>
  </si>
  <si>
    <t>FIELD-BY-FIELD CHECK</t>
  </si>
  <si>
    <t>OK</t>
  </si>
  <si>
    <t>OVERALL CHECK:</t>
  </si>
  <si>
    <t>3.6.1   Crude ecosystem carbon richness</t>
  </si>
  <si>
    <t>3.4.8   Fraction of remaining gas reinjected</t>
  </si>
  <si>
    <t>Note: Enter "1" where applicable and "0" where not applicable</t>
  </si>
  <si>
    <t>3.5.1   Heater/treater (1= Applicable; 0= Not applicable)</t>
  </si>
  <si>
    <t>3.5.2   Stabilizer column (1= Applicable; 0 = Not applicable)</t>
  </si>
  <si>
    <t>Miles</t>
  </si>
  <si>
    <t>1.4.7   Fraction of required electricity generated onsite</t>
  </si>
  <si>
    <t>1.4.8   Fraction of remaining gas reinjected</t>
  </si>
  <si>
    <t>1.4.9   Fraction of water produced water reinjected</t>
  </si>
  <si>
    <t>Mile</t>
  </si>
  <si>
    <r>
      <t>gCO</t>
    </r>
    <r>
      <rPr>
        <vertAlign val="subscript"/>
        <sz val="12"/>
        <color theme="1"/>
        <rFont val="Helvetica"/>
      </rPr>
      <t>2</t>
    </r>
    <r>
      <rPr>
        <sz val="12"/>
        <color theme="1"/>
        <rFont val="Helvetica"/>
        <family val="2"/>
      </rPr>
      <t xml:space="preserve"> eq/MJ</t>
    </r>
  </si>
  <si>
    <t>1.2.5   Oil production volume</t>
  </si>
  <si>
    <t>1.2.6   Number of producing wells</t>
  </si>
  <si>
    <t>1.6.1   Crude ecosystem carbon richness</t>
  </si>
  <si>
    <t>1.6.2   Field development intensity</t>
  </si>
  <si>
    <t>3.4.5   Gas flooding injection ratio</t>
  </si>
  <si>
    <t>Notes: The load factor is the percentage of installed horsepower that is used for the trip</t>
  </si>
  <si>
    <r>
      <t>1.2   Total GHG emissions</t>
    </r>
    <r>
      <rPr>
        <sz val="12"/>
        <color theme="1"/>
        <rFont val="Helvetica"/>
        <family val="2"/>
      </rPr>
      <t xml:space="preserve"> (excluding VFF)</t>
    </r>
  </si>
  <si>
    <t xml:space="preserve">Notes: </t>
  </si>
  <si>
    <t>Round inlet water pressure to nearest 100 psi, with limits of 100 to 1500 psia.</t>
  </si>
  <si>
    <t>1.4.5   Gas flooding injection ratio</t>
  </si>
  <si>
    <t>1.4.4   Gas lifting injection ratio</t>
  </si>
  <si>
    <t>If gas flooding applies then "0"</t>
  </si>
  <si>
    <t>gpm-d/100MMscf</t>
  </si>
  <si>
    <t>VOC from service stations</t>
  </si>
  <si>
    <t>Other NG: CH4 leak; Other Diesel: VOC from bulk terminal</t>
  </si>
  <si>
    <t>Storage tanks</t>
  </si>
  <si>
    <r>
      <t>H</t>
    </r>
    <r>
      <rPr>
        <vertAlign val="subscript"/>
        <sz val="12"/>
        <color theme="1"/>
        <rFont val="Helvetica"/>
      </rPr>
      <t>2</t>
    </r>
    <r>
      <rPr>
        <sz val="12"/>
        <color theme="1"/>
        <rFont val="Helvetica"/>
        <family val="2"/>
      </rPr>
      <t>O</t>
    </r>
  </si>
  <si>
    <t>Btu LHV/bhp-hr</t>
  </si>
  <si>
    <r>
      <t xml:space="preserve">Table </t>
    </r>
    <r>
      <rPr>
        <sz val="12"/>
        <color theme="1"/>
        <rFont val="Helvetica"/>
        <family val="2"/>
      </rPr>
      <t>1.1: Emission Factors of Fuel Combustion for Stationary Applications (grams per MMBtu of fuel burned - LHV)</t>
    </r>
  </si>
  <si>
    <t>g/bbl</t>
  </si>
  <si>
    <t>7.1   Specific error checks</t>
  </si>
  <si>
    <t>Assumption to account for numerous small sources not included in current version of OPGEE (see `Model organization' sheet for list of sources not explicitly modeled)</t>
  </si>
  <si>
    <t>For specific error checks see section 7 below</t>
  </si>
  <si>
    <t>This is the ratio of venting used as a disposal mechanism (does not include operational venting / default leaks)</t>
  </si>
  <si>
    <t>The choice between co-product displacement and allocation is made in this sheet.</t>
  </si>
  <si>
    <t>No diesel export</t>
  </si>
  <si>
    <t>Total (exports) =</t>
  </si>
  <si>
    <t>Total (imports) =</t>
  </si>
  <si>
    <t>NG consumed minus NG remaining as process fuel (equal to zero when flooding --&gt; 100% remaining reinjected) + flooding makeup NG + recovered gas</t>
  </si>
  <si>
    <t>pounds per gram</t>
  </si>
  <si>
    <t>lb/kg</t>
  </si>
  <si>
    <t>lb/g</t>
  </si>
  <si>
    <t>bbl/psi-d</t>
  </si>
  <si>
    <t>2.1.4.6   Productivity index</t>
  </si>
  <si>
    <t>2.1.4.7   Injectivity index</t>
  </si>
  <si>
    <t>2.1.4.8   Friction factor</t>
  </si>
  <si>
    <t>2.3.5.2   Discharge pressure</t>
  </si>
  <si>
    <t>2.3.5.1   Suction pressure</t>
  </si>
  <si>
    <t>2.3.5   Operating pressures</t>
  </si>
  <si>
    <t>2.5.2.1   Suction pressure</t>
  </si>
  <si>
    <t>2.5.2.2   Discharge pressure</t>
  </si>
  <si>
    <t>2.5.2   Operating pressures</t>
  </si>
  <si>
    <t>3.2.1   Pumping pressure</t>
  </si>
  <si>
    <t>3.4.1   Pumping pressure</t>
  </si>
  <si>
    <t>This is used for injecting amounts of water larger than the amount of produced water</t>
  </si>
  <si>
    <t>This is used for injecting a different type of gas (e.g. N2) or amounts of gas larger than the amount of produced gas</t>
  </si>
  <si>
    <t>This is used for gas lifting</t>
  </si>
  <si>
    <t>This is used for injecting steam</t>
  </si>
  <si>
    <t>This sheet is based on outputs from the CA-GREET model.</t>
  </si>
  <si>
    <t>2   Fuel cycle efficiencies and emissions</t>
  </si>
  <si>
    <r>
      <t>Table 2</t>
    </r>
    <r>
      <rPr>
        <sz val="12"/>
        <color theme="1"/>
        <rFont val="Helvetica"/>
        <family val="2"/>
      </rPr>
      <t>.1: Fuel transport and distribution (T&amp;D)</t>
    </r>
  </si>
  <si>
    <r>
      <t>Table 2</t>
    </r>
    <r>
      <rPr>
        <sz val="12"/>
        <color theme="1"/>
        <rFont val="Helvetica"/>
        <family val="2"/>
      </rPr>
      <t>.2: Energy consumption of displaced system</t>
    </r>
  </si>
  <si>
    <r>
      <t>Table 2</t>
    </r>
    <r>
      <rPr>
        <sz val="12"/>
        <color theme="1"/>
        <rFont val="Helvetica"/>
        <family val="2"/>
      </rPr>
      <t>.3: GHG emissions of displaced system</t>
    </r>
  </si>
  <si>
    <r>
      <t>Table 2</t>
    </r>
    <r>
      <rPr>
        <sz val="12"/>
        <color theme="1"/>
        <rFont val="Helvetica"/>
        <family val="2"/>
      </rPr>
      <t>.4: Total fuel cycle energy consumption</t>
    </r>
  </si>
  <si>
    <t>Table 2.5: Total fuel cycle GHG emissions</t>
  </si>
  <si>
    <t>2.6.2.1   Compressor parameters</t>
  </si>
  <si>
    <t>2.6.2.1.1   Suction pressure</t>
  </si>
  <si>
    <t>2.6.2.1.2   Discharge pressure</t>
  </si>
  <si>
    <t>2.6.2.1.3   Compression ratio</t>
  </si>
  <si>
    <t>2.6.2.1.4   Number of stages</t>
  </si>
  <si>
    <t>2.6.2.1.5   First stage inlet temperature</t>
  </si>
  <si>
    <t>2.6.2.1.6   Second stage inlet temperature</t>
  </si>
  <si>
    <t>2.6.2.1.7   Third stage inlet temperature</t>
  </si>
  <si>
    <t>2.6.3   Prime mover</t>
  </si>
  <si>
    <t>2.6.3.1   Prime mover type</t>
  </si>
  <si>
    <t>2.6.3.2   NG fuel type</t>
  </si>
  <si>
    <t>2.6.3.3   Prime mover fuel use</t>
  </si>
  <si>
    <t>2.6.3.3.1   Electric motor</t>
  </si>
  <si>
    <t>2.6.3.3.2   Natural gas engine</t>
  </si>
  <si>
    <t>2.4.1   Compressor parameters</t>
  </si>
  <si>
    <t>2.4.1.1   Suction pressure</t>
  </si>
  <si>
    <t>2.4.1.2   Discharge pressure</t>
  </si>
  <si>
    <t>2.4.1.3   Compression ratio</t>
  </si>
  <si>
    <t>2.4.1.4   Number of stages</t>
  </si>
  <si>
    <t>2.4.1.5   First stage inlet temperature</t>
  </si>
  <si>
    <t>2.4.1.6   Second stage inlet temperature</t>
  </si>
  <si>
    <t>2.4.1.7   Third stage inlet temperature</t>
  </si>
  <si>
    <t>2.4.2   Prime mover</t>
  </si>
  <si>
    <t>2.4.2.1   Prime mover type</t>
  </si>
  <si>
    <t>2.4.2.2   NG fuel type</t>
  </si>
  <si>
    <t>2.4.2.3   Prime mover fuel use</t>
  </si>
  <si>
    <t>2.4.2.3.1   Electric motor</t>
  </si>
  <si>
    <t>2.4.2.3.2   Natural gas engine</t>
  </si>
  <si>
    <t>2.7.3   Air separation unit (cryogenic N2 gas production)</t>
  </si>
  <si>
    <t>2.7.3.1   Electricity consumption</t>
  </si>
  <si>
    <t>2.7.4.1   Compressor parameters</t>
  </si>
  <si>
    <t>2.7.4.1.1   Suction pressure</t>
  </si>
  <si>
    <t>2.7.4.1.2   Discharge pressure</t>
  </si>
  <si>
    <t>2.7.4.1.3   Compression ratio</t>
  </si>
  <si>
    <t>2.7.4.1.4   Number of stages</t>
  </si>
  <si>
    <t>2.7.4.1.5   First stage inlet temperature</t>
  </si>
  <si>
    <t>2.7.4.1.6   Second stage inlet temperature</t>
  </si>
  <si>
    <t>2.7.4.1.7   Third stage inlet temperature</t>
  </si>
  <si>
    <t>2.7.5   Prime mover</t>
  </si>
  <si>
    <t>2.7.5.1   Prime mover type</t>
  </si>
  <si>
    <t>2.7.5.2   NG fuel type</t>
  </si>
  <si>
    <t>2.7.5.3   Prime mover fuel use</t>
  </si>
  <si>
    <t>2.7.5.3.1   Electric motor</t>
  </si>
  <si>
    <t>2.7.5.3.2   Natural gas engine</t>
  </si>
  <si>
    <t>2.2.2.3.1   Suction pressure</t>
  </si>
  <si>
    <t>2.2.2.3.2   Discharge pressure</t>
  </si>
  <si>
    <t>2.2.2.3.3   Pump brake horsepower</t>
  </si>
  <si>
    <t>2.2.2.3.4   Energy consumption</t>
  </si>
  <si>
    <t>2.3.5.2.2   Differential pressure</t>
  </si>
  <si>
    <t>2.3.5.2.1   Friction loss</t>
  </si>
  <si>
    <t>2.5.2.2.2   Differential pressure</t>
  </si>
  <si>
    <t>2.5.2.2.1   Friction loss</t>
  </si>
  <si>
    <t>3.2.3.3   Total fuel use (for N number of injecting wells)</t>
  </si>
  <si>
    <t>3.4.3.3   Total fuel use (for N number of injecting wells)</t>
  </si>
  <si>
    <t>3.6   Land use impacts</t>
  </si>
  <si>
    <t>L66</t>
  </si>
  <si>
    <t xml:space="preserve">1= </t>
  </si>
  <si>
    <t>Co-product displacement</t>
  </si>
  <si>
    <t xml:space="preserve">2= </t>
  </si>
  <si>
    <t>Allocation by energy value</t>
  </si>
  <si>
    <t>1.0 if gas flooding applies (Note: Do not enter NA at all times)</t>
  </si>
  <si>
    <t>1.0 if water flooding applies (Note: Do not enter NA at all times)</t>
  </si>
  <si>
    <t xml:space="preserve">1.4.10   Fraction of steam generation via cogeneration </t>
  </si>
  <si>
    <t>3.4.10   Fraction of steam generation via co-generation</t>
  </si>
  <si>
    <t>Reciprocating Engine: Future</t>
  </si>
  <si>
    <t>Based on CA-GREET model</t>
  </si>
  <si>
    <t>The total fraction of all modes may exceed 1.0 because more than one transportation legs may be involved for transporting the oil</t>
  </si>
  <si>
    <t>2.1.3.1</t>
  </si>
  <si>
    <t>2.1.3.2</t>
  </si>
  <si>
    <t>2.1.4.1</t>
  </si>
  <si>
    <t>2.1.4.2</t>
  </si>
  <si>
    <t>2.1.4.3</t>
  </si>
  <si>
    <t>2.1.5.1</t>
  </si>
  <si>
    <t>2.1.5.2</t>
  </si>
  <si>
    <t>2.1.5.3</t>
  </si>
  <si>
    <t>3.6.1.1   Low carbon richness (semi-arid grasslands)</t>
  </si>
  <si>
    <t>3.6.1.2   Moderate carbon richness (mixed)</t>
  </si>
  <si>
    <t>3.6.1.3   High carbon richness (forested)</t>
  </si>
  <si>
    <t>3.6.2   Field development intensity</t>
  </si>
  <si>
    <t>3.6.2.1   Low intensity development and low oxidation</t>
  </si>
  <si>
    <t>3.6.2.2   Moderate intensity development and moderate oxidation</t>
  </si>
  <si>
    <t>3.6.2.3   High intensity development and high oxidation</t>
  </si>
  <si>
    <t xml:space="preserve">6.1.2.1   Combustion/land use </t>
  </si>
  <si>
    <t xml:space="preserve">6.1.2.2   VFF </t>
  </si>
  <si>
    <t xml:space="preserve">6.2.2.1   Combustion/land use </t>
  </si>
  <si>
    <t xml:space="preserve">6.2.2.2   VFF </t>
  </si>
  <si>
    <t xml:space="preserve">6.3.2.1   Combustion/land use </t>
  </si>
  <si>
    <t xml:space="preserve">6.3.2.2   VFF </t>
  </si>
  <si>
    <t xml:space="preserve">6.4.2.1   Combustion/land use </t>
  </si>
  <si>
    <t xml:space="preserve">6.4.2.2   VFF </t>
  </si>
  <si>
    <t xml:space="preserve">6.5.2.1   Combustion/land use </t>
  </si>
  <si>
    <t xml:space="preserve">6.5.2.2   VFF </t>
  </si>
  <si>
    <t xml:space="preserve">6.6.2.1   Combustion/land use </t>
  </si>
  <si>
    <t xml:space="preserve">6.6.2.2   VFF </t>
  </si>
  <si>
    <t>5.6.2.1   Combustion/land use</t>
  </si>
  <si>
    <t>5.6.2.2   VFF</t>
  </si>
  <si>
    <t>1.6   Land use impacts</t>
  </si>
  <si>
    <t>1.6.1.1   Low carbon richness (semi-arid grasslands)</t>
  </si>
  <si>
    <t>1.6.1.2   Moderate carbon richness (mixed)</t>
  </si>
  <si>
    <t>1.6.1.3   High carbon richness (forested)</t>
  </si>
  <si>
    <t>1.6.2.1   Low intensity development and low oxidation</t>
  </si>
  <si>
    <t>1.6.2.2   Moderate intensity development and moderate oxidation</t>
  </si>
  <si>
    <t>1.6.2.3   High intensity development and high oxidation</t>
  </si>
  <si>
    <t>3.4.9   Fraction of water produced reinjected</t>
  </si>
  <si>
    <t>1.2.7   Number of water injecting wells</t>
  </si>
  <si>
    <t>1.2.8   Well diameter</t>
  </si>
  <si>
    <t>1.2.9   Productivity index</t>
  </si>
  <si>
    <t>1.2.10   Reservoir pressure</t>
  </si>
  <si>
    <t>3.2.7   Number of water injecting wells</t>
  </si>
  <si>
    <t>2.1.4.5   Number of water injecting wells</t>
  </si>
  <si>
    <t>3.2.8   Well diameter</t>
  </si>
  <si>
    <t>3.2.9   Productivity index</t>
  </si>
  <si>
    <t>3.2.10   Average reservoir pressure</t>
  </si>
  <si>
    <t>2= Crude oil blend</t>
  </si>
  <si>
    <t>GHG emissions from diesel supply/export</t>
  </si>
  <si>
    <t>Fuel LHV</t>
  </si>
  <si>
    <r>
      <rPr>
        <sz val="12"/>
        <color theme="1"/>
        <rFont val="Helvetica"/>
        <family val="2"/>
      </rPr>
      <t>LHV</t>
    </r>
    <r>
      <rPr>
        <sz val="12"/>
        <color theme="1"/>
        <rFont val="Helvetica"/>
        <family val="2"/>
      </rPr>
      <t xml:space="preserve"> basis</t>
    </r>
  </si>
  <si>
    <r>
      <t xml:space="preserve">Btu </t>
    </r>
    <r>
      <rPr>
        <sz val="12"/>
        <color theme="1"/>
        <rFont val="Helvetica"/>
        <family val="2"/>
      </rPr>
      <t>LH</t>
    </r>
    <r>
      <rPr>
        <sz val="12"/>
        <color theme="1"/>
        <rFont val="Helvetica"/>
        <family val="2"/>
      </rPr>
      <t>V/lbmol</t>
    </r>
  </si>
  <si>
    <r>
      <t xml:space="preserve">MJ </t>
    </r>
    <r>
      <rPr>
        <sz val="12"/>
        <color theme="1"/>
        <rFont val="Helvetica"/>
        <family val="2"/>
      </rPr>
      <t>LH</t>
    </r>
    <r>
      <rPr>
        <sz val="12"/>
        <color theme="1"/>
        <rFont val="Helvetica"/>
        <family val="2"/>
      </rPr>
      <t>V/lbmol</t>
    </r>
  </si>
  <si>
    <r>
      <t>2.3.1.3   OTSG fuel gas heating value (</t>
    </r>
    <r>
      <rPr>
        <sz val="12"/>
        <color theme="1"/>
        <rFont val="Helvetica"/>
        <family val="2"/>
      </rPr>
      <t>L</t>
    </r>
    <r>
      <rPr>
        <sz val="12"/>
        <color theme="1"/>
        <rFont val="Helvetica"/>
        <family val="2"/>
      </rPr>
      <t>HV)</t>
    </r>
  </si>
  <si>
    <r>
      <t>2.3.2.1   OTSG crude liquid fuel heating value (</t>
    </r>
    <r>
      <rPr>
        <sz val="12"/>
        <color theme="1"/>
        <rFont val="Helvetica"/>
        <family val="2"/>
      </rPr>
      <t>L</t>
    </r>
    <r>
      <rPr>
        <sz val="12"/>
        <color theme="1"/>
        <rFont val="Helvetica"/>
        <family val="2"/>
      </rPr>
      <t>HV)</t>
    </r>
  </si>
  <si>
    <r>
      <t xml:space="preserve">Btu </t>
    </r>
    <r>
      <rPr>
        <sz val="12"/>
        <color theme="1"/>
        <rFont val="Helvetica"/>
        <family val="2"/>
      </rPr>
      <t>in steam per Btu fuel combusted (LHV)</t>
    </r>
  </si>
  <si>
    <t>4.3.2.3   Gas turbine fuel heating value (LHV)</t>
  </si>
  <si>
    <t>Btu LHV/lbmol</t>
  </si>
  <si>
    <t>4.5.2.1   Heat content of fuel consumed per day (MMBtu LHV)</t>
  </si>
  <si>
    <t>Efficiency, LHV basis</t>
  </si>
  <si>
    <t>Btu LHV/lbm</t>
  </si>
  <si>
    <t>Green &amp; Willhite (1998), Fox (SPE 8001)</t>
  </si>
  <si>
    <r>
      <t xml:space="preserve">Btu e-/Btu </t>
    </r>
    <r>
      <rPr>
        <sz val="12"/>
        <color theme="1"/>
        <rFont val="Helvetica"/>
        <family val="2"/>
      </rPr>
      <t>LHV fuel input</t>
    </r>
  </si>
  <si>
    <t>Ratio</t>
  </si>
  <si>
    <t>HHV/LHV</t>
  </si>
  <si>
    <t>Notes: Gas turbine efficiency is modeled in an HHV basis, but is adjusted here to account for use of LHV.  This is done by using ratio of HHV to LHV for input fuel mix.</t>
  </si>
  <si>
    <t>1   Calculation of impacts from products and co-products</t>
  </si>
  <si>
    <t>1.1 Method for addressing co-production</t>
  </si>
  <si>
    <t>Neglect latent heat of vaporization of air and exhaust H2O because working with LHV balance</t>
  </si>
  <si>
    <t>Steam injection projects are given a non-standard default pressure of 500 psia, due to the fact that steam injection projects generally occur in shallow reservoirs that are pressure depleted.  Steam injection is more efficient at transfering heat to the formation and driving production in shallow reservoirs for a variety of reasons.  See Green &amp; Willhite (1998) or Fox (SPE 8001) for details.</t>
  </si>
  <si>
    <t>Large process stages included:</t>
  </si>
  <si>
    <t>Model error check:</t>
  </si>
  <si>
    <t>In the case of gas lift, the gas oil ratio should include produced gas from the reservoir as well as injected lift gas.</t>
  </si>
  <si>
    <t>Model changes</t>
  </si>
  <si>
    <r>
      <t xml:space="preserve">This sheet </t>
    </r>
    <r>
      <rPr>
        <sz val="12"/>
        <color theme="1"/>
        <rFont val="Helvetica"/>
        <family val="2"/>
      </rPr>
      <t>tracks model changes from previous model versions</t>
    </r>
  </si>
  <si>
    <t>From OPGEE v.1.0 to OPGEE v1.1, the following changes were made:</t>
  </si>
  <si>
    <t>1.2.1 Gas processing scheme</t>
  </si>
  <si>
    <t xml:space="preserve">1.2.2   Amine treater </t>
  </si>
  <si>
    <t xml:space="preserve">1.2.2.1   Contactor </t>
  </si>
  <si>
    <t>1.2.2.1.1   Amine solution</t>
  </si>
  <si>
    <t>1.2.2.1.2   Amine solution K value</t>
  </si>
  <si>
    <t>1.2.2.2   Pumps driver fuel use</t>
  </si>
  <si>
    <t>1.2.2.3   Air-cooling fan driver fuel use</t>
  </si>
  <si>
    <t xml:space="preserve">1.2.2.4   Reboiler </t>
  </si>
  <si>
    <t>1.2.2.4.1   Gas-fired heater fuel use</t>
  </si>
  <si>
    <t>1.2.2.4.2   NG fuel type</t>
  </si>
  <si>
    <t>1.2.3   Glycol dehydrator</t>
  </si>
  <si>
    <t>1.2.3.1   Contactor</t>
  </si>
  <si>
    <t>1.2.3.1.1   TEG concentration</t>
  </si>
  <si>
    <t>1.2.3.1.2   TEG-to-water ratio</t>
  </si>
  <si>
    <t>1.2.3.1.3   Operating pressure</t>
  </si>
  <si>
    <t>1.2.3.2   Glycol pump</t>
  </si>
  <si>
    <t>1.2.3.2.1   Pump type</t>
  </si>
  <si>
    <t xml:space="preserve">1.2.3.1.2.2   Pump efficiency </t>
  </si>
  <si>
    <t>1.2.3.2.3   Prime mover fuel use</t>
  </si>
  <si>
    <t>1.2.3.3   Reboiler</t>
  </si>
  <si>
    <t>1.2.3.3.1   Type of heater</t>
  </si>
  <si>
    <t>1.2.3.3.2   Heater fuel use</t>
  </si>
  <si>
    <t>1.2.3.3.3   NG fuel type</t>
  </si>
  <si>
    <t>1.2.4   Demethanizer</t>
  </si>
  <si>
    <t>1.2.4.1   Fraction of gas condensed</t>
  </si>
  <si>
    <r>
      <t>1.2.4.1.1   C</t>
    </r>
    <r>
      <rPr>
        <vertAlign val="subscript"/>
        <sz val="12"/>
        <color theme="1"/>
        <rFont val="Helvetica"/>
      </rPr>
      <t>2</t>
    </r>
    <r>
      <rPr>
        <sz val="12"/>
        <color theme="1"/>
        <rFont val="Helvetica"/>
        <family val="2"/>
      </rPr>
      <t>H</t>
    </r>
    <r>
      <rPr>
        <vertAlign val="subscript"/>
        <sz val="12"/>
        <color theme="1"/>
        <rFont val="Helvetica"/>
      </rPr>
      <t>6</t>
    </r>
  </si>
  <si>
    <r>
      <t>1.2.4.1.2   C</t>
    </r>
    <r>
      <rPr>
        <vertAlign val="subscript"/>
        <sz val="12"/>
        <color theme="1"/>
        <rFont val="Helvetica"/>
      </rPr>
      <t>3</t>
    </r>
    <r>
      <rPr>
        <sz val="12"/>
        <color theme="1"/>
        <rFont val="Helvetica"/>
        <family val="2"/>
      </rPr>
      <t>H</t>
    </r>
    <r>
      <rPr>
        <vertAlign val="subscript"/>
        <sz val="12"/>
        <color theme="1"/>
        <rFont val="Helvetica"/>
      </rPr>
      <t>8</t>
    </r>
  </si>
  <si>
    <r>
      <t>1.2.4.1.3   C</t>
    </r>
    <r>
      <rPr>
        <vertAlign val="subscript"/>
        <sz val="12"/>
        <color theme="1"/>
        <rFont val="Helvetica"/>
      </rPr>
      <t>4</t>
    </r>
    <r>
      <rPr>
        <sz val="12"/>
        <color theme="1"/>
        <rFont val="Helvetica"/>
        <family val="2"/>
      </rPr>
      <t>H</t>
    </r>
    <r>
      <rPr>
        <vertAlign val="subscript"/>
        <sz val="12"/>
        <color theme="1"/>
        <rFont val="Helvetica"/>
      </rPr>
      <t>10</t>
    </r>
  </si>
  <si>
    <t>7.1.1   Production methods</t>
  </si>
  <si>
    <t>7.1.2   Water injection ratio</t>
  </si>
  <si>
    <t>7.1.3   Gas injection volume</t>
  </si>
  <si>
    <t>7.1.4   N2 injection ratio</t>
  </si>
  <si>
    <t>7.1.5   Steam-to-oil ratio (SOR)</t>
  </si>
  <si>
    <t>7.1.6   Field location</t>
  </si>
  <si>
    <t>Mixture MW</t>
  </si>
  <si>
    <t>Component MW</t>
  </si>
  <si>
    <t>Dehydrator can be switched ON/OFF</t>
  </si>
  <si>
    <t>Corrected the AGR unit venting emissions calculation</t>
  </si>
  <si>
    <t>AGR unit can be switched ON/OFF</t>
  </si>
  <si>
    <t>Nawaz, M. and Jobson, M. (2010)</t>
  </si>
  <si>
    <t>1.2.4.2.1   Refrigeration system power</t>
  </si>
  <si>
    <t xml:space="preserve">1.2.4.2   Energy factors </t>
  </si>
  <si>
    <t>1.2.4.3   Fuel usage</t>
  </si>
  <si>
    <t>Heater is NG-fired by default</t>
  </si>
  <si>
    <r>
      <t>bhp-hr/kmol</t>
    </r>
    <r>
      <rPr>
        <vertAlign val="subscript"/>
        <sz val="12"/>
        <color theme="1"/>
        <rFont val="Helvetica"/>
      </rPr>
      <t>FEED</t>
    </r>
  </si>
  <si>
    <t>1.2.4.3.1   Refrigeration system driver</t>
  </si>
  <si>
    <t>Driver is NG turbine by default</t>
  </si>
  <si>
    <t>1.2.4.4   NGL use</t>
  </si>
  <si>
    <t>2.2.3   Demethanizer</t>
  </si>
  <si>
    <t>Pet Coke</t>
  </si>
  <si>
    <t>Added demethanizer input data</t>
  </si>
  <si>
    <t>Highlighted changes to heater/treater calculations</t>
  </si>
  <si>
    <t>Component</t>
  </si>
  <si>
    <t>Weight</t>
  </si>
  <si>
    <t>Added N2 and H2S gas densities to input data sheet</t>
  </si>
  <si>
    <t>MW</t>
  </si>
  <si>
    <t>Molar fraction</t>
  </si>
  <si>
    <r>
      <t>N</t>
    </r>
    <r>
      <rPr>
        <vertAlign val="subscript"/>
        <sz val="10"/>
        <color theme="1"/>
        <rFont val="Helvetica"/>
      </rPr>
      <t>2</t>
    </r>
  </si>
  <si>
    <r>
      <t>CO</t>
    </r>
    <r>
      <rPr>
        <vertAlign val="subscript"/>
        <sz val="10"/>
        <color theme="1"/>
        <rFont val="Helvetica"/>
      </rPr>
      <t>2</t>
    </r>
  </si>
  <si>
    <r>
      <t>C</t>
    </r>
    <r>
      <rPr>
        <vertAlign val="subscript"/>
        <sz val="10"/>
        <color theme="1"/>
        <rFont val="Helvetica"/>
      </rPr>
      <t>1</t>
    </r>
  </si>
  <si>
    <r>
      <t>C</t>
    </r>
    <r>
      <rPr>
        <vertAlign val="subscript"/>
        <sz val="10"/>
        <color theme="1"/>
        <rFont val="Helvetica"/>
      </rPr>
      <t>2</t>
    </r>
  </si>
  <si>
    <r>
      <t>C</t>
    </r>
    <r>
      <rPr>
        <vertAlign val="subscript"/>
        <sz val="10"/>
        <color theme="1"/>
        <rFont val="Helvetica"/>
      </rPr>
      <t>3</t>
    </r>
  </si>
  <si>
    <r>
      <t>C</t>
    </r>
    <r>
      <rPr>
        <vertAlign val="subscript"/>
        <sz val="10"/>
        <color theme="1"/>
        <rFont val="Helvetica"/>
      </rPr>
      <t>4</t>
    </r>
  </si>
  <si>
    <r>
      <t>H</t>
    </r>
    <r>
      <rPr>
        <vertAlign val="subscript"/>
        <sz val="10"/>
        <color theme="1"/>
        <rFont val="Helvetica"/>
      </rPr>
      <t>2</t>
    </r>
    <r>
      <rPr>
        <sz val="12"/>
        <color theme="1"/>
        <rFont val="Helvetica"/>
        <family val="2"/>
      </rPr>
      <t>S</t>
    </r>
  </si>
  <si>
    <t>2.2.3.1   Molar amount of gas feed</t>
  </si>
  <si>
    <t>kmol/d</t>
  </si>
  <si>
    <r>
      <t>lb</t>
    </r>
    <r>
      <rPr>
        <vertAlign val="subscript"/>
        <sz val="10"/>
        <color theme="0"/>
        <rFont val="Helvetica"/>
      </rPr>
      <t>m</t>
    </r>
    <r>
      <rPr>
        <sz val="10"/>
        <color theme="0"/>
        <rFont val="Helvetica"/>
      </rPr>
      <t>/d</t>
    </r>
  </si>
  <si>
    <r>
      <t>lb</t>
    </r>
    <r>
      <rPr>
        <vertAlign val="subscript"/>
        <sz val="10"/>
        <color theme="0"/>
        <rFont val="Helvetica"/>
      </rPr>
      <t>m</t>
    </r>
    <r>
      <rPr>
        <sz val="10"/>
        <color theme="0"/>
        <rFont val="Helvetica"/>
      </rPr>
      <t>/lb mol</t>
    </r>
  </si>
  <si>
    <t xml:space="preserve">Added demethanizer chilling and fractionation energy consumption </t>
  </si>
  <si>
    <t>Refrigeration system</t>
  </si>
  <si>
    <t>Fractionation reboiler</t>
  </si>
  <si>
    <t>Demethanizer can be switched ON/OFF</t>
  </si>
  <si>
    <t>2.2.3.2   Refrigeration system BHP</t>
  </si>
  <si>
    <t>2.2.3.3   Demethanizer energy consumption</t>
  </si>
  <si>
    <t>2.2.3.3.2   Fractionation reboiler energy consumption</t>
  </si>
  <si>
    <t>Credits (negative emissions) from fuels export + debts (positive emissions) from fuels import</t>
  </si>
  <si>
    <t>Improved description of offsite credits/debts</t>
  </si>
  <si>
    <t>2.1.1.1   Volume of water heated</t>
  </si>
  <si>
    <t>2.1.1.2   Volume of oil heated</t>
  </si>
  <si>
    <t>2.1.1.3   Heat duty</t>
  </si>
  <si>
    <t>1.1.1   Heater-treater</t>
  </si>
  <si>
    <t>1.1.1.1   Application of heat treatment</t>
  </si>
  <si>
    <t>1.1.1.2   Entrained water as a fraction of oil emulsion</t>
  </si>
  <si>
    <t>1.1.1.3   Feed temperature</t>
  </si>
  <si>
    <t>1.1.1.4   Treating temperature</t>
  </si>
  <si>
    <t>1.1.1.5   Specific heat of oil</t>
  </si>
  <si>
    <t>1.1.1.6   Specific heat of water</t>
  </si>
  <si>
    <t>1.1.1.7   Heat loss</t>
  </si>
  <si>
    <t>1.1.1.8   Prime mover</t>
  </si>
  <si>
    <t>1.1.1.8.1   Type of heater</t>
  </si>
  <si>
    <t>1.1.1.8.2  NG fuel type</t>
  </si>
  <si>
    <t>1.1.1.8.3   Heater fuel use</t>
  </si>
  <si>
    <t>Changed heater/treater calculations using default oil emulsion (14% emulsified water)</t>
  </si>
  <si>
    <t>Number of fields</t>
  </si>
  <si>
    <r>
      <t>C</t>
    </r>
    <r>
      <rPr>
        <vertAlign val="subscript"/>
        <sz val="12"/>
        <color theme="1"/>
        <rFont val="Helvetica"/>
      </rPr>
      <t>4</t>
    </r>
    <r>
      <rPr>
        <sz val="12"/>
        <color theme="1"/>
        <rFont val="Helvetica"/>
        <family val="2"/>
      </rPr>
      <t>+</t>
    </r>
  </si>
  <si>
    <t>Default is the minimum indicated by the model inputs</t>
  </si>
  <si>
    <t>1= Export/process fuel</t>
  </si>
  <si>
    <t xml:space="preserve">7.1.7   Volume fraction of diluent </t>
  </si>
  <si>
    <t>7.1.8   Crude production method</t>
  </si>
  <si>
    <t>7.1.9   Crude ecosystem carbon richness</t>
  </si>
  <si>
    <t>7.1.10   Field development intensity</t>
  </si>
  <si>
    <t>7.1.11   Gas composition</t>
  </si>
  <si>
    <t>7.1.12   Fraction of gas to reinjection</t>
  </si>
  <si>
    <t>7.1.13   Fraction of water to reinjection</t>
  </si>
  <si>
    <t>7.1.14   Number of producing wells</t>
  </si>
  <si>
    <t>7.1.15   Productivity index</t>
  </si>
  <si>
    <t>7.1.16   Ratio of specific heats</t>
  </si>
  <si>
    <t>7.1.17   NGL use</t>
  </si>
  <si>
    <t>7.1.18   Stage 1 water treatment</t>
  </si>
  <si>
    <t>7.1.19   Stage 2 water treatment</t>
  </si>
  <si>
    <t>7.1.20   Stage 3 water treatment</t>
  </si>
  <si>
    <t>7.1.21   Stage 4 water treatment</t>
  </si>
  <si>
    <t>7.1.22   Lift gas volume</t>
  </si>
  <si>
    <t>7.1.23   Remaining gas volume</t>
  </si>
  <si>
    <t>7.1.24   Steam injection</t>
  </si>
  <si>
    <t>7.1.25   Offsite electricity fuel mix</t>
  </si>
  <si>
    <t>Corrected two typo mistakes in the bulk assessment sheet (scf/bbl liquid for gas lift injection and C4+ instead of C4 for gas composition)</t>
  </si>
  <si>
    <t>Developed a new macro which runs the bulk assessment for unlimited number of fields and has a built in logic for errors fixing</t>
  </si>
  <si>
    <t>Calculated gas feed into demethanizer in kmol</t>
  </si>
  <si>
    <t>Updated gathering sheets to include energy consumption and emissions of demethanizer</t>
  </si>
  <si>
    <t>3.9   Small sources emissions</t>
  </si>
  <si>
    <t>3.10   Overall error check</t>
  </si>
  <si>
    <t>MJ of SCO</t>
  </si>
  <si>
    <t>5.8.1   Total energy consumption</t>
  </si>
  <si>
    <t>5.8.2   Total GHG emissions</t>
  </si>
  <si>
    <t>3.7   Non-integrated upgrader (1= Applicable; 0= Not applicable)</t>
  </si>
  <si>
    <t>3.8   Crude oil transport</t>
  </si>
  <si>
    <t>3.8.1   Fraction of oil transported by each mode</t>
  </si>
  <si>
    <t>3.8.1.1   Ocean tanker</t>
  </si>
  <si>
    <t>3.8.1.2   Barge</t>
  </si>
  <si>
    <t>3.8.1.3   Pipeline</t>
  </si>
  <si>
    <t>3.8.1.4   Rail</t>
  </si>
  <si>
    <t>3.8.2   Transport distance (one way)</t>
  </si>
  <si>
    <t>3.8.2.1   Ocean tanker</t>
  </si>
  <si>
    <t>3.8.2.2   Barge</t>
  </si>
  <si>
    <t>3.8.2.3   Pipeline</t>
  </si>
  <si>
    <t>3.8.2.4   Rail</t>
  </si>
  <si>
    <t>2.4   Gas reinjection compressor (1-5 stages)</t>
  </si>
  <si>
    <t>2.4.1.9   Fifth stage inlet temperature</t>
  </si>
  <si>
    <t xml:space="preserve">2.4.1.10   Ratio of specific heats </t>
  </si>
  <si>
    <t xml:space="preserve">2.4.1.11   Compressor efficiency </t>
  </si>
  <si>
    <t>2.6.2.1.10   Ratio of specific heats</t>
  </si>
  <si>
    <t>2.6.2.1.11   Compressor efficiency</t>
  </si>
  <si>
    <t>2.6.2.1.8   Fourth stage inlet temperature</t>
  </si>
  <si>
    <t>2.6.2.1.9   Fifth stage inlet temperature</t>
  </si>
  <si>
    <t>2.6.2   Gas injection compressor (1-5 stages)</t>
  </si>
  <si>
    <t>2.7.4   Gas injection compressor (1-5 stages)</t>
  </si>
  <si>
    <t>2.7.4.1.10   Ratio of specific heats</t>
  </si>
  <si>
    <t>2.7.4.1.11   Compressor efficiency</t>
  </si>
  <si>
    <t>2.7.4.1.8   Fourth stage inlet temperature</t>
  </si>
  <si>
    <t>2.7.4.1.9   Fifth stage inlet temperature</t>
  </si>
  <si>
    <t>2.4.1.8   Fourth stage inlet temperature</t>
  </si>
  <si>
    <t>3.3.3   Total adabiatic work of compression</t>
  </si>
  <si>
    <t>3.3.4   Output horsepower from compressor</t>
  </si>
  <si>
    <t>3.3.5   Brake horse power (BHP)</t>
  </si>
  <si>
    <t>3.3.6   Energy consumption</t>
  </si>
  <si>
    <t>3.3.6.1   Prime mover fuel use</t>
  </si>
  <si>
    <t>3.3.6.2   Prime mover fuel usage per day of operation</t>
  </si>
  <si>
    <t>3.3.6.3   Total fuel use</t>
  </si>
  <si>
    <t>3.3.2.1   Stage 1</t>
  </si>
  <si>
    <t>3.3.2.2   Stage 2</t>
  </si>
  <si>
    <t>3.3.2.3   Stage 3</t>
  </si>
  <si>
    <t>3.3.2.4   Stage 4</t>
  </si>
  <si>
    <t>3.3.2.5   Stage 5</t>
  </si>
  <si>
    <t>3.3.1   Discharge pressure</t>
  </si>
  <si>
    <t>3.3.2   Adiabatic work of compression</t>
  </si>
  <si>
    <t>3.3.1.1   Stage 1</t>
  </si>
  <si>
    <t>3.3.1.2   Stage 2</t>
  </si>
  <si>
    <t>3.3.1.3   Stage 3</t>
  </si>
  <si>
    <t>3.3.1.4   Stage 4</t>
  </si>
  <si>
    <t>3.3.1.5   Stage 5</t>
  </si>
  <si>
    <t>3.5.1   Discharge pressure</t>
  </si>
  <si>
    <t>3.5.1.1   Stage 1</t>
  </si>
  <si>
    <t>3.5.1.2   Stage 2</t>
  </si>
  <si>
    <t>3.5.1.3   Stage 3</t>
  </si>
  <si>
    <t>3.5.1.4   Stage 4</t>
  </si>
  <si>
    <t>3.5.1.5   Stage 5</t>
  </si>
  <si>
    <t>3.5.2.1   Stage 1</t>
  </si>
  <si>
    <t>3.5.2.2   Stage 2</t>
  </si>
  <si>
    <t>3.5.2.3   Stage 3</t>
  </si>
  <si>
    <t>3.5.2.4   Stage 4</t>
  </si>
  <si>
    <t>3.5.2   Adiabatic work of compression</t>
  </si>
  <si>
    <t>3.5.3   Total adabiatic work of compression</t>
  </si>
  <si>
    <t>3.5.4   Output horsepower from compressor</t>
  </si>
  <si>
    <t>3.5.5   Brake horse power (BHP)</t>
  </si>
  <si>
    <t>3.5.6   Energy consumption</t>
  </si>
  <si>
    <t>3.5.6.1   Prime mover fuel use</t>
  </si>
  <si>
    <t>3.5.6.2   Prime mover fuel usage per day of operation</t>
  </si>
  <si>
    <t>3.5.6.3   Total fuel use</t>
  </si>
  <si>
    <t>3.6.1   Discharge pressure</t>
  </si>
  <si>
    <t>3.6.1.1   Stage 1</t>
  </si>
  <si>
    <t>3.6.1.2   Stage 2</t>
  </si>
  <si>
    <t>3.6.1.3   Stage 3</t>
  </si>
  <si>
    <t>3.6.1.4   Stage 4</t>
  </si>
  <si>
    <t>3.6.1.5   Stage 5</t>
  </si>
  <si>
    <t>3.6.2.1   Stage 1</t>
  </si>
  <si>
    <t>3.6.2.2   Stage 2</t>
  </si>
  <si>
    <t>3.6.2.3   Stage 3</t>
  </si>
  <si>
    <t>3.6.2.4   Stage 4</t>
  </si>
  <si>
    <t>3.6.2.5   Stage 5</t>
  </si>
  <si>
    <t>3.6.2   Adiabatic work of compression</t>
  </si>
  <si>
    <t>3.6.3   Total adabiatic work of compression</t>
  </si>
  <si>
    <t>3.6.4   Output horsepower from compressor</t>
  </si>
  <si>
    <t>3.6.5   Brake horse power (BHP)</t>
  </si>
  <si>
    <t>3.6.6   Energy consumption</t>
  </si>
  <si>
    <t>3.6.6.1   Prime mover fuel use</t>
  </si>
  <si>
    <t>3.6.6.2   Prime mover fuel usage per day of operation</t>
  </si>
  <si>
    <t>3.6.6.3   Total fuel use</t>
  </si>
  <si>
    <r>
      <t>2.9   Fuels imported</t>
    </r>
    <r>
      <rPr>
        <sz val="12"/>
        <color theme="1"/>
        <rFont val="Helvetica"/>
        <family val="2"/>
      </rPr>
      <t xml:space="preserve"> for extraction</t>
    </r>
    <r>
      <rPr>
        <sz val="12"/>
        <color theme="1"/>
        <rFont val="Helvetica"/>
        <family val="2"/>
      </rPr>
      <t xml:space="preserve"> (or recorded as net imports)</t>
    </r>
  </si>
  <si>
    <t>2.9.6   Diluent</t>
  </si>
  <si>
    <r>
      <t xml:space="preserve">2.10   Fuels imported for upgrading </t>
    </r>
    <r>
      <rPr>
        <sz val="12"/>
        <color theme="1"/>
        <rFont val="Helvetica"/>
        <family val="2"/>
      </rPr>
      <t>(or recorded as net imports)</t>
    </r>
  </si>
  <si>
    <r>
      <t>2.1</t>
    </r>
    <r>
      <rPr>
        <sz val="12"/>
        <color theme="1"/>
        <rFont val="Helvetica"/>
        <family val="2"/>
      </rPr>
      <t>1</t>
    </r>
    <r>
      <rPr>
        <sz val="12"/>
        <color theme="1"/>
        <rFont val="Helvetica"/>
        <family val="2"/>
      </rPr>
      <t xml:space="preserve">   Associated gas compositio</t>
    </r>
    <r>
      <rPr>
        <sz val="12"/>
        <color theme="1"/>
        <rFont val="Helvetica"/>
        <family val="2"/>
      </rPr>
      <t>n</t>
    </r>
  </si>
  <si>
    <r>
      <t>2.1</t>
    </r>
    <r>
      <rPr>
        <sz val="12"/>
        <color theme="1"/>
        <rFont val="Helvetica"/>
        <family val="2"/>
      </rPr>
      <t>2</t>
    </r>
    <r>
      <rPr>
        <sz val="12"/>
        <color theme="1"/>
        <rFont val="Helvetica"/>
        <family val="2"/>
      </rPr>
      <t xml:space="preserve">   Land use impact inputs</t>
    </r>
  </si>
  <si>
    <r>
      <t>2.1</t>
    </r>
    <r>
      <rPr>
        <sz val="12"/>
        <color theme="1"/>
        <rFont val="Helvetica"/>
        <family val="2"/>
      </rPr>
      <t>2.1   Crude ecosystem carbon richness</t>
    </r>
  </si>
  <si>
    <r>
      <t>2.1</t>
    </r>
    <r>
      <rPr>
        <sz val="12"/>
        <color theme="1"/>
        <rFont val="Helvetica"/>
        <family val="2"/>
      </rPr>
      <t>2.2   Field development intensity</t>
    </r>
  </si>
  <si>
    <t>Fraction of diluent in product reduces the fugitive emissions because diluent fugitive emissions are counted in the upstream GHG emissions from diluent production (see Fuel Cycle sheet).</t>
  </si>
  <si>
    <t>Fraction of diluent in product reduces the flaring emissions because diluent fugitive emissions are counted in the upstream GHG emissions from diluent production (see Fuel Cycle sheet).</t>
  </si>
  <si>
    <r>
      <t>3.</t>
    </r>
    <r>
      <rPr>
        <sz val="12"/>
        <color theme="1"/>
        <rFont val="Helvetica"/>
        <family val="2"/>
      </rPr>
      <t>3.1   Energy imports primary extraction (in situ and mining, includes mining for integrated mining &amp; upgrading)</t>
    </r>
  </si>
  <si>
    <r>
      <t>3.</t>
    </r>
    <r>
      <rPr>
        <sz val="12"/>
        <color theme="1"/>
        <rFont val="Helvetica"/>
        <family val="2"/>
      </rPr>
      <t>3.2   Energy imports upgrading (includes upgrading for integrated mining &amp; upgrading)</t>
    </r>
  </si>
  <si>
    <r>
      <t>3.</t>
    </r>
    <r>
      <rPr>
        <sz val="12"/>
        <color theme="1"/>
        <rFont val="Helvetica"/>
        <family val="2"/>
      </rPr>
      <t>6</t>
    </r>
    <r>
      <rPr>
        <sz val="12"/>
        <color theme="1"/>
        <rFont val="Helvetica"/>
        <family val="2"/>
      </rPr>
      <t xml:space="preserve"> Total GHG emissions</t>
    </r>
  </si>
  <si>
    <t>MMBtu LHV/bbl bitumen</t>
  </si>
  <si>
    <t>MMBtu LHV/bbl SCO</t>
  </si>
  <si>
    <t xml:space="preserve">Labeling of bitumen extraction and upgrading Table 4.10 fixed </t>
  </si>
  <si>
    <t>Diluted bitumen pathways now exhibit sensitivity in flaring and fugitive emissions computations to level of diluent blending.  Upstream flaring and fugitive emissions from diluent life cycle are tracked in the "Fuel Cycle" sheet, and therefore should not be double counted in the Bitumen Extraction and Upgrading sheet.</t>
  </si>
  <si>
    <t>Fixed numbering in Bitumen Extraction &amp; Upgrading sheet</t>
  </si>
  <si>
    <t>Heating value basis in Bitumen Extraction &amp; Upgrading sheet is changed from HHV basis to LHV basis to address error in emissions computation</t>
  </si>
  <si>
    <t>Fixed treatment of imported vs. on site energy at bitumen production facilities and clarified use of fuel cycle emissions for imported fuels.</t>
  </si>
  <si>
    <t>Still gas</t>
  </si>
  <si>
    <t>Pet coke</t>
  </si>
  <si>
    <t>Assume still gas would be replaced by natural gas if unavailable</t>
  </si>
  <si>
    <t>3 User inputs - Conventional</t>
  </si>
  <si>
    <t>3.5.3   Application of AGR unit (1= Applicable; 0 = Not applicable)</t>
  </si>
  <si>
    <t>3.5.4   Application of gas dehydration unit (1= Applicable; 0 = Not applicable)</t>
  </si>
  <si>
    <t>3.5.5   Application of demethanizer unit (1= Applicable; 0 = Not applicable)</t>
  </si>
  <si>
    <t>3.8.3   Ocean tanker size, if applicable</t>
  </si>
  <si>
    <t>Tons</t>
  </si>
  <si>
    <t>1.2.1.1   AGR unit</t>
  </si>
  <si>
    <t>1.2.1.2   Gas dehydration unit</t>
  </si>
  <si>
    <t>1.2.1.3   Demethanizer</t>
  </si>
  <si>
    <t>Added emissions and energy consumption of non-integrated upgrader (if applicable) to conventional oil GHG emissions</t>
  </si>
  <si>
    <t>1.5.3   Application of AGR unit</t>
  </si>
  <si>
    <t>1.5.4   Application of gas dehydration unit</t>
  </si>
  <si>
    <t>1.5.5   Application of demethanizer unit</t>
  </si>
  <si>
    <t>1.5.6   Flaring-to-oil ratio</t>
  </si>
  <si>
    <t>1.5.7   Venting-to-oil ratio</t>
  </si>
  <si>
    <t>1.7   Non-integrated upgrader</t>
  </si>
  <si>
    <t>1.8   Crude oil transport</t>
  </si>
  <si>
    <t>1.8.1   Fraction of oil transported by each mode</t>
  </si>
  <si>
    <t>1.8.1.1   Ocean tanker</t>
  </si>
  <si>
    <t>1.8.1.2   Barge</t>
  </si>
  <si>
    <t>1.8.1.3   Pipeline</t>
  </si>
  <si>
    <t>1.8.1.4   Rail</t>
  </si>
  <si>
    <t>1.8.2   Transport distance (one way)</t>
  </si>
  <si>
    <t>1.8.2.1   Ocean tanker</t>
  </si>
  <si>
    <t>1.8.2.2   Barge</t>
  </si>
  <si>
    <t>1.8.2.3   Pipeline</t>
  </si>
  <si>
    <t>1.8.2.4   Rail</t>
  </si>
  <si>
    <t>1.9   Small sources emissions</t>
  </si>
  <si>
    <t>Ton</t>
  </si>
  <si>
    <t>1.8.3   Ocean tanker size, if applicable</t>
  </si>
  <si>
    <t>2.8.1   Total energy consumption</t>
  </si>
  <si>
    <t>2.8.2   Total GHG emissions</t>
  </si>
  <si>
    <t>1.5.8   Volume fraction of diluent</t>
  </si>
  <si>
    <t>L203</t>
  </si>
  <si>
    <t>L122</t>
  </si>
  <si>
    <t>L131</t>
  </si>
  <si>
    <t>L134</t>
  </si>
  <si>
    <t>L143</t>
  </si>
  <si>
    <t>L151</t>
  </si>
  <si>
    <t>See sheet "Model Organization" for list of all sources not explicitly modeled in OPGEE. These sources are included here as "other small sources" and assigned default value of 0.5 gCO2 eq./MJ</t>
  </si>
  <si>
    <t>Fixed error in documentation of small sources.</t>
  </si>
  <si>
    <t>Defaults and smart defaults</t>
  </si>
  <si>
    <t>Error checks and warnings</t>
  </si>
  <si>
    <t>Overall model organization</t>
  </si>
  <si>
    <t>New model functionality</t>
  </si>
  <si>
    <t>Corrections and improvements</t>
  </si>
  <si>
    <t xml:space="preserve">User inputs &amp; results sheet </t>
  </si>
  <si>
    <t>Bulk assessment macro changes</t>
  </si>
  <si>
    <t>Changed color themes to OPGEE custom color theme</t>
  </si>
  <si>
    <t>Added sheet to track model changes (this sheet)</t>
  </si>
  <si>
    <t>Organized user inputs sheet for the implementation of new macro for the bulk assessment</t>
  </si>
  <si>
    <t>Processing configuration flexibility</t>
  </si>
  <si>
    <t>Improved compressor model (compressor now between 1 and 5 stages)</t>
  </si>
  <si>
    <t>Diluent blending and upgrading for non oil sands heavy crudes</t>
  </si>
  <si>
    <t xml:space="preserve">Calculated non-integrated upgrader emissions and energy consumption for non-bitumen pathways using upgrading data from bitumen sheet </t>
  </si>
  <si>
    <t>Developed the option of diluent blending after production. The model now accounts for indirect GHG emissions associated with importing NGL for use as diluent. Added an ERROR check to make sure that the diluent volume fraction is the minimum as indicated by model inputs (minimum is NGL produced onsite as blend).</t>
  </si>
  <si>
    <t>Allow removal of gas processing units on the user inputs sheet</t>
  </si>
  <si>
    <t>Added ocean tanker size to user inputs sheet</t>
  </si>
  <si>
    <t>Rounded no. of injection wells to the nearest 1 well</t>
  </si>
  <si>
    <t>Added petroleum coke life cycle energy consumption and GHG emissions</t>
  </si>
  <si>
    <t>Corrected the gas balance gas composition overall error check</t>
  </si>
  <si>
    <t>Added error check to ensure that downhole pump and gas lift do not co-exist (results in miscalculation of required lifting work)</t>
  </si>
  <si>
    <t>More detailed demethanizer model now includes energy consumed by demethanizer</t>
  </si>
  <si>
    <t>Bulk assessment macro now has the following features:</t>
  </si>
  <si>
    <t>Works with limited datasets, and fills in defaults or smart defaults where applicable</t>
  </si>
  <si>
    <t>Uses colors to highlight where the macro fills in or alters data</t>
  </si>
  <si>
    <t>Resolves errors by changing programmatically the well diameter, productivity index, GOR etc.  See documentation for details.</t>
  </si>
  <si>
    <t>Documentation and model explanation</t>
  </si>
  <si>
    <t>Data and input parameters</t>
  </si>
  <si>
    <r>
      <t>Table 1.</t>
    </r>
    <r>
      <rPr>
        <sz val="12"/>
        <color theme="1"/>
        <rFont val="Helvetica"/>
        <family val="2"/>
      </rPr>
      <t>6</t>
    </r>
    <r>
      <rPr>
        <sz val="12"/>
        <color theme="1"/>
        <rFont val="Helvetica"/>
        <family val="2"/>
      </rPr>
      <t xml:space="preserve"> Transport-specific emissions factors (on-site g/MMBtu consumed)</t>
    </r>
  </si>
  <si>
    <r>
      <t>Table 1.4: Emission Factors of Land Use Change - 150 year analysis timeframe (gCO</t>
    </r>
    <r>
      <rPr>
        <vertAlign val="subscript"/>
        <sz val="12"/>
        <color theme="1"/>
        <rFont val="Helvetica"/>
      </rPr>
      <t>2</t>
    </r>
    <r>
      <rPr>
        <sz val="12"/>
        <color theme="1"/>
        <rFont val="Helvetica"/>
        <family val="2"/>
      </rPr>
      <t>eq./MJ)</t>
    </r>
  </si>
  <si>
    <r>
      <t>Table 1.5: Emission Factors of Land Use Change - 30 year analysis timeframe (gCO</t>
    </r>
    <r>
      <rPr>
        <vertAlign val="subscript"/>
        <sz val="12"/>
        <color theme="1"/>
        <rFont val="Helvetica"/>
      </rPr>
      <t>2</t>
    </r>
    <r>
      <rPr>
        <sz val="12"/>
        <color theme="1"/>
        <rFont val="Helvetica"/>
        <family val="2"/>
      </rPr>
      <t>eq./MJ)</t>
    </r>
  </si>
  <si>
    <t>Notes: Calculations of Yeh et al. (2010) performed over 30 year timeframe instead of 50 year timeframe.  See documentation for more details. This shorter timeframe results in lower emissions from foregone sequestration, but much higher emissions from biomass carbon because the biomass does not have time to regrow over 30 year project lifetime (assumed project life is 30 years).</t>
  </si>
  <si>
    <r>
      <t>2.1.5</t>
    </r>
    <r>
      <rPr>
        <sz val="12"/>
        <color theme="1"/>
        <rFont val="Helvetica"/>
        <family val="2"/>
      </rPr>
      <t xml:space="preserve">   </t>
    </r>
    <r>
      <rPr>
        <sz val="12"/>
        <color theme="1"/>
        <rFont val="Helvetica"/>
        <family val="2"/>
      </rPr>
      <t>Field development intensity</t>
    </r>
  </si>
  <si>
    <t>2.1.6   Timeframe of land use analysis (1 = 30 years, 2 = 150 years)</t>
  </si>
  <si>
    <t>Scenario number</t>
  </si>
  <si>
    <t>If default timeframe of 30 years is chosen, modified versions of Yeh et al. (2010) calculations are used. See documenation for calculation differences.</t>
  </si>
  <si>
    <t>Modified land use change emissions factors to account for 30 year analysis period</t>
  </si>
  <si>
    <t>5.7   Diluent</t>
  </si>
  <si>
    <t>5.8   Non-integrated upgrader</t>
  </si>
  <si>
    <t>5.9   Crude transport</t>
  </si>
  <si>
    <t>5.9.1   Total energy consumption</t>
  </si>
  <si>
    <t>5.9.2   Total GHG emissions</t>
  </si>
  <si>
    <t>5.9.3   Loss factor</t>
  </si>
  <si>
    <t>5.10   Other small sources</t>
  </si>
  <si>
    <t>Diluent</t>
  </si>
  <si>
    <t>3.5.6   Ratio of flaring to oil production</t>
  </si>
  <si>
    <t>3.5.7   Ratio of venting to oil production</t>
  </si>
  <si>
    <t>I92</t>
  </si>
  <si>
    <t>2.7   Diluent</t>
  </si>
  <si>
    <t>2.8   Non-integrated upgrader</t>
  </si>
  <si>
    <t>2.9   Crude transport (t)</t>
  </si>
  <si>
    <t>2.9.1   Total energy consumption</t>
  </si>
  <si>
    <t>2.9.2   Total GHG emissions</t>
  </si>
  <si>
    <t>2.9.3   Loss factor</t>
  </si>
  <si>
    <t>2.10   Other small sources</t>
  </si>
  <si>
    <t>Field 51</t>
  </si>
  <si>
    <t>Field 52</t>
  </si>
  <si>
    <t>Field 53</t>
  </si>
  <si>
    <t>Field 54</t>
  </si>
  <si>
    <t>Field 55</t>
  </si>
  <si>
    <t>Field 56</t>
  </si>
  <si>
    <t>Field 57</t>
  </si>
  <si>
    <t>Field 58</t>
  </si>
  <si>
    <t>Field 59</t>
  </si>
  <si>
    <t>Field 60</t>
  </si>
  <si>
    <t>Field 61</t>
  </si>
  <si>
    <t>Field 62</t>
  </si>
  <si>
    <t>Field 63</t>
  </si>
  <si>
    <t>Field 64</t>
  </si>
  <si>
    <t>Field 65</t>
  </si>
  <si>
    <t>Field 66</t>
  </si>
  <si>
    <t>Field 67</t>
  </si>
  <si>
    <t>Field 68</t>
  </si>
  <si>
    <t>Field 69</t>
  </si>
  <si>
    <t>Field 70</t>
  </si>
  <si>
    <t>Field 71</t>
  </si>
  <si>
    <t>Field 72</t>
  </si>
  <si>
    <t>Field 73</t>
  </si>
  <si>
    <t>Field 74</t>
  </si>
  <si>
    <t>Field 75</t>
  </si>
  <si>
    <t>Field 76</t>
  </si>
  <si>
    <t>Field 77</t>
  </si>
  <si>
    <t>Field 78</t>
  </si>
  <si>
    <t>Field 79</t>
  </si>
  <si>
    <t>Field 80</t>
  </si>
  <si>
    <t>Field 81</t>
  </si>
  <si>
    <t>Field 82</t>
  </si>
  <si>
    <t>Field 83</t>
  </si>
  <si>
    <t>Field 84</t>
  </si>
  <si>
    <t>Field 85</t>
  </si>
  <si>
    <t>Field 86</t>
  </si>
  <si>
    <t>Field 87</t>
  </si>
  <si>
    <t>Field 88</t>
  </si>
  <si>
    <t>Field 89</t>
  </si>
  <si>
    <t>Field 90</t>
  </si>
  <si>
    <t>Field 91</t>
  </si>
  <si>
    <t>Field 92</t>
  </si>
  <si>
    <t>Field 93</t>
  </si>
  <si>
    <t>Field 94</t>
  </si>
  <si>
    <t>Field 95</t>
  </si>
  <si>
    <t>Field 96</t>
  </si>
  <si>
    <t>Field 97</t>
  </si>
  <si>
    <t>Field 98</t>
  </si>
  <si>
    <t>Field 99</t>
  </si>
  <si>
    <t>Field 100</t>
  </si>
  <si>
    <t>Field 101</t>
  </si>
  <si>
    <t>Field 102</t>
  </si>
  <si>
    <t>Field 103</t>
  </si>
  <si>
    <t>Field 104</t>
  </si>
  <si>
    <t>Field 105</t>
  </si>
  <si>
    <t>Field 106</t>
  </si>
  <si>
    <t>Field 107</t>
  </si>
  <si>
    <t>Field 108</t>
  </si>
  <si>
    <t>Field 109</t>
  </si>
  <si>
    <t>Field 110</t>
  </si>
  <si>
    <t>Field 111</t>
  </si>
  <si>
    <t>Field 112</t>
  </si>
  <si>
    <t>Field 113</t>
  </si>
  <si>
    <t>Field 114</t>
  </si>
  <si>
    <t>Field 115</t>
  </si>
  <si>
    <t>Field 116</t>
  </si>
  <si>
    <t>Field 117</t>
  </si>
  <si>
    <t>Field 118</t>
  </si>
  <si>
    <t>Field 119</t>
  </si>
  <si>
    <t>Field 120</t>
  </si>
  <si>
    <t>Field 121</t>
  </si>
  <si>
    <t>Field 122</t>
  </si>
  <si>
    <t>Field 123</t>
  </si>
  <si>
    <t>Field 124</t>
  </si>
  <si>
    <t>Field 125</t>
  </si>
  <si>
    <t>Field 126</t>
  </si>
  <si>
    <t>Field 127</t>
  </si>
  <si>
    <t>Field 128</t>
  </si>
  <si>
    <t>Field 129</t>
  </si>
  <si>
    <t>Field 130</t>
  </si>
  <si>
    <t>Field 131</t>
  </si>
  <si>
    <t>Field 132</t>
  </si>
  <si>
    <t>Field 133</t>
  </si>
  <si>
    <t>Field 134</t>
  </si>
  <si>
    <t>Field 135</t>
  </si>
  <si>
    <t>Field 136</t>
  </si>
  <si>
    <t>Field 137</t>
  </si>
  <si>
    <t>Field 138</t>
  </si>
  <si>
    <t>Field 139</t>
  </si>
  <si>
    <t>Field 140</t>
  </si>
  <si>
    <t>Field 141</t>
  </si>
  <si>
    <t>Field 142</t>
  </si>
  <si>
    <t>Field 143</t>
  </si>
  <si>
    <t>Field 144</t>
  </si>
  <si>
    <t>Field 145</t>
  </si>
  <si>
    <t>Field 146</t>
  </si>
  <si>
    <t>Field 147</t>
  </si>
  <si>
    <t>Field 148</t>
  </si>
  <si>
    <t>Field 149</t>
  </si>
  <si>
    <t>Field 150</t>
  </si>
  <si>
    <t>Field 151</t>
  </si>
  <si>
    <t>Field 152</t>
  </si>
  <si>
    <t>Field 153</t>
  </si>
  <si>
    <t>Field 154</t>
  </si>
  <si>
    <t>Field 155</t>
  </si>
  <si>
    <t>Field 156</t>
  </si>
  <si>
    <t>Field 157</t>
  </si>
  <si>
    <t>Field 158</t>
  </si>
  <si>
    <t>Field 159</t>
  </si>
  <si>
    <t>Field 160</t>
  </si>
  <si>
    <t>Field 161</t>
  </si>
  <si>
    <t>Field 162</t>
  </si>
  <si>
    <t>Field 163</t>
  </si>
  <si>
    <t>Field 164</t>
  </si>
  <si>
    <t>Field 165</t>
  </si>
  <si>
    <t>Field 166</t>
  </si>
  <si>
    <t>Field 167</t>
  </si>
  <si>
    <t>Field 168</t>
  </si>
  <si>
    <t>Field 169</t>
  </si>
  <si>
    <t>Field 170</t>
  </si>
  <si>
    <t>Field 171</t>
  </si>
  <si>
    <t>Field 172</t>
  </si>
  <si>
    <t>Field 173</t>
  </si>
  <si>
    <t>Field 174</t>
  </si>
  <si>
    <t>Field 175</t>
  </si>
  <si>
    <t>Field 176</t>
  </si>
  <si>
    <t>Field 177</t>
  </si>
  <si>
    <t>Field 178</t>
  </si>
  <si>
    <t>Field 179</t>
  </si>
  <si>
    <t>Field 180</t>
  </si>
  <si>
    <t>Field 181</t>
  </si>
  <si>
    <t>Field 182</t>
  </si>
  <si>
    <t>Field 183</t>
  </si>
  <si>
    <t>Field 184</t>
  </si>
  <si>
    <t>Field 185</t>
  </si>
  <si>
    <t>Field 186</t>
  </si>
  <si>
    <t>Field 187</t>
  </si>
  <si>
    <t>Field 188</t>
  </si>
  <si>
    <t>Field 189</t>
  </si>
  <si>
    <t>Field 190</t>
  </si>
  <si>
    <t>Field 191</t>
  </si>
  <si>
    <t>Field 192</t>
  </si>
  <si>
    <t>Field 193</t>
  </si>
  <si>
    <t>Field 194</t>
  </si>
  <si>
    <t>Field 195</t>
  </si>
  <si>
    <t>Field 196</t>
  </si>
  <si>
    <t>Field 197</t>
  </si>
  <si>
    <t>Field 198</t>
  </si>
  <si>
    <t>Field 199</t>
  </si>
  <si>
    <t>Field 200</t>
  </si>
  <si>
    <t>Field 201</t>
  </si>
  <si>
    <t>Field 202</t>
  </si>
  <si>
    <t>Field 203</t>
  </si>
  <si>
    <t>Field 204</t>
  </si>
  <si>
    <t>Field 205</t>
  </si>
  <si>
    <t>Field 206</t>
  </si>
  <si>
    <t>Field 207</t>
  </si>
  <si>
    <t>Field 208</t>
  </si>
  <si>
    <t>Field 209</t>
  </si>
  <si>
    <t>Field 210</t>
  </si>
  <si>
    <t>Field 211</t>
  </si>
  <si>
    <t>Field 212</t>
  </si>
  <si>
    <t>Field 213</t>
  </si>
  <si>
    <t>Field 214</t>
  </si>
  <si>
    <t>Field 215</t>
  </si>
  <si>
    <t>Field 216</t>
  </si>
  <si>
    <t>Field 217</t>
  </si>
  <si>
    <t>Field 218</t>
  </si>
  <si>
    <t>Field 219</t>
  </si>
  <si>
    <t>Field 220</t>
  </si>
  <si>
    <t>Field 221</t>
  </si>
  <si>
    <t>Field 222</t>
  </si>
  <si>
    <t>Field 223</t>
  </si>
  <si>
    <t>Field 224</t>
  </si>
  <si>
    <t>Field 225</t>
  </si>
  <si>
    <t>Field 226</t>
  </si>
  <si>
    <t>Field 227</t>
  </si>
  <si>
    <t>Field 228</t>
  </si>
  <si>
    <t>Field 229</t>
  </si>
  <si>
    <t>Field 230</t>
  </si>
  <si>
    <t>Field 231</t>
  </si>
  <si>
    <t>Field 232</t>
  </si>
  <si>
    <t>Field 233</t>
  </si>
  <si>
    <t>Field 234</t>
  </si>
  <si>
    <t>Field 235</t>
  </si>
  <si>
    <t>Field 236</t>
  </si>
  <si>
    <t>Field 237</t>
  </si>
  <si>
    <t>Field 238</t>
  </si>
  <si>
    <t>Field 239</t>
  </si>
  <si>
    <t>Field 240</t>
  </si>
  <si>
    <t>Field 241</t>
  </si>
  <si>
    <t>Field 242</t>
  </si>
  <si>
    <t>Field 243</t>
  </si>
  <si>
    <t>Field 244</t>
  </si>
  <si>
    <t>Field 245</t>
  </si>
  <si>
    <t>Field 246</t>
  </si>
  <si>
    <t>Field 247</t>
  </si>
  <si>
    <t>Field 248</t>
  </si>
  <si>
    <t>Field 249</t>
  </si>
  <si>
    <t>Field 250</t>
  </si>
  <si>
    <t>Field 251</t>
  </si>
  <si>
    <t>Field 252</t>
  </si>
  <si>
    <t>Field 253</t>
  </si>
  <si>
    <t>Field 254</t>
  </si>
  <si>
    <t>Field 255</t>
  </si>
  <si>
    <t>Field 256</t>
  </si>
  <si>
    <t>Field 257</t>
  </si>
  <si>
    <t>Field 258</t>
  </si>
  <si>
    <t>Field 259</t>
  </si>
  <si>
    <t>Field 260</t>
  </si>
  <si>
    <t>Field 261</t>
  </si>
  <si>
    <t>Field 262</t>
  </si>
  <si>
    <t>Field 263</t>
  </si>
  <si>
    <t>Field 264</t>
  </si>
  <si>
    <t>Field 265</t>
  </si>
  <si>
    <t>Field 266</t>
  </si>
  <si>
    <t>Field 267</t>
  </si>
  <si>
    <t>Field 268</t>
  </si>
  <si>
    <t>Field 269</t>
  </si>
  <si>
    <t>Field 270</t>
  </si>
  <si>
    <t>Field 271</t>
  </si>
  <si>
    <t>Field 272</t>
  </si>
  <si>
    <t>Field 273</t>
  </si>
  <si>
    <t>Field 274</t>
  </si>
  <si>
    <t>Field 275</t>
  </si>
  <si>
    <t>Field 276</t>
  </si>
  <si>
    <t>Field 277</t>
  </si>
  <si>
    <t>Field 278</t>
  </si>
  <si>
    <t>Field 279</t>
  </si>
  <si>
    <t>Field 280</t>
  </si>
  <si>
    <t>Field 281</t>
  </si>
  <si>
    <t>Field 282</t>
  </si>
  <si>
    <t>Field 283</t>
  </si>
  <si>
    <t>Field 284</t>
  </si>
  <si>
    <t>Field 285</t>
  </si>
  <si>
    <t>Field 286</t>
  </si>
  <si>
    <t>Field 287</t>
  </si>
  <si>
    <t>Field 288</t>
  </si>
  <si>
    <t>Field 289</t>
  </si>
  <si>
    <t>Field 290</t>
  </si>
  <si>
    <t>Field 291</t>
  </si>
  <si>
    <t>Field 292</t>
  </si>
  <si>
    <t>Field 293</t>
  </si>
  <si>
    <t>Field 294</t>
  </si>
  <si>
    <t>Field 295</t>
  </si>
  <si>
    <t>Field 296</t>
  </si>
  <si>
    <t>Field 297</t>
  </si>
  <si>
    <t>Field 298</t>
  </si>
  <si>
    <t>Field 299</t>
  </si>
  <si>
    <t>Field 300</t>
  </si>
  <si>
    <t>Field 301</t>
  </si>
  <si>
    <t>Field 302</t>
  </si>
  <si>
    <t>Field 303</t>
  </si>
  <si>
    <t>Field 304</t>
  </si>
  <si>
    <t>Field 305</t>
  </si>
  <si>
    <t>Field 306</t>
  </si>
  <si>
    <t>Field 307</t>
  </si>
  <si>
    <t>Field 308</t>
  </si>
  <si>
    <t>Field 309</t>
  </si>
  <si>
    <t>Field 310</t>
  </si>
  <si>
    <t>Field 311</t>
  </si>
  <si>
    <t>Field 312</t>
  </si>
  <si>
    <t>Field 313</t>
  </si>
  <si>
    <t>Field 314</t>
  </si>
  <si>
    <t>Field 315</t>
  </si>
  <si>
    <t>Field 316</t>
  </si>
  <si>
    <t>Field 317</t>
  </si>
  <si>
    <t>Field 318</t>
  </si>
  <si>
    <t>Field 319</t>
  </si>
  <si>
    <t>Field 320</t>
  </si>
  <si>
    <t>Field 321</t>
  </si>
  <si>
    <t>Field 322</t>
  </si>
  <si>
    <t>Field 323</t>
  </si>
  <si>
    <t>Field 324</t>
  </si>
  <si>
    <t>Field 325</t>
  </si>
  <si>
    <t>Field 326</t>
  </si>
  <si>
    <t>Field 327</t>
  </si>
  <si>
    <t>Field 328</t>
  </si>
  <si>
    <t>Field 329</t>
  </si>
  <si>
    <t>Field 330</t>
  </si>
  <si>
    <t>Field 331</t>
  </si>
  <si>
    <t>Field 332</t>
  </si>
  <si>
    <t>Field 333</t>
  </si>
  <si>
    <t>Field 334</t>
  </si>
  <si>
    <t>Field 335</t>
  </si>
  <si>
    <t>Field 336</t>
  </si>
  <si>
    <t>Field 337</t>
  </si>
  <si>
    <t>Field 338</t>
  </si>
  <si>
    <t>Field 339</t>
  </si>
  <si>
    <t>Field 340</t>
  </si>
  <si>
    <t>Field 341</t>
  </si>
  <si>
    <t>Field 342</t>
  </si>
  <si>
    <t>Field 343</t>
  </si>
  <si>
    <t>Field 344</t>
  </si>
  <si>
    <t>Field 345</t>
  </si>
  <si>
    <t>Field 346</t>
  </si>
  <si>
    <t>Field 347</t>
  </si>
  <si>
    <t>Field 348</t>
  </si>
  <si>
    <t>Field 349</t>
  </si>
  <si>
    <t>Field 350</t>
  </si>
  <si>
    <t>Field 351</t>
  </si>
  <si>
    <t>Field 352</t>
  </si>
  <si>
    <t>Field 353</t>
  </si>
  <si>
    <t>Field 354</t>
  </si>
  <si>
    <t>Field 355</t>
  </si>
  <si>
    <t>Field 356</t>
  </si>
  <si>
    <t>Field 357</t>
  </si>
  <si>
    <t>Field 358</t>
  </si>
  <si>
    <t>Field 359</t>
  </si>
  <si>
    <t>Field 360</t>
  </si>
  <si>
    <t>Field 361</t>
  </si>
  <si>
    <t>Field 362</t>
  </si>
  <si>
    <t>Field 363</t>
  </si>
  <si>
    <t>Field 364</t>
  </si>
  <si>
    <t>Field 365</t>
  </si>
  <si>
    <t>Field 366</t>
  </si>
  <si>
    <t>Field 367</t>
  </si>
  <si>
    <t>Field 368</t>
  </si>
  <si>
    <t>Field 369</t>
  </si>
  <si>
    <t>Field 370</t>
  </si>
  <si>
    <t>Field 371</t>
  </si>
  <si>
    <t>Field 372</t>
  </si>
  <si>
    <t>Field 373</t>
  </si>
  <si>
    <t>Field 374</t>
  </si>
  <si>
    <t>Field 375</t>
  </si>
  <si>
    <t>Field 376</t>
  </si>
  <si>
    <t>Field 377</t>
  </si>
  <si>
    <t>Field 378</t>
  </si>
  <si>
    <t>Field 379</t>
  </si>
  <si>
    <t>Field 380</t>
  </si>
  <si>
    <t>Field 381</t>
  </si>
  <si>
    <t>Field 382</t>
  </si>
  <si>
    <t>Field 383</t>
  </si>
  <si>
    <t>Field 384</t>
  </si>
  <si>
    <t>Field 385</t>
  </si>
  <si>
    <t>Field 386</t>
  </si>
  <si>
    <t>Field 387</t>
  </si>
  <si>
    <t>Field 388</t>
  </si>
  <si>
    <t>Field 389</t>
  </si>
  <si>
    <t>Field 390</t>
  </si>
  <si>
    <t>Field 391</t>
  </si>
  <si>
    <t>Field 392</t>
  </si>
  <si>
    <t>Field 393</t>
  </si>
  <si>
    <t>Field 394</t>
  </si>
  <si>
    <t>Field 395</t>
  </si>
  <si>
    <t>Field 396</t>
  </si>
  <si>
    <t>Field 397</t>
  </si>
  <si>
    <t>Field 398</t>
  </si>
  <si>
    <t>Field 399</t>
  </si>
  <si>
    <t>Field 400</t>
  </si>
  <si>
    <t>Field 401</t>
  </si>
  <si>
    <t>Field 402</t>
  </si>
  <si>
    <t>Field 403</t>
  </si>
  <si>
    <t>Field 404</t>
  </si>
  <si>
    <t>Field 405</t>
  </si>
  <si>
    <t>Field 406</t>
  </si>
  <si>
    <t>Field 407</t>
  </si>
  <si>
    <t>Field 408</t>
  </si>
  <si>
    <t>Field 409</t>
  </si>
  <si>
    <t>Field 410</t>
  </si>
  <si>
    <t>Field 411</t>
  </si>
  <si>
    <t>Field 412</t>
  </si>
  <si>
    <t>Field 413</t>
  </si>
  <si>
    <t>Field 414</t>
  </si>
  <si>
    <t>Field 415</t>
  </si>
  <si>
    <t>Field 416</t>
  </si>
  <si>
    <t>Field 417</t>
  </si>
  <si>
    <t>Field 418</t>
  </si>
  <si>
    <t>Field 419</t>
  </si>
  <si>
    <t>Field 420</t>
  </si>
  <si>
    <t>Field 421</t>
  </si>
  <si>
    <t>Field 422</t>
  </si>
  <si>
    <t>Field 423</t>
  </si>
  <si>
    <t>Field 424</t>
  </si>
  <si>
    <t>Field 425</t>
  </si>
  <si>
    <t>Field 426</t>
  </si>
  <si>
    <t>Field 427</t>
  </si>
  <si>
    <t>Field 428</t>
  </si>
  <si>
    <t>Field 429</t>
  </si>
  <si>
    <t>Field 430</t>
  </si>
  <si>
    <t>Field 431</t>
  </si>
  <si>
    <t>Field 432</t>
  </si>
  <si>
    <t>Field 433</t>
  </si>
  <si>
    <t>Field 434</t>
  </si>
  <si>
    <t>Field 435</t>
  </si>
  <si>
    <t>Field 436</t>
  </si>
  <si>
    <t>Field 437</t>
  </si>
  <si>
    <t>Field 438</t>
  </si>
  <si>
    <t>Field 439</t>
  </si>
  <si>
    <t>Field 440</t>
  </si>
  <si>
    <t>Field 441</t>
  </si>
  <si>
    <t>Field 442</t>
  </si>
  <si>
    <t>Field 443</t>
  </si>
  <si>
    <t>Field 444</t>
  </si>
  <si>
    <t>Field 445</t>
  </si>
  <si>
    <t>Field 446</t>
  </si>
  <si>
    <t>Field 447</t>
  </si>
  <si>
    <t>Field 448</t>
  </si>
  <si>
    <t>Field 449</t>
  </si>
  <si>
    <t>Field 450</t>
  </si>
  <si>
    <t>Field 451</t>
  </si>
  <si>
    <t>Field 452</t>
  </si>
  <si>
    <t>Field 453</t>
  </si>
  <si>
    <t>Field 454</t>
  </si>
  <si>
    <t>Field 455</t>
  </si>
  <si>
    <t>Field 456</t>
  </si>
  <si>
    <t>Field 457</t>
  </si>
  <si>
    <t>Field 458</t>
  </si>
  <si>
    <t>Field 459</t>
  </si>
  <si>
    <t>Field 460</t>
  </si>
  <si>
    <t>Field 461</t>
  </si>
  <si>
    <t>Field 462</t>
  </si>
  <si>
    <t>Field 463</t>
  </si>
  <si>
    <t>Field 464</t>
  </si>
  <si>
    <t>Field 465</t>
  </si>
  <si>
    <t>Field 466</t>
  </si>
  <si>
    <t>Field 467</t>
  </si>
  <si>
    <t>Field 468</t>
  </si>
  <si>
    <t>Field 469</t>
  </si>
  <si>
    <t>Field 470</t>
  </si>
  <si>
    <t>Field 471</t>
  </si>
  <si>
    <t>Field 472</t>
  </si>
  <si>
    <t>Field 473</t>
  </si>
  <si>
    <t>Field 474</t>
  </si>
  <si>
    <t>Field 475</t>
  </si>
  <si>
    <t>Field 476</t>
  </si>
  <si>
    <t>Field 477</t>
  </si>
  <si>
    <t>Field 478</t>
  </si>
  <si>
    <t>Field 479</t>
  </si>
  <si>
    <t>Field 480</t>
  </si>
  <si>
    <t>Field 481</t>
  </si>
  <si>
    <t>Field 482</t>
  </si>
  <si>
    <t>Field 483</t>
  </si>
  <si>
    <t>Field 484</t>
  </si>
  <si>
    <t>Field 485</t>
  </si>
  <si>
    <t>Field 486</t>
  </si>
  <si>
    <t>Field 487</t>
  </si>
  <si>
    <t>Field 488</t>
  </si>
  <si>
    <t>Field 489</t>
  </si>
  <si>
    <t>Field 490</t>
  </si>
  <si>
    <t>Field 491</t>
  </si>
  <si>
    <t>Field 492</t>
  </si>
  <si>
    <t>Field 493</t>
  </si>
  <si>
    <t>Field 494</t>
  </si>
  <si>
    <t>Field 495</t>
  </si>
  <si>
    <t>Field 496</t>
  </si>
  <si>
    <t>Field 497</t>
  </si>
  <si>
    <t>Field 498</t>
  </si>
  <si>
    <t>Field 499</t>
  </si>
  <si>
    <t>Field 500</t>
  </si>
  <si>
    <t>Field 501</t>
  </si>
  <si>
    <t>Field 502</t>
  </si>
  <si>
    <t>Field 503</t>
  </si>
  <si>
    <t>Field 504</t>
  </si>
  <si>
    <t>Field 505</t>
  </si>
  <si>
    <t>3.5.8   Volume fraction of diluent in diluted crude</t>
  </si>
  <si>
    <t>2.1.1.4   Energy consumption</t>
  </si>
  <si>
    <t>5.11   Offsite emissions credit/debit</t>
  </si>
  <si>
    <t>5.12   Lifecycle energy consumption</t>
  </si>
  <si>
    <t>5.13   Lifecycle GHG emissions</t>
  </si>
  <si>
    <t>Offsite emissions</t>
  </si>
  <si>
    <t>Net lifecycle emissions</t>
  </si>
  <si>
    <t>6.9   Offsite emissions credit/debit</t>
  </si>
  <si>
    <r>
      <t>6.</t>
    </r>
    <r>
      <rPr>
        <sz val="12"/>
        <color theme="1"/>
        <rFont val="Helvetica"/>
        <family val="2"/>
      </rPr>
      <t>10   Lifecycle energy consumption</t>
    </r>
  </si>
  <si>
    <r>
      <t>6.</t>
    </r>
    <r>
      <rPr>
        <sz val="12"/>
        <color theme="1"/>
        <rFont val="Helvetica"/>
        <family val="2"/>
      </rPr>
      <t>11   Lifecycle GHG emissions</t>
    </r>
  </si>
  <si>
    <t>Figure 1.2: Summary energy consumption</t>
  </si>
  <si>
    <t>2.11   Offsite emissions credit/debit</t>
  </si>
  <si>
    <t>2.12   Lifecycle energy consumption</t>
  </si>
  <si>
    <t>2.13   Lifecycle GHG emissions</t>
  </si>
  <si>
    <t>I61</t>
  </si>
  <si>
    <t>I93</t>
  </si>
  <si>
    <t>I94</t>
  </si>
  <si>
    <t>I95</t>
  </si>
  <si>
    <t>I66</t>
  </si>
  <si>
    <t>I109</t>
  </si>
  <si>
    <t>Added volume fraction of diluent as a user input</t>
  </si>
  <si>
    <t>Added a separate emissions category for diluent life cycle emissions</t>
  </si>
  <si>
    <t>Removed allocation of offsite emissions</t>
  </si>
  <si>
    <t>Added a separate emissions category for total offsite emissions</t>
  </si>
  <si>
    <t>Added error check to ensure that user input for volume fraction of diluent is not less than the volume fraction of NGL produced onsite as crude oil blend</t>
  </si>
  <si>
    <t>Department of Energy Resources Engineering, Stanford University</t>
  </si>
  <si>
    <t>James Duffy</t>
  </si>
  <si>
    <t>California Air Resources Board</t>
  </si>
  <si>
    <t>Chris Malins</t>
  </si>
  <si>
    <t>International Council on Clean Transportation</t>
  </si>
  <si>
    <t>Acknowledgements</t>
  </si>
  <si>
    <t>Funding for OPGEE development has been provided by:</t>
  </si>
  <si>
    <t>Stanford University School of Earth Sciences</t>
  </si>
  <si>
    <r>
      <t>California Air Resouces Board, as part of</t>
    </r>
    <r>
      <rPr>
        <sz val="12"/>
        <color theme="1"/>
        <rFont val="Helvetica"/>
        <family val="2"/>
      </rPr>
      <t xml:space="preserve"> agreement number 10-418</t>
    </r>
  </si>
  <si>
    <t>OPGEE is an open-source project which has benefitted from feedback, discussion, and constructive comments from a variety of observers.  We acknowledge these contributions.</t>
  </si>
  <si>
    <t>In particular, we would like to acknowledge significant contributions from:</t>
  </si>
  <si>
    <t>Supplemental Worksheet: Flaring</t>
  </si>
  <si>
    <t>1   Input assumptions</t>
  </si>
  <si>
    <t>EPA 60.18 40 CFR Ch.1 (2010)</t>
  </si>
  <si>
    <t>The number of flares is found by dividing the number of wells by the number of flares per well.</t>
  </si>
  <si>
    <t>STOCKTON, CA</t>
  </si>
  <si>
    <t>mph</t>
  </si>
  <si>
    <t>Johnson and Kostiuk (2002) experimental wind speed conditions.</t>
  </si>
  <si>
    <t>Calculated from Gas Balance and Fuel Specs</t>
  </si>
  <si>
    <t>btu/scf</t>
  </si>
  <si>
    <t>Johnson and Kostiuk (2002) experimental jet velocity conditions.</t>
  </si>
  <si>
    <t>Location</t>
  </si>
  <si>
    <t>Years Collected</t>
  </si>
  <si>
    <t>Jan</t>
  </si>
  <si>
    <t>Feb</t>
  </si>
  <si>
    <t>Mar</t>
  </si>
  <si>
    <t>Apr</t>
  </si>
  <si>
    <t>May</t>
  </si>
  <si>
    <t>Jun</t>
  </si>
  <si>
    <t>Jul</t>
  </si>
  <si>
    <t>Aug</t>
  </si>
  <si>
    <t>Sep</t>
  </si>
  <si>
    <t>Oct</t>
  </si>
  <si>
    <t>Nov</t>
  </si>
  <si>
    <t>Dec</t>
  </si>
  <si>
    <t>Annual Average</t>
  </si>
  <si>
    <t>BIRMINGHAM AP,AL</t>
  </si>
  <si>
    <t>HUNTSVILLE, AL</t>
  </si>
  <si>
    <t>MOBILE, AL</t>
  </si>
  <si>
    <t>MONTGOMERY, AL</t>
  </si>
  <si>
    <t>ANCHORAGE, AK</t>
  </si>
  <si>
    <t>ANNETTE, AK</t>
  </si>
  <si>
    <t>BARROW, AK</t>
  </si>
  <si>
    <t>BARTER IS.,AK</t>
  </si>
  <si>
    <t>BETHEL, AK</t>
  </si>
  <si>
    <t>BETTLES,AK</t>
  </si>
  <si>
    <t>BIG DELTA,AK</t>
  </si>
  <si>
    <t>COLD BAY,AK</t>
  </si>
  <si>
    <t>FAIRBANKS, AK</t>
  </si>
  <si>
    <t>GULKANA,AK</t>
  </si>
  <si>
    <t>HOMER, AK</t>
  </si>
  <si>
    <t>JUNEAU, AK</t>
  </si>
  <si>
    <t>KING SALMON, AK</t>
  </si>
  <si>
    <t>KODIAK, AK</t>
  </si>
  <si>
    <t>KOTZEBUE, AK</t>
  </si>
  <si>
    <t>MCGRATH, AK</t>
  </si>
  <si>
    <t>NOME, AK</t>
  </si>
  <si>
    <t>ST. PAUL ISLAND, AK</t>
  </si>
  <si>
    <t>TALKEETNA, AK</t>
  </si>
  <si>
    <t>VALDEZ, AK</t>
  </si>
  <si>
    <t>YAKUTAT, AK</t>
  </si>
  <si>
    <t>FLAGSTAFF, AZ</t>
  </si>
  <si>
    <t>PHOENIX, AZ</t>
  </si>
  <si>
    <t>TUCSON, AZ</t>
  </si>
  <si>
    <t>WINSLOW, AZ</t>
  </si>
  <si>
    <t>YUMA, AZ</t>
  </si>
  <si>
    <t>FORT SMITH, AR</t>
  </si>
  <si>
    <t>LITTLE ROCK, AR</t>
  </si>
  <si>
    <t>BAKERSFIELD, CA</t>
  </si>
  <si>
    <t>BLUE CANYON, CA</t>
  </si>
  <si>
    <t>EUREKA, CA.</t>
  </si>
  <si>
    <t>FRESNO, CA</t>
  </si>
  <si>
    <t>LONG BEACH, CA</t>
  </si>
  <si>
    <t>LOS ANGELES AP, CA</t>
  </si>
  <si>
    <t>LOS ANGELES C.O., CA</t>
  </si>
  <si>
    <t>MOUNT SHASTA, CA</t>
  </si>
  <si>
    <t>REDDING, CA</t>
  </si>
  <si>
    <t>SACRAMENTO, CA</t>
  </si>
  <si>
    <t>SAN DIEGO, CA</t>
  </si>
  <si>
    <t>SAN FRANCISCO AP, CA</t>
  </si>
  <si>
    <t>SAN FRANCISCO C.O., CA</t>
  </si>
  <si>
    <t>SANTA BARBARA, CA</t>
  </si>
  <si>
    <t>SANTA MARIA, CA</t>
  </si>
  <si>
    <t>ALAMOSA, CO</t>
  </si>
  <si>
    <t>COLORADO SPRINGS, CO</t>
  </si>
  <si>
    <t>DENVER, CO</t>
  </si>
  <si>
    <t>GRAND JUNCTION, CO</t>
  </si>
  <si>
    <t>PUEBLO, CO</t>
  </si>
  <si>
    <t>BRIDGEPORT, CT</t>
  </si>
  <si>
    <t>HARTFORD, CT</t>
  </si>
  <si>
    <t>WILMINGTON, DE</t>
  </si>
  <si>
    <t>WASHINGTON DULLES AP, D.C.</t>
  </si>
  <si>
    <t>WASHINGTON NAT'L AP, D.C.</t>
  </si>
  <si>
    <t>APALACHICOLA, FL</t>
  </si>
  <si>
    <t>DAYTONA BEACH, FL</t>
  </si>
  <si>
    <t>FORT MYERS, FL</t>
  </si>
  <si>
    <t>GAINESVILLE, FL</t>
  </si>
  <si>
    <t>JACKSONVILLE, FL</t>
  </si>
  <si>
    <t>KEY WEST, FL</t>
  </si>
  <si>
    <t>MIAMI, FL</t>
  </si>
  <si>
    <t>ORLANDO, FL</t>
  </si>
  <si>
    <t>PENSACOLA, FL</t>
  </si>
  <si>
    <t>TALLAHASSEE, FL</t>
  </si>
  <si>
    <t>TAMPA, FL</t>
  </si>
  <si>
    <t>VERO BEACH, FL</t>
  </si>
  <si>
    <t>WEST PALM BEACH, FL</t>
  </si>
  <si>
    <t>ATHENS, GA</t>
  </si>
  <si>
    <t>ATLANTA, GA</t>
  </si>
  <si>
    <t>AUGUSTA,GA</t>
  </si>
  <si>
    <t>COLUMBUS, GA</t>
  </si>
  <si>
    <t>MACON, GA</t>
  </si>
  <si>
    <t>SAVANNAH, GA</t>
  </si>
  <si>
    <t>HILO, HI</t>
  </si>
  <si>
    <t>HONOLULU,HI</t>
  </si>
  <si>
    <t>KAHULUI, HI</t>
  </si>
  <si>
    <t>LIHUE, HI</t>
  </si>
  <si>
    <t>BOISE, ID</t>
  </si>
  <si>
    <t>POCATELLO, ID</t>
  </si>
  <si>
    <t>CAIRO,IL</t>
  </si>
  <si>
    <t>CHICAGO,IL</t>
  </si>
  <si>
    <t>MOLINE, IL</t>
  </si>
  <si>
    <t>PEORIA, IL</t>
  </si>
  <si>
    <t>ROCKFORD, IL</t>
  </si>
  <si>
    <t>SPRINGFIELD, IL</t>
  </si>
  <si>
    <t>EVANSVILLE, IN</t>
  </si>
  <si>
    <t>FORT WAYNE, IN</t>
  </si>
  <si>
    <t>INDIANAPOLIS, IN</t>
  </si>
  <si>
    <t>SOUTH BEND, IN</t>
  </si>
  <si>
    <t>DES MOINES, IA</t>
  </si>
  <si>
    <t>SIOUX CITY, IA</t>
  </si>
  <si>
    <t>WATERLOO, IA</t>
  </si>
  <si>
    <t>CONCORDIA, KS</t>
  </si>
  <si>
    <t>DODGE CITY, KS</t>
  </si>
  <si>
    <t>GOODLAND, KS</t>
  </si>
  <si>
    <t>TOPEKA, KS</t>
  </si>
  <si>
    <t>WICHITA, KS</t>
  </si>
  <si>
    <t>GREATER CINCINNATI AP</t>
  </si>
  <si>
    <t>JACKSON, KY</t>
  </si>
  <si>
    <t>LEXINGTON, KY</t>
  </si>
  <si>
    <t>LOUISVILLE, KY</t>
  </si>
  <si>
    <t>PADUCAH KY</t>
  </si>
  <si>
    <t>BATON ROUGE, LA</t>
  </si>
  <si>
    <t>LAKE CHARLES, LA</t>
  </si>
  <si>
    <t>NEW ORLEANS, LA</t>
  </si>
  <si>
    <t>SHREVEPORT, LA</t>
  </si>
  <si>
    <t>CARIBOU, ME</t>
  </si>
  <si>
    <t>PORTLAND, ME</t>
  </si>
  <si>
    <t>BALTIMORE, MD</t>
  </si>
  <si>
    <t>BLUE HILL, MA</t>
  </si>
  <si>
    <t>BOSTON, MA</t>
  </si>
  <si>
    <t>WORCESTER, MA</t>
  </si>
  <si>
    <t>ALPENA, MI</t>
  </si>
  <si>
    <t>DETROIT, MI</t>
  </si>
  <si>
    <t>FLINT, MI</t>
  </si>
  <si>
    <t>GRAND RAPIDS, MI</t>
  </si>
  <si>
    <t>HOUGHTON LAKE, MI</t>
  </si>
  <si>
    <t>LANSING, MI</t>
  </si>
  <si>
    <t>MUSKEGON, MI</t>
  </si>
  <si>
    <t>SAULT STE. MARIE, MI</t>
  </si>
  <si>
    <t>DULUTH, MN</t>
  </si>
  <si>
    <t>INTERNATIONAL FALLS, MN</t>
  </si>
  <si>
    <t>MINNEAPOLIS-ST.PAUL, MN</t>
  </si>
  <si>
    <t>ROCHESTER, MN</t>
  </si>
  <si>
    <t>SAINT CLOUD, MN</t>
  </si>
  <si>
    <t>JACKSON, MS</t>
  </si>
  <si>
    <t>MERIDIAN, MS</t>
  </si>
  <si>
    <t>TUPELO, MS</t>
  </si>
  <si>
    <t>COLUMBIA, MO</t>
  </si>
  <si>
    <t>KANSAS CITY, MO</t>
  </si>
  <si>
    <t>ST. LOUIS, MO</t>
  </si>
  <si>
    <t>SPRINGFIELD, MO</t>
  </si>
  <si>
    <t>BILLINGS, MT</t>
  </si>
  <si>
    <t>GLASGOW, MT</t>
  </si>
  <si>
    <t>GREAT FALLS, MT</t>
  </si>
  <si>
    <t>HAVRE, MT</t>
  </si>
  <si>
    <t>HELENA, MT</t>
  </si>
  <si>
    <t>KALISPELL, MT</t>
  </si>
  <si>
    <t>MISSOULA, MT</t>
  </si>
  <si>
    <t>GRAND ISLAND, NE</t>
  </si>
  <si>
    <t>LINCOLN, NE</t>
  </si>
  <si>
    <t>NORFOLK, NE</t>
  </si>
  <si>
    <t>NORTH PLATTE, NE</t>
  </si>
  <si>
    <t>OMAHA EPPLEY AP, NE</t>
  </si>
  <si>
    <t>OMAHA (NORTH), NE</t>
  </si>
  <si>
    <t>SCOTTSBLUFF, NE</t>
  </si>
  <si>
    <t>VALENTINE, NE</t>
  </si>
  <si>
    <t>ELKO, NV</t>
  </si>
  <si>
    <t>ELY, NV</t>
  </si>
  <si>
    <t>LAS VEGAS, NV</t>
  </si>
  <si>
    <t>RENO, NV</t>
  </si>
  <si>
    <t>WINNEMUCCA, NV</t>
  </si>
  <si>
    <t>CONCORD, NH</t>
  </si>
  <si>
    <t>MT. WASHINGTON, NH</t>
  </si>
  <si>
    <t>ATLANTIC CITY AP, NJ</t>
  </si>
  <si>
    <t>NEWARK, NJ</t>
  </si>
  <si>
    <t>ALBUQUERQUE, NM</t>
  </si>
  <si>
    <t>CLAYTON, NM</t>
  </si>
  <si>
    <t>ROSWELL, NM</t>
  </si>
  <si>
    <t>ALBANY, NY</t>
  </si>
  <si>
    <t>BINGHAMTON, NY</t>
  </si>
  <si>
    <t>BUFFALO, NY</t>
  </si>
  <si>
    <t>ISLIP, NY</t>
  </si>
  <si>
    <t>NEW YORK C.PARK, NY</t>
  </si>
  <si>
    <t>NEW YORK (JFK AP), NY</t>
  </si>
  <si>
    <t>NEW YORK (LAGUARDIA AP), NY</t>
  </si>
  <si>
    <t>ROCHESTER, NY</t>
  </si>
  <si>
    <t>SYRACUSE, NY</t>
  </si>
  <si>
    <t>ASHEVILLE, NC</t>
  </si>
  <si>
    <t>CAPE HATTERAS, NC</t>
  </si>
  <si>
    <t>CHARLOTTE, NC</t>
  </si>
  <si>
    <t>GREENSBORO-WNSTN-SALM-HGHPT,NC</t>
  </si>
  <si>
    <t>RALEIGH, NC</t>
  </si>
  <si>
    <t>WILMINGTON, NC</t>
  </si>
  <si>
    <t>BISMARCK, ND</t>
  </si>
  <si>
    <t>FARGO, ND</t>
  </si>
  <si>
    <t>GRAND FORKS, ND</t>
  </si>
  <si>
    <t>WILLISTON, ND</t>
  </si>
  <si>
    <t>AKRON, OH</t>
  </si>
  <si>
    <t>CLEVELAND, OH</t>
  </si>
  <si>
    <t>COLUMBUS, OH</t>
  </si>
  <si>
    <t>DAYTON, OH</t>
  </si>
  <si>
    <t>MANSFIELD, OH</t>
  </si>
  <si>
    <t>TOLEDO, OH</t>
  </si>
  <si>
    <t>YOUNGSTOWN, OH</t>
  </si>
  <si>
    <t>OKLAHOMA CITY, OK</t>
  </si>
  <si>
    <t>TULSA, OK</t>
  </si>
  <si>
    <t>ASTORIA, OR</t>
  </si>
  <si>
    <t>EUGENE, OR</t>
  </si>
  <si>
    <t>MEDFORD, OR</t>
  </si>
  <si>
    <t>PENDLETON, OR</t>
  </si>
  <si>
    <t>PORTLAND, OR</t>
  </si>
  <si>
    <t>SALEM, OR</t>
  </si>
  <si>
    <t>SEXTON SUMMIT, OR</t>
  </si>
  <si>
    <t>GUAM, PC</t>
  </si>
  <si>
    <t>JOHNSTON ISLAND, PC</t>
  </si>
  <si>
    <t>KOROR, PC</t>
  </si>
  <si>
    <t>KWAJALEIN, MARSHALL IS., PC</t>
  </si>
  <si>
    <t>MAJURO, MARSHALL IS, PC</t>
  </si>
  <si>
    <t>PAGO PAGO, AMER SAMOA, PC</t>
  </si>
  <si>
    <t>POHNPEI, CAROLINE IS., PC</t>
  </si>
  <si>
    <t>CHUUK, E. CAROLINE IS., PC</t>
  </si>
  <si>
    <t>WAKE ISLAND, PC</t>
  </si>
  <si>
    <t>YAP, W CAROLINE IS., PC</t>
  </si>
  <si>
    <t>ALLENTOWN, PA</t>
  </si>
  <si>
    <t>ERIE, PA.</t>
  </si>
  <si>
    <t>HARRISBURG, PA</t>
  </si>
  <si>
    <t>MIDDLETOWN/HARRISBURG INTL APT</t>
  </si>
  <si>
    <t>PHILADELPHIA, PA</t>
  </si>
  <si>
    <t>PITTSBURGH, PA</t>
  </si>
  <si>
    <t>AVOCA, PA</t>
  </si>
  <si>
    <t>WILLIAMSPORT, PA</t>
  </si>
  <si>
    <t>BLOCK IS.,RI</t>
  </si>
  <si>
    <t>PROVIDENCE, RI</t>
  </si>
  <si>
    <t>CHARLESTON AP,SC</t>
  </si>
  <si>
    <t>COLUMBIA, SC</t>
  </si>
  <si>
    <t>GREENVILLE-SPARTANBURG AP, SC</t>
  </si>
  <si>
    <t>ABERDEEN, SD</t>
  </si>
  <si>
    <t>HURON, SD</t>
  </si>
  <si>
    <t>RAPID CITY, SD</t>
  </si>
  <si>
    <t>SIOUX FALLS, SD</t>
  </si>
  <si>
    <t>BRISTOL-JHNSN CTY-KNGSPRT,TN</t>
  </si>
  <si>
    <t>CHATTANOOGA, TN</t>
  </si>
  <si>
    <t>KNOXVILLE, TN</t>
  </si>
  <si>
    <t>MEMPHIS, TN</t>
  </si>
  <si>
    <t>NASHVILLE, TN</t>
  </si>
  <si>
    <t>OAK RIDGE,TN</t>
  </si>
  <si>
    <t>ABILENE, TX</t>
  </si>
  <si>
    <t>AMARILLO, TX</t>
  </si>
  <si>
    <t>AUSTIN/CITY, TX</t>
  </si>
  <si>
    <t>AUSTIN/BERGSTROM, TX</t>
  </si>
  <si>
    <t>BROWNSVILLE, TX</t>
  </si>
  <si>
    <t>CORPUS CHRISTI, TX</t>
  </si>
  <si>
    <t>DALLAS-FORT WORTH, TX</t>
  </si>
  <si>
    <t>DALLAS-LOVE FIELD, TX</t>
  </si>
  <si>
    <t>DEL RIO, TX</t>
  </si>
  <si>
    <t>EL PASO, TX</t>
  </si>
  <si>
    <t>GALVESTON, TX</t>
  </si>
  <si>
    <t>HOUSTON, TX</t>
  </si>
  <si>
    <t>LUBBOCK, TX</t>
  </si>
  <si>
    <t>MIDLAND-ODESSA, TX</t>
  </si>
  <si>
    <t>PORT ARTHUR, TX</t>
  </si>
  <si>
    <t>SAN ANGELO, TX</t>
  </si>
  <si>
    <t>SAN ANTONIO, TX</t>
  </si>
  <si>
    <t>VICTORIA, TX</t>
  </si>
  <si>
    <t>WACO, TX</t>
  </si>
  <si>
    <t>WICHITA FALLS, TX</t>
  </si>
  <si>
    <t>SALT LAKE CITY, UT</t>
  </si>
  <si>
    <t>BURLINGTON, VT</t>
  </si>
  <si>
    <t>LYNCHBURG, VA</t>
  </si>
  <si>
    <t>NORFOLK, VA</t>
  </si>
  <si>
    <t>RICHMOND, VA</t>
  </si>
  <si>
    <t>ROANOKE, VA</t>
  </si>
  <si>
    <t>OLYMPIA, WA</t>
  </si>
  <si>
    <t>QUILLAYUTE, WA</t>
  </si>
  <si>
    <t>SEATTLE SEA-TAC AP, WA</t>
  </si>
  <si>
    <t>SPOKANE, WA</t>
  </si>
  <si>
    <t>YAKIMA, WA</t>
  </si>
  <si>
    <t>SAN JUAN, PR</t>
  </si>
  <si>
    <t>BECKLEY, WV</t>
  </si>
  <si>
    <t>CHARLESTON, WV</t>
  </si>
  <si>
    <t>ELKINS, WV</t>
  </si>
  <si>
    <t>HUNTINGTON, WV</t>
  </si>
  <si>
    <t>GREEN BAY, WI</t>
  </si>
  <si>
    <t>LA CROSSE, WI</t>
  </si>
  <si>
    <t>MADISON, WI</t>
  </si>
  <si>
    <t>MILWAUKEE, WI</t>
  </si>
  <si>
    <t>CASPER, WY</t>
  </si>
  <si>
    <t>CHEYENNE, WY</t>
  </si>
  <si>
    <t>LANDER, WY</t>
  </si>
  <si>
    <t>SHERIDAN, WY</t>
  </si>
  <si>
    <t>Table 1.6: Other conversion factors</t>
  </si>
  <si>
    <t>MMscf to m^3 of methane</t>
  </si>
  <si>
    <t>m^3/mmscf</t>
  </si>
  <si>
    <t>seconds per day</t>
  </si>
  <si>
    <t>sec/day</t>
  </si>
  <si>
    <t>Recovery doesn't apply in flaring</t>
  </si>
  <si>
    <t>Corrected flaring emissions so that calculations are based on reservior gas (pre-processing) composition</t>
  </si>
  <si>
    <t>1.1   Venting</t>
  </si>
  <si>
    <t>1.1.2   Vented emissions of gas dehydrator</t>
  </si>
  <si>
    <t>1.1.2.1   Volume of gas dehydrator</t>
  </si>
  <si>
    <t>1.1.3   Vented CO2 emissions of gas AGR unit</t>
  </si>
  <si>
    <t>1.1.4   Vented emissions of well workovers and cleanups</t>
  </si>
  <si>
    <t>1.1.4.1   Workovers</t>
  </si>
  <si>
    <t>1.1.4.1.1   Number of associated workovers per year</t>
  </si>
  <si>
    <t>1.1.4.1.2   Emission factors</t>
  </si>
  <si>
    <t>1.1.4.1.2.1   CO2</t>
  </si>
  <si>
    <t>1.1.4.1.2.2   CH4</t>
  </si>
  <si>
    <t>1.1.4.2   Cleanups</t>
  </si>
  <si>
    <t>1.1.4.2.1   Number of associated cleanups per year</t>
  </si>
  <si>
    <t>1.1.4.2.2   Emission factors</t>
  </si>
  <si>
    <t>1.1.4.2.2.1   CO2</t>
  </si>
  <si>
    <t>1.1.4.2.2.2   CH4</t>
  </si>
  <si>
    <t>1.1.5   Vented emissions of compressors</t>
  </si>
  <si>
    <t>1.1.5.1   Startups</t>
  </si>
  <si>
    <t>1.1.5.1.1   Number of associated compressors</t>
  </si>
  <si>
    <t>1.1.5.1.2   Emission factors</t>
  </si>
  <si>
    <t>1.1.5.1.2.1   CO2</t>
  </si>
  <si>
    <t>1.1.5.1.2.2   CH4</t>
  </si>
  <si>
    <t>1.1.5.2   Blowdowns</t>
  </si>
  <si>
    <t>1.1.5.2.1   Number of associated compressors</t>
  </si>
  <si>
    <t>1.1.5.2.2   Emission factors</t>
  </si>
  <si>
    <t>1.1.5.2.2.1   CO2</t>
  </si>
  <si>
    <t>1.1.5.2.2.2   CH4</t>
  </si>
  <si>
    <t>1.1.6   Vented emissions of gathering pipelines</t>
  </si>
  <si>
    <t>1.1.6.1   Maintenance</t>
  </si>
  <si>
    <t>1.1.6.1.1   Pipeline miles</t>
  </si>
  <si>
    <t>1.1.6.1.2   Emission factors</t>
  </si>
  <si>
    <t>1.1.6.1.2.2   CH4</t>
  </si>
  <si>
    <t>1.1.6.1.2.1   CO2</t>
  </si>
  <si>
    <t>1.2   Fugitives</t>
  </si>
  <si>
    <t>1.2.1   Fugitive emissions of active wells</t>
  </si>
  <si>
    <t>1.2.1.1   Number of associated active wells</t>
  </si>
  <si>
    <t>1.2.1.2   Emission factors</t>
  </si>
  <si>
    <t>1.2.1.2.2.1   CO2</t>
  </si>
  <si>
    <t>1.2.1.2.2.2   CH4</t>
  </si>
  <si>
    <t>1.2.2   Fugitive emissions of well cellars</t>
  </si>
  <si>
    <t>1.2.2.1   Number of associated well cellars</t>
  </si>
  <si>
    <t>1.2.2.2   Emission factors</t>
  </si>
  <si>
    <t>1.2.2.2.1   CO2</t>
  </si>
  <si>
    <t>1.2.2.2.2   CH4</t>
  </si>
  <si>
    <t>1.2.3   Fugitive emissions of gas dehydrator</t>
  </si>
  <si>
    <t>1.2.2.3.1   Volume of gas dehydrator</t>
  </si>
  <si>
    <t>1.2.4   Fugitive emissions of AGR unit</t>
  </si>
  <si>
    <t>1.2.4.1   Volume of AGR unit</t>
  </si>
  <si>
    <t>1.2.4.2   Emission factors</t>
  </si>
  <si>
    <t>1.2.4.2.1   CO2</t>
  </si>
  <si>
    <t>1.2.4.2.2   CH4</t>
  </si>
  <si>
    <t>1.2.5   Fugitive emissions of gathering pipelines</t>
  </si>
  <si>
    <t>1.2.5.1   Pipeline miles</t>
  </si>
  <si>
    <t>1.2.5.2   Emission factors</t>
  </si>
  <si>
    <t>1.2.5.2.1   CO2</t>
  </si>
  <si>
    <t>1.2.5.2.2   CH4</t>
  </si>
  <si>
    <t>1.2.6   Fugitive emissions of separators</t>
  </si>
  <si>
    <t>1.2.6.1   Number of associated separators</t>
  </si>
  <si>
    <t>1.2.6.2   Emission factors</t>
  </si>
  <si>
    <t>1.2.6.2.1   CO2</t>
  </si>
  <si>
    <t>1.2.6.2.2   CH4</t>
  </si>
  <si>
    <t>1.2.7   Fugitive emissions of sumps and pits</t>
  </si>
  <si>
    <t>1.2.6.1   Number of associated sumps and pits</t>
  </si>
  <si>
    <t>1.2.8   Fugitive emissions of components</t>
  </si>
  <si>
    <t>1.2.8.1   Valves (not including open-ends)</t>
  </si>
  <si>
    <t>1.2.8.1.1   Number of valves</t>
  </si>
  <si>
    <t>1.2.8.1.2   Percentage leaking</t>
  </si>
  <si>
    <t>1.2.8.2   Connectors (other than flanges)</t>
  </si>
  <si>
    <t>1.2.8.2.1   Number of connectors</t>
  </si>
  <si>
    <t>1.2.8.2.2   Percentage leaking</t>
  </si>
  <si>
    <t>1.2.8.3   Flanges</t>
  </si>
  <si>
    <t>1.2.8.2.3.1   Number of flanges</t>
  </si>
  <si>
    <t>1.2.8.2.3.2   Percentage leaking</t>
  </si>
  <si>
    <t>1.2.8.4   Open-ended lines (also called open-ended valves)</t>
  </si>
  <si>
    <t>1.2.8.4.1   Number of open-ends</t>
  </si>
  <si>
    <t>1.2.8.4.2   Percentage leaking</t>
  </si>
  <si>
    <t>1.2.8.5   Pump seals</t>
  </si>
  <si>
    <t>1.2.8.5.1   Number of pump seals</t>
  </si>
  <si>
    <t>1.2.8.5.2   Percentage leaking</t>
  </si>
  <si>
    <t>1.2.8.6   Others (compressor seals, diaphragms, drains, dump arms, pressure relief valves, etc)</t>
  </si>
  <si>
    <t>1.2.8.6.1   Number of other components</t>
  </si>
  <si>
    <t>1.2.8.6.2   Percentage leaking</t>
  </si>
  <si>
    <t>1.3   Vapor recovery</t>
  </si>
  <si>
    <t>1.3.1   Percentage of total vents and fugitives recovered</t>
  </si>
  <si>
    <t>3.1.1.1   CO2 emissions</t>
  </si>
  <si>
    <t>3.1.1.2   CH4 emissions</t>
  </si>
  <si>
    <t>3.1.1.3   VOC emissions</t>
  </si>
  <si>
    <t>Supplemental Worksheet: Venting and Fugitives</t>
  </si>
  <si>
    <t>This supplemental worksheet calculates venting and fugitives emissions</t>
  </si>
  <si>
    <t>Divided VFF emissions calculations module into two modules, one for flaring and the other for venting and fugitives</t>
  </si>
  <si>
    <t>2010 Oil Production</t>
  </si>
  <si>
    <t>2010 Flaring Volume</t>
  </si>
  <si>
    <t>2011 Oil Production</t>
  </si>
  <si>
    <t>2011 Flaring Volume</t>
  </si>
  <si>
    <t>Water oil ratio model improved with more regional data and new functional form</t>
  </si>
  <si>
    <t>1.1   Data availability for detailed analysis</t>
  </si>
  <si>
    <t>2   Input data for detailed flaring analysis</t>
  </si>
  <si>
    <t>ft/sec</t>
  </si>
  <si>
    <t>Year</t>
  </si>
  <si>
    <t>Wells/flare</t>
  </si>
  <si>
    <t>Tips per flare</t>
  </si>
  <si>
    <t>3   Calculations</t>
  </si>
  <si>
    <t>4   Reference data</t>
  </si>
  <si>
    <t>Table 4.2: NOAA wind speed data - U.S. Onshore</t>
  </si>
  <si>
    <t>3.2   Flaring emissions</t>
  </si>
  <si>
    <t>3.2.1   Combusted gas volume</t>
  </si>
  <si>
    <t>3.2.2   Non-combusted gas volume</t>
  </si>
  <si>
    <t>3.2.1.1   GHG emissions from combusted gas</t>
  </si>
  <si>
    <t>3.2.2.1   GHG emissions from non-combusted gas</t>
  </si>
  <si>
    <t>3.2.2.1.3   VOC emissions</t>
  </si>
  <si>
    <t>Table 4.1: World Bank/NOAA flaring data and EIA crude oil and lease condensate production by country (2010, 2011)</t>
  </si>
  <si>
    <t>This supplemental worksheet calculates associated gas flaring emissions</t>
  </si>
  <si>
    <t>1   General inputs</t>
  </si>
  <si>
    <t>2.1   Number of flare tips</t>
  </si>
  <si>
    <t>Flare tips</t>
  </si>
  <si>
    <t>Data required: Oil production [bbl/d], volume of gas flared [scf/bbl], number of flares [#], number of flare tips [#] flare tip diameter [in], and average wind speed [mph]</t>
  </si>
  <si>
    <t>1 = Yes, I have detailed field-specific data (see requirements to right)</t>
  </si>
  <si>
    <t>1.10   Run bulk assessment</t>
  </si>
  <si>
    <t>Imrpoved flaring calculation sheet is now separate from fugitives and venting</t>
  </si>
  <si>
    <t>Added sensitivity of flaring to flare exit velocity, flare diameter, wind speed, etc.</t>
  </si>
  <si>
    <t>Added smart default for flare diameters based on location (onshore, offishore)</t>
  </si>
  <si>
    <t>Added dynamic flare sizing to meet flare exit speed regulation</t>
  </si>
  <si>
    <t>Input data must be entered in order to compute gas exit velocity</t>
  </si>
  <si>
    <t>None selected</t>
  </si>
  <si>
    <t>2.2   Flare tip diameter and gas exit velocity</t>
  </si>
  <si>
    <t>2.2.1   Is the flare tip diameter fixed or variable?</t>
  </si>
  <si>
    <t>2.2.2   Flares with variable tip diameter</t>
  </si>
  <si>
    <t>2.2.2.2  Calculated flare tip diameter</t>
  </si>
  <si>
    <t>2.2.3   Flares with fixed tip diameter</t>
  </si>
  <si>
    <t>2.2.3.3   Calculated flare tip exit velocity</t>
  </si>
  <si>
    <t>m/sec</t>
  </si>
  <si>
    <t>2.2.4   Resulting flare tip diameter</t>
  </si>
  <si>
    <t>2.2.5   Resulting flare tip exit velocity</t>
  </si>
  <si>
    <t>0 = Fixed, 1 = Variable</t>
  </si>
  <si>
    <t>2.2.3.2   Fixed flare tip diameter</t>
  </si>
  <si>
    <t>2.2.2.1  Fixed design exit velocity</t>
  </si>
  <si>
    <t>Engineered flare tips can have variable orifice diameter depending on the gas flow rate.  For example see: http://www.steffes.com/oil-field-products/engineered-flare-system.html</t>
  </si>
  <si>
    <t>Data source: http://www.ncdc.noaa.gov/oa/climate/online/ccd/avgwind.html</t>
  </si>
  <si>
    <t>% of time at that speed</t>
  </si>
  <si>
    <t>Efficiency at that speed</t>
  </si>
  <si>
    <t>4.1   Wind speed probability distribution</t>
  </si>
  <si>
    <t>1.1.1   Do you have sufficient data to perform detailed flaring efficiency calculations?</t>
  </si>
  <si>
    <t>0 = No, I do not have data</t>
  </si>
  <si>
    <t>1.2   Reference year for default flaring intensity</t>
  </si>
  <si>
    <t>Choose 2010 or 2011</t>
  </si>
  <si>
    <t>1.3   Volume of gas flared</t>
  </si>
  <si>
    <t>1.4   LHV of gas</t>
  </si>
  <si>
    <t>2.1.2   Number of wells per flare</t>
  </si>
  <si>
    <t>2.1.3   Number of flares</t>
  </si>
  <si>
    <t>2.1.4   Flare tips per flare</t>
  </si>
  <si>
    <t>2.3.1  For default wind speed pick nearest city (US Only)</t>
  </si>
  <si>
    <t>3.1   Flaring efficiency</t>
  </si>
  <si>
    <t>Johnson and Kostiuk (2002) and personal communication, M. Johnson (2012).</t>
  </si>
  <si>
    <t>3.3   Summation of flaring emissions</t>
  </si>
  <si>
    <t>3.3.1 Speciation of total flaring emissions</t>
  </si>
  <si>
    <t>3.3.2 Net flaring emissions</t>
  </si>
  <si>
    <t>Computed from the formula for the mean of a Rayliegh distribution.</t>
  </si>
  <si>
    <t>m/s</t>
  </si>
  <si>
    <t>Windspeed (mph):</t>
  </si>
  <si>
    <t>Computed by summing over time the efficiency at each wind speed.</t>
  </si>
  <si>
    <t>Computed by assuming the wind is always blowing at average speed.</t>
  </si>
  <si>
    <t>Johnson and Kostiuk (2002)</t>
  </si>
  <si>
    <t>da Rosa (2012)</t>
  </si>
  <si>
    <t>If the field is in the U.S., you may use the lookup table to find the nearest location for windspeed.</t>
  </si>
  <si>
    <t>2.3   Average yearly windspeed</t>
  </si>
  <si>
    <t>4.1.1   Exit velocity</t>
  </si>
  <si>
    <t>4.1.3   Efficiency at average</t>
  </si>
  <si>
    <t>4.1.4   Efficiency using distribution</t>
  </si>
  <si>
    <t>4.1.5    Windspeed mode:</t>
  </si>
  <si>
    <t>4.1.6    Rayleigh wind distribution</t>
  </si>
  <si>
    <t>Computing assuming wind speed follows Raleigh distribution</t>
  </si>
  <si>
    <t>4.1.2   Average windspeed</t>
  </si>
  <si>
    <t>2.1   Venting emissions</t>
  </si>
  <si>
    <t>2.1.3   GHG emissions from storage tanks</t>
  </si>
  <si>
    <t>2.2   Fugitive emissions</t>
  </si>
  <si>
    <t>2.3   Summation of VFF emissions</t>
  </si>
  <si>
    <t>2.3.1   Speciation of total VFF emissions:</t>
  </si>
  <si>
    <t>2.3.2   Net VFF emissions:</t>
  </si>
  <si>
    <t>1.1.1   Vented emissions of associated gas (substitute for flaring)</t>
  </si>
  <si>
    <t>2.1.1   GHG emissions from associated gas venting as a flaring substitute</t>
  </si>
  <si>
    <t>US North Dakota</t>
  </si>
  <si>
    <t>US Alaska</t>
  </si>
  <si>
    <t>1.2.4.2.2   Compressor system power</t>
  </si>
  <si>
    <t>Assume that reboiler duty is provided via heat exchanger from inlet stream.</t>
  </si>
  <si>
    <r>
      <t>bhp-hr/kmol</t>
    </r>
    <r>
      <rPr>
        <vertAlign val="subscript"/>
        <sz val="12"/>
        <color theme="1"/>
        <rFont val="Helvetica"/>
      </rPr>
      <t>COND</t>
    </r>
  </si>
  <si>
    <t>Compressor work happens up front to bring pressure up to assumed inlet pressure of Nawaz.  So all feed is compressed.</t>
  </si>
  <si>
    <t>Because heat recovery is used to recovery cold from outlet gas stream, assume the work of refrigeration is proportional to condensed stream, not full stream.</t>
  </si>
  <si>
    <t>2.2.3.3   Compressor system BHP</t>
  </si>
  <si>
    <t>Moles condensed</t>
  </si>
  <si>
    <t>Moles feed</t>
  </si>
  <si>
    <t>2.2.3.3.1   Refrigeration and compression system energy consumption</t>
  </si>
  <si>
    <t>As noted above, assume reboiler duty comes from heat exchange with inlet stream.</t>
  </si>
  <si>
    <t>1.2.4.3.2   Compressor system driver</t>
  </si>
  <si>
    <t>Refrigeration and compression</t>
  </si>
  <si>
    <t>Source: Reported flaring and production volumnes from Alaska Oil and Gas Conservation Commission</t>
  </si>
  <si>
    <t>Source: Reported flaring volumes from North Dakota Industrial Commission, Oil and Gas Division</t>
  </si>
  <si>
    <t>Source: Reported flaring volumes from Nigerian National Petroleum Corporation</t>
  </si>
  <si>
    <t>Field 1</t>
  </si>
  <si>
    <t>Key:</t>
  </si>
  <si>
    <t>= Changed to OPGEE default</t>
  </si>
  <si>
    <t xml:space="preserve"> = Adjusted using bulk assessment macro</t>
  </si>
  <si>
    <t>= Outside of literature range</t>
  </si>
  <si>
    <r>
      <t>kWh/bbl</t>
    </r>
    <r>
      <rPr>
        <sz val="12"/>
        <color theme="1"/>
        <rFont val="Helvetica"/>
        <family val="2"/>
      </rPr>
      <t xml:space="preserve"> input</t>
    </r>
  </si>
  <si>
    <t>Surface processing</t>
  </si>
  <si>
    <t>Supplemental flaring sheet added to compute flaring efficiency using flare exit diameter etc.</t>
  </si>
  <si>
    <t>Changes: OPGEE v1.0 to OPGEE v1.1 draft A</t>
  </si>
  <si>
    <t>Sum</t>
  </si>
  <si>
    <t>Source:http://webbook.nist.gov/chemistry/fluid/</t>
  </si>
  <si>
    <t xml:space="preserve">STP for calculation of standard volume of </t>
  </si>
  <si>
    <t>Pressure = 1 atm</t>
  </si>
  <si>
    <r>
      <t xml:space="preserve">Temperature = 60 </t>
    </r>
    <r>
      <rPr>
        <sz val="10"/>
        <color theme="0" tint="-0.34998626667073579"/>
        <rFont val="Calibri"/>
        <family val="2"/>
      </rPr>
      <t>°</t>
    </r>
    <r>
      <rPr>
        <sz val="10"/>
        <color theme="0" tint="-0.34998626667073579"/>
        <rFont val="Helvetica"/>
      </rPr>
      <t>F</t>
    </r>
  </si>
  <si>
    <t>gas in SCF unit is considered as the following:</t>
  </si>
  <si>
    <t>VOC when C4 =0</t>
  </si>
  <si>
    <t>VOC density is calculated based on the composition that OPGEE assumes for VOC</t>
  </si>
  <si>
    <t>Pressure</t>
  </si>
  <si>
    <t>Temperature</t>
  </si>
  <si>
    <r>
      <rPr>
        <sz val="12"/>
        <color theme="1"/>
        <rFont val="Calibri"/>
        <family val="2"/>
      </rPr>
      <t>°</t>
    </r>
    <r>
      <rPr>
        <sz val="10.8"/>
        <color theme="1"/>
        <rFont val="Helvetica"/>
        <family val="2"/>
      </rPr>
      <t xml:space="preserve"> F</t>
    </r>
  </si>
  <si>
    <t xml:space="preserve"> water vapour denstity source: Engineering Tool Box (http://www.engineeringtoolbox.com/gas-density-d_158.html)</t>
  </si>
  <si>
    <t>6 Definition of Standard Condition</t>
  </si>
  <si>
    <t>Heavy Oil (API &gt;=10, &lt;20)</t>
  </si>
  <si>
    <t>Light Oil (API &gt;= 20, &lt;30)</t>
  </si>
  <si>
    <t>Ultra-Light Oil (API &gt;=30)</t>
  </si>
  <si>
    <t>x</t>
  </si>
  <si>
    <t>API 4589 survey  Table 1-1 and Table 2-1</t>
  </si>
  <si>
    <t>see  worksheet "Input Data" section 7</t>
  </si>
  <si>
    <t>7  Percentage of Leaking Component &gt;10000 ppmv in Heavy and Light Oil Service</t>
  </si>
  <si>
    <t>before correction</t>
  </si>
  <si>
    <t>7-1-1 Leaking Component &gt; 10000 ppmv</t>
  </si>
  <si>
    <t>7-2-1 Leaking Component &gt; 10000 ppmv</t>
  </si>
  <si>
    <t>7-3-1 Leaking Component &gt; 10000 ppmv</t>
  </si>
  <si>
    <t>7-1 Light Crude Oil API &gt;=25 ( modified definition )</t>
  </si>
  <si>
    <t>7-2 Intermediate Crude   15 &lt; API &lt;25 ( modified definition )</t>
  </si>
  <si>
    <t>7-3 Heavy Crude Oil API &lt;=15 ( modified definition)</t>
  </si>
  <si>
    <t>This step added to alleviate the step change in CI when switching between heavy and light curde ( for example API 20 to 19 )</t>
  </si>
  <si>
    <t>This intermediate step is not supported by the standards named in this section</t>
  </si>
  <si>
    <r>
      <t>KWh/Nm</t>
    </r>
    <r>
      <rPr>
        <vertAlign val="superscript"/>
        <sz val="12"/>
        <rFont val="Helvetica"/>
      </rPr>
      <t>3</t>
    </r>
  </si>
  <si>
    <t>In order to get an estimate we first use OPGEE to calculate the power requirement to compression of the products from OPGEE default value of 125 psia to 1685 psia which is 185 hp/MMSCFD</t>
  </si>
  <si>
    <t>The estimated compression power requirement for cryogenic generation of nitrogen is then  (500500hp)/1200 MMSCFD - 185 hp/MMSCFD</t>
  </si>
  <si>
    <t>This is about 0.15 kWh/m3 STP nitrogen</t>
  </si>
  <si>
    <r>
      <t>kWh/m</t>
    </r>
    <r>
      <rPr>
        <vertAlign val="superscript"/>
        <sz val="12"/>
        <rFont val="Helvetica"/>
      </rPr>
      <t xml:space="preserve">3 </t>
    </r>
    <r>
      <rPr>
        <sz val="12"/>
        <rFont val="Helvetica"/>
      </rPr>
      <t>STP</t>
    </r>
  </si>
  <si>
    <t>Model version:</t>
  </si>
  <si>
    <t>Model date:</t>
  </si>
  <si>
    <t>Kourosh Vafi</t>
  </si>
  <si>
    <t>Copyright © 2012, 2013, 2014 The Board of Trustees of the Leland Stanford Junior University</t>
  </si>
  <si>
    <t>Changes:  OPGEE v1.1 draft A to OPGEE v1.1 draft B</t>
  </si>
  <si>
    <t>From OPGEE v.1.1 draft A to OPGEE v1.1 draft B, the following changes were made:</t>
  </si>
  <si>
    <t>Gas balance and gas properties</t>
  </si>
  <si>
    <t>Gas balance sheet fixed so that gas compositions of C4 = 0% do not trigger gas balance error. This required changing the accounting of fugitive emissions gas composition.</t>
  </si>
  <si>
    <t>Density of VOC is computed directly from VOC composition, rather than assuming density is equal to density of ethane.</t>
  </si>
  <si>
    <t>Production emissions</t>
  </si>
  <si>
    <t>Air separation unit work is now populated with literature data for N2 separation for Cantarell field</t>
  </si>
  <si>
    <t>GHG emissions worksheet error corrected (cell H22 called incorrect emissions factor)</t>
  </si>
  <si>
    <t>Densities of gas changed to change of definition of standard conditions changed to 60F and 1 atm. User can select definition of standard conditions.</t>
  </si>
  <si>
    <t>Cells M38 and M40 in the "Bitumen and Extraction" worksheet were corrected to address error in VFF accounting</t>
  </si>
  <si>
    <t>Emissions factor tables label changed to be correct (&gt;= signs)</t>
  </si>
  <si>
    <t>Venting and fugitives</t>
  </si>
  <si>
    <t>A conversion factor was fixed in computation of emissions from fugitive leaks. This effect partially offsets the reduction in leaking components.</t>
  </si>
  <si>
    <t>Error correction in venting and fugitives worksheet. Fraction of leaking components changed from 25% to a formula that suggests a default based on API gravity.  These defaults provided by API studies of leaking components.</t>
  </si>
  <si>
    <t>Other corrections and error fixes</t>
  </si>
  <si>
    <t>Corrected error in formula in cell F212 and G212.</t>
  </si>
  <si>
    <t>Error in steam production calculations for default column fixed (did not affect user calculations).</t>
  </si>
  <si>
    <t>Warning now generated if no artificial lift is specified but reservoir pressure is not enough to provide artificial lift.</t>
  </si>
  <si>
    <r>
      <t>gCO</t>
    </r>
    <r>
      <rPr>
        <vertAlign val="subscript"/>
        <sz val="12"/>
        <color theme="1"/>
        <rFont val="Helvetica"/>
      </rPr>
      <t>2</t>
    </r>
    <r>
      <rPr>
        <sz val="12"/>
        <color theme="1"/>
        <rFont val="Helvetica"/>
        <family val="2"/>
      </rPr>
      <t>eq/MJ</t>
    </r>
  </si>
  <si>
    <r>
      <t>C</t>
    </r>
    <r>
      <rPr>
        <vertAlign val="subscript"/>
        <sz val="12"/>
        <color theme="1"/>
        <rFont val="Helvetica"/>
      </rPr>
      <t>4</t>
    </r>
    <r>
      <rPr>
        <sz val="12"/>
        <color theme="1"/>
        <rFont val="Helvetica"/>
        <family val="2"/>
      </rPr>
      <t>+</t>
    </r>
  </si>
  <si>
    <r>
      <t>H</t>
    </r>
    <r>
      <rPr>
        <vertAlign val="subscript"/>
        <sz val="12"/>
        <color theme="1"/>
        <rFont val="Helvetica"/>
      </rPr>
      <t>2</t>
    </r>
    <r>
      <rPr>
        <sz val="12"/>
        <color theme="1"/>
        <rFont val="Helvetica"/>
        <family val="2"/>
      </rPr>
      <t>S</t>
    </r>
  </si>
  <si>
    <r>
      <t>2= Nitrogen (N</t>
    </r>
    <r>
      <rPr>
        <vertAlign val="subscript"/>
        <sz val="12"/>
        <color theme="1"/>
        <rFont val="Helvetica"/>
      </rPr>
      <t>2</t>
    </r>
    <r>
      <rPr>
        <sz val="12"/>
        <color theme="1"/>
        <rFont val="Helvetica"/>
        <family val="2"/>
      </rPr>
      <t>)</t>
    </r>
  </si>
  <si>
    <t>Default N2 injection volume is 1200 scf/bbl oil, from Cantarell field in Mexico. &lt;http://www.bechtel.com/assets/files/PDF/BHTSWebsite/cantarell2.pdf&gt;</t>
  </si>
  <si>
    <t xml:space="preserve">In Cantarell field, generation of 1200 MMSCFD nitrogen requires 500500 hp compression power. This includes both compression of air to the required feed pressure and compression of the nitrogen product to 1685 psia to be routed 53 miles offshore through pipelines to injection wells. The required pumping power for cooling water is not included. </t>
  </si>
  <si>
    <r>
      <t>According to The ULLMANN's Encyclopedia of Industrial Chemistry, the specific power consumption for the production of nitrogen gas for single- and double-column process (for standard purities) are 0.25 and  0.22 kWh/m3 (STP) N</t>
    </r>
    <r>
      <rPr>
        <vertAlign val="superscript"/>
        <sz val="12"/>
        <color theme="0" tint="-0.34998626667073579"/>
        <rFont val="Helvetica"/>
      </rPr>
      <t xml:space="preserve">2 </t>
    </r>
    <r>
      <rPr>
        <sz val="12"/>
        <color theme="0" tint="-0.34998626667073579"/>
        <rFont val="Helvetica"/>
      </rPr>
      <t>respectively.</t>
    </r>
  </si>
  <si>
    <r>
      <rPr>
        <vertAlign val="superscript"/>
        <sz val="12"/>
        <color theme="1"/>
        <rFont val="Helvetica"/>
      </rPr>
      <t>◦</t>
    </r>
    <r>
      <rPr>
        <sz val="12"/>
        <color theme="1"/>
        <rFont val="Helvetica"/>
        <family val="2"/>
      </rPr>
      <t>F</t>
    </r>
  </si>
  <si>
    <r>
      <t>Btu/bbl-</t>
    </r>
    <r>
      <rPr>
        <vertAlign val="superscript"/>
        <sz val="12"/>
        <color theme="1"/>
        <rFont val="Helvetica"/>
      </rPr>
      <t>◦</t>
    </r>
    <r>
      <rPr>
        <sz val="12"/>
        <color theme="1"/>
        <rFont val="Helvetica"/>
        <family val="2"/>
      </rPr>
      <t>F</t>
    </r>
  </si>
  <si>
    <r>
      <t>Check: C</t>
    </r>
    <r>
      <rPr>
        <vertAlign val="subscript"/>
        <sz val="12"/>
        <color theme="1"/>
        <rFont val="Helvetica"/>
      </rPr>
      <t>4</t>
    </r>
    <r>
      <rPr>
        <sz val="12"/>
        <color theme="1"/>
        <rFont val="Helvetica"/>
        <family val="2"/>
      </rPr>
      <t xml:space="preserve"> component of  venting and fugitives  (MMSCFD)</t>
    </r>
  </si>
  <si>
    <r>
      <t>3.2.1.1.1   CO</t>
    </r>
    <r>
      <rPr>
        <vertAlign val="subscript"/>
        <sz val="12"/>
        <color theme="1"/>
        <rFont val="Helvetica"/>
      </rPr>
      <t>2</t>
    </r>
    <r>
      <rPr>
        <sz val="12"/>
        <color theme="1"/>
        <rFont val="Helvetica"/>
        <family val="2"/>
      </rPr>
      <t xml:space="preserve"> emissions</t>
    </r>
  </si>
  <si>
    <r>
      <t>3.2.1.1.2   CO</t>
    </r>
    <r>
      <rPr>
        <vertAlign val="subscript"/>
        <sz val="12"/>
        <color theme="1"/>
        <rFont val="Helvetica"/>
      </rPr>
      <t>2</t>
    </r>
    <r>
      <rPr>
        <sz val="12"/>
        <color theme="1"/>
        <rFont val="Helvetica"/>
        <family val="2"/>
      </rPr>
      <t xml:space="preserve"> emissions from CH</t>
    </r>
    <r>
      <rPr>
        <vertAlign val="subscript"/>
        <sz val="12"/>
        <color theme="1"/>
        <rFont val="Helvetica"/>
      </rPr>
      <t>4</t>
    </r>
    <r>
      <rPr>
        <sz val="12"/>
        <color theme="1"/>
        <rFont val="Helvetica"/>
        <family val="2"/>
      </rPr>
      <t xml:space="preserve"> combustion</t>
    </r>
  </si>
  <si>
    <r>
      <t>3.2.1.1.3   CO</t>
    </r>
    <r>
      <rPr>
        <vertAlign val="subscript"/>
        <sz val="12"/>
        <color theme="1"/>
        <rFont val="Helvetica"/>
      </rPr>
      <t>2</t>
    </r>
    <r>
      <rPr>
        <sz val="12"/>
        <color theme="1"/>
        <rFont val="Helvetica"/>
        <family val="2"/>
      </rPr>
      <t xml:space="preserve"> emissions from VOC combustion</t>
    </r>
  </si>
  <si>
    <r>
      <t>3.2.2.1.1   CO</t>
    </r>
    <r>
      <rPr>
        <vertAlign val="subscript"/>
        <sz val="12"/>
        <color theme="1"/>
        <rFont val="Helvetica"/>
      </rPr>
      <t>2</t>
    </r>
    <r>
      <rPr>
        <sz val="12"/>
        <color theme="1"/>
        <rFont val="Helvetica"/>
        <family val="2"/>
      </rPr>
      <t xml:space="preserve"> emissions</t>
    </r>
  </si>
  <si>
    <r>
      <t>3.2.2.1.2   CH</t>
    </r>
    <r>
      <rPr>
        <vertAlign val="subscript"/>
        <sz val="12"/>
        <color theme="1"/>
        <rFont val="Helvetica"/>
      </rPr>
      <t>4</t>
    </r>
    <r>
      <rPr>
        <sz val="12"/>
        <color theme="1"/>
        <rFont val="Helvetica"/>
        <family val="2"/>
      </rPr>
      <t xml:space="preserve"> emissions</t>
    </r>
  </si>
  <si>
    <t>Kuo, J.C. et al. (2001)</t>
  </si>
  <si>
    <t xml:space="preserve">Kuo, J.C. et al. (2001) p. 41 </t>
  </si>
  <si>
    <t>Scott McNally</t>
  </si>
  <si>
    <r>
      <rPr>
        <sz val="12"/>
        <color theme="1"/>
        <rFont val="Helvetica"/>
        <family val="2"/>
      </rPr>
      <t xml:space="preserve">Formerly of: </t>
    </r>
    <r>
      <rPr>
        <sz val="12"/>
        <color theme="1"/>
        <rFont val="Helvetica"/>
        <family val="2"/>
      </rPr>
      <t>Department of Energy Resources Engineering, Stanford University</t>
    </r>
  </si>
  <si>
    <t>Power Mix (%)</t>
  </si>
  <si>
    <t>Efficiency (%)</t>
  </si>
  <si>
    <t>gCO2/MMBTU</t>
  </si>
  <si>
    <t>MMBTU/MMBTU</t>
  </si>
  <si>
    <t>Energy</t>
  </si>
  <si>
    <t>Emissions</t>
  </si>
  <si>
    <t>C48 &amp; C63</t>
  </si>
  <si>
    <t>Electricity module substantially revised to allow for variable power source efficiencies</t>
  </si>
  <si>
    <t>Changes:  OPGEE v1.1 draft B to OPGEE v1.1 draft C</t>
  </si>
  <si>
    <t>1.4   Electricity mix and efficiencies</t>
  </si>
  <si>
    <t>Displaced electricity</t>
  </si>
  <si>
    <t>Purchased grid electricity</t>
  </si>
  <si>
    <t>Electricity type</t>
  </si>
  <si>
    <t>1.5 Grid transmissions efficiencies</t>
  </si>
  <si>
    <t>1.5.1 Grid transmission efficiency for displaced electricity</t>
  </si>
  <si>
    <t>1.5.2 Grid transmissions efficiency for purchased grid electricity</t>
  </si>
  <si>
    <t>1.6 Displaced electricity fuel cycle GHG emissions (grams per MMBtu electricity supplied to end user - LHV) and energy (MMBTU/MMBTU electricity supplied to end user - LHV)</t>
  </si>
  <si>
    <t>1.7 Grid electricity fuel cycle GHG emissions (grams per MMBtu electricity supplied to end user - LHV) and energy (MMBTU/MMBTU electricity supplied to end user - LHV)</t>
  </si>
  <si>
    <t>2.1 Electricity displacement results</t>
  </si>
  <si>
    <t>2.1.1 Avoided emissions</t>
  </si>
  <si>
    <t>2.1.2 Electricity export GHG credit</t>
  </si>
  <si>
    <t>2.1.3 Avoided energy</t>
  </si>
  <si>
    <t>2.1.4 Electricity export energy credit</t>
  </si>
  <si>
    <t>2.2 Electricity grid purchase results</t>
  </si>
  <si>
    <t>2.2.1 Electricity import GHG emissions</t>
  </si>
  <si>
    <t>2.2.2 Electricity import energy credit</t>
  </si>
  <si>
    <t>1.1 Fraction of electricity demand generated onsite (exceed 1.0 in case of export)</t>
  </si>
  <si>
    <t>1.2 Generator type</t>
  </si>
  <si>
    <t>1.3 Energy consumption</t>
  </si>
  <si>
    <t>100% load</t>
  </si>
  <si>
    <t>75% load</t>
  </si>
  <si>
    <t>Power (bhp)</t>
  </si>
  <si>
    <t>Table 1.1 Natural gas engines</t>
  </si>
  <si>
    <t>1.2 Electricity generation capacity required</t>
  </si>
  <si>
    <t>Table 1.2 Natural gas turbines</t>
  </si>
  <si>
    <t>Table 1.3 Diesel engine energy consumption</t>
  </si>
  <si>
    <t>Median</t>
  </si>
  <si>
    <t>NgEngEff = Natural gas engine efficiency in Btu LHV/bhp-hr</t>
  </si>
  <si>
    <t>Size = Engine size in bhp</t>
  </si>
  <si>
    <t>To call linear regression, use function NgEngEff(size)</t>
  </si>
  <si>
    <t>Size of engine</t>
  </si>
  <si>
    <t>Efficiency of engine</t>
  </si>
  <si>
    <t>btu LHV/bhp-hr</t>
  </si>
  <si>
    <t>Example usage:</t>
  </si>
  <si>
    <t>To call linear regression, use function NgTurbEff(size)</t>
  </si>
  <si>
    <t>NgTurbEff = Natural gas turbine efficiency in Btu LHV/bhp-hr</t>
  </si>
  <si>
    <t>Size = turbine size in bhp</t>
  </si>
  <si>
    <t>Size of turbine</t>
  </si>
  <si>
    <t>To call linear regression, use function DieselEngEff(size)</t>
  </si>
  <si>
    <t>DieselEngEff = Diesel engine efficiency in Btu LHV/bhp-hr</t>
  </si>
  <si>
    <t>Size = engine size in bhp</t>
  </si>
  <si>
    <t>Efficiency of turbine</t>
  </si>
  <si>
    <t>To call power law function, use function ElecMotEff(size)</t>
  </si>
  <si>
    <t>ElecMotEff = Electric motor efficiency in Btu LHV/bhp-hr</t>
  </si>
  <si>
    <t>Size = motor size in bhp</t>
  </si>
  <si>
    <t>Size of motor</t>
  </si>
  <si>
    <t>Efficiency of motor</t>
  </si>
  <si>
    <t>kW</t>
  </si>
  <si>
    <t>Drivers reworked with user-defined functions to greatly simplify calculation of driver energy use.</t>
  </si>
  <si>
    <t>Notes: Emissions factors from GREET 1 2013, sheet 'EF', Table 2.3, "Emission Factors of Fuel Combustion: Feedstock and Fuel Transportation from Product Origin to Product Destination back to Poduct Origin (grams per mmBtu of fuel burned)"</t>
  </si>
  <si>
    <t>Table 4.2 "100 percent efficient" Electric Power Plant GHG emissions  (grams per MMBTU fuel combusted - LHV)</t>
  </si>
  <si>
    <t>GREET 1 2013</t>
  </si>
  <si>
    <t>Calculated from GREET1 2013</t>
  </si>
  <si>
    <t>Gasoline Blendstock</t>
  </si>
  <si>
    <t>"Fuel_Specs" row 7</t>
  </si>
  <si>
    <t>"Fuel_Specs" row 11</t>
  </si>
  <si>
    <t>"Fuel_Specs" row 12</t>
  </si>
  <si>
    <t>"Fuel_Specs" row 13</t>
  </si>
  <si>
    <t>"Fuel_Specs" row 14</t>
  </si>
  <si>
    <t>"Fuel_Specs" row 29</t>
  </si>
  <si>
    <t>"Fuel_Specs" row 16</t>
  </si>
  <si>
    <t>"Fuel_Specs" row 22</t>
  </si>
  <si>
    <t>"Fuel_Specs" row 52</t>
  </si>
  <si>
    <t>"Fuel_Specs" row 54</t>
  </si>
  <si>
    <t>"Fuel_Specs" row 55</t>
  </si>
  <si>
    <t>"Fuel_Specs" row 56</t>
  </si>
  <si>
    <t>"Fuel_Specs" row 64</t>
  </si>
  <si>
    <t>"Fuel_Specs" row 58, "Coal mix for electricity generation"</t>
  </si>
  <si>
    <t>"Fuel_Specs" row 59</t>
  </si>
  <si>
    <t>"Fuel_Specs" row 66</t>
  </si>
  <si>
    <t>Source: GREET1_2013, obtained from "Fuel_Specs" worksheet</t>
  </si>
  <si>
    <t>Electricity GHGs from GREET1_2013 (Sheet "Electric" Table 9, Row 186) are adjusted to 100% efficiency and 0% line losses</t>
  </si>
  <si>
    <t>Each electricity type in row 186 is multiplied by the average generation efficiency (Table 2.2)</t>
  </si>
  <si>
    <t>Each electricity type in row 186 is multiplied by 100%-6.5% line losses (0.935)</t>
  </si>
  <si>
    <t>This allows OPGEE to flexibly calculate plant efficiencies and line losses (see "Electricity" worksheet)</t>
  </si>
  <si>
    <t>Notes: Data from GREET1_2013, Data taken from sheet "EF", rows 6-14 for each technology.</t>
  </si>
  <si>
    <t>Source: GREET1_2013</t>
  </si>
  <si>
    <t>From sheets "Petroleum" and "NG", loss factors</t>
  </si>
  <si>
    <t xml:space="preserve">Only includes transportation and distribution of refined fuel, from "Petroleum" (Table 3 for conventional diesel and petroleum coke)  and "NG" (Table 3 for NG transmission and distribution) </t>
  </si>
  <si>
    <t>From "NG" sheet, table 4, total energy use for NG as a stationary fuel</t>
  </si>
  <si>
    <t>From "Petroleum" sheet, Table 5. Includes both extraction and processing emissions for conventional diesel.</t>
  </si>
  <si>
    <t>From "Petroleum" sheet, Table 5. Includes both extraction and processing emissions for petroleum coke.</t>
  </si>
  <si>
    <t>GREET1_2013</t>
  </si>
  <si>
    <t>Computed using GREET1_2013, using GREET default electricity shares and efficiencies.</t>
  </si>
  <si>
    <t>gCO2eq/MMBtu e-</t>
  </si>
  <si>
    <t>GREET1_2013 default efficiency 21.9%</t>
  </si>
  <si>
    <t>GREET1_2013 default efficiency 34.7%</t>
  </si>
  <si>
    <t xml:space="preserve">GREET1_2013 default efficiency 45.9% (50.6% CC, 31.6% simple-cycle, 32.3% steam turbine, 32.8% IC engine) </t>
  </si>
  <si>
    <t>GREET1_2013 default efficiency 31.9%</t>
  </si>
  <si>
    <t>Efficiency</t>
  </si>
  <si>
    <t>mmBTU e-/MMBtu LHV input fuel</t>
  </si>
  <si>
    <t>Table 4.4 Default GREET electricity generation efficiencies</t>
  </si>
  <si>
    <t>Transmission</t>
  </si>
  <si>
    <t>mmBtu e- to user per mmBtu e- generated</t>
  </si>
  <si>
    <t>Table 4.3 Fuel cycle emissions and energy use for electric power plant fuels (grams per MMBTU electricity generated)</t>
  </si>
  <si>
    <t>mmBtu/mmBtu</t>
  </si>
  <si>
    <t>m3/m3 bitumen</t>
  </si>
  <si>
    <t>kWh/m3 bitumen</t>
  </si>
  <si>
    <t>kg/m3 bitumen</t>
  </si>
  <si>
    <t>Source: GHGenius v 4.03a, 'Crude Production' D293-G301 for different selected production techniques.</t>
  </si>
  <si>
    <t>L diesel/m3 bitumen</t>
  </si>
  <si>
    <t>Energy units (MJ LHV/tonne SCO)</t>
  </si>
  <si>
    <t>MJ LHV/tonne SCO</t>
  </si>
  <si>
    <t>Source: GHGenius v 4.03a, 'Crude Production' L292-N301, converted from reported GHGenius HHVs to LHVs using GHGenius HHV/LHV ratios from "Fuel Char" sheet column R</t>
  </si>
  <si>
    <t>Bitumen extraction and upgrading sheet updated to GHGenius version 4.03, utilizing GHGenius fuel use directly, or GHGenius LHVs where direct fuel consumption not available. This avoids incongruity between GREET and GHGenius LHV/HHV ratios.</t>
  </si>
  <si>
    <t>In bulk assessment macro, the location of  “Outputs.Range("J97").Value = 0” is changed . In the previous version ( after revision of the electricity module), when the fraction of remaining gas re-injected was set to -1 in bulk assessment work sheet, a type mismatch error would occur.</t>
  </si>
  <si>
    <t>In gas balance work sheet “Process fuel / Export” is changed to “Process fuel consumed + Export”.</t>
  </si>
  <si>
    <t xml:space="preserve">8  This Data Table works with BulkAssessment macro to  automatically verify that in Options/Formulas  calculation mode is set to "Automatic" </t>
  </si>
  <si>
    <t>AP19</t>
  </si>
  <si>
    <t>AP28</t>
  </si>
  <si>
    <t>Fuel gas consumed + export</t>
  </si>
  <si>
    <t>Export</t>
  </si>
  <si>
    <t>Fuel gas consumed</t>
  </si>
  <si>
    <t>AR26</t>
  </si>
  <si>
    <t>In the previous versions when gas lift is the method of recovery and FOR is higher than GOR then OPGEE gives error message on the gas composition.</t>
  </si>
  <si>
    <t>In 'Gas Balance' worksheet the 'Fuel Gas/Export' label is changed to 'Fuel gas consumed + export'.</t>
  </si>
  <si>
    <t>In 'Gas Balance' worksheet the rate of the fuel gas consumption (calculated in Energy Consumption worksheet) is added.</t>
  </si>
  <si>
    <t>Typos in 'User Inputs &amp; Results' are corrected: In row 297 and 298, AN19 and AN28 changed to AP19 and AP28</t>
  </si>
  <si>
    <t xml:space="preserve">The overall error check in Bulk Assessment worksheet was not functional in previous versions. In this version, the Bulk Assessment macro checks for the overall error. </t>
  </si>
  <si>
    <t>The 'Bulk Assessment' worksheet has been split into two worksheets. Data for many fields should be entered in 'Bulk Assessment - Inputs' worksheet.</t>
  </si>
  <si>
    <t>The new 'Bulk Assessment - Results' worksheet reports results and allows monitoring of changes which are automatically applied to the user input variables entered in the 'Bulk Assessment - Data' worksheet.</t>
  </si>
  <si>
    <t>In input data worksheet, row 1896, a new section 8 is added. This table works with the Bulk Assessment macro to verify that the Excel calculation mode is set to "Automatic" which is a requirement for Bulk Assessment worksheet to function correctly. This was overlooked in previous versions.</t>
  </si>
  <si>
    <t>Bulk assessment changes</t>
  </si>
  <si>
    <t>A warning is added in 'User Inputs &amp; Results' worksheet (I97). This warning is activated when the fraction of the remaining gas reinjected is adjusted to a value that causes the non-reinjected portion of the remaining gas become less than fuel gas demand for on-site use</t>
  </si>
  <si>
    <t>The Bulk Assessment macro is fixed to correctly solve for fraction of the remaining gas re-injected required to set the export gas to zero.</t>
  </si>
  <si>
    <t>Documentation and clarity improvements</t>
  </si>
  <si>
    <t>Gas balance changes</t>
  </si>
  <si>
    <t>Fugitive emissions changes</t>
  </si>
  <si>
    <t>Changes:  OPGEE v1.1 draft C to OPGEE v1.1 draft D</t>
  </si>
  <si>
    <t>Without vapor recovery system</t>
  </si>
  <si>
    <t>With vapor recovery system</t>
  </si>
  <si>
    <t>1.1.2.3  Emission factors</t>
  </si>
  <si>
    <t>1.1.2.3.1   CO2</t>
  </si>
  <si>
    <t>1.1.2.3.2   CH4</t>
  </si>
  <si>
    <t>1.2.2.3.3   Emission factors</t>
  </si>
  <si>
    <t>1.2.2.3.3.1   CO2</t>
  </si>
  <si>
    <t>1.2.2.3.3.2   CH4</t>
  </si>
  <si>
    <t>--</t>
  </si>
  <si>
    <t>Fugitive emissions of glycol dehydrators without VRS divided by the total input volume to systems without VRS. Data from ARB survey, updated 2013 edition. Data processed by S. Detweiler and J. Duffy to separate systems with and without vapor recovery.  See documentation.</t>
  </si>
  <si>
    <t>Fugitive emissions of glycol dehydrators with VRS divided by the total input volume to systems with VRS. Data from ARB survey, updated 2013 edition. Data processed by S. Detweiler and J. Duffy to separate systems with and without vapor recovery.  See documentation.</t>
  </si>
  <si>
    <t>Modeling of gas dehydration system fugitives and venting are updated with improved California survey data. Now emissions factors are disaggregated depending on whether vapor recovery systems are applied.</t>
  </si>
  <si>
    <t>ARB (2013), data from S. Detwiler and  J. Duffy</t>
  </si>
  <si>
    <t>Venting emissions of glycol dehydrators without VRS divided by the total input volume to systems without VRS. Data from ARB survey, updated 2013 edition. Data processed by S. Detwiler and J. Duffy to separate systems with and without vapor recovery.  See documentation.</t>
  </si>
  <si>
    <t>Venting emissions of glycol dehydrators with VRS divided by the total input volume to systems with VRS. Data from ARB survey, updated 2013 edition. Data processed by S. Detwiler and J. Duffy to separate systems with and without vapor recovery.  See documentation.</t>
  </si>
  <si>
    <t>Data derived from California oil and gas emissions survey</t>
  </si>
  <si>
    <t>Type of crude</t>
  </si>
  <si>
    <t>Ultra-heavy oil (API&lt;10)</t>
  </si>
  <si>
    <t>Heavy oil (API 10-20)</t>
  </si>
  <si>
    <t>Light oil (API 20-30)</t>
  </si>
  <si>
    <t>Ultra-light oil (API &gt; 30)</t>
  </si>
  <si>
    <t>Production volume</t>
  </si>
  <si>
    <t>Detwiler 2013, Table 2.3</t>
  </si>
  <si>
    <t>3.2 Number of valves</t>
  </si>
  <si>
    <t>Type of device</t>
  </si>
  <si>
    <t>Number</t>
  </si>
  <si>
    <t>Count for light oil</t>
  </si>
  <si>
    <t>Count for heavy oil</t>
  </si>
  <si>
    <t>Manual valves</t>
  </si>
  <si>
    <t>Pressure relief valves</t>
  </si>
  <si>
    <t>Total valves</t>
  </si>
  <si>
    <t>Detwiler 2013, Table 8.1</t>
  </si>
  <si>
    <t>3.3 Number of valves per unit production</t>
  </si>
  <si>
    <t>Valve intensity</t>
  </si>
  <si>
    <t>Valve/bbl/y</t>
  </si>
  <si>
    <t>Heavy crude (API &lt; 20)</t>
  </si>
  <si>
    <t>Light crude (API &gt; 20)</t>
  </si>
  <si>
    <t>The number of valves, which are used to scale other components, are updated from new California survey data.</t>
  </si>
  <si>
    <t>3.4 Number of pump seals</t>
  </si>
  <si>
    <t>3.5 Number of pump seals per unit of production</t>
  </si>
  <si>
    <t>Pump seal/bbl/y</t>
  </si>
  <si>
    <t>ARB (2013), Tables 2-3 and 8-1</t>
  </si>
  <si>
    <t>The number of pump seals are updated using new California survey data.</t>
  </si>
  <si>
    <t>3.6 Number of compressors in operation in California</t>
  </si>
  <si>
    <t>Compressors (all)</t>
  </si>
  <si>
    <t>Detwiler 2013, Table 15.1</t>
  </si>
  <si>
    <t>3.1 Crude oil and gas production in California</t>
  </si>
  <si>
    <t>Natural gas production</t>
  </si>
  <si>
    <t>Detwiler 2013, Table 2.5</t>
  </si>
  <si>
    <t>bbl/y or Mscf/y</t>
  </si>
  <si>
    <t>(Mscf/y)</t>
  </si>
  <si>
    <t>3.7 Number of compressors per unit of gas production in California</t>
  </si>
  <si>
    <t>Compressor/Mscf/y</t>
  </si>
  <si>
    <t>ARB (2013), Tables 2-5 and 15-1</t>
  </si>
  <si>
    <t>EPA, 2014, Annex 3.6</t>
  </si>
  <si>
    <t>Fugitive emissions from storage tanks from US EPA emissions factors.  Because California storage tanks typically have vapor recovery, and this practice is not likely typical at other producing regions, we assume no vapor recovery. Converted from 7.39 scf CH4/bbl of crude, as reported by EPA.</t>
  </si>
  <si>
    <t>3 Supplemental data from California oil and gas survey</t>
  </si>
  <si>
    <t>4 Supplemental data from EPA greenhouse gas inventory</t>
  </si>
  <si>
    <t>4.1  Tank emissions intensity</t>
  </si>
  <si>
    <t>scf CH4/bbl crude</t>
  </si>
  <si>
    <t>scf CO2/bbl crude</t>
  </si>
  <si>
    <t>EPA 2014, Annex 3.6, Table A-152</t>
  </si>
  <si>
    <t>EPA 2014, Annex 3.6, Table A-147</t>
  </si>
  <si>
    <t>mol/scf</t>
  </si>
  <si>
    <t>moles per SCF @ STP</t>
  </si>
  <si>
    <t>g CH4/bbl crude</t>
  </si>
  <si>
    <t>g CO2/bbl crude</t>
  </si>
  <si>
    <t>EPA 2014, Annex 3.6, Table A-147. US crude oil production in 2012 was 1891 MMbbl</t>
  </si>
  <si>
    <t>4.2 Pneumatic devices usage intensity</t>
  </si>
  <si>
    <t>4.3.1   Low-bleed pneumatic</t>
  </si>
  <si>
    <t>4.3 Pneumatic device CH4 emissions rate</t>
  </si>
  <si>
    <t>4.4.1   Low-bleed pneumatic</t>
  </si>
  <si>
    <t>4.4 Pneumatic device CO2 emissions rate</t>
  </si>
  <si>
    <t>scf CH4/d</t>
  </si>
  <si>
    <t>scf CO2/d</t>
  </si>
  <si>
    <t>g CH4/device-d</t>
  </si>
  <si>
    <t>g CO2/device-d</t>
  </si>
  <si>
    <t>device per bbl/d</t>
  </si>
  <si>
    <t>Pneumatic controllers</t>
  </si>
  <si>
    <t>High-bleed pneumatic controllers</t>
  </si>
  <si>
    <t>Low-bleed pneumatic controllers</t>
  </si>
  <si>
    <t>See `Venting &amp; Fugitives' sheet</t>
  </si>
  <si>
    <t>1.1.7   Vented emissons of pneumatic devices</t>
  </si>
  <si>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 xml:space="preserve">   Pigging</t>
    </r>
  </si>
  <si>
    <r>
      <t>1.1.</t>
    </r>
    <r>
      <rPr>
        <sz val="12"/>
        <color theme="1"/>
        <rFont val="Helvetica"/>
        <family val="2"/>
      </rPr>
      <t>6.2.</t>
    </r>
    <r>
      <rPr>
        <sz val="12"/>
        <color theme="1"/>
        <rFont val="Helvetica"/>
        <family val="2"/>
      </rPr>
      <t>1   Number of associated openings</t>
    </r>
  </si>
  <si>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.2   Emission factors</t>
    </r>
  </si>
  <si>
    <t>1.1.6.2.2.1   CO2</t>
  </si>
  <si>
    <t>1.1.6.2.2.2   CH4</t>
  </si>
  <si>
    <t>1.1.7.1   Low-bleed pnematic device count</t>
  </si>
  <si>
    <t>1.1.7.2   High-bleed pneumatic device count</t>
  </si>
  <si>
    <t>1.1.7.3   Emissions factors</t>
  </si>
  <si>
    <t>1.1.7.3.1   Low-bleed pneumatic device EF</t>
  </si>
  <si>
    <t>1.1.7.3.2   High-bleed pnematic device EF</t>
  </si>
  <si>
    <t>1.1.7.3.1.1   CO2</t>
  </si>
  <si>
    <t>1.1.7.3.1.2   CH4</t>
  </si>
  <si>
    <t>1.1.7.3.2.1   CO2</t>
  </si>
  <si>
    <t>1.1.7.3.2.2   CH4</t>
  </si>
  <si>
    <t>4.1.2   CO2 emissions from tanks</t>
  </si>
  <si>
    <t>4.1.1   CH4 emissions from tanks</t>
  </si>
  <si>
    <t>4.1.3   CH4 emissions from tanks (mass)</t>
  </si>
  <si>
    <t>4.1.4   CO2 emissions from tanks (mass)</t>
  </si>
  <si>
    <t>4.3.3   Low-bleed pneumatic (mass)</t>
  </si>
  <si>
    <t>4.3.4   High-bleed pneumatic (mass)</t>
  </si>
  <si>
    <t>4.4.3   Low-bleed pneumatic (mass)</t>
  </si>
  <si>
    <t>4.4.4   High-bleed pneumatic (mass)</t>
  </si>
  <si>
    <t>Pneumatic chemical injection pumps</t>
  </si>
  <si>
    <t>4.5 Pneumatic chemical injection pumps usage intensity</t>
  </si>
  <si>
    <t>4.6 Pneumatic chemical injection pumps emissions rate</t>
  </si>
  <si>
    <t>4.6.1   CH4 emissions from pneumatic chemical injection pumps</t>
  </si>
  <si>
    <t>4.6.2   CO2 emissions from pneumatic chemical injection pumps</t>
  </si>
  <si>
    <t>scf CH4/device-d</t>
  </si>
  <si>
    <t>scf CO2/device-d</t>
  </si>
  <si>
    <t>4.6.3   CH4 emissions from pneumatic chemical injection pumps (mass)</t>
  </si>
  <si>
    <t>4.6.4   CO2 emissions from pneumatic chemical injection pumps (mass)</t>
  </si>
  <si>
    <t>1.1.8   Vented emissions from pneumatic chemical injection pumps</t>
  </si>
  <si>
    <t>1.1.8.1   Pneumatic chemical injection pumps count</t>
  </si>
  <si>
    <t>1.1.8.2   Emissions factors</t>
  </si>
  <si>
    <t>1.1.8.2.1   CO2</t>
  </si>
  <si>
    <t>1.1.8.2.2   CH4</t>
  </si>
  <si>
    <t>units</t>
  </si>
  <si>
    <t>2.2.1   GHG emissions from various fugitive sources</t>
  </si>
  <si>
    <t>2.1.2   GHG emissions from other venting</t>
  </si>
  <si>
    <t>Pneumatic devices (controllers and chemical injection pumps) added as venting sources, using US EPA emissions intensities.</t>
  </si>
  <si>
    <t>Bulk assessment - Data inputs</t>
  </si>
  <si>
    <t>Bulk Assessment - Results</t>
  </si>
  <si>
    <t>4.2.1   High-bleed pneumatic</t>
  </si>
  <si>
    <t>4.2.2   Low-bleed pneumatic</t>
  </si>
  <si>
    <t>4.3.2   High-bleed pneumatic</t>
  </si>
  <si>
    <t>4.4.2   High-bleed pneumatic</t>
  </si>
  <si>
    <t xml:space="preserve">7.1.26   Remainig gas &gt; Fuel gas demand  </t>
  </si>
  <si>
    <t>1.1 Draft E</t>
  </si>
  <si>
    <t>Changes:  OPGEE v1.1 draft D to OPGEE v1.1 draft E</t>
  </si>
  <si>
    <t>Steam Injection changes</t>
  </si>
  <si>
    <t>Feedwater temperature revised to 140F to account for recycle of hot produced water</t>
  </si>
  <si>
    <t>HRSG exhaust temperature corrected to 350F</t>
  </si>
  <si>
    <t>NOTE: MODIFIED TO RUN CANTARELL FIELD IN MEXICO. SEE CHANGES TO PRODUCTION AND EXTRACTION SHEET, HIGHLIGHTED YELLOW.</t>
  </si>
  <si>
    <t>Cantarell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</si>
</sst>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
    <numFmt numFmtId="165" formatCode="0.0"/>
    <numFmt numFmtId="166" formatCode="0.0000"/>
    <numFmt numFmtId="167" formatCode="0.00000"/>
    <numFmt numFmtId="168" formatCode="0.0000000000"/>
    <numFmt numFmtId="169" formatCode="0.0%"/>
    <numFmt numFmtId="170" formatCode="0.000000000000000000E+00"/>
    <numFmt numFmtId="171" formatCode="0.0E+00"/>
    <numFmt numFmtId="172" formatCode="0.00000E+00"/>
    <numFmt numFmtId="173" formatCode="#,##0.0"/>
    <numFmt numFmtId="174" formatCode="0.000000"/>
    <numFmt numFmtId="175" formatCode="0.000000000"/>
    <numFmt numFmtId="176" formatCode="0.0000%"/>
    <numFmt numFmtId="177" formatCode="#,##0.0000"/>
    <numFmt numFmtId="178" formatCode="#,##0.000"/>
  </numFmts>
  <fonts count="119">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ont>
    <font>
      <b/>
      <sz val="12"/>
      <color theme="1"/>
      <name val="Helvetica"/>
    </font>
    <font>
      <u/>
      <sz val="12"/>
      <color theme="10"/>
      <name val="Gill Sans MT"/>
      <family val="2"/>
      <scheme val="minor"/>
    </font>
    <font>
      <u/>
      <sz val="12"/>
      <color theme="11"/>
      <name val="Gill Sans MT"/>
      <family val="2"/>
      <scheme val="minor"/>
    </font>
    <font>
      <sz val="12"/>
      <color rgb="FFFF0000"/>
      <name val="Helvetica"/>
    </font>
    <font>
      <vertAlign val="superscript"/>
      <sz val="12"/>
      <color theme="1"/>
      <name val="Helvetica"/>
    </font>
    <font>
      <vertAlign val="subscript"/>
      <sz val="12"/>
      <color theme="1"/>
      <name val="Helvetica"/>
    </font>
    <font>
      <sz val="10"/>
      <color theme="1"/>
      <name val="Helvetica"/>
    </font>
    <font>
      <sz val="12"/>
      <name val="Helvetica"/>
    </font>
    <font>
      <sz val="12"/>
      <color theme="1"/>
      <name val="Helvitica"/>
    </font>
    <font>
      <i/>
      <sz val="12"/>
      <color theme="1"/>
      <name val="Helvetica"/>
    </font>
    <font>
      <b/>
      <sz val="12"/>
      <color theme="1"/>
      <name val="Helvitica"/>
    </font>
    <font>
      <i/>
      <u/>
      <sz val="12"/>
      <color theme="1"/>
      <name val="Helvetica"/>
    </font>
    <font>
      <sz val="9"/>
      <color theme="1"/>
      <name val="Helvetica"/>
    </font>
    <font>
      <b/>
      <sz val="12"/>
      <color rgb="FFFF0000"/>
      <name val="Helvetica"/>
    </font>
    <font>
      <sz val="12"/>
      <color theme="0" tint="-0.499984740745262"/>
      <name val="Helvetica"/>
    </font>
    <font>
      <b/>
      <sz val="12"/>
      <color theme="0" tint="-0.499984740745262"/>
      <name val="Helvetica"/>
    </font>
    <font>
      <b/>
      <sz val="10"/>
      <color theme="1"/>
      <name val="Helvetica"/>
    </font>
    <font>
      <sz val="10"/>
      <color theme="0" tint="-0.499984740745262"/>
      <name val="Helvetica"/>
    </font>
    <font>
      <u/>
      <sz val="12"/>
      <color theme="1"/>
      <name val="Helvetica"/>
    </font>
    <font>
      <u/>
      <sz val="12"/>
      <color theme="0" tint="-0.499984740745262"/>
      <name val="Helvetica"/>
    </font>
    <font>
      <sz val="12"/>
      <color rgb="FF000000"/>
      <name val="Helvetica"/>
    </font>
    <font>
      <sz val="10"/>
      <color theme="4" tint="-0.499984740745262"/>
      <name val="Helvetica"/>
    </font>
    <font>
      <sz val="10"/>
      <name val="Arial"/>
      <family val="2"/>
    </font>
    <font>
      <b/>
      <sz val="10"/>
      <name val="Helvetica"/>
    </font>
    <font>
      <b/>
      <sz val="12"/>
      <name val="Helvetica"/>
    </font>
    <font>
      <sz val="11"/>
      <color theme="1"/>
      <name val="Helvetica"/>
    </font>
    <font>
      <i/>
      <sz val="11"/>
      <color theme="1"/>
      <name val="Helvetica"/>
    </font>
    <font>
      <vertAlign val="subscript"/>
      <sz val="11"/>
      <color theme="1"/>
      <name val="Helvetica"/>
    </font>
    <font>
      <i/>
      <u/>
      <sz val="12"/>
      <color theme="1"/>
      <name val="Helvitica"/>
    </font>
    <font>
      <sz val="12"/>
      <color theme="0" tint="-0.34998626667073579"/>
      <name val="Helvetica"/>
    </font>
    <font>
      <b/>
      <sz val="11"/>
      <color theme="1"/>
      <name val="Helvetica"/>
    </font>
    <font>
      <vertAlign val="subscript"/>
      <sz val="12"/>
      <color theme="0" tint="-0.34998626667073579"/>
      <name val="Helvetica"/>
    </font>
    <font>
      <b/>
      <sz val="12"/>
      <color theme="0"/>
      <name val="Helvetica"/>
    </font>
    <font>
      <sz val="12"/>
      <color theme="0" tint="-0.34998626667073579"/>
      <name val="Gill Sans MT"/>
      <family val="2"/>
      <scheme val="minor"/>
    </font>
    <font>
      <sz val="12"/>
      <color rgb="FFFF0000"/>
      <name val="Gill Sans MT"/>
      <family val="2"/>
      <scheme val="minor"/>
    </font>
    <font>
      <sz val="12"/>
      <color theme="0" tint="-0.34998626667073579"/>
      <name val="Helvitica"/>
    </font>
    <font>
      <sz val="12"/>
      <color theme="0" tint="-0.34998626667073579"/>
      <name val="Helvetuca"/>
    </font>
    <font>
      <b/>
      <sz val="16"/>
      <color theme="0"/>
      <name val="Helvetica"/>
    </font>
    <font>
      <i/>
      <sz val="12"/>
      <name val="Helvetica"/>
    </font>
    <font>
      <i/>
      <sz val="12"/>
      <color theme="0" tint="-0.34998626667073579"/>
      <name val="Helvetica"/>
    </font>
    <font>
      <b/>
      <sz val="12"/>
      <color rgb="FFFA7D00"/>
      <name val="Helvetica"/>
      <family val="2"/>
    </font>
    <font>
      <u/>
      <sz val="12"/>
      <color theme="10"/>
      <name val="Helvetica"/>
    </font>
    <font>
      <u/>
      <sz val="12"/>
      <color theme="11"/>
      <name val="Helvetica"/>
      <family val="2"/>
    </font>
    <font>
      <sz val="10"/>
      <color theme="0"/>
      <name val="Helvetica"/>
    </font>
    <font>
      <sz val="10"/>
      <color rgb="FFC00000"/>
      <name val="Helvetica"/>
    </font>
    <font>
      <sz val="10"/>
      <name val="Helvetica"/>
    </font>
    <font>
      <sz val="10"/>
      <color theme="0" tint="-0.34998626667073579"/>
      <name val="Helvetica"/>
    </font>
    <font>
      <vertAlign val="subscript"/>
      <sz val="10"/>
      <color theme="1"/>
      <name val="Helvetica"/>
    </font>
    <font>
      <u/>
      <sz val="10"/>
      <color theme="11"/>
      <name val="Helvetica"/>
    </font>
    <font>
      <sz val="14"/>
      <name val="Helvetica"/>
    </font>
    <font>
      <vertAlign val="superscript"/>
      <sz val="12"/>
      <color theme="0" tint="-0.34998626667073579"/>
      <name val="Helvetica"/>
    </font>
    <font>
      <sz val="10"/>
      <color theme="1"/>
      <name val="Helvetica"/>
      <family val="2"/>
    </font>
    <font>
      <sz val="10"/>
      <color theme="0"/>
      <name val="Helvetica"/>
      <family val="2"/>
    </font>
    <font>
      <sz val="10"/>
      <color theme="0" tint="-0.34998626667073579"/>
      <name val="Helvetica"/>
      <family val="2"/>
    </font>
    <font>
      <sz val="12"/>
      <color rgb="FFFF0000"/>
      <name val="Helvetica"/>
      <family val="2"/>
    </font>
    <font>
      <sz val="12"/>
      <color rgb="FF00B050"/>
      <name val="Helvetica"/>
      <family val="2"/>
    </font>
    <font>
      <sz val="12"/>
      <color theme="0" tint="-0.34998626667073579"/>
      <name val="Helvetica"/>
      <family val="2"/>
    </font>
    <font>
      <b/>
      <sz val="10"/>
      <color theme="0"/>
      <name val="Helvetica"/>
    </font>
    <font>
      <sz val="12"/>
      <color theme="0"/>
      <name val="Helvetica"/>
      <family val="2"/>
    </font>
    <font>
      <sz val="12"/>
      <color theme="1"/>
      <name val="Times New Roman"/>
      <family val="1"/>
    </font>
    <font>
      <sz val="10"/>
      <color rgb="FFFF0000"/>
      <name val="Helvetica"/>
    </font>
    <font>
      <sz val="10"/>
      <color rgb="FF000000"/>
      <name val="Helvetica"/>
    </font>
    <font>
      <vertAlign val="subscript"/>
      <sz val="10"/>
      <color rgb="FF000000"/>
      <name val="Helvetica"/>
    </font>
    <font>
      <b/>
      <sz val="10"/>
      <color rgb="FF000000"/>
      <name val="Helvetica"/>
    </font>
    <font>
      <sz val="11"/>
      <color rgb="FFFF0000"/>
      <name val="Helvetica"/>
    </font>
    <font>
      <i/>
      <sz val="10"/>
      <color theme="0" tint="-0.34998626667073579"/>
      <name val="Helvetica"/>
    </font>
    <font>
      <u/>
      <sz val="12"/>
      <color theme="0" tint="-0.34998626667073579"/>
      <name val="Helvetica"/>
    </font>
    <font>
      <sz val="10"/>
      <name val="Helvetica"/>
      <family val="2"/>
    </font>
    <font>
      <vertAlign val="subscript"/>
      <sz val="10"/>
      <color theme="0"/>
      <name val="Helvetica"/>
    </font>
    <font>
      <u/>
      <sz val="10"/>
      <color theme="1"/>
      <name val="Helvetica"/>
      <family val="2"/>
    </font>
    <font>
      <b/>
      <sz val="16"/>
      <name val="Helvetica"/>
    </font>
    <font>
      <i/>
      <sz val="10"/>
      <name val="Helvetica"/>
      <family val="2"/>
    </font>
    <font>
      <b/>
      <sz val="10"/>
      <color rgb="FFC00000"/>
      <name val="Helvetica"/>
    </font>
    <font>
      <b/>
      <i/>
      <u/>
      <sz val="10"/>
      <color theme="1"/>
      <name val="Helvetica"/>
    </font>
    <font>
      <b/>
      <sz val="12"/>
      <color theme="0" tint="-0.34998626667073579"/>
      <name val="Helvetica"/>
    </font>
    <font>
      <sz val="12"/>
      <name val="Helvetica"/>
      <family val="2"/>
    </font>
    <font>
      <b/>
      <sz val="12"/>
      <color rgb="FF01835F"/>
      <name val="Helvetica"/>
    </font>
    <font>
      <b/>
      <sz val="12"/>
      <color theme="5"/>
      <name val="Helvetica"/>
    </font>
    <font>
      <sz val="10"/>
      <color theme="5"/>
      <name val="Helvetica"/>
    </font>
    <font>
      <b/>
      <sz val="10"/>
      <color theme="5"/>
      <name val="Helvetica"/>
    </font>
    <font>
      <sz val="12"/>
      <color theme="5"/>
      <name val="Helvetica"/>
    </font>
    <font>
      <sz val="8"/>
      <name val="Helvetica"/>
    </font>
    <font>
      <sz val="12"/>
      <name val="Arial"/>
      <family val="2"/>
    </font>
    <font>
      <b/>
      <sz val="11"/>
      <color theme="1"/>
      <name val="Gill Sans MT"/>
      <family val="2"/>
      <scheme val="minor"/>
    </font>
    <font>
      <sz val="10"/>
      <color theme="0" tint="-0.34998626667073579"/>
      <name val="Calibri"/>
      <family val="2"/>
    </font>
    <font>
      <sz val="12"/>
      <color theme="1"/>
      <name val="Calibri"/>
      <family val="2"/>
    </font>
    <font>
      <sz val="10.8"/>
      <color theme="1"/>
      <name val="Helvetica"/>
      <family val="2"/>
    </font>
    <font>
      <vertAlign val="superscript"/>
      <sz val="12"/>
      <name val="Helvetica"/>
    </font>
    <font>
      <sz val="12"/>
      <color theme="1" tint="0.499984740745262"/>
      <name val="Helvetica"/>
    </font>
    <font>
      <sz val="12"/>
      <color theme="8" tint="-0.249977111117893"/>
      <name val="Helvetica"/>
      <family val="2"/>
    </font>
    <font>
      <b/>
      <sz val="12"/>
      <color theme="8" tint="-0.249977111117893"/>
      <name val="Helvetica"/>
    </font>
    <font>
      <sz val="10"/>
      <color theme="1" tint="0.499984740745262"/>
      <name val="Helvetica"/>
    </font>
    <font>
      <sz val="10"/>
      <color rgb="FF8C1515"/>
      <name val="Helvetica"/>
    </font>
    <font>
      <b/>
      <sz val="10"/>
      <color rgb="FF8C1515"/>
      <name val="Helvetica"/>
    </font>
    <font>
      <sz val="12"/>
      <color rgb="FF8C1515"/>
      <name val="Helvetica"/>
      <family val="2"/>
    </font>
    <font>
      <b/>
      <sz val="12"/>
      <color rgb="FF8C1515"/>
      <name val="Helvetica"/>
    </font>
  </fonts>
  <fills count="20">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rgb="FFF2F2F2"/>
      </patternFill>
    </fill>
    <fill>
      <patternFill patternType="solid">
        <fgColor rgb="FFEDE8DD"/>
      </patternFill>
    </fill>
    <fill>
      <patternFill patternType="solid">
        <fgColor theme="0"/>
      </patternFill>
    </fill>
    <fill>
      <patternFill patternType="solid">
        <fgColor theme="0" tint="-0.14999847407452621"/>
        <bgColor indexed="65"/>
      </patternFill>
    </fill>
    <fill>
      <patternFill patternType="solid">
        <fgColor theme="0"/>
        <bgColor rgb="FF000000"/>
      </patternFill>
    </fill>
    <fill>
      <patternFill patternType="solid">
        <fgColor rgb="FFE6B8B7"/>
        <bgColor rgb="FF000000"/>
      </patternFill>
    </fill>
    <fill>
      <patternFill patternType="solid">
        <fgColor theme="5"/>
        <bgColor indexed="64"/>
      </patternFill>
    </fill>
    <fill>
      <patternFill patternType="solid">
        <fgColor theme="5" tint="0.79998168889431442"/>
        <bgColor indexed="64"/>
      </patternFill>
    </fill>
    <fill>
      <patternFill patternType="solid">
        <fgColor theme="8"/>
        <bgColor indexed="64"/>
      </patternFill>
    </fill>
    <fill>
      <patternFill patternType="solid">
        <fgColor theme="6"/>
        <bgColor indexed="64"/>
      </patternFill>
    </fill>
    <fill>
      <patternFill patternType="solid">
        <fgColor theme="0" tint="-0.14999847407452621"/>
        <bgColor indexed="64"/>
      </patternFill>
    </fill>
    <fill>
      <patternFill patternType="solid">
        <fgColor rgb="FFFFFFFF"/>
        <bgColor indexed="64"/>
      </patternFill>
    </fill>
    <fill>
      <patternFill patternType="solid">
        <fgColor rgb="FF009B76"/>
        <bgColor indexed="64"/>
      </patternFill>
    </fill>
    <fill>
      <patternFill patternType="solid">
        <fgColor rgb="FFF5C2C2"/>
        <bgColor indexed="64"/>
      </patternFill>
    </fill>
    <fill>
      <patternFill patternType="solid">
        <fgColor rgb="FFFFFF00"/>
        <bgColor indexed="64"/>
      </patternFill>
    </fill>
    <fill>
      <patternFill patternType="solid">
        <fgColor rgb="FFEAAB00"/>
        <bgColor indexed="64"/>
      </patternFill>
    </fill>
  </fills>
  <borders count="5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theme="1" tint="0.499984740745262"/>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7F7F7F"/>
      </left>
      <right style="thin">
        <color rgb="FF7F7F7F"/>
      </right>
      <top style="thin">
        <color rgb="FF7F7F7F"/>
      </top>
      <bottom style="thin">
        <color rgb="FF7F7F7F"/>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top style="medium">
        <color auto="1"/>
      </top>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medium">
        <color auto="1"/>
      </top>
      <bottom style="medium">
        <color auto="1"/>
      </bottom>
      <diagonal/>
    </border>
  </borders>
  <cellStyleXfs count="1891">
    <xf numFmtId="0" fontId="0" fillId="6" borderId="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60" fillId="10" borderId="1"/>
    <xf numFmtId="0" fontId="55" fillId="10" borderId="1"/>
    <xf numFmtId="0" fontId="100" fillId="5" borderId="1"/>
    <xf numFmtId="0" fontId="22" fillId="2" borderId="1"/>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3" fillId="4" borderId="43" applyNumberFormat="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10" borderId="41"/>
    <xf numFmtId="2" fontId="68" fillId="6" borderId="41"/>
    <xf numFmtId="0" fontId="71" fillId="0" borderId="0" applyNumberFormat="0" applyFill="0" applyBorder="0" applyAlignment="0" applyProtection="0"/>
    <xf numFmtId="165" fontId="29" fillId="7" borderId="41"/>
    <xf numFmtId="0" fontId="29" fillId="6" borderId="41"/>
    <xf numFmtId="165" fontId="101" fillId="11" borderId="41"/>
    <xf numFmtId="0" fontId="101" fillId="6" borderId="41"/>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9" fontId="29" fillId="0" borderId="0" applyFon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65" fillId="6" borderId="0" applyNumberFormat="0" applyFill="0" applyBorder="0" applyAlignment="0" applyProtection="0"/>
    <xf numFmtId="0" fontId="29" fillId="0" borderId="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cellStyleXfs>
  <cellXfs count="1120">
    <xf numFmtId="0" fontId="0" fillId="6" borderId="0" xfId="0"/>
    <xf numFmtId="16" fontId="1" fillId="2" borderId="0" xfId="0" applyNumberFormat="1" applyFont="1" applyFill="1" applyProtection="1">
      <protection locked="0"/>
    </xf>
    <xf numFmtId="174" fontId="1" fillId="2" borderId="0" xfId="0" applyNumberFormat="1" applyFont="1" applyFill="1" applyProtection="1">
      <protection locked="0"/>
    </xf>
    <xf numFmtId="164" fontId="1" fillId="2" borderId="0" xfId="0" applyNumberFormat="1" applyFont="1" applyFill="1" applyProtection="1">
      <protection locked="0"/>
    </xf>
    <xf numFmtId="0" fontId="1" fillId="6" borderId="7" xfId="0" applyFont="1" applyBorder="1" applyProtection="1">
      <protection locked="0"/>
    </xf>
    <xf numFmtId="0" fontId="1" fillId="2" borderId="0" xfId="0" applyFont="1" applyFill="1" applyAlignment="1" applyProtection="1">
      <alignment horizontal="right"/>
      <protection locked="0"/>
    </xf>
    <xf numFmtId="0" fontId="60" fillId="10" borderId="1" xfId="7" applyProtection="1">
      <protection locked="0"/>
    </xf>
    <xf numFmtId="0" fontId="18" fillId="2" borderId="0" xfId="0" applyFont="1" applyFill="1" applyAlignment="1" applyProtection="1">
      <alignment vertical="center"/>
      <protection locked="0"/>
    </xf>
    <xf numFmtId="0" fontId="18" fillId="2" borderId="0" xfId="0" applyFont="1" applyFill="1" applyAlignment="1" applyProtection="1">
      <alignment horizontal="center" vertical="center"/>
      <protection locked="0"/>
    </xf>
    <xf numFmtId="0" fontId="55" fillId="10" borderId="1" xfId="8" applyProtection="1">
      <protection locked="0"/>
    </xf>
    <xf numFmtId="0" fontId="11" fillId="2" borderId="0" xfId="0" applyFont="1" applyFill="1" applyAlignment="1" applyProtection="1">
      <alignment vertical="center"/>
      <protection locked="0"/>
    </xf>
    <xf numFmtId="0" fontId="18" fillId="6" borderId="0" xfId="0" applyFont="1" applyProtection="1">
      <protection locked="0"/>
    </xf>
    <xf numFmtId="0" fontId="11" fillId="6" borderId="0" xfId="0" applyFont="1" applyProtection="1">
      <protection locked="0"/>
    </xf>
    <xf numFmtId="2" fontId="68" fillId="6" borderId="41" xfId="866" applyProtection="1">
      <protection locked="0"/>
    </xf>
    <xf numFmtId="165" fontId="101" fillId="11" borderId="41" xfId="870" applyProtection="1">
      <protection locked="0"/>
    </xf>
    <xf numFmtId="165" fontId="101" fillId="11" borderId="41" xfId="870" applyNumberFormat="1" applyProtection="1">
      <protection locked="0"/>
    </xf>
    <xf numFmtId="0" fontId="88" fillId="6" borderId="0" xfId="0" applyFont="1" applyProtection="1">
      <protection locked="0"/>
    </xf>
    <xf numFmtId="2" fontId="101" fillId="11" borderId="41" xfId="870" applyNumberFormat="1" applyProtection="1">
      <protection locked="0"/>
    </xf>
    <xf numFmtId="0" fontId="88" fillId="2" borderId="0" xfId="0" applyFont="1" applyFill="1" applyAlignment="1" applyProtection="1">
      <alignment vertical="center"/>
      <protection locked="0"/>
    </xf>
    <xf numFmtId="0" fontId="6" fillId="2" borderId="0" xfId="0" applyFont="1" applyFill="1" applyAlignment="1" applyProtection="1">
      <alignment vertical="center"/>
      <protection locked="0"/>
    </xf>
    <xf numFmtId="0" fontId="101" fillId="6" borderId="41" xfId="871" applyProtection="1">
      <protection locked="0"/>
    </xf>
    <xf numFmtId="0" fontId="29" fillId="6" borderId="41" xfId="869" applyProtection="1">
      <protection locked="0"/>
    </xf>
    <xf numFmtId="0" fontId="5" fillId="2" borderId="0" xfId="0" applyFont="1" applyFill="1" applyAlignment="1" applyProtection="1">
      <alignment vertical="center"/>
      <protection locked="0"/>
    </xf>
    <xf numFmtId="0" fontId="74" fillId="2" borderId="0" xfId="0" applyFont="1" applyFill="1" applyAlignment="1" applyProtection="1">
      <alignment vertical="center"/>
      <protection locked="0"/>
    </xf>
    <xf numFmtId="0" fontId="32" fillId="2" borderId="0" xfId="0" applyFont="1" applyFill="1" applyAlignment="1" applyProtection="1">
      <alignment vertical="center"/>
      <protection locked="0"/>
    </xf>
    <xf numFmtId="0" fontId="52" fillId="2" borderId="0" xfId="0" applyFont="1" applyFill="1" applyAlignment="1" applyProtection="1">
      <alignment vertical="center"/>
      <protection locked="0"/>
    </xf>
    <xf numFmtId="0" fontId="6" fillId="2" borderId="0" xfId="8" applyFont="1" applyFill="1" applyBorder="1" applyProtection="1">
      <protection locked="0"/>
    </xf>
    <xf numFmtId="0" fontId="18" fillId="2" borderId="0" xfId="8" applyFont="1" applyFill="1" applyBorder="1" applyProtection="1">
      <protection locked="0"/>
    </xf>
    <xf numFmtId="0" fontId="23" fillId="2" borderId="0" xfId="8" applyFont="1" applyFill="1" applyBorder="1" applyProtection="1">
      <protection locked="0"/>
    </xf>
    <xf numFmtId="0" fontId="29" fillId="0" borderId="0" xfId="8" applyFont="1" applyFill="1" applyBorder="1" applyProtection="1">
      <protection locked="0"/>
    </xf>
    <xf numFmtId="0" fontId="6" fillId="6" borderId="0" xfId="0" applyFont="1" applyProtection="1">
      <protection locked="0"/>
    </xf>
    <xf numFmtId="0" fontId="0" fillId="6" borderId="41" xfId="869" applyFont="1" applyProtection="1">
      <protection locked="0"/>
    </xf>
    <xf numFmtId="0" fontId="9" fillId="2" borderId="0" xfId="0" applyFont="1" applyFill="1" applyAlignment="1" applyProtection="1">
      <alignment vertical="center"/>
      <protection locked="0"/>
    </xf>
    <xf numFmtId="0" fontId="3" fillId="2" borderId="0" xfId="0" applyFont="1" applyFill="1" applyAlignment="1" applyProtection="1">
      <alignment vertical="center"/>
      <protection locked="0"/>
    </xf>
    <xf numFmtId="0" fontId="68" fillId="0" borderId="41" xfId="869" applyFont="1" applyFill="1" applyProtection="1">
      <protection locked="0"/>
    </xf>
    <xf numFmtId="165" fontId="101" fillId="6" borderId="41" xfId="871" applyNumberFormat="1" applyProtection="1">
      <protection locked="0"/>
    </xf>
    <xf numFmtId="0" fontId="30" fillId="2" borderId="0" xfId="0" applyFont="1" applyFill="1" applyAlignment="1" applyProtection="1">
      <alignment vertical="center"/>
      <protection locked="0"/>
    </xf>
    <xf numFmtId="165" fontId="18" fillId="0" borderId="37" xfId="9" applyNumberFormat="1" applyFont="1" applyFill="1" applyBorder="1" applyProtection="1">
      <protection locked="0"/>
    </xf>
    <xf numFmtId="165" fontId="18" fillId="0" borderId="37" xfId="0" applyNumberFormat="1" applyFont="1" applyFill="1" applyBorder="1" applyAlignment="1" applyProtection="1">
      <alignment vertical="center"/>
      <protection locked="0"/>
    </xf>
    <xf numFmtId="165" fontId="29" fillId="6" borderId="41" xfId="869" applyNumberFormat="1" applyProtection="1">
      <protection locked="0"/>
    </xf>
    <xf numFmtId="0" fontId="61" fillId="2" borderId="0" xfId="0" applyFont="1" applyFill="1" applyAlignment="1" applyProtection="1">
      <alignment vertical="center"/>
      <protection locked="0"/>
    </xf>
    <xf numFmtId="0" fontId="26" fillId="2" borderId="0" xfId="0" applyFont="1" applyFill="1" applyAlignment="1" applyProtection="1">
      <alignment vertical="center"/>
      <protection locked="0"/>
    </xf>
    <xf numFmtId="0" fontId="10" fillId="2" borderId="0" xfId="0" applyFont="1" applyFill="1" applyAlignment="1" applyProtection="1">
      <alignment vertical="center"/>
      <protection locked="0"/>
    </xf>
    <xf numFmtId="0" fontId="29" fillId="2" borderId="36" xfId="9" applyFont="1" applyFill="1" applyBorder="1" applyProtection="1">
      <protection locked="0"/>
    </xf>
    <xf numFmtId="0" fontId="18" fillId="2" borderId="36" xfId="0" applyFont="1" applyFill="1" applyBorder="1" applyAlignment="1" applyProtection="1">
      <alignment vertical="center"/>
      <protection locked="0"/>
    </xf>
    <xf numFmtId="0" fontId="23" fillId="2" borderId="0" xfId="9" applyFont="1" applyFill="1" applyBorder="1" applyProtection="1">
      <protection locked="0"/>
    </xf>
    <xf numFmtId="0" fontId="18" fillId="2" borderId="0" xfId="0" applyFont="1" applyFill="1" applyBorder="1" applyAlignment="1" applyProtection="1">
      <alignment vertical="center"/>
      <protection locked="0"/>
    </xf>
    <xf numFmtId="0" fontId="23" fillId="2" borderId="1" xfId="9" applyFont="1" applyFill="1" applyBorder="1" applyProtection="1">
      <protection locked="0"/>
    </xf>
    <xf numFmtId="0" fontId="68" fillId="6" borderId="41" xfId="869" applyFont="1" applyProtection="1">
      <protection locked="0"/>
    </xf>
    <xf numFmtId="165" fontId="68" fillId="0" borderId="41" xfId="869" applyNumberFormat="1" applyFont="1" applyFill="1" applyProtection="1">
      <protection locked="0"/>
    </xf>
    <xf numFmtId="1" fontId="29" fillId="6" borderId="41" xfId="869" applyNumberFormat="1" applyProtection="1">
      <protection locked="0"/>
    </xf>
    <xf numFmtId="0" fontId="15" fillId="2" borderId="0" xfId="0" applyFont="1" applyFill="1" applyAlignment="1" applyProtection="1">
      <alignment vertical="center"/>
      <protection locked="0"/>
    </xf>
    <xf numFmtId="165" fontId="101" fillId="6" borderId="36" xfId="871" applyNumberFormat="1" applyBorder="1" applyProtection="1">
      <protection locked="0"/>
    </xf>
    <xf numFmtId="165" fontId="29" fillId="6" borderId="36" xfId="869" applyNumberFormat="1" applyBorder="1" applyProtection="1">
      <protection locked="0"/>
    </xf>
    <xf numFmtId="165" fontId="101" fillId="6" borderId="0" xfId="871" applyNumberFormat="1" applyBorder="1" applyProtection="1">
      <protection locked="0"/>
    </xf>
    <xf numFmtId="165" fontId="29" fillId="6" borderId="0" xfId="869" applyNumberFormat="1" applyBorder="1" applyProtection="1">
      <protection locked="0"/>
    </xf>
    <xf numFmtId="0" fontId="3" fillId="2" borderId="0" xfId="0" applyFont="1" applyFill="1" applyProtection="1">
      <protection locked="0"/>
    </xf>
    <xf numFmtId="165" fontId="101" fillId="6" borderId="1" xfId="871" applyNumberFormat="1" applyBorder="1" applyProtection="1">
      <protection locked="0"/>
    </xf>
    <xf numFmtId="165" fontId="29" fillId="6" borderId="1" xfId="869" applyNumberFormat="1" applyBorder="1" applyProtection="1">
      <protection locked="0"/>
    </xf>
    <xf numFmtId="0" fontId="13" fillId="2" borderId="0" xfId="0" applyFont="1" applyFill="1" applyProtection="1">
      <protection locked="0"/>
    </xf>
    <xf numFmtId="1" fontId="101" fillId="6" borderId="41" xfId="871" applyNumberFormat="1" applyProtection="1">
      <protection locked="0"/>
    </xf>
    <xf numFmtId="165" fontId="101" fillId="6" borderId="37" xfId="871" applyNumberFormat="1" applyBorder="1" applyProtection="1">
      <protection locked="0"/>
    </xf>
    <xf numFmtId="165" fontId="29" fillId="6" borderId="37" xfId="869" applyNumberFormat="1" applyBorder="1" applyProtection="1">
      <protection locked="0"/>
    </xf>
    <xf numFmtId="0" fontId="3" fillId="2" borderId="0" xfId="0" applyFont="1" applyFill="1" applyBorder="1" applyProtection="1">
      <protection locked="0"/>
    </xf>
    <xf numFmtId="0" fontId="13" fillId="2" borderId="0" xfId="0" applyFont="1" applyFill="1" applyBorder="1" applyProtection="1">
      <protection locked="0"/>
    </xf>
    <xf numFmtId="0" fontId="30" fillId="2" borderId="0" xfId="0" applyFont="1" applyFill="1" applyBorder="1" applyAlignment="1" applyProtection="1">
      <alignment vertical="center"/>
      <protection locked="0"/>
    </xf>
    <xf numFmtId="165" fontId="29" fillId="0" borderId="0" xfId="869" applyNumberFormat="1" applyFill="1" applyBorder="1" applyProtection="1">
      <protection locked="0"/>
    </xf>
    <xf numFmtId="0" fontId="22" fillId="2" borderId="0" xfId="0" applyFont="1" applyFill="1" applyAlignment="1" applyProtection="1">
      <alignment vertical="center"/>
      <protection locked="0"/>
    </xf>
    <xf numFmtId="0" fontId="23" fillId="0" borderId="0" xfId="9" applyFont="1" applyFill="1" applyBorder="1" applyProtection="1">
      <protection locked="0"/>
    </xf>
    <xf numFmtId="0" fontId="32" fillId="6" borderId="0" xfId="0" applyFont="1" applyProtection="1">
      <protection locked="0"/>
    </xf>
    <xf numFmtId="0" fontId="64" fillId="0" borderId="0" xfId="161" applyFont="1" applyProtection="1">
      <protection locked="0"/>
    </xf>
    <xf numFmtId="0" fontId="18" fillId="6" borderId="7" xfId="0" applyFont="1" applyBorder="1" applyProtection="1">
      <protection locked="0"/>
    </xf>
    <xf numFmtId="0" fontId="52" fillId="6" borderId="0" xfId="0" applyFont="1" applyProtection="1">
      <protection locked="0"/>
    </xf>
    <xf numFmtId="0" fontId="13" fillId="6" borderId="0" xfId="0" applyFont="1" applyProtection="1">
      <protection locked="0"/>
    </xf>
    <xf numFmtId="0" fontId="18" fillId="6" borderId="0" xfId="0" applyFont="1" applyBorder="1" applyProtection="1">
      <protection locked="0"/>
    </xf>
    <xf numFmtId="166" fontId="101" fillId="11" borderId="41" xfId="870" applyNumberFormat="1" applyProtection="1">
      <protection locked="0"/>
    </xf>
    <xf numFmtId="0" fontId="30" fillId="6" borderId="0" xfId="0" applyFont="1" applyProtection="1">
      <protection locked="0"/>
    </xf>
    <xf numFmtId="0" fontId="30" fillId="6" borderId="7" xfId="0" applyFont="1" applyBorder="1" applyProtection="1">
      <protection locked="0"/>
    </xf>
    <xf numFmtId="0" fontId="26" fillId="6" borderId="0" xfId="0" applyFont="1" applyProtection="1">
      <protection locked="0"/>
    </xf>
    <xf numFmtId="2" fontId="18" fillId="6" borderId="0" xfId="0" applyNumberFormat="1" applyFont="1" applyProtection="1">
      <protection locked="0"/>
    </xf>
    <xf numFmtId="0" fontId="78" fillId="6" borderId="0" xfId="0" applyFont="1" applyProtection="1">
      <protection locked="0"/>
    </xf>
    <xf numFmtId="2" fontId="101" fillId="11" borderId="41" xfId="870" quotePrefix="1" applyNumberFormat="1" applyProtection="1">
      <protection locked="0"/>
    </xf>
    <xf numFmtId="0" fontId="30" fillId="6" borderId="0" xfId="0" applyFont="1" applyBorder="1" applyProtection="1">
      <protection locked="0"/>
    </xf>
    <xf numFmtId="166" fontId="78" fillId="6" borderId="0" xfId="0" applyNumberFormat="1" applyFont="1" applyProtection="1">
      <protection locked="0"/>
    </xf>
    <xf numFmtId="0" fontId="77" fillId="6" borderId="0" xfId="0" applyFont="1" applyProtection="1">
      <protection locked="0"/>
    </xf>
    <xf numFmtId="166" fontId="18" fillId="6" borderId="0" xfId="0" applyNumberFormat="1" applyFont="1" applyProtection="1">
      <protection locked="0"/>
    </xf>
    <xf numFmtId="0" fontId="4" fillId="6" borderId="0" xfId="0" applyFont="1" applyProtection="1">
      <protection locked="0"/>
    </xf>
    <xf numFmtId="0" fontId="3" fillId="6" borderId="0" xfId="0" applyFont="1" applyProtection="1">
      <protection locked="0"/>
    </xf>
    <xf numFmtId="0" fontId="79" fillId="6" borderId="0" xfId="0" applyFont="1" applyProtection="1">
      <protection locked="0"/>
    </xf>
    <xf numFmtId="2" fontId="101" fillId="0" borderId="36" xfId="870" applyNumberFormat="1" applyFill="1" applyBorder="1" applyProtection="1">
      <protection locked="0"/>
    </xf>
    <xf numFmtId="0" fontId="18" fillId="6" borderId="37" xfId="0" applyFont="1" applyBorder="1" applyProtection="1">
      <protection locked="0"/>
    </xf>
    <xf numFmtId="0" fontId="23" fillId="6" borderId="0" xfId="0" applyFont="1" applyProtection="1">
      <protection locked="0"/>
    </xf>
    <xf numFmtId="0" fontId="12" fillId="6" borderId="0" xfId="0" applyFont="1" applyProtection="1">
      <protection locked="0"/>
    </xf>
    <xf numFmtId="0" fontId="22" fillId="6" borderId="0" xfId="0" applyFont="1" applyProtection="1">
      <protection locked="0"/>
    </xf>
    <xf numFmtId="0" fontId="22" fillId="0" borderId="0" xfId="0" applyFont="1" applyFill="1" applyProtection="1">
      <protection locked="0"/>
    </xf>
    <xf numFmtId="0" fontId="17" fillId="6" borderId="0" xfId="0" applyFont="1" applyProtection="1">
      <protection locked="0"/>
    </xf>
    <xf numFmtId="0" fontId="9" fillId="6" borderId="0" xfId="0" applyFont="1" applyProtection="1">
      <protection locked="0"/>
    </xf>
    <xf numFmtId="0" fontId="81" fillId="10" borderId="1" xfId="8" applyFont="1" applyProtection="1">
      <protection locked="0"/>
    </xf>
    <xf numFmtId="0" fontId="100" fillId="5" borderId="1" xfId="9" applyProtection="1">
      <protection locked="0"/>
    </xf>
    <xf numFmtId="0" fontId="18" fillId="2" borderId="0" xfId="0" applyFont="1" applyFill="1" applyProtection="1">
      <protection locked="0"/>
    </xf>
    <xf numFmtId="0" fontId="12" fillId="2" borderId="0" xfId="0" applyFont="1" applyFill="1" applyProtection="1">
      <protection locked="0"/>
    </xf>
    <xf numFmtId="0" fontId="16" fillId="2" borderId="0" xfId="0" applyFont="1" applyFill="1" applyProtection="1">
      <protection locked="0"/>
    </xf>
    <xf numFmtId="0" fontId="0" fillId="6" borderId="0" xfId="0" applyProtection="1">
      <protection locked="0"/>
    </xf>
    <xf numFmtId="0" fontId="18" fillId="2" borderId="0" xfId="0" applyFont="1" applyFill="1" applyAlignment="1" applyProtection="1">
      <alignment horizontal="left"/>
      <protection locked="0"/>
    </xf>
    <xf numFmtId="0" fontId="17" fillId="2" borderId="0" xfId="0" applyFont="1" applyFill="1" applyAlignment="1" applyProtection="1">
      <alignment vertical="center"/>
      <protection locked="0"/>
    </xf>
    <xf numFmtId="0" fontId="23" fillId="2" borderId="0" xfId="0" applyFont="1" applyFill="1" applyProtection="1">
      <protection locked="0"/>
    </xf>
    <xf numFmtId="0" fontId="66" fillId="10" borderId="41" xfId="865" applyProtection="1">
      <protection locked="0"/>
    </xf>
    <xf numFmtId="0" fontId="18" fillId="2" borderId="0" xfId="0" applyFont="1" applyFill="1" applyAlignment="1" applyProtection="1">
      <alignment vertical="center" wrapText="1"/>
      <protection locked="0"/>
    </xf>
    <xf numFmtId="165" fontId="68" fillId="6" borderId="41" xfId="866" applyNumberFormat="1" applyProtection="1">
      <protection locked="0"/>
    </xf>
    <xf numFmtId="2" fontId="68" fillId="6" borderId="41" xfId="866" applyAlignment="1" applyProtection="1">
      <alignment horizontal="center" vertical="center" wrapText="1"/>
      <protection locked="0"/>
    </xf>
    <xf numFmtId="0" fontId="18" fillId="2" borderId="0" xfId="0" applyFont="1" applyFill="1" applyBorder="1" applyAlignment="1" applyProtection="1">
      <alignment horizontal="center" vertical="center" wrapText="1"/>
      <protection locked="0"/>
    </xf>
    <xf numFmtId="0" fontId="18" fillId="2" borderId="0" xfId="0" applyFont="1" applyFill="1" applyBorder="1" applyAlignment="1" applyProtection="1">
      <alignment vertical="center" wrapText="1"/>
      <protection locked="0"/>
    </xf>
    <xf numFmtId="0" fontId="18" fillId="2" borderId="0" xfId="0" applyFont="1" applyFill="1" applyAlignment="1" applyProtection="1">
      <alignment horizontal="center" vertical="center" wrapText="1"/>
      <protection locked="0"/>
    </xf>
    <xf numFmtId="0" fontId="9" fillId="2" borderId="0" xfId="0" applyFont="1" applyFill="1" applyAlignment="1" applyProtection="1">
      <alignment vertical="center" wrapText="1"/>
      <protection locked="0"/>
    </xf>
    <xf numFmtId="2" fontId="68" fillId="2" borderId="41" xfId="866" applyFill="1" applyProtection="1">
      <protection locked="0"/>
    </xf>
    <xf numFmtId="0" fontId="0" fillId="2" borderId="0" xfId="0" applyFill="1" applyProtection="1">
      <protection locked="0"/>
    </xf>
    <xf numFmtId="0" fontId="39" fillId="6" borderId="0" xfId="0" applyFont="1" applyProtection="1">
      <protection locked="0"/>
    </xf>
    <xf numFmtId="0" fontId="0" fillId="2" borderId="0" xfId="0" applyFont="1" applyFill="1" applyAlignment="1" applyProtection="1">
      <alignment vertical="center"/>
      <protection locked="0"/>
    </xf>
    <xf numFmtId="0" fontId="74" fillId="6" borderId="0" xfId="0" applyFont="1" applyProtection="1">
      <protection locked="0"/>
    </xf>
    <xf numFmtId="0" fontId="0" fillId="6" borderId="0" xfId="0" applyFont="1" applyProtection="1">
      <protection locked="0"/>
    </xf>
    <xf numFmtId="0" fontId="68" fillId="2" borderId="0" xfId="0" applyFont="1" applyFill="1" applyAlignment="1" applyProtection="1">
      <alignment vertical="center"/>
      <protection locked="0"/>
    </xf>
    <xf numFmtId="0" fontId="94" fillId="2" borderId="0" xfId="0" applyFont="1" applyFill="1" applyAlignment="1" applyProtection="1">
      <alignment vertical="center"/>
      <protection locked="0"/>
    </xf>
    <xf numFmtId="2" fontId="101" fillId="6" borderId="41" xfId="871" applyNumberFormat="1" applyProtection="1">
      <protection locked="0"/>
    </xf>
    <xf numFmtId="0" fontId="101" fillId="6" borderId="0" xfId="871" applyBorder="1" applyProtection="1">
      <protection locked="0"/>
    </xf>
    <xf numFmtId="0" fontId="74" fillId="2" borderId="0" xfId="0" applyFont="1" applyFill="1" applyBorder="1" applyProtection="1">
      <protection locked="0"/>
    </xf>
    <xf numFmtId="0" fontId="101" fillId="6" borderId="37" xfId="871" applyBorder="1" applyProtection="1">
      <protection locked="0"/>
    </xf>
    <xf numFmtId="0" fontId="68" fillId="6" borderId="0" xfId="0" applyFont="1" applyProtection="1">
      <protection locked="0"/>
    </xf>
    <xf numFmtId="0" fontId="95" fillId="6" borderId="0" xfId="0" applyFont="1" applyProtection="1">
      <protection locked="0"/>
    </xf>
    <xf numFmtId="0" fontId="96" fillId="6" borderId="0" xfId="0" applyFont="1" applyProtection="1">
      <protection locked="0"/>
    </xf>
    <xf numFmtId="0" fontId="29" fillId="6" borderId="36" xfId="0" applyFont="1" applyBorder="1" applyProtection="1">
      <protection locked="0"/>
    </xf>
    <xf numFmtId="0" fontId="29" fillId="6" borderId="38" xfId="0" applyFont="1" applyBorder="1" applyProtection="1">
      <protection locked="0"/>
    </xf>
    <xf numFmtId="0" fontId="29" fillId="6" borderId="7" xfId="0" applyFont="1" applyBorder="1" applyProtection="1">
      <protection locked="0"/>
    </xf>
    <xf numFmtId="0" fontId="29" fillId="6" borderId="0" xfId="0" applyFont="1" applyBorder="1" applyProtection="1">
      <protection locked="0"/>
    </xf>
    <xf numFmtId="1" fontId="29" fillId="6" borderId="11" xfId="0" applyNumberFormat="1" applyFont="1" applyBorder="1" applyProtection="1">
      <protection locked="0"/>
    </xf>
    <xf numFmtId="1" fontId="29" fillId="6" borderId="11" xfId="0" applyNumberFormat="1" applyFont="1" applyBorder="1" applyAlignment="1" applyProtection="1">
      <alignment horizontal="left"/>
      <protection locked="0"/>
    </xf>
    <xf numFmtId="0" fontId="29" fillId="6" borderId="1" xfId="0" applyFont="1" applyBorder="1" applyProtection="1">
      <protection locked="0"/>
    </xf>
    <xf numFmtId="1" fontId="29" fillId="6" borderId="12" xfId="0" applyNumberFormat="1" applyFont="1" applyBorder="1" applyAlignment="1" applyProtection="1">
      <alignment horizontal="left"/>
      <protection locked="0"/>
    </xf>
    <xf numFmtId="1" fontId="29" fillId="6" borderId="0" xfId="0" applyNumberFormat="1" applyFont="1" applyBorder="1" applyAlignment="1" applyProtection="1">
      <alignment horizontal="left"/>
      <protection locked="0"/>
    </xf>
    <xf numFmtId="0" fontId="29" fillId="6" borderId="14" xfId="0" applyFont="1" applyBorder="1" applyProtection="1">
      <protection locked="0"/>
    </xf>
    <xf numFmtId="0" fontId="29" fillId="6" borderId="9" xfId="0" applyFont="1" applyBorder="1" applyProtection="1">
      <protection locked="0"/>
    </xf>
    <xf numFmtId="0" fontId="29" fillId="6" borderId="2" xfId="0" applyFont="1" applyBorder="1" applyProtection="1">
      <protection locked="0"/>
    </xf>
    <xf numFmtId="0" fontId="29" fillId="6" borderId="13" xfId="0" applyFont="1" applyBorder="1" applyAlignment="1" applyProtection="1">
      <alignment horizontal="left"/>
      <protection locked="0"/>
    </xf>
    <xf numFmtId="0" fontId="76" fillId="6" borderId="0" xfId="0" applyFont="1" applyProtection="1">
      <protection locked="0"/>
    </xf>
    <xf numFmtId="0" fontId="39" fillId="6" borderId="39" xfId="0" applyFont="1" applyBorder="1" applyProtection="1">
      <protection locked="0"/>
    </xf>
    <xf numFmtId="0" fontId="29" fillId="6" borderId="37" xfId="0" applyFont="1" applyBorder="1" applyProtection="1">
      <protection locked="0"/>
    </xf>
    <xf numFmtId="0" fontId="29" fillId="6" borderId="40" xfId="0" applyFont="1" applyBorder="1" applyProtection="1">
      <protection locked="0"/>
    </xf>
    <xf numFmtId="165" fontId="46" fillId="2" borderId="1" xfId="9" applyNumberFormat="1" applyFont="1" applyFill="1" applyProtection="1">
      <protection locked="0"/>
    </xf>
    <xf numFmtId="0" fontId="0" fillId="6" borderId="41" xfId="0" applyFont="1" applyBorder="1" applyProtection="1">
      <protection locked="0"/>
    </xf>
    <xf numFmtId="165" fontId="29" fillId="6" borderId="41" xfId="0" applyNumberFormat="1" applyFont="1" applyBorder="1" applyProtection="1">
      <protection locked="0"/>
    </xf>
    <xf numFmtId="0" fontId="29" fillId="6" borderId="41" xfId="0" applyFont="1" applyBorder="1" applyProtection="1">
      <protection locked="0"/>
    </xf>
    <xf numFmtId="0" fontId="39" fillId="6" borderId="13" xfId="0" applyFont="1" applyBorder="1" applyAlignment="1" applyProtection="1">
      <alignment horizontal="left"/>
      <protection locked="0"/>
    </xf>
    <xf numFmtId="0" fontId="0" fillId="6" borderId="2" xfId="0" applyFont="1" applyBorder="1" applyProtection="1">
      <protection locked="0"/>
    </xf>
    <xf numFmtId="0" fontId="29" fillId="6" borderId="30" xfId="0" applyFont="1" applyBorder="1" applyProtection="1">
      <protection locked="0"/>
    </xf>
    <xf numFmtId="0" fontId="29" fillId="6" borderId="32" xfId="0" applyFont="1" applyBorder="1" applyAlignment="1" applyProtection="1">
      <alignment horizontal="left"/>
      <protection locked="0"/>
    </xf>
    <xf numFmtId="0" fontId="29" fillId="6" borderId="32" xfId="0" applyFont="1" applyBorder="1" applyProtection="1">
      <protection locked="0"/>
    </xf>
    <xf numFmtId="0" fontId="29" fillId="6" borderId="31" xfId="0" applyFont="1" applyBorder="1" applyAlignment="1" applyProtection="1">
      <alignment horizontal="left"/>
      <protection locked="0"/>
    </xf>
    <xf numFmtId="165" fontId="29" fillId="6" borderId="2" xfId="0" applyNumberFormat="1" applyFont="1" applyBorder="1" applyProtection="1">
      <protection locked="0"/>
    </xf>
    <xf numFmtId="1" fontId="29" fillId="6" borderId="2" xfId="0" applyNumberFormat="1" applyFont="1" applyBorder="1" applyProtection="1">
      <protection locked="0"/>
    </xf>
    <xf numFmtId="0" fontId="29" fillId="6" borderId="31" xfId="0" applyFont="1" applyBorder="1" applyProtection="1">
      <protection locked="0"/>
    </xf>
    <xf numFmtId="165" fontId="29" fillId="0" borderId="2" xfId="0" applyNumberFormat="1" applyFont="1" applyFill="1" applyBorder="1" applyProtection="1">
      <protection locked="0"/>
    </xf>
    <xf numFmtId="0" fontId="29" fillId="6" borderId="13" xfId="0" applyFont="1" applyBorder="1" applyProtection="1">
      <protection locked="0"/>
    </xf>
    <xf numFmtId="0" fontId="29" fillId="6" borderId="39" xfId="0" applyFont="1" applyBorder="1" applyProtection="1">
      <protection locked="0"/>
    </xf>
    <xf numFmtId="165" fontId="29" fillId="0" borderId="39" xfId="0" applyNumberFormat="1" applyFont="1" applyFill="1" applyBorder="1" applyProtection="1">
      <protection locked="0"/>
    </xf>
    <xf numFmtId="165" fontId="29" fillId="6" borderId="30" xfId="0" applyNumberFormat="1" applyFont="1" applyBorder="1" applyProtection="1">
      <protection locked="0"/>
    </xf>
    <xf numFmtId="0" fontId="39" fillId="6" borderId="13" xfId="0" applyFont="1" applyBorder="1" applyProtection="1">
      <protection locked="0"/>
    </xf>
    <xf numFmtId="2" fontId="29" fillId="6" borderId="2" xfId="0" applyNumberFormat="1" applyFont="1" applyBorder="1" applyProtection="1">
      <protection locked="0"/>
    </xf>
    <xf numFmtId="0" fontId="29" fillId="6" borderId="0" xfId="0" applyFont="1" applyProtection="1">
      <protection locked="0"/>
    </xf>
    <xf numFmtId="0" fontId="39" fillId="2" borderId="39" xfId="0" applyFont="1" applyFill="1" applyBorder="1" applyProtection="1">
      <protection locked="0"/>
    </xf>
    <xf numFmtId="0" fontId="29" fillId="2" borderId="37" xfId="0" applyFont="1" applyFill="1" applyBorder="1" applyProtection="1">
      <protection locked="0"/>
    </xf>
    <xf numFmtId="0" fontId="29" fillId="2" borderId="40" xfId="0" applyFont="1" applyFill="1" applyBorder="1" applyProtection="1">
      <protection locked="0"/>
    </xf>
    <xf numFmtId="0" fontId="29" fillId="2" borderId="39" xfId="0" applyFont="1" applyFill="1" applyBorder="1" applyProtection="1">
      <protection locked="0"/>
    </xf>
    <xf numFmtId="0" fontId="74" fillId="2" borderId="41" xfId="0" applyFont="1" applyFill="1" applyBorder="1" applyProtection="1">
      <protection locked="0"/>
    </xf>
    <xf numFmtId="0" fontId="29" fillId="2" borderId="41" xfId="0" applyFont="1" applyFill="1" applyBorder="1" applyProtection="1">
      <protection locked="0"/>
    </xf>
    <xf numFmtId="165" fontId="39" fillId="6" borderId="41" xfId="0" applyNumberFormat="1" applyFont="1" applyBorder="1" applyProtection="1">
      <protection locked="0"/>
    </xf>
    <xf numFmtId="0" fontId="74" fillId="6" borderId="0" xfId="0" applyFont="1" applyBorder="1" applyProtection="1">
      <protection locked="0"/>
    </xf>
    <xf numFmtId="165" fontId="74" fillId="6" borderId="0" xfId="0" applyNumberFormat="1" applyFont="1" applyBorder="1" applyProtection="1">
      <protection locked="0"/>
    </xf>
    <xf numFmtId="0" fontId="29" fillId="2" borderId="0" xfId="0" applyFont="1" applyFill="1" applyBorder="1" applyProtection="1">
      <protection locked="0"/>
    </xf>
    <xf numFmtId="0" fontId="23" fillId="6" borderId="0" xfId="0" applyFont="1" applyBorder="1" applyAlignment="1" applyProtection="1">
      <protection locked="0"/>
    </xf>
    <xf numFmtId="165" fontId="101" fillId="0" borderId="36" xfId="870" applyFill="1" applyBorder="1" applyProtection="1">
      <protection locked="0"/>
    </xf>
    <xf numFmtId="0" fontId="75" fillId="10" borderId="41" xfId="865" applyFont="1" applyProtection="1">
      <protection locked="0"/>
    </xf>
    <xf numFmtId="0" fontId="76" fillId="6" borderId="0" xfId="0" quotePrefix="1" applyFont="1" applyProtection="1">
      <protection locked="0"/>
    </xf>
    <xf numFmtId="0" fontId="53" fillId="6" borderId="0" xfId="0" applyFont="1" applyProtection="1">
      <protection locked="0"/>
    </xf>
    <xf numFmtId="0" fontId="13" fillId="6" borderId="0" xfId="0" applyFont="1" applyBorder="1" applyProtection="1">
      <protection locked="0"/>
    </xf>
    <xf numFmtId="2" fontId="18" fillId="6" borderId="0" xfId="0" applyNumberFormat="1" applyFont="1" applyBorder="1" applyProtection="1">
      <protection locked="0"/>
    </xf>
    <xf numFmtId="0" fontId="69" fillId="6" borderId="0" xfId="0" applyFont="1" applyProtection="1">
      <protection locked="0"/>
    </xf>
    <xf numFmtId="165" fontId="67" fillId="11" borderId="41" xfId="870" applyFont="1" applyProtection="1">
      <protection locked="0"/>
    </xf>
    <xf numFmtId="0" fontId="74" fillId="6" borderId="41" xfId="0" applyFont="1" applyBorder="1" applyProtection="1">
      <protection locked="0"/>
    </xf>
    <xf numFmtId="0" fontId="76" fillId="6" borderId="0" xfId="0" applyFont="1" applyBorder="1" applyProtection="1">
      <protection locked="0"/>
    </xf>
    <xf numFmtId="165" fontId="67" fillId="0" borderId="0" xfId="870" applyFont="1" applyFill="1" applyBorder="1" applyProtection="1">
      <protection locked="0"/>
    </xf>
    <xf numFmtId="0" fontId="92" fillId="6" borderId="20" xfId="0" applyFont="1" applyBorder="1" applyProtection="1">
      <protection locked="0"/>
    </xf>
    <xf numFmtId="0" fontId="92" fillId="6" borderId="46" xfId="0" applyFont="1" applyBorder="1" applyProtection="1">
      <protection locked="0"/>
    </xf>
    <xf numFmtId="0" fontId="74" fillId="6" borderId="46" xfId="0" applyFont="1" applyBorder="1" applyProtection="1">
      <protection locked="0"/>
    </xf>
    <xf numFmtId="0" fontId="74" fillId="6" borderId="21" xfId="0" applyFont="1" applyBorder="1" applyProtection="1">
      <protection locked="0"/>
    </xf>
    <xf numFmtId="0" fontId="74" fillId="6" borderId="19" xfId="0" applyFont="1" applyBorder="1" applyProtection="1">
      <protection locked="0"/>
    </xf>
    <xf numFmtId="0" fontId="74" fillId="6" borderId="22" xfId="0" applyFont="1" applyBorder="1" applyProtection="1">
      <protection locked="0"/>
    </xf>
    <xf numFmtId="0" fontId="74" fillId="6" borderId="23" xfId="0" applyFont="1" applyBorder="1" applyProtection="1">
      <protection locked="0"/>
    </xf>
    <xf numFmtId="0" fontId="74" fillId="6" borderId="33" xfId="0" applyFont="1" applyBorder="1" applyProtection="1">
      <protection locked="0"/>
    </xf>
    <xf numFmtId="0" fontId="74" fillId="6" borderId="24" xfId="0" applyFont="1" applyBorder="1" applyProtection="1">
      <protection locked="0"/>
    </xf>
    <xf numFmtId="0" fontId="66" fillId="10" borderId="39" xfId="865" applyBorder="1" applyAlignment="1" applyProtection="1">
      <protection locked="0"/>
    </xf>
    <xf numFmtId="0" fontId="66" fillId="10" borderId="37" xfId="865" applyBorder="1" applyAlignment="1" applyProtection="1">
      <protection locked="0"/>
    </xf>
    <xf numFmtId="0" fontId="80" fillId="10" borderId="41" xfId="865" applyFont="1" applyBorder="1" applyAlignment="1" applyProtection="1">
      <protection locked="0"/>
    </xf>
    <xf numFmtId="0" fontId="69" fillId="6" borderId="0" xfId="0" applyFont="1" applyBorder="1" applyProtection="1">
      <protection locked="0"/>
    </xf>
    <xf numFmtId="0" fontId="75" fillId="10" borderId="41" xfId="865" applyFont="1" applyBorder="1" applyProtection="1">
      <protection locked="0"/>
    </xf>
    <xf numFmtId="0" fontId="74" fillId="0" borderId="41" xfId="0" applyFont="1" applyFill="1" applyBorder="1" applyProtection="1">
      <protection locked="0"/>
    </xf>
    <xf numFmtId="165" fontId="0" fillId="7" borderId="41" xfId="868" applyFont="1" applyProtection="1">
      <protection locked="0"/>
    </xf>
    <xf numFmtId="0" fontId="12" fillId="2" borderId="0" xfId="0" applyFont="1" applyFill="1" applyAlignment="1" applyProtection="1">
      <alignment horizontal="right"/>
      <protection locked="0"/>
    </xf>
    <xf numFmtId="1" fontId="101" fillId="11" borderId="41" xfId="870" applyNumberFormat="1" applyProtection="1">
      <protection locked="0"/>
    </xf>
    <xf numFmtId="1" fontId="29" fillId="7" borderId="41" xfId="868" applyNumberFormat="1" applyProtection="1">
      <protection locked="0"/>
    </xf>
    <xf numFmtId="0" fontId="13" fillId="2" borderId="0" xfId="0" quotePrefix="1" applyFont="1" applyFill="1" applyProtection="1">
      <protection locked="0"/>
    </xf>
    <xf numFmtId="2" fontId="29" fillId="7" borderId="41" xfId="868" applyNumberFormat="1" applyProtection="1">
      <protection locked="0"/>
    </xf>
    <xf numFmtId="165" fontId="29" fillId="7" borderId="41" xfId="868" applyProtection="1">
      <protection locked="0"/>
    </xf>
    <xf numFmtId="0" fontId="52" fillId="2" borderId="0" xfId="0" applyFont="1" applyFill="1" applyProtection="1">
      <protection locked="0"/>
    </xf>
    <xf numFmtId="166" fontId="29" fillId="7" borderId="41" xfId="868" applyNumberFormat="1" applyProtection="1">
      <protection locked="0"/>
    </xf>
    <xf numFmtId="0" fontId="26" fillId="2" borderId="0" xfId="0" applyFont="1" applyFill="1" applyProtection="1">
      <protection locked="0"/>
    </xf>
    <xf numFmtId="0" fontId="6" fillId="2" borderId="0" xfId="0" applyFont="1" applyFill="1" applyProtection="1">
      <protection locked="0"/>
    </xf>
    <xf numFmtId="0" fontId="13" fillId="6" borderId="7" xfId="0" applyFont="1" applyBorder="1" applyProtection="1">
      <protection locked="0"/>
    </xf>
    <xf numFmtId="0" fontId="13" fillId="2" borderId="7" xfId="0" applyFont="1" applyFill="1" applyBorder="1" applyProtection="1">
      <protection locked="0"/>
    </xf>
    <xf numFmtId="0" fontId="93" fillId="10" borderId="1" xfId="7" applyFont="1" applyProtection="1">
      <protection locked="0"/>
    </xf>
    <xf numFmtId="0" fontId="30" fillId="2" borderId="0" xfId="0" applyFont="1" applyFill="1" applyProtection="1">
      <protection locked="0"/>
    </xf>
    <xf numFmtId="0" fontId="17" fillId="2" borderId="0" xfId="0" applyFont="1" applyFill="1" applyProtection="1">
      <protection locked="0"/>
    </xf>
    <xf numFmtId="0" fontId="47" fillId="10" borderId="1" xfId="8" applyFont="1" applyProtection="1">
      <protection locked="0"/>
    </xf>
    <xf numFmtId="0" fontId="47" fillId="2" borderId="0" xfId="8" applyFont="1" applyFill="1" applyBorder="1" applyProtection="1">
      <protection locked="0"/>
    </xf>
    <xf numFmtId="0" fontId="11" fillId="2" borderId="0" xfId="8" applyFont="1" applyFill="1" applyBorder="1" applyProtection="1">
      <protection locked="0"/>
    </xf>
    <xf numFmtId="0" fontId="35" fillId="2" borderId="0" xfId="8" applyFont="1" applyFill="1" applyBorder="1" applyProtection="1">
      <protection locked="0"/>
    </xf>
    <xf numFmtId="0" fontId="32" fillId="2" borderId="0" xfId="8" applyFont="1" applyFill="1" applyBorder="1" applyProtection="1">
      <protection locked="0"/>
    </xf>
    <xf numFmtId="1" fontId="23" fillId="0" borderId="0" xfId="8" applyNumberFormat="1" applyFont="1" applyFill="1" applyBorder="1" applyProtection="1">
      <protection locked="0"/>
    </xf>
    <xf numFmtId="1" fontId="23" fillId="2" borderId="0" xfId="8" applyNumberFormat="1" applyFont="1" applyFill="1" applyBorder="1" applyProtection="1">
      <protection locked="0"/>
    </xf>
    <xf numFmtId="0" fontId="11" fillId="2" borderId="0" xfId="0" applyFont="1" applyFill="1" applyProtection="1">
      <protection locked="0"/>
    </xf>
    <xf numFmtId="0" fontId="47" fillId="2" borderId="0" xfId="0" applyFont="1" applyFill="1" applyProtection="1">
      <protection locked="0"/>
    </xf>
    <xf numFmtId="0" fontId="15" fillId="2" borderId="0" xfId="0" applyFont="1" applyFill="1" applyProtection="1">
      <protection locked="0"/>
    </xf>
    <xf numFmtId="0" fontId="18" fillId="2" borderId="0" xfId="9" applyFont="1" applyFill="1" applyBorder="1" applyProtection="1">
      <protection locked="0"/>
    </xf>
    <xf numFmtId="0" fontId="69" fillId="2" borderId="0" xfId="0" applyFont="1" applyFill="1" applyProtection="1">
      <protection locked="0"/>
    </xf>
    <xf numFmtId="0" fontId="69" fillId="2" borderId="42" xfId="0" applyFont="1" applyFill="1" applyBorder="1" applyProtection="1">
      <protection locked="0"/>
    </xf>
    <xf numFmtId="0" fontId="69" fillId="6" borderId="42" xfId="0" applyFont="1" applyBorder="1" applyProtection="1">
      <protection locked="0"/>
    </xf>
    <xf numFmtId="0" fontId="62" fillId="2" borderId="0" xfId="0" applyFont="1" applyFill="1" applyProtection="1">
      <protection locked="0"/>
    </xf>
    <xf numFmtId="165" fontId="69" fillId="2" borderId="42" xfId="0" applyNumberFormat="1" applyFont="1" applyFill="1" applyBorder="1" applyProtection="1">
      <protection locked="0"/>
    </xf>
    <xf numFmtId="0" fontId="29" fillId="2" borderId="0" xfId="9" applyFont="1" applyFill="1" applyBorder="1" applyProtection="1">
      <protection locked="0"/>
    </xf>
    <xf numFmtId="2" fontId="29" fillId="2" borderId="0" xfId="0" applyNumberFormat="1" applyFont="1" applyFill="1" applyProtection="1">
      <protection locked="0"/>
    </xf>
    <xf numFmtId="1" fontId="69" fillId="2" borderId="42" xfId="0" applyNumberFormat="1" applyFont="1" applyFill="1" applyBorder="1" applyProtection="1">
      <protection locked="0"/>
    </xf>
    <xf numFmtId="0" fontId="17" fillId="0" borderId="0" xfId="0" applyFont="1" applyFill="1" applyProtection="1">
      <protection locked="0"/>
    </xf>
    <xf numFmtId="0" fontId="0" fillId="0" borderId="0" xfId="0" applyFont="1" applyFill="1" applyProtection="1">
      <protection locked="0"/>
    </xf>
    <xf numFmtId="0" fontId="29" fillId="2" borderId="0" xfId="0" applyFont="1" applyFill="1" applyProtection="1">
      <protection locked="0"/>
    </xf>
    <xf numFmtId="164" fontId="101" fillId="11" borderId="41" xfId="870" applyNumberFormat="1" applyProtection="1">
      <protection locked="0"/>
    </xf>
    <xf numFmtId="164" fontId="29" fillId="7" borderId="41" xfId="868" applyNumberFormat="1" applyProtection="1">
      <protection locked="0"/>
    </xf>
    <xf numFmtId="0" fontId="90" fillId="2" borderId="0" xfId="0" applyFont="1" applyFill="1" applyProtection="1">
      <protection locked="0"/>
    </xf>
    <xf numFmtId="0" fontId="29" fillId="6" borderId="0" xfId="869" applyBorder="1" applyProtection="1">
      <protection locked="0"/>
    </xf>
    <xf numFmtId="0" fontId="35" fillId="2" borderId="0" xfId="0" applyFont="1" applyFill="1" applyProtection="1">
      <protection locked="0"/>
    </xf>
    <xf numFmtId="0" fontId="18" fillId="2" borderId="1" xfId="9" applyFont="1" applyFill="1" applyBorder="1" applyProtection="1">
      <protection locked="0"/>
    </xf>
    <xf numFmtId="0" fontId="79" fillId="2" borderId="0" xfId="0" applyFont="1" applyFill="1" applyProtection="1">
      <protection locked="0"/>
    </xf>
    <xf numFmtId="0" fontId="30" fillId="2" borderId="1" xfId="9" applyFont="1" applyFill="1" applyBorder="1" applyProtection="1">
      <protection locked="0"/>
    </xf>
    <xf numFmtId="0" fontId="18" fillId="0" borderId="0" xfId="9" applyFont="1" applyFill="1" applyBorder="1" applyProtection="1">
      <protection locked="0"/>
    </xf>
    <xf numFmtId="0" fontId="32" fillId="2" borderId="0" xfId="0" applyFont="1" applyFill="1" applyProtection="1">
      <protection locked="0"/>
    </xf>
    <xf numFmtId="0" fontId="52" fillId="2" borderId="0" xfId="8" applyFont="1" applyFill="1" applyBorder="1" applyProtection="1">
      <protection locked="0"/>
    </xf>
    <xf numFmtId="0" fontId="30" fillId="0" borderId="0" xfId="0" applyFont="1" applyFill="1" applyProtection="1">
      <protection locked="0"/>
    </xf>
    <xf numFmtId="0" fontId="52" fillId="0" borderId="0" xfId="0" applyFont="1" applyFill="1" applyProtection="1">
      <protection locked="0"/>
    </xf>
    <xf numFmtId="0" fontId="11" fillId="0" borderId="0" xfId="0" applyFont="1" applyFill="1" applyProtection="1">
      <protection locked="0"/>
    </xf>
    <xf numFmtId="0" fontId="18" fillId="0" borderId="1" xfId="9" applyFont="1" applyFill="1" applyBorder="1" applyProtection="1">
      <protection locked="0"/>
    </xf>
    <xf numFmtId="0" fontId="18" fillId="0" borderId="0" xfId="0" applyFont="1" applyFill="1" applyProtection="1">
      <protection locked="0"/>
    </xf>
    <xf numFmtId="0" fontId="22" fillId="2" borderId="0" xfId="0" applyFont="1" applyFill="1" applyProtection="1">
      <protection locked="0"/>
    </xf>
    <xf numFmtId="0" fontId="18" fillId="2" borderId="14" xfId="9" applyFont="1" applyFill="1" applyBorder="1" applyProtection="1">
      <protection locked="0"/>
    </xf>
    <xf numFmtId="165" fontId="18" fillId="2" borderId="14" xfId="9" applyNumberFormat="1" applyFont="1" applyFill="1" applyBorder="1" applyProtection="1">
      <protection locked="0"/>
    </xf>
    <xf numFmtId="17" fontId="30" fillId="6" borderId="0" xfId="0" applyNumberFormat="1" applyFont="1" applyProtection="1">
      <protection locked="0"/>
    </xf>
    <xf numFmtId="165" fontId="30" fillId="6" borderId="0" xfId="0" applyNumberFormat="1" applyFont="1" applyProtection="1">
      <protection locked="0"/>
    </xf>
    <xf numFmtId="0" fontId="23" fillId="0" borderId="0" xfId="8" applyFont="1" applyFill="1" applyBorder="1" applyProtection="1">
      <protection locked="0"/>
    </xf>
    <xf numFmtId="0" fontId="23" fillId="0" borderId="1" xfId="8" applyFont="1" applyFill="1" applyBorder="1" applyProtection="1">
      <protection locked="0"/>
    </xf>
    <xf numFmtId="165" fontId="101" fillId="11" borderId="41" xfId="870" applyNumberFormat="1" applyAlignment="1" applyProtection="1">
      <alignment horizontal="right"/>
      <protection locked="0"/>
    </xf>
    <xf numFmtId="0" fontId="18" fillId="2" borderId="0" xfId="0" applyFont="1" applyFill="1" applyBorder="1" applyProtection="1">
      <protection locked="0"/>
    </xf>
    <xf numFmtId="2" fontId="18" fillId="2" borderId="0" xfId="0" applyNumberFormat="1" applyFont="1" applyFill="1" applyBorder="1" applyProtection="1">
      <protection locked="0"/>
    </xf>
    <xf numFmtId="165" fontId="18" fillId="2" borderId="0" xfId="9" applyNumberFormat="1" applyFont="1" applyFill="1" applyBorder="1" applyProtection="1">
      <protection locked="0"/>
    </xf>
    <xf numFmtId="2" fontId="18" fillId="2" borderId="15" xfId="9" applyNumberFormat="1" applyFont="1" applyFill="1" applyBorder="1" applyProtection="1">
      <protection locked="0"/>
    </xf>
    <xf numFmtId="2" fontId="18" fillId="2" borderId="0" xfId="9" applyNumberFormat="1" applyFont="1" applyFill="1" applyBorder="1" applyProtection="1">
      <protection locked="0"/>
    </xf>
    <xf numFmtId="165" fontId="18" fillId="0" borderId="0" xfId="9" applyNumberFormat="1" applyFont="1" applyFill="1" applyBorder="1" applyProtection="1">
      <protection locked="0"/>
    </xf>
    <xf numFmtId="1" fontId="18" fillId="2" borderId="0" xfId="9" applyNumberFormat="1" applyFont="1" applyFill="1" applyBorder="1" applyProtection="1">
      <protection locked="0"/>
    </xf>
    <xf numFmtId="1" fontId="18" fillId="2" borderId="2" xfId="9" applyNumberFormat="1" applyFont="1" applyFill="1" applyBorder="1" applyProtection="1">
      <protection locked="0"/>
    </xf>
    <xf numFmtId="0" fontId="47" fillId="5" borderId="1" xfId="9" applyFont="1" applyProtection="1">
      <protection locked="0"/>
    </xf>
    <xf numFmtId="0" fontId="15" fillId="6" borderId="0" xfId="0" applyFont="1" applyProtection="1">
      <protection locked="0"/>
    </xf>
    <xf numFmtId="165" fontId="18" fillId="2" borderId="0" xfId="8" applyNumberFormat="1" applyFont="1" applyFill="1" applyBorder="1" applyProtection="1">
      <protection locked="0"/>
    </xf>
    <xf numFmtId="165" fontId="18" fillId="2" borderId="1" xfId="9" applyNumberFormat="1" applyFont="1" applyFill="1" applyBorder="1" applyProtection="1">
      <protection locked="0"/>
    </xf>
    <xf numFmtId="2" fontId="18" fillId="2" borderId="1" xfId="9" applyNumberFormat="1" applyFont="1" applyFill="1" applyBorder="1" applyProtection="1">
      <protection locked="0"/>
    </xf>
    <xf numFmtId="0" fontId="13" fillId="0" borderId="0" xfId="0" applyFont="1" applyFill="1" applyProtection="1">
      <protection locked="0"/>
    </xf>
    <xf numFmtId="165" fontId="18" fillId="2" borderId="15" xfId="9" applyNumberFormat="1" applyFont="1" applyFill="1" applyBorder="1" applyProtection="1">
      <protection locked="0"/>
    </xf>
    <xf numFmtId="2" fontId="18" fillId="0" borderId="37" xfId="9" applyNumberFormat="1" applyFont="1" applyFill="1" applyBorder="1" applyProtection="1">
      <protection locked="0"/>
    </xf>
    <xf numFmtId="165" fontId="23" fillId="2" borderId="0" xfId="9" applyNumberFormat="1" applyFont="1" applyFill="1" applyBorder="1" applyProtection="1">
      <protection locked="0"/>
    </xf>
    <xf numFmtId="2" fontId="23" fillId="2" borderId="0" xfId="9" applyNumberFormat="1" applyFont="1" applyFill="1" applyBorder="1" applyProtection="1">
      <protection locked="0"/>
    </xf>
    <xf numFmtId="165" fontId="68" fillId="6" borderId="11" xfId="871" applyNumberFormat="1" applyFont="1" applyBorder="1" applyProtection="1">
      <protection locked="0"/>
    </xf>
    <xf numFmtId="0" fontId="80" fillId="10" borderId="41" xfId="865" applyFont="1" applyProtection="1">
      <protection locked="0"/>
    </xf>
    <xf numFmtId="0" fontId="34" fillId="2" borderId="0" xfId="0" applyFont="1" applyFill="1" applyProtection="1">
      <protection locked="0"/>
    </xf>
    <xf numFmtId="0" fontId="18" fillId="2" borderId="2" xfId="0" applyFont="1" applyFill="1" applyBorder="1" applyAlignment="1" applyProtection="1">
      <alignment horizontal="center" vertical="center"/>
      <protection locked="0"/>
    </xf>
    <xf numFmtId="0" fontId="18" fillId="6" borderId="2" xfId="0" applyFont="1" applyBorder="1" applyAlignment="1" applyProtection="1">
      <alignment horizontal="center" vertical="center"/>
      <protection locked="0"/>
    </xf>
    <xf numFmtId="0" fontId="18" fillId="6" borderId="2" xfId="0" applyFont="1" applyBorder="1" applyAlignment="1" applyProtection="1">
      <alignment horizontal="center" vertical="center" wrapText="1"/>
      <protection locked="0"/>
    </xf>
    <xf numFmtId="0" fontId="18" fillId="6" borderId="2" xfId="0" applyFont="1" applyBorder="1" applyProtection="1">
      <protection locked="0"/>
    </xf>
    <xf numFmtId="0" fontId="18" fillId="2" borderId="2" xfId="0" applyFont="1" applyFill="1" applyBorder="1" applyProtection="1">
      <protection locked="0"/>
    </xf>
    <xf numFmtId="1" fontId="35" fillId="2" borderId="2" xfId="9" applyNumberFormat="1" applyFont="1" applyFill="1" applyBorder="1" applyProtection="1">
      <protection locked="0"/>
    </xf>
    <xf numFmtId="1" fontId="23" fillId="2" borderId="2" xfId="9" applyNumberFormat="1" applyFont="1" applyFill="1" applyBorder="1" applyProtection="1">
      <protection locked="0"/>
    </xf>
    <xf numFmtId="1" fontId="23" fillId="2" borderId="14" xfId="9" applyNumberFormat="1" applyFont="1" applyFill="1" applyBorder="1" applyProtection="1">
      <protection locked="0"/>
    </xf>
    <xf numFmtId="2" fontId="23" fillId="2" borderId="14" xfId="0" applyNumberFormat="1" applyFont="1" applyFill="1" applyBorder="1" applyProtection="1">
      <protection locked="0"/>
    </xf>
    <xf numFmtId="1" fontId="23" fillId="2" borderId="0" xfId="9" applyNumberFormat="1" applyFont="1" applyFill="1" applyBorder="1" applyProtection="1">
      <protection locked="0"/>
    </xf>
    <xf numFmtId="1" fontId="23" fillId="2" borderId="0" xfId="0" applyNumberFormat="1" applyFont="1" applyFill="1" applyBorder="1" applyProtection="1">
      <protection locked="0"/>
    </xf>
    <xf numFmtId="165" fontId="18" fillId="6" borderId="0" xfId="0" applyNumberFormat="1" applyFont="1" applyProtection="1">
      <protection locked="0"/>
    </xf>
    <xf numFmtId="0" fontId="18" fillId="6" borderId="0" xfId="0" applyFont="1" applyAlignment="1" applyProtection="1">
      <alignment horizontal="left"/>
      <protection locked="0"/>
    </xf>
    <xf numFmtId="0" fontId="52" fillId="6" borderId="0" xfId="0" applyFont="1" applyBorder="1" applyProtection="1">
      <protection locked="0"/>
    </xf>
    <xf numFmtId="0" fontId="48" fillId="6" borderId="0" xfId="0" applyFont="1" applyProtection="1">
      <protection locked="0"/>
    </xf>
    <xf numFmtId="164" fontId="48" fillId="0" borderId="0" xfId="0" applyNumberFormat="1" applyFont="1" applyFill="1" applyProtection="1">
      <protection locked="0"/>
    </xf>
    <xf numFmtId="164" fontId="87" fillId="0" borderId="0" xfId="0" applyNumberFormat="1" applyFont="1" applyFill="1" applyProtection="1">
      <protection locked="0"/>
    </xf>
    <xf numFmtId="0" fontId="48" fillId="6" borderId="3" xfId="0" applyFont="1" applyBorder="1" applyProtection="1">
      <protection locked="0"/>
    </xf>
    <xf numFmtId="164" fontId="48" fillId="2" borderId="0" xfId="0" applyNumberFormat="1" applyFont="1" applyFill="1" applyProtection="1">
      <protection locked="0"/>
    </xf>
    <xf numFmtId="0" fontId="48" fillId="6" borderId="4" xfId="0" applyFont="1" applyBorder="1" applyAlignment="1" applyProtection="1">
      <alignment horizontal="center"/>
      <protection locked="0"/>
    </xf>
    <xf numFmtId="165" fontId="48" fillId="6" borderId="0" xfId="0" applyNumberFormat="1" applyFont="1" applyProtection="1">
      <protection locked="0"/>
    </xf>
    <xf numFmtId="2" fontId="48" fillId="6" borderId="0" xfId="0" applyNumberFormat="1" applyFont="1" applyProtection="1">
      <protection locked="0"/>
    </xf>
    <xf numFmtId="0" fontId="48" fillId="6" borderId="5" xfId="0" applyFont="1" applyBorder="1" applyProtection="1">
      <protection locked="0"/>
    </xf>
    <xf numFmtId="0" fontId="48" fillId="6" borderId="16" xfId="0" applyFont="1" applyBorder="1" applyProtection="1">
      <protection locked="0"/>
    </xf>
    <xf numFmtId="1" fontId="48" fillId="6" borderId="17" xfId="0" applyNumberFormat="1" applyFont="1" applyBorder="1" applyProtection="1">
      <protection locked="0"/>
    </xf>
    <xf numFmtId="0" fontId="48" fillId="6" borderId="3" xfId="0" applyFont="1" applyBorder="1" applyAlignment="1" applyProtection="1">
      <alignment horizontal="center"/>
      <protection locked="0"/>
    </xf>
    <xf numFmtId="0" fontId="48" fillId="6" borderId="17" xfId="0" applyFont="1" applyBorder="1" applyAlignment="1" applyProtection="1">
      <alignment horizontal="right"/>
      <protection locked="0"/>
    </xf>
    <xf numFmtId="0" fontId="48" fillId="6" borderId="5" xfId="0" applyFont="1" applyBorder="1" applyAlignment="1" applyProtection="1">
      <alignment horizontal="center"/>
      <protection locked="0"/>
    </xf>
    <xf numFmtId="0" fontId="48" fillId="6" borderId="4" xfId="0" applyFont="1" applyBorder="1" applyProtection="1">
      <protection locked="0"/>
    </xf>
    <xf numFmtId="0" fontId="48" fillId="6" borderId="17" xfId="0" applyFont="1" applyBorder="1" applyProtection="1">
      <protection locked="0"/>
    </xf>
    <xf numFmtId="0" fontId="48" fillId="6" borderId="17" xfId="0" applyFont="1" applyBorder="1" applyAlignment="1" applyProtection="1">
      <alignment horizontal="center"/>
      <protection locked="0"/>
    </xf>
    <xf numFmtId="0" fontId="49" fillId="6" borderId="0" xfId="0" applyFont="1" applyProtection="1">
      <protection locked="0"/>
    </xf>
    <xf numFmtId="0" fontId="48" fillId="6" borderId="18" xfId="0" applyFont="1" applyBorder="1" applyProtection="1">
      <protection locked="0"/>
    </xf>
    <xf numFmtId="0" fontId="48" fillId="6" borderId="0" xfId="0" applyFont="1" applyAlignment="1" applyProtection="1">
      <alignment horizontal="left"/>
      <protection locked="0"/>
    </xf>
    <xf numFmtId="0" fontId="48" fillId="2" borderId="0" xfId="0" applyFont="1" applyFill="1" applyProtection="1">
      <protection locked="0"/>
    </xf>
    <xf numFmtId="0" fontId="48" fillId="6" borderId="8" xfId="0" applyFont="1" applyBorder="1" applyProtection="1">
      <protection locked="0"/>
    </xf>
    <xf numFmtId="0" fontId="48" fillId="6" borderId="12" xfId="0" applyFont="1" applyBorder="1" applyProtection="1">
      <protection locked="0"/>
    </xf>
    <xf numFmtId="164" fontId="48" fillId="6" borderId="0" xfId="0" applyNumberFormat="1" applyFont="1" applyProtection="1">
      <protection locked="0"/>
    </xf>
    <xf numFmtId="0" fontId="48" fillId="6" borderId="4" xfId="0" applyFont="1" applyBorder="1" applyAlignment="1" applyProtection="1">
      <alignment horizontal="right"/>
      <protection locked="0"/>
    </xf>
    <xf numFmtId="2" fontId="29" fillId="6" borderId="41" xfId="869" applyNumberFormat="1" applyProtection="1">
      <protection locked="0"/>
    </xf>
    <xf numFmtId="164" fontId="18" fillId="2" borderId="0" xfId="8" applyNumberFormat="1" applyFont="1" applyFill="1" applyBorder="1" applyProtection="1">
      <protection locked="0"/>
    </xf>
    <xf numFmtId="1" fontId="18" fillId="6" borderId="0" xfId="0" applyNumberFormat="1" applyFont="1" applyBorder="1" applyProtection="1">
      <protection locked="0"/>
    </xf>
    <xf numFmtId="0" fontId="18" fillId="6" borderId="6" xfId="0" applyFont="1" applyBorder="1" applyProtection="1">
      <protection locked="0"/>
    </xf>
    <xf numFmtId="0" fontId="18" fillId="6" borderId="10" xfId="0" applyFont="1" applyBorder="1" applyProtection="1">
      <protection locked="0"/>
    </xf>
    <xf numFmtId="1" fontId="18" fillId="6" borderId="0" xfId="0" applyNumberFormat="1" applyFont="1" applyProtection="1">
      <protection locked="0"/>
    </xf>
    <xf numFmtId="0" fontId="18" fillId="6" borderId="8" xfId="0" applyFont="1" applyBorder="1" applyProtection="1">
      <protection locked="0"/>
    </xf>
    <xf numFmtId="0" fontId="18" fillId="6" borderId="12" xfId="0" applyFont="1" applyBorder="1" applyProtection="1">
      <protection locked="0"/>
    </xf>
    <xf numFmtId="1" fontId="17" fillId="6" borderId="0" xfId="0" applyNumberFormat="1" applyFont="1" applyProtection="1">
      <protection locked="0"/>
    </xf>
    <xf numFmtId="0" fontId="101" fillId="6" borderId="7" xfId="871" applyBorder="1" applyProtection="1">
      <protection locked="0"/>
    </xf>
    <xf numFmtId="0" fontId="60" fillId="10" borderId="1" xfId="7" applyFont="1" applyProtection="1">
      <protection locked="0"/>
    </xf>
    <xf numFmtId="0" fontId="7" fillId="2" borderId="0" xfId="0" applyFont="1" applyFill="1" applyProtection="1">
      <protection locked="0"/>
    </xf>
    <xf numFmtId="0" fontId="55" fillId="10" borderId="1" xfId="8" applyFont="1" applyProtection="1">
      <protection locked="0"/>
    </xf>
    <xf numFmtId="2" fontId="67" fillId="11" borderId="41" xfId="870" applyNumberFormat="1" applyFont="1" applyProtection="1">
      <protection locked="0"/>
    </xf>
    <xf numFmtId="0" fontId="30" fillId="6" borderId="0" xfId="0" applyNumberFormat="1" applyFont="1" applyBorder="1" applyAlignment="1" applyProtection="1">
      <protection locked="0"/>
    </xf>
    <xf numFmtId="0" fontId="68" fillId="6" borderId="0" xfId="0" applyNumberFormat="1" applyFont="1" applyBorder="1" applyAlignment="1" applyProtection="1">
      <protection locked="0"/>
    </xf>
    <xf numFmtId="0" fontId="66" fillId="10" borderId="41" xfId="865" applyFont="1" applyProtection="1">
      <protection locked="0"/>
    </xf>
    <xf numFmtId="0" fontId="68" fillId="6" borderId="39" xfId="0" applyNumberFormat="1" applyFont="1" applyBorder="1" applyAlignment="1" applyProtection="1">
      <protection locked="0"/>
    </xf>
    <xf numFmtId="0" fontId="7" fillId="2" borderId="40" xfId="0" applyFont="1" applyFill="1" applyBorder="1" applyProtection="1">
      <protection locked="0"/>
    </xf>
    <xf numFmtId="0" fontId="30" fillId="0" borderId="0" xfId="0" applyNumberFormat="1" applyFont="1" applyFill="1" applyBorder="1" applyAlignment="1" applyProtection="1">
      <protection locked="0"/>
    </xf>
    <xf numFmtId="0" fontId="68" fillId="0" borderId="0" xfId="0" applyNumberFormat="1" applyFont="1" applyFill="1" applyBorder="1" applyAlignment="1" applyProtection="1">
      <protection locked="0"/>
    </xf>
    <xf numFmtId="0" fontId="68" fillId="0" borderId="41" xfId="0" applyNumberFormat="1" applyFont="1" applyFill="1" applyBorder="1" applyAlignment="1" applyProtection="1">
      <protection locked="0"/>
    </xf>
    <xf numFmtId="165" fontId="67" fillId="11" borderId="41" xfId="870" applyFont="1" applyBorder="1" applyProtection="1">
      <protection locked="0"/>
    </xf>
    <xf numFmtId="0" fontId="66" fillId="10" borderId="41" xfId="865" applyFont="1" applyAlignment="1" applyProtection="1">
      <alignment wrapText="1"/>
      <protection locked="0"/>
    </xf>
    <xf numFmtId="0" fontId="7" fillId="2" borderId="37" xfId="0" applyFont="1" applyFill="1" applyBorder="1" applyProtection="1">
      <protection locked="0"/>
    </xf>
    <xf numFmtId="0" fontId="68" fillId="6" borderId="41" xfId="0" applyNumberFormat="1" applyFont="1" applyBorder="1" applyAlignment="1" applyProtection="1">
      <protection locked="0"/>
    </xf>
    <xf numFmtId="0" fontId="68" fillId="0" borderId="39" xfId="0" applyNumberFormat="1" applyFont="1" applyFill="1" applyBorder="1" applyAlignment="1" applyProtection="1">
      <protection locked="0"/>
    </xf>
    <xf numFmtId="1" fontId="67" fillId="11" borderId="41" xfId="870" applyNumberFormat="1" applyFont="1" applyProtection="1">
      <protection locked="0"/>
    </xf>
    <xf numFmtId="0" fontId="68" fillId="2" borderId="0" xfId="0" applyNumberFormat="1" applyFont="1" applyFill="1" applyBorder="1" applyAlignment="1" applyProtection="1">
      <alignment horizontal="right"/>
      <protection locked="0"/>
    </xf>
    <xf numFmtId="1" fontId="67" fillId="2" borderId="36" xfId="870" applyNumberFormat="1" applyFont="1" applyFill="1" applyBorder="1" applyProtection="1">
      <protection locked="0"/>
    </xf>
    <xf numFmtId="0" fontId="68" fillId="2" borderId="0" xfId="0" applyNumberFormat="1" applyFont="1" applyFill="1" applyBorder="1" applyAlignment="1" applyProtection="1">
      <protection locked="0"/>
    </xf>
    <xf numFmtId="0" fontId="66" fillId="10" borderId="40" xfId="865" applyFont="1" applyBorder="1" applyAlignment="1" applyProtection="1">
      <protection locked="0"/>
    </xf>
    <xf numFmtId="0" fontId="68" fillId="0" borderId="40" xfId="0" applyNumberFormat="1" applyFont="1" applyFill="1" applyBorder="1" applyAlignment="1" applyProtection="1">
      <protection locked="0"/>
    </xf>
    <xf numFmtId="0" fontId="68" fillId="2" borderId="35" xfId="0" applyNumberFormat="1" applyFont="1" applyFill="1" applyBorder="1" applyAlignment="1" applyProtection="1">
      <protection locked="0"/>
    </xf>
    <xf numFmtId="0" fontId="7" fillId="2" borderId="36" xfId="0" applyFont="1" applyFill="1" applyBorder="1" applyProtection="1">
      <protection locked="0"/>
    </xf>
    <xf numFmtId="0" fontId="68" fillId="2" borderId="8" xfId="0" applyNumberFormat="1" applyFont="1" applyFill="1" applyBorder="1" applyAlignment="1" applyProtection="1">
      <protection locked="0"/>
    </xf>
    <xf numFmtId="0" fontId="7" fillId="2" borderId="1" xfId="0" applyFont="1" applyFill="1" applyBorder="1" applyProtection="1">
      <protection locked="0"/>
    </xf>
    <xf numFmtId="0" fontId="68" fillId="6" borderId="35" xfId="0" applyNumberFormat="1" applyFont="1" applyBorder="1" applyAlignment="1" applyProtection="1">
      <protection locked="0"/>
    </xf>
    <xf numFmtId="0" fontId="68" fillId="2" borderId="36" xfId="0" applyNumberFormat="1" applyFont="1" applyFill="1" applyBorder="1" applyAlignment="1" applyProtection="1">
      <protection locked="0"/>
    </xf>
    <xf numFmtId="0" fontId="68" fillId="2" borderId="38" xfId="0" applyNumberFormat="1" applyFont="1" applyFill="1" applyBorder="1" applyAlignment="1" applyProtection="1">
      <protection locked="0"/>
    </xf>
    <xf numFmtId="0" fontId="68" fillId="2" borderId="7" xfId="0" applyNumberFormat="1" applyFont="1" applyFill="1" applyBorder="1" applyAlignment="1" applyProtection="1">
      <protection locked="0"/>
    </xf>
    <xf numFmtId="0" fontId="30" fillId="2" borderId="0" xfId="0" applyFont="1" applyFill="1" applyBorder="1" applyProtection="1">
      <protection locked="0"/>
    </xf>
    <xf numFmtId="0" fontId="7" fillId="2" borderId="0" xfId="0" applyFont="1" applyFill="1" applyBorder="1" applyProtection="1">
      <protection locked="0"/>
    </xf>
    <xf numFmtId="0" fontId="30" fillId="2" borderId="1" xfId="0" applyFont="1" applyFill="1" applyBorder="1" applyProtection="1">
      <protection locked="0"/>
    </xf>
    <xf numFmtId="0" fontId="30" fillId="2" borderId="36" xfId="0" applyFont="1" applyFill="1" applyBorder="1" applyProtection="1">
      <protection locked="0"/>
    </xf>
    <xf numFmtId="0" fontId="7" fillId="2" borderId="38" xfId="0" applyFont="1" applyFill="1" applyBorder="1" applyProtection="1">
      <protection locked="0"/>
    </xf>
    <xf numFmtId="0" fontId="68" fillId="2" borderId="11" xfId="0" applyNumberFormat="1" applyFont="1" applyFill="1" applyBorder="1" applyAlignment="1" applyProtection="1">
      <protection locked="0"/>
    </xf>
    <xf numFmtId="0" fontId="7" fillId="2" borderId="11" xfId="0" applyFont="1" applyFill="1" applyBorder="1" applyProtection="1">
      <protection locked="0"/>
    </xf>
    <xf numFmtId="0" fontId="7" fillId="2" borderId="12" xfId="0" applyFont="1" applyFill="1" applyBorder="1" applyProtection="1">
      <protection locked="0"/>
    </xf>
    <xf numFmtId="164" fontId="67" fillId="9" borderId="41" xfId="0" applyNumberFormat="1" applyFont="1" applyFill="1" applyBorder="1" applyProtection="1">
      <protection locked="0"/>
    </xf>
    <xf numFmtId="0" fontId="30" fillId="0" borderId="5" xfId="0" applyNumberFormat="1" applyFont="1" applyFill="1" applyBorder="1" applyAlignment="1" applyProtection="1">
      <protection locked="0"/>
    </xf>
    <xf numFmtId="0" fontId="68" fillId="0" borderId="5" xfId="1362" applyNumberFormat="1" applyFont="1" applyFill="1" applyBorder="1" applyAlignment="1" applyProtection="1">
      <protection locked="0"/>
    </xf>
    <xf numFmtId="0" fontId="66" fillId="10" borderId="41" xfId="865" applyFont="1" applyBorder="1" applyProtection="1">
      <protection locked="0"/>
    </xf>
    <xf numFmtId="0" fontId="52" fillId="2" borderId="0" xfId="0" applyNumberFormat="1" applyFont="1" applyFill="1" applyBorder="1" applyAlignment="1" applyProtection="1">
      <protection locked="0"/>
    </xf>
    <xf numFmtId="169" fontId="68" fillId="2" borderId="0" xfId="1362" applyNumberFormat="1" applyFont="1" applyFill="1" applyBorder="1" applyAlignment="1" applyProtection="1">
      <protection locked="0"/>
    </xf>
    <xf numFmtId="165" fontId="67" fillId="2" borderId="0" xfId="870" applyFont="1" applyFill="1" applyBorder="1" applyProtection="1">
      <protection locked="0"/>
    </xf>
    <xf numFmtId="0" fontId="69" fillId="2" borderId="0" xfId="0" applyNumberFormat="1" applyFont="1" applyFill="1" applyBorder="1" applyAlignment="1" applyProtection="1">
      <alignment horizontal="left"/>
      <protection locked="0"/>
    </xf>
    <xf numFmtId="0" fontId="5" fillId="2" borderId="0" xfId="0" applyFont="1" applyFill="1" applyProtection="1">
      <protection locked="0"/>
    </xf>
    <xf numFmtId="0" fontId="13" fillId="2" borderId="0" xfId="0" applyFont="1" applyFill="1" applyAlignment="1" applyProtection="1">
      <alignment horizontal="right"/>
      <protection locked="0"/>
    </xf>
    <xf numFmtId="11" fontId="101" fillId="11" borderId="41" xfId="870" applyNumberFormat="1" applyProtection="1">
      <protection locked="0"/>
    </xf>
    <xf numFmtId="11" fontId="29" fillId="7" borderId="41" xfId="868" applyNumberFormat="1" applyProtection="1">
      <protection locked="0"/>
    </xf>
    <xf numFmtId="0" fontId="8" fillId="2" borderId="0" xfId="0" applyFont="1" applyFill="1" applyProtection="1">
      <protection locked="0"/>
    </xf>
    <xf numFmtId="0" fontId="84" fillId="3" borderId="41" xfId="0" applyFont="1" applyFill="1" applyBorder="1" applyAlignment="1" applyProtection="1">
      <alignment vertical="center"/>
      <protection locked="0"/>
    </xf>
    <xf numFmtId="2" fontId="68" fillId="6" borderId="41" xfId="866" applyAlignment="1" applyProtection="1">
      <alignment wrapText="1"/>
      <protection locked="0"/>
    </xf>
    <xf numFmtId="2" fontId="68" fillId="6" borderId="41" xfId="866" applyFont="1" applyProtection="1">
      <protection locked="0"/>
    </xf>
    <xf numFmtId="0" fontId="52" fillId="0" borderId="0" xfId="0" applyFont="1" applyFill="1" applyBorder="1" applyAlignment="1" applyProtection="1">
      <alignment horizontal="left"/>
      <protection locked="0"/>
    </xf>
    <xf numFmtId="2" fontId="68" fillId="6" borderId="0" xfId="866" applyBorder="1" applyProtection="1">
      <protection locked="0"/>
    </xf>
    <xf numFmtId="1" fontId="68" fillId="6" borderId="0" xfId="866" applyNumberFormat="1" applyBorder="1" applyProtection="1">
      <protection locked="0"/>
    </xf>
    <xf numFmtId="0" fontId="84" fillId="3" borderId="41" xfId="0" applyFont="1" applyFill="1" applyBorder="1" applyAlignment="1" applyProtection="1">
      <alignment vertical="center" wrapText="1"/>
      <protection locked="0"/>
    </xf>
    <xf numFmtId="0" fontId="84" fillId="3" borderId="0" xfId="0" applyFont="1" applyFill="1" applyBorder="1" applyAlignment="1" applyProtection="1">
      <alignment vertical="center"/>
      <protection locked="0"/>
    </xf>
    <xf numFmtId="1" fontId="68" fillId="6" borderId="0" xfId="866" applyNumberFormat="1" applyFont="1" applyBorder="1" applyProtection="1">
      <protection locked="0"/>
    </xf>
    <xf numFmtId="1" fontId="84" fillId="3" borderId="0" xfId="0" applyNumberFormat="1" applyFont="1" applyFill="1" applyBorder="1" applyAlignment="1" applyProtection="1">
      <alignment vertical="center"/>
      <protection locked="0"/>
    </xf>
    <xf numFmtId="166" fontId="68" fillId="6" borderId="0" xfId="866" applyNumberFormat="1" applyFont="1" applyBorder="1" applyProtection="1">
      <protection locked="0"/>
    </xf>
    <xf numFmtId="0" fontId="66" fillId="10" borderId="41" xfId="865" applyAlignment="1" applyProtection="1">
      <alignment wrapText="1"/>
      <protection locked="0"/>
    </xf>
    <xf numFmtId="2" fontId="68" fillId="6" borderId="41" xfId="866" applyNumberFormat="1" applyProtection="1">
      <protection locked="0"/>
    </xf>
    <xf numFmtId="1" fontId="68" fillId="6" borderId="41" xfId="866" applyNumberFormat="1" applyProtection="1">
      <protection locked="0"/>
    </xf>
    <xf numFmtId="1" fontId="68" fillId="6" borderId="41" xfId="866" applyNumberFormat="1" applyAlignment="1" applyProtection="1">
      <alignment wrapText="1"/>
      <protection locked="0"/>
    </xf>
    <xf numFmtId="1" fontId="84" fillId="3" borderId="41" xfId="0" applyNumberFormat="1" applyFont="1" applyFill="1" applyBorder="1" applyAlignment="1" applyProtection="1">
      <alignment vertical="center"/>
      <protection locked="0"/>
    </xf>
    <xf numFmtId="167" fontId="29" fillId="7" borderId="41" xfId="868" applyNumberFormat="1" applyProtection="1">
      <protection locked="0"/>
    </xf>
    <xf numFmtId="0" fontId="22" fillId="6" borderId="0" xfId="0" applyFont="1" applyBorder="1" applyProtection="1">
      <protection locked="0"/>
    </xf>
    <xf numFmtId="0" fontId="0" fillId="0" borderId="0" xfId="0" applyFill="1" applyProtection="1">
      <protection locked="0"/>
    </xf>
    <xf numFmtId="0" fontId="43" fillId="8" borderId="0" xfId="0" applyFont="1" applyFill="1" applyBorder="1" applyAlignment="1" applyProtection="1">
      <alignment vertical="center"/>
      <protection locked="0"/>
    </xf>
    <xf numFmtId="0" fontId="66" fillId="10" borderId="41" xfId="865" applyBorder="1" applyProtection="1">
      <protection locked="0"/>
    </xf>
    <xf numFmtId="2" fontId="68" fillId="6" borderId="41" xfId="866" applyBorder="1" applyProtection="1">
      <protection locked="0"/>
    </xf>
    <xf numFmtId="0" fontId="0" fillId="2" borderId="2" xfId="0" applyFont="1" applyFill="1" applyBorder="1" applyProtection="1">
      <protection locked="0"/>
    </xf>
    <xf numFmtId="166" fontId="46" fillId="6" borderId="41" xfId="866" applyNumberFormat="1" applyFont="1" applyProtection="1">
      <protection locked="0"/>
    </xf>
    <xf numFmtId="2" fontId="0" fillId="2" borderId="2" xfId="0" applyNumberFormat="1" applyFont="1" applyFill="1" applyBorder="1" applyProtection="1">
      <protection locked="0"/>
    </xf>
    <xf numFmtId="165" fontId="0" fillId="6" borderId="2" xfId="0" applyNumberFormat="1" applyFont="1" applyBorder="1" applyProtection="1">
      <protection locked="0"/>
    </xf>
    <xf numFmtId="0" fontId="84" fillId="3" borderId="5" xfId="0" applyFont="1" applyFill="1" applyBorder="1" applyAlignment="1" applyProtection="1">
      <alignment vertical="center"/>
      <protection locked="0"/>
    </xf>
    <xf numFmtId="2" fontId="68" fillId="6" borderId="41" xfId="866" applyNumberFormat="1" applyBorder="1" applyProtection="1">
      <protection locked="0"/>
    </xf>
    <xf numFmtId="164" fontId="23" fillId="6" borderId="0" xfId="0" applyNumberFormat="1" applyFont="1" applyProtection="1">
      <protection locked="0"/>
    </xf>
    <xf numFmtId="166" fontId="39" fillId="2" borderId="41" xfId="0" applyNumberFormat="1" applyFont="1" applyFill="1" applyBorder="1" applyProtection="1">
      <protection locked="0"/>
    </xf>
    <xf numFmtId="0" fontId="86" fillId="3" borderId="41" xfId="0" applyFont="1" applyFill="1" applyBorder="1" applyAlignment="1" applyProtection="1">
      <alignment vertical="center"/>
      <protection locked="0"/>
    </xf>
    <xf numFmtId="166" fontId="46" fillId="6" borderId="41" xfId="866" applyNumberFormat="1" applyFont="1" applyBorder="1" applyProtection="1">
      <protection locked="0"/>
    </xf>
    <xf numFmtId="164" fontId="30" fillId="2" borderId="0" xfId="0" applyNumberFormat="1" applyFont="1" applyFill="1" applyProtection="1">
      <protection locked="0"/>
    </xf>
    <xf numFmtId="0" fontId="30" fillId="0" borderId="0" xfId="0" applyFont="1" applyFill="1" applyBorder="1" applyProtection="1">
      <protection locked="0"/>
    </xf>
    <xf numFmtId="0" fontId="52" fillId="2" borderId="11" xfId="0" applyFont="1" applyFill="1" applyBorder="1" applyProtection="1">
      <protection locked="0"/>
    </xf>
    <xf numFmtId="2" fontId="46" fillId="6" borderId="41" xfId="866" applyFont="1" applyProtection="1">
      <protection locked="0"/>
    </xf>
    <xf numFmtId="0" fontId="52" fillId="0" borderId="0" xfId="0" applyFont="1" applyFill="1" applyBorder="1" applyProtection="1">
      <protection locked="0"/>
    </xf>
    <xf numFmtId="0" fontId="52" fillId="3" borderId="11" xfId="0" applyFont="1" applyFill="1" applyBorder="1" applyAlignment="1" applyProtection="1">
      <alignment vertical="center"/>
      <protection locked="0"/>
    </xf>
    <xf numFmtId="0" fontId="0" fillId="6" borderId="0" xfId="0" applyFont="1" applyBorder="1" applyProtection="1">
      <protection locked="0"/>
    </xf>
    <xf numFmtId="0" fontId="0" fillId="6" borderId="20" xfId="0" applyBorder="1" applyProtection="1">
      <protection locked="0"/>
    </xf>
    <xf numFmtId="0" fontId="0" fillId="6" borderId="46" xfId="0" applyBorder="1" applyProtection="1">
      <protection locked="0"/>
    </xf>
    <xf numFmtId="0" fontId="0" fillId="6" borderId="21" xfId="0" applyBorder="1" applyProtection="1">
      <protection locked="0"/>
    </xf>
    <xf numFmtId="164" fontId="23" fillId="0" borderId="0" xfId="0" applyNumberFormat="1" applyFont="1" applyFill="1" applyProtection="1">
      <protection locked="0"/>
    </xf>
    <xf numFmtId="0" fontId="0" fillId="6" borderId="19" xfId="0" applyBorder="1" applyProtection="1">
      <protection locked="0"/>
    </xf>
    <xf numFmtId="0" fontId="0" fillId="6" borderId="0" xfId="0" applyBorder="1" applyProtection="1">
      <protection locked="0"/>
    </xf>
    <xf numFmtId="0" fontId="0" fillId="6" borderId="22" xfId="0" applyBorder="1" applyProtection="1">
      <protection locked="0"/>
    </xf>
    <xf numFmtId="166" fontId="0" fillId="6" borderId="0" xfId="0" applyNumberFormat="1" applyProtection="1">
      <protection locked="0"/>
    </xf>
    <xf numFmtId="0" fontId="22" fillId="6" borderId="19" xfId="0" applyFont="1" applyBorder="1" applyProtection="1">
      <protection locked="0"/>
    </xf>
    <xf numFmtId="0" fontId="22" fillId="6" borderId="22" xfId="0" applyFont="1" applyBorder="1" applyProtection="1">
      <protection locked="0"/>
    </xf>
    <xf numFmtId="0" fontId="22" fillId="6" borderId="21" xfId="0" applyFont="1" applyBorder="1" applyProtection="1">
      <protection locked="0"/>
    </xf>
    <xf numFmtId="0" fontId="22" fillId="6" borderId="20" xfId="0" applyFont="1" applyBorder="1" applyProtection="1">
      <protection locked="0"/>
    </xf>
    <xf numFmtId="2" fontId="22" fillId="6" borderId="19" xfId="0" applyNumberFormat="1" applyFont="1" applyBorder="1" applyProtection="1">
      <protection locked="0"/>
    </xf>
    <xf numFmtId="164" fontId="23" fillId="6" borderId="0" xfId="0" applyNumberFormat="1" applyFont="1" applyBorder="1" applyProtection="1">
      <protection locked="0"/>
    </xf>
    <xf numFmtId="0" fontId="0" fillId="6" borderId="23" xfId="0" applyBorder="1" applyProtection="1">
      <protection locked="0"/>
    </xf>
    <xf numFmtId="0" fontId="0" fillId="6" borderId="24" xfId="0" applyBorder="1" applyProtection="1">
      <protection locked="0"/>
    </xf>
    <xf numFmtId="0" fontId="22" fillId="6" borderId="23" xfId="0" applyFont="1" applyBorder="1" applyProtection="1">
      <protection locked="0"/>
    </xf>
    <xf numFmtId="0" fontId="22" fillId="6" borderId="24" xfId="0" applyFont="1" applyBorder="1" applyProtection="1">
      <protection locked="0"/>
    </xf>
    <xf numFmtId="0" fontId="57" fillId="6" borderId="0" xfId="0" applyFont="1" applyProtection="1">
      <protection locked="0"/>
    </xf>
    <xf numFmtId="0" fontId="66" fillId="6" borderId="19" xfId="865" applyFill="1" applyBorder="1" applyProtection="1">
      <protection locked="0"/>
    </xf>
    <xf numFmtId="0" fontId="26" fillId="6" borderId="22" xfId="0" applyFont="1" applyBorder="1" applyProtection="1">
      <protection locked="0"/>
    </xf>
    <xf numFmtId="2" fontId="68" fillId="6" borderId="23" xfId="866" applyFill="1" applyBorder="1" applyProtection="1">
      <protection locked="0"/>
    </xf>
    <xf numFmtId="0" fontId="0" fillId="6" borderId="33" xfId="0" applyBorder="1" applyProtection="1">
      <protection locked="0"/>
    </xf>
    <xf numFmtId="0" fontId="22" fillId="6" borderId="33" xfId="0" applyFont="1" applyBorder="1" applyProtection="1">
      <protection locked="0"/>
    </xf>
    <xf numFmtId="2" fontId="68" fillId="6" borderId="0" xfId="866" applyFill="1" applyBorder="1" applyProtection="1">
      <protection locked="0"/>
    </xf>
    <xf numFmtId="166" fontId="46" fillId="2" borderId="41" xfId="866" applyNumberFormat="1" applyFont="1" applyFill="1" applyProtection="1">
      <protection locked="0"/>
    </xf>
    <xf numFmtId="0" fontId="43" fillId="3" borderId="0" xfId="0" applyFont="1" applyFill="1" applyBorder="1" applyAlignment="1" applyProtection="1">
      <alignment vertical="center"/>
      <protection locked="0"/>
    </xf>
    <xf numFmtId="164" fontId="22" fillId="6" borderId="0" xfId="0" applyNumberFormat="1" applyFont="1" applyProtection="1">
      <protection locked="0"/>
    </xf>
    <xf numFmtId="0" fontId="0" fillId="6" borderId="7" xfId="0" applyFont="1" applyBorder="1" applyProtection="1">
      <protection locked="0"/>
    </xf>
    <xf numFmtId="164" fontId="0" fillId="6" borderId="0" xfId="0" applyNumberFormat="1" applyProtection="1">
      <protection locked="0"/>
    </xf>
    <xf numFmtId="170" fontId="0" fillId="6" borderId="0" xfId="0" applyNumberFormat="1" applyProtection="1">
      <protection locked="0"/>
    </xf>
    <xf numFmtId="2" fontId="0" fillId="6" borderId="0" xfId="0" applyNumberFormat="1" applyProtection="1">
      <protection locked="0"/>
    </xf>
    <xf numFmtId="0" fontId="14" fillId="2" borderId="0" xfId="0" applyFont="1" applyFill="1" applyAlignment="1" applyProtection="1">
      <alignment vertical="center"/>
      <protection locked="0"/>
    </xf>
    <xf numFmtId="0" fontId="14" fillId="2" borderId="0" xfId="0" applyFont="1" applyFill="1" applyProtection="1">
      <protection locked="0"/>
    </xf>
    <xf numFmtId="0" fontId="38" fillId="2" borderId="0" xfId="0" applyFont="1" applyFill="1" applyProtection="1">
      <protection locked="0"/>
    </xf>
    <xf numFmtId="0" fontId="37" fillId="2" borderId="0" xfId="0" applyFont="1" applyFill="1" applyProtection="1">
      <protection locked="0"/>
    </xf>
    <xf numFmtId="0" fontId="14" fillId="2" borderId="0" xfId="0" applyFont="1" applyFill="1" applyAlignment="1" applyProtection="1">
      <alignment horizontal="right"/>
      <protection locked="0"/>
    </xf>
    <xf numFmtId="0" fontId="41" fillId="2" borderId="0" xfId="0" applyFont="1" applyFill="1" applyProtection="1">
      <protection locked="0"/>
    </xf>
    <xf numFmtId="0" fontId="42" fillId="2" borderId="0" xfId="0" applyFont="1" applyFill="1" applyProtection="1">
      <protection locked="0"/>
    </xf>
    <xf numFmtId="0" fontId="43" fillId="3" borderId="0" xfId="0" applyFont="1" applyFill="1" applyProtection="1">
      <protection locked="0"/>
    </xf>
    <xf numFmtId="165" fontId="100" fillId="2" borderId="0" xfId="9" applyNumberFormat="1" applyFill="1" applyBorder="1" applyProtection="1">
      <protection locked="0"/>
    </xf>
    <xf numFmtId="0" fontId="8" fillId="2" borderId="0" xfId="0" applyFont="1" applyFill="1" applyAlignment="1" applyProtection="1">
      <alignment vertical="center"/>
      <protection locked="0"/>
    </xf>
    <xf numFmtId="0" fontId="37" fillId="2" borderId="0" xfId="0" applyFont="1" applyFill="1" applyAlignment="1" applyProtection="1">
      <alignment vertical="center"/>
      <protection locked="0"/>
    </xf>
    <xf numFmtId="0" fontId="43" fillId="3" borderId="0" xfId="0" applyFont="1" applyFill="1" applyAlignment="1" applyProtection="1">
      <alignment horizontal="right"/>
      <protection locked="0"/>
    </xf>
    <xf numFmtId="0" fontId="39" fillId="2" borderId="0" xfId="0" applyFont="1" applyFill="1" applyProtection="1">
      <protection locked="0"/>
    </xf>
    <xf numFmtId="0" fontId="40" fillId="2" borderId="0" xfId="0" applyFont="1" applyFill="1" applyProtection="1">
      <protection locked="0"/>
    </xf>
    <xf numFmtId="1" fontId="29" fillId="2" borderId="0" xfId="0" applyNumberFormat="1" applyFont="1" applyFill="1" applyProtection="1">
      <protection locked="0"/>
    </xf>
    <xf numFmtId="0" fontId="68" fillId="2" borderId="35" xfId="0" applyFont="1" applyFill="1" applyBorder="1" applyProtection="1">
      <protection locked="0"/>
    </xf>
    <xf numFmtId="0" fontId="68" fillId="2" borderId="36" xfId="0" applyFont="1" applyFill="1" applyBorder="1" applyProtection="1">
      <protection locked="0"/>
    </xf>
    <xf numFmtId="0" fontId="68" fillId="2" borderId="38" xfId="0" applyFont="1" applyFill="1" applyBorder="1" applyProtection="1">
      <protection locked="0"/>
    </xf>
    <xf numFmtId="1" fontId="29" fillId="2" borderId="0" xfId="0" applyNumberFormat="1" applyFont="1" applyFill="1" applyAlignment="1" applyProtection="1">
      <alignment horizontal="right"/>
      <protection locked="0"/>
    </xf>
    <xf numFmtId="0" fontId="29" fillId="2" borderId="0" xfId="0" applyFont="1" applyFill="1" applyAlignment="1" applyProtection="1">
      <alignment horizontal="left"/>
      <protection locked="0"/>
    </xf>
    <xf numFmtId="0" fontId="29" fillId="2" borderId="0" xfId="0" applyFont="1" applyFill="1" applyAlignment="1" applyProtection="1">
      <alignment horizontal="right"/>
      <protection locked="0"/>
    </xf>
    <xf numFmtId="0" fontId="68" fillId="2" borderId="7" xfId="0" applyFont="1" applyFill="1" applyBorder="1" applyProtection="1">
      <protection locked="0"/>
    </xf>
    <xf numFmtId="0" fontId="68" fillId="2" borderId="0" xfId="0" applyFont="1" applyFill="1" applyBorder="1" applyProtection="1">
      <protection locked="0"/>
    </xf>
    <xf numFmtId="0" fontId="68" fillId="2" borderId="11" xfId="0" applyFont="1" applyFill="1" applyBorder="1" applyProtection="1">
      <protection locked="0"/>
    </xf>
    <xf numFmtId="0" fontId="0" fillId="2" borderId="0" xfId="0" applyFont="1" applyFill="1" applyProtection="1">
      <protection locked="0"/>
    </xf>
    <xf numFmtId="0" fontId="72" fillId="2" borderId="0" xfId="0" applyFont="1" applyFill="1" applyBorder="1" applyAlignment="1" applyProtection="1">
      <alignment horizontal="center"/>
      <protection locked="0"/>
    </xf>
    <xf numFmtId="0" fontId="0" fillId="2" borderId="0" xfId="0" applyFont="1" applyFill="1" applyAlignment="1" applyProtection="1">
      <alignment horizontal="right"/>
      <protection locked="0"/>
    </xf>
    <xf numFmtId="0" fontId="72" fillId="2" borderId="0" xfId="0" applyFont="1" applyFill="1" applyBorder="1" applyProtection="1">
      <protection locked="0"/>
    </xf>
    <xf numFmtId="0" fontId="68" fillId="2" borderId="8" xfId="0" applyFont="1" applyFill="1" applyBorder="1" applyProtection="1">
      <protection locked="0"/>
    </xf>
    <xf numFmtId="0" fontId="68" fillId="2" borderId="1" xfId="0" applyFont="1" applyFill="1" applyBorder="1" applyProtection="1">
      <protection locked="0"/>
    </xf>
    <xf numFmtId="0" fontId="68" fillId="2" borderId="12" xfId="0" applyFont="1" applyFill="1" applyBorder="1" applyProtection="1">
      <protection locked="0"/>
    </xf>
    <xf numFmtId="2" fontId="14" fillId="2" borderId="0" xfId="0" applyNumberFormat="1" applyFont="1" applyFill="1" applyAlignment="1" applyProtection="1">
      <alignment horizontal="right"/>
      <protection locked="0"/>
    </xf>
    <xf numFmtId="2" fontId="14" fillId="2" borderId="0" xfId="0" applyNumberFormat="1" applyFont="1" applyFill="1" applyProtection="1">
      <protection locked="0"/>
    </xf>
    <xf numFmtId="166" fontId="14" fillId="2" borderId="0" xfId="0" applyNumberFormat="1" applyFont="1" applyFill="1" applyProtection="1">
      <protection locked="0"/>
    </xf>
    <xf numFmtId="0" fontId="29" fillId="2" borderId="0" xfId="0" applyNumberFormat="1" applyFont="1" applyFill="1" applyAlignment="1" applyProtection="1">
      <alignment horizontal="left"/>
      <protection locked="0"/>
    </xf>
    <xf numFmtId="0" fontId="29" fillId="2" borderId="8" xfId="0" applyFont="1" applyFill="1" applyBorder="1" applyProtection="1">
      <protection locked="0"/>
    </xf>
    <xf numFmtId="0" fontId="29" fillId="2" borderId="1" xfId="0" applyFont="1" applyFill="1" applyBorder="1" applyProtection="1">
      <protection locked="0"/>
    </xf>
    <xf numFmtId="0" fontId="29" fillId="2" borderId="12" xfId="0" applyFont="1" applyFill="1" applyBorder="1" applyProtection="1">
      <protection locked="0"/>
    </xf>
    <xf numFmtId="0" fontId="14" fillId="0" borderId="0" xfId="0" applyFont="1" applyFill="1" applyBorder="1" applyProtection="1">
      <protection locked="0"/>
    </xf>
    <xf numFmtId="165" fontId="14" fillId="0" borderId="0" xfId="0" applyNumberFormat="1" applyFont="1" applyFill="1" applyBorder="1" applyAlignment="1" applyProtection="1">
      <alignment horizontal="right"/>
      <protection locked="0"/>
    </xf>
    <xf numFmtId="165" fontId="14" fillId="2" borderId="0" xfId="0" applyNumberFormat="1" applyFont="1" applyFill="1" applyBorder="1" applyProtection="1">
      <protection locked="0"/>
    </xf>
    <xf numFmtId="164" fontId="14" fillId="2" borderId="0" xfId="0" applyNumberFormat="1" applyFont="1" applyFill="1" applyProtection="1">
      <protection locked="0"/>
    </xf>
    <xf numFmtId="0" fontId="14" fillId="6" borderId="0" xfId="0" applyFont="1" applyBorder="1" applyProtection="1">
      <protection locked="0"/>
    </xf>
    <xf numFmtId="0" fontId="14" fillId="2" borderId="0" xfId="0" applyFont="1" applyFill="1" applyBorder="1" applyProtection="1">
      <protection locked="0"/>
    </xf>
    <xf numFmtId="0" fontId="12" fillId="2" borderId="0" xfId="0" applyFont="1" applyFill="1" applyAlignment="1" applyProtection="1">
      <alignment horizontal="left"/>
      <protection locked="0"/>
    </xf>
    <xf numFmtId="168" fontId="14" fillId="2" borderId="0" xfId="0" applyNumberFormat="1" applyFont="1" applyFill="1" applyProtection="1">
      <protection locked="0"/>
    </xf>
    <xf numFmtId="167" fontId="14" fillId="2" borderId="0" xfId="0" applyNumberFormat="1" applyFont="1" applyFill="1" applyProtection="1">
      <protection locked="0"/>
    </xf>
    <xf numFmtId="171" fontId="14" fillId="2" borderId="0" xfId="0" applyNumberFormat="1" applyFont="1" applyFill="1" applyProtection="1">
      <protection locked="0"/>
    </xf>
    <xf numFmtId="165" fontId="29" fillId="2" borderId="0" xfId="0" applyNumberFormat="1" applyFont="1" applyFill="1" applyProtection="1">
      <protection locked="0"/>
    </xf>
    <xf numFmtId="166" fontId="29" fillId="2" borderId="0" xfId="0" applyNumberFormat="1" applyFont="1" applyFill="1" applyProtection="1">
      <protection locked="0"/>
    </xf>
    <xf numFmtId="1" fontId="14" fillId="2" borderId="0" xfId="0" applyNumberFormat="1" applyFont="1" applyFill="1" applyAlignment="1" applyProtection="1">
      <alignment horizontal="right"/>
      <protection locked="0"/>
    </xf>
    <xf numFmtId="1" fontId="14" fillId="2" borderId="0" xfId="0" applyNumberFormat="1" applyFont="1" applyFill="1" applyProtection="1">
      <protection locked="0"/>
    </xf>
    <xf numFmtId="165" fontId="29" fillId="2" borderId="0" xfId="0" applyNumberFormat="1" applyFont="1" applyFill="1" applyAlignment="1" applyProtection="1">
      <alignment horizontal="right"/>
      <protection locked="0"/>
    </xf>
    <xf numFmtId="0" fontId="0" fillId="2" borderId="0" xfId="0" applyFont="1" applyFill="1" applyAlignment="1" applyProtection="1">
      <alignment horizontal="left"/>
      <protection locked="0"/>
    </xf>
    <xf numFmtId="164" fontId="68" fillId="2" borderId="0" xfId="0" applyNumberFormat="1" applyFont="1" applyFill="1" applyProtection="1">
      <protection locked="0"/>
    </xf>
    <xf numFmtId="0" fontId="44" fillId="2" borderId="25" xfId="0" applyFont="1" applyFill="1" applyBorder="1" applyProtection="1">
      <protection locked="0"/>
    </xf>
    <xf numFmtId="1" fontId="100" fillId="2" borderId="0" xfId="9" applyNumberFormat="1" applyFill="1" applyBorder="1" applyProtection="1">
      <protection locked="0"/>
    </xf>
    <xf numFmtId="165" fontId="14" fillId="2" borderId="0" xfId="0" applyNumberFormat="1" applyFont="1" applyFill="1" applyProtection="1">
      <protection locked="0"/>
    </xf>
    <xf numFmtId="0" fontId="37" fillId="3" borderId="0" xfId="0" applyFont="1" applyFill="1" applyProtection="1">
      <protection locked="0"/>
    </xf>
    <xf numFmtId="0" fontId="14" fillId="0" borderId="0" xfId="0" applyFont="1" applyFill="1" applyProtection="1">
      <protection locked="0"/>
    </xf>
    <xf numFmtId="0" fontId="21" fillId="2" borderId="0" xfId="0" applyFont="1" applyFill="1" applyAlignment="1" applyProtection="1">
      <alignment vertical="center"/>
      <protection locked="0"/>
    </xf>
    <xf numFmtId="0" fontId="31" fillId="6" borderId="0" xfId="0" applyFont="1" applyProtection="1">
      <protection locked="0"/>
    </xf>
    <xf numFmtId="0" fontId="58" fillId="6" borderId="0" xfId="0" applyFont="1" applyProtection="1">
      <protection locked="0"/>
    </xf>
    <xf numFmtId="0" fontId="20" fillId="2" borderId="0" xfId="8" applyFont="1" applyFill="1" applyBorder="1" applyProtection="1">
      <protection locked="0"/>
    </xf>
    <xf numFmtId="0" fontId="15" fillId="2" borderId="0" xfId="8" applyFont="1" applyFill="1" applyBorder="1" applyProtection="1">
      <protection locked="0"/>
    </xf>
    <xf numFmtId="0" fontId="21" fillId="2" borderId="0" xfId="8" applyFont="1" applyFill="1" applyBorder="1" applyProtection="1">
      <protection locked="0"/>
    </xf>
    <xf numFmtId="0" fontId="19" fillId="2" borderId="0" xfId="8" applyFont="1" applyFill="1" applyBorder="1" applyProtection="1">
      <protection locked="0"/>
    </xf>
    <xf numFmtId="0" fontId="51" fillId="6" borderId="0" xfId="0" applyFont="1" applyProtection="1">
      <protection locked="0"/>
    </xf>
    <xf numFmtId="2" fontId="33" fillId="6" borderId="0" xfId="0" applyNumberFormat="1" applyFont="1" applyProtection="1">
      <protection locked="0"/>
    </xf>
    <xf numFmtId="0" fontId="33" fillId="6" borderId="0" xfId="0" applyFont="1" applyProtection="1">
      <protection locked="0"/>
    </xf>
    <xf numFmtId="0" fontId="31" fillId="6" borderId="0" xfId="0" applyFont="1" applyBorder="1" applyProtection="1">
      <protection locked="0"/>
    </xf>
    <xf numFmtId="165" fontId="22" fillId="0" borderId="37" xfId="8" applyNumberFormat="1" applyFont="1" applyFill="1" applyBorder="1" applyProtection="1">
      <protection locked="0"/>
    </xf>
    <xf numFmtId="2" fontId="68" fillId="6" borderId="39" xfId="866" applyBorder="1" applyProtection="1">
      <protection locked="0"/>
    </xf>
    <xf numFmtId="2" fontId="68" fillId="6" borderId="40" xfId="866" applyBorder="1" applyProtection="1">
      <protection locked="0"/>
    </xf>
    <xf numFmtId="0" fontId="59" fillId="6" borderId="0" xfId="0" applyFont="1" applyProtection="1">
      <protection locked="0"/>
    </xf>
    <xf numFmtId="2" fontId="68" fillId="6" borderId="37" xfId="866" applyBorder="1" applyProtection="1">
      <protection locked="0"/>
    </xf>
    <xf numFmtId="0" fontId="66" fillId="10" borderId="39" xfId="865" applyFont="1" applyBorder="1" applyProtection="1">
      <protection locked="0"/>
    </xf>
    <xf numFmtId="2" fontId="68" fillId="6" borderId="44" xfId="866" applyBorder="1" applyAlignment="1" applyProtection="1">
      <alignment wrapText="1"/>
      <protection locked="0"/>
    </xf>
    <xf numFmtId="2" fontId="68" fillId="6" borderId="41" xfId="866" applyBorder="1" applyAlignment="1" applyProtection="1">
      <alignment wrapText="1"/>
      <protection locked="0"/>
    </xf>
    <xf numFmtId="2" fontId="68" fillId="6" borderId="45" xfId="866" applyBorder="1" applyAlignment="1" applyProtection="1">
      <alignment wrapText="1"/>
      <protection locked="0"/>
    </xf>
    <xf numFmtId="0" fontId="29" fillId="6" borderId="48" xfId="0" applyFont="1" applyBorder="1" applyAlignment="1" applyProtection="1">
      <alignment wrapText="1"/>
      <protection locked="0"/>
    </xf>
    <xf numFmtId="2" fontId="68" fillId="6" borderId="41" xfId="866" applyFont="1" applyBorder="1" applyAlignment="1" applyProtection="1">
      <alignment wrapText="1"/>
      <protection locked="0"/>
    </xf>
    <xf numFmtId="4" fontId="68" fillId="6" borderId="41" xfId="866" applyNumberFormat="1" applyProtection="1">
      <protection locked="0"/>
    </xf>
    <xf numFmtId="3" fontId="68" fillId="6" borderId="41" xfId="866" applyNumberFormat="1" applyProtection="1">
      <protection locked="0"/>
    </xf>
    <xf numFmtId="0" fontId="66" fillId="10" borderId="39" xfId="865" applyBorder="1" applyProtection="1">
      <protection locked="0"/>
    </xf>
    <xf numFmtId="0" fontId="66" fillId="10" borderId="37" xfId="865" applyBorder="1" applyProtection="1">
      <protection locked="0"/>
    </xf>
    <xf numFmtId="0" fontId="66" fillId="10" borderId="40" xfId="865" applyBorder="1" applyProtection="1">
      <protection locked="0"/>
    </xf>
    <xf numFmtId="0" fontId="0" fillId="6" borderId="40" xfId="0" applyBorder="1" applyProtection="1">
      <protection locked="0"/>
    </xf>
    <xf numFmtId="0" fontId="56" fillId="6" borderId="0" xfId="0" applyFont="1" applyProtection="1">
      <protection locked="0"/>
    </xf>
    <xf numFmtId="2" fontId="68" fillId="0" borderId="39" xfId="866" applyFill="1" applyBorder="1" applyProtection="1">
      <protection locked="0"/>
    </xf>
    <xf numFmtId="2" fontId="68" fillId="0" borderId="37" xfId="866" applyFill="1" applyBorder="1" applyProtection="1">
      <protection locked="0"/>
    </xf>
    <xf numFmtId="2" fontId="68" fillId="0" borderId="40" xfId="866" applyFill="1" applyBorder="1" applyProtection="1">
      <protection locked="0"/>
    </xf>
    <xf numFmtId="3" fontId="68" fillId="0" borderId="41" xfId="866" applyNumberFormat="1" applyFont="1" applyFill="1" applyProtection="1">
      <protection locked="0"/>
    </xf>
    <xf numFmtId="3" fontId="68" fillId="0" borderId="41" xfId="866" applyNumberFormat="1" applyFill="1" applyProtection="1">
      <protection locked="0"/>
    </xf>
    <xf numFmtId="0" fontId="0" fillId="0" borderId="40" xfId="0" applyFill="1" applyBorder="1" applyProtection="1">
      <protection locked="0"/>
    </xf>
    <xf numFmtId="0" fontId="83" fillId="6" borderId="0" xfId="0" applyFont="1" applyProtection="1">
      <protection locked="0"/>
    </xf>
    <xf numFmtId="0" fontId="52" fillId="6" borderId="40" xfId="0" applyFont="1" applyBorder="1" applyProtection="1">
      <protection locked="0"/>
    </xf>
    <xf numFmtId="0" fontId="22" fillId="0" borderId="0" xfId="9" applyFont="1" applyFill="1" applyBorder="1" applyProtection="1">
      <protection locked="0"/>
    </xf>
    <xf numFmtId="2" fontId="68" fillId="0" borderId="41" xfId="866" applyFont="1" applyFill="1" applyProtection="1">
      <protection locked="0"/>
    </xf>
    <xf numFmtId="0" fontId="22" fillId="0" borderId="28" xfId="9" applyFont="1" applyFill="1" applyBorder="1" applyProtection="1">
      <protection locked="0"/>
    </xf>
    <xf numFmtId="0" fontId="22" fillId="0" borderId="28" xfId="0" applyFont="1" applyFill="1" applyBorder="1" applyProtection="1">
      <protection locked="0"/>
    </xf>
    <xf numFmtId="171" fontId="101" fillId="6" borderId="41" xfId="871" applyNumberFormat="1" applyProtection="1">
      <protection locked="0"/>
    </xf>
    <xf numFmtId="171" fontId="29" fillId="6" borderId="41" xfId="869" applyNumberFormat="1" applyProtection="1">
      <protection locked="0"/>
    </xf>
    <xf numFmtId="171" fontId="101" fillId="6" borderId="37" xfId="871" applyNumberFormat="1" applyBorder="1" applyProtection="1">
      <protection locked="0"/>
    </xf>
    <xf numFmtId="171" fontId="29" fillId="6" borderId="37" xfId="869" applyNumberFormat="1" applyBorder="1" applyProtection="1">
      <protection locked="0"/>
    </xf>
    <xf numFmtId="2" fontId="22" fillId="6" borderId="0" xfId="0" applyNumberFormat="1" applyFont="1" applyProtection="1">
      <protection locked="0"/>
    </xf>
    <xf numFmtId="2" fontId="22" fillId="0" borderId="0" xfId="0" applyNumberFormat="1" applyFont="1" applyFill="1" applyProtection="1">
      <protection locked="0"/>
    </xf>
    <xf numFmtId="164" fontId="101" fillId="6" borderId="41" xfId="871" applyNumberFormat="1" applyProtection="1">
      <protection locked="0"/>
    </xf>
    <xf numFmtId="164" fontId="29" fillId="6" borderId="41" xfId="869" applyNumberFormat="1" applyProtection="1">
      <protection locked="0"/>
    </xf>
    <xf numFmtId="0" fontId="21" fillId="2" borderId="0" xfId="0" applyFont="1" applyFill="1" applyProtection="1">
      <protection locked="0"/>
    </xf>
    <xf numFmtId="169" fontId="52" fillId="6" borderId="0" xfId="0" applyNumberFormat="1" applyFont="1" applyBorder="1" applyAlignment="1" applyProtection="1">
      <alignment horizontal="center"/>
      <protection locked="0"/>
    </xf>
    <xf numFmtId="169" fontId="52" fillId="6" borderId="0" xfId="0" applyNumberFormat="1" applyFont="1" applyBorder="1" applyProtection="1">
      <protection locked="0"/>
    </xf>
    <xf numFmtId="1" fontId="30" fillId="0" borderId="0" xfId="9" applyNumberFormat="1" applyFont="1" applyFill="1" applyBorder="1" applyProtection="1">
      <protection locked="0"/>
    </xf>
    <xf numFmtId="1" fontId="30" fillId="0" borderId="0" xfId="0" applyNumberFormat="1" applyFont="1" applyFill="1" applyBorder="1" applyProtection="1">
      <protection locked="0"/>
    </xf>
    <xf numFmtId="1" fontId="55" fillId="0" borderId="0" xfId="8" applyNumberFormat="1" applyFill="1" applyBorder="1" applyProtection="1">
      <protection locked="0"/>
    </xf>
    <xf numFmtId="2" fontId="68" fillId="0" borderId="41" xfId="866" applyFill="1" applyProtection="1">
      <protection locked="0"/>
    </xf>
    <xf numFmtId="164" fontId="52" fillId="6" borderId="0" xfId="0" applyNumberFormat="1" applyFont="1" applyProtection="1">
      <protection locked="0"/>
    </xf>
    <xf numFmtId="2" fontId="23" fillId="0" borderId="0" xfId="8" applyNumberFormat="1" applyFont="1" applyFill="1" applyBorder="1" applyProtection="1">
      <protection locked="0"/>
    </xf>
    <xf numFmtId="165" fontId="22" fillId="6" borderId="0" xfId="0" applyNumberFormat="1" applyFont="1" applyProtection="1">
      <protection locked="0"/>
    </xf>
    <xf numFmtId="0" fontId="22" fillId="2" borderId="0" xfId="0" applyFont="1" applyFill="1" applyBorder="1" applyProtection="1">
      <protection locked="0"/>
    </xf>
    <xf numFmtId="0" fontId="66" fillId="6" borderId="0" xfId="865" applyFill="1" applyBorder="1" applyProtection="1">
      <protection locked="0"/>
    </xf>
    <xf numFmtId="0" fontId="0" fillId="2" borderId="0" xfId="0" applyFill="1" applyBorder="1" applyProtection="1">
      <protection locked="0"/>
    </xf>
    <xf numFmtId="0" fontId="45" fillId="2" borderId="0" xfId="0" applyFont="1" applyFill="1" applyProtection="1">
      <protection locked="0"/>
    </xf>
    <xf numFmtId="11" fontId="21" fillId="2" borderId="0" xfId="0" applyNumberFormat="1" applyFont="1" applyFill="1" applyProtection="1">
      <protection locked="0"/>
    </xf>
    <xf numFmtId="11" fontId="0" fillId="2" borderId="0" xfId="0" applyNumberFormat="1" applyFill="1" applyProtection="1">
      <protection locked="0"/>
    </xf>
    <xf numFmtId="0" fontId="21" fillId="2" borderId="0" xfId="0" applyFont="1" applyFill="1" applyBorder="1" applyProtection="1">
      <protection locked="0"/>
    </xf>
    <xf numFmtId="0" fontId="19" fillId="2" borderId="0" xfId="0" applyFont="1" applyFill="1" applyProtection="1">
      <protection locked="0"/>
    </xf>
    <xf numFmtId="167" fontId="21" fillId="2" borderId="0" xfId="0" applyNumberFormat="1" applyFont="1" applyFill="1" applyProtection="1">
      <protection locked="0"/>
    </xf>
    <xf numFmtId="0" fontId="19" fillId="2" borderId="0" xfId="0" applyFont="1" applyFill="1" applyBorder="1" applyProtection="1">
      <protection locked="0"/>
    </xf>
    <xf numFmtId="2" fontId="21" fillId="2" borderId="0" xfId="0" applyNumberFormat="1" applyFont="1" applyFill="1" applyBorder="1" applyProtection="1">
      <protection locked="0"/>
    </xf>
    <xf numFmtId="0" fontId="12" fillId="2" borderId="0" xfId="0" applyFont="1" applyFill="1" applyBorder="1" applyProtection="1">
      <protection locked="0"/>
    </xf>
    <xf numFmtId="0" fontId="76" fillId="2" borderId="0" xfId="0" applyFont="1" applyFill="1" applyBorder="1" applyProtection="1">
      <protection locked="0"/>
    </xf>
    <xf numFmtId="0" fontId="74" fillId="2" borderId="39" xfId="0" applyFont="1" applyFill="1" applyBorder="1" applyAlignment="1" applyProtection="1">
      <protection locked="0"/>
    </xf>
    <xf numFmtId="0" fontId="74" fillId="2" borderId="39" xfId="0" applyFont="1" applyFill="1" applyBorder="1" applyAlignment="1" applyProtection="1">
      <alignment horizontal="left"/>
      <protection locked="0"/>
    </xf>
    <xf numFmtId="2" fontId="74" fillId="2" borderId="41" xfId="0" applyNumberFormat="1" applyFont="1" applyFill="1" applyBorder="1" applyProtection="1">
      <protection locked="0"/>
    </xf>
    <xf numFmtId="165" fontId="21" fillId="2" borderId="0" xfId="0" applyNumberFormat="1" applyFont="1" applyFill="1" applyProtection="1">
      <protection locked="0"/>
    </xf>
    <xf numFmtId="165" fontId="14" fillId="2" borderId="41" xfId="0" applyNumberFormat="1" applyFont="1" applyFill="1" applyBorder="1" applyProtection="1">
      <protection locked="0"/>
    </xf>
    <xf numFmtId="2" fontId="14" fillId="2" borderId="41" xfId="0" applyNumberFormat="1" applyFont="1" applyFill="1" applyBorder="1" applyProtection="1">
      <protection locked="0"/>
    </xf>
    <xf numFmtId="164" fontId="14" fillId="2" borderId="41" xfId="0" applyNumberFormat="1" applyFont="1" applyFill="1" applyBorder="1" applyProtection="1">
      <protection locked="0"/>
    </xf>
    <xf numFmtId="172" fontId="68" fillId="6" borderId="41" xfId="866" applyNumberFormat="1" applyProtection="1">
      <protection locked="0"/>
    </xf>
    <xf numFmtId="11" fontId="68" fillId="6" borderId="41" xfId="866" applyNumberFormat="1" applyProtection="1">
      <protection locked="0"/>
    </xf>
    <xf numFmtId="2" fontId="14" fillId="2" borderId="0" xfId="0" applyNumberFormat="1" applyFont="1" applyFill="1" applyBorder="1" applyAlignment="1" applyProtection="1">
      <alignment horizontal="right"/>
      <protection locked="0"/>
    </xf>
    <xf numFmtId="0" fontId="89" fillId="2" borderId="0" xfId="161" applyFont="1" applyFill="1" applyProtection="1">
      <protection locked="0"/>
    </xf>
    <xf numFmtId="0" fontId="74" fillId="2" borderId="40" xfId="0" applyFont="1" applyFill="1" applyBorder="1" applyAlignment="1" applyProtection="1">
      <protection locked="0"/>
    </xf>
    <xf numFmtId="0" fontId="52" fillId="2" borderId="0" xfId="0" applyFont="1" applyFill="1" applyAlignment="1" applyProtection="1">
      <alignment horizontal="left"/>
      <protection locked="0"/>
    </xf>
    <xf numFmtId="0" fontId="30" fillId="2" borderId="0" xfId="0" applyFont="1" applyFill="1" applyAlignment="1" applyProtection="1">
      <alignment horizontal="left"/>
      <protection locked="0"/>
    </xf>
    <xf numFmtId="0" fontId="68" fillId="6" borderId="41" xfId="866" applyNumberFormat="1" applyProtection="1">
      <protection locked="0"/>
    </xf>
    <xf numFmtId="0" fontId="21" fillId="2" borderId="0" xfId="0" applyFont="1" applyFill="1" applyAlignment="1" applyProtection="1">
      <alignment horizontal="center" vertical="center"/>
      <protection locked="0"/>
    </xf>
    <xf numFmtId="0" fontId="21" fillId="6" borderId="0" xfId="0" applyFont="1" applyProtection="1">
      <protection locked="0"/>
    </xf>
    <xf numFmtId="0" fontId="20" fillId="6" borderId="0" xfId="0" applyFont="1" applyProtection="1">
      <protection locked="0"/>
    </xf>
    <xf numFmtId="0" fontId="19" fillId="6" borderId="0" xfId="0" applyFont="1" applyProtection="1">
      <protection locked="0"/>
    </xf>
    <xf numFmtId="165" fontId="21" fillId="6" borderId="0" xfId="0" applyNumberFormat="1" applyFont="1" applyProtection="1">
      <protection locked="0"/>
    </xf>
    <xf numFmtId="0" fontId="21" fillId="6" borderId="0" xfId="0" applyFont="1" applyBorder="1" applyProtection="1">
      <protection locked="0"/>
    </xf>
    <xf numFmtId="0" fontId="46" fillId="6" borderId="0" xfId="0" applyFont="1" applyProtection="1">
      <protection locked="0"/>
    </xf>
    <xf numFmtId="0" fontId="14" fillId="6" borderId="0" xfId="0" applyFont="1" applyProtection="1">
      <protection locked="0"/>
    </xf>
    <xf numFmtId="0" fontId="23" fillId="6" borderId="0" xfId="0" applyFont="1" applyBorder="1" applyProtection="1">
      <protection locked="0"/>
    </xf>
    <xf numFmtId="1" fontId="21" fillId="2" borderId="0" xfId="9" applyNumberFormat="1" applyFont="1" applyFill="1" applyBorder="1" applyProtection="1">
      <protection locked="0"/>
    </xf>
    <xf numFmtId="2" fontId="21" fillId="2" borderId="0" xfId="9" applyNumberFormat="1" applyFont="1" applyFill="1" applyBorder="1" applyProtection="1">
      <protection locked="0"/>
    </xf>
    <xf numFmtId="165" fontId="21" fillId="6" borderId="0" xfId="0" applyNumberFormat="1" applyFont="1" applyBorder="1" applyProtection="1">
      <protection locked="0"/>
    </xf>
    <xf numFmtId="165" fontId="21" fillId="2" borderId="0" xfId="9" applyNumberFormat="1" applyFont="1" applyFill="1" applyBorder="1" applyProtection="1">
      <protection locked="0"/>
    </xf>
    <xf numFmtId="165" fontId="12" fillId="6" borderId="0" xfId="0" applyNumberFormat="1" applyFont="1" applyBorder="1" applyProtection="1">
      <protection locked="0"/>
    </xf>
    <xf numFmtId="2" fontId="21" fillId="6" borderId="0" xfId="0" applyNumberFormat="1" applyFont="1" applyBorder="1" applyProtection="1">
      <protection locked="0"/>
    </xf>
    <xf numFmtId="0" fontId="12" fillId="6" borderId="0" xfId="0" applyFont="1" applyAlignment="1" applyProtection="1">
      <alignment horizontal="left"/>
      <protection locked="0"/>
    </xf>
    <xf numFmtId="0" fontId="21" fillId="6" borderId="0" xfId="0" applyFont="1" applyAlignment="1" applyProtection="1">
      <alignment horizontal="center"/>
      <protection locked="0"/>
    </xf>
    <xf numFmtId="2" fontId="21" fillId="6" borderId="0" xfId="0" applyNumberFormat="1" applyFont="1" applyAlignment="1" applyProtection="1">
      <alignment horizontal="right"/>
      <protection locked="0"/>
    </xf>
    <xf numFmtId="0" fontId="21" fillId="6" borderId="0" xfId="0" applyFont="1" applyAlignment="1" applyProtection="1">
      <alignment horizontal="right"/>
      <protection locked="0"/>
    </xf>
    <xf numFmtId="164" fontId="21" fillId="6" borderId="0" xfId="0" applyNumberFormat="1" applyFont="1" applyAlignment="1" applyProtection="1">
      <alignment horizontal="right"/>
      <protection locked="0"/>
    </xf>
    <xf numFmtId="0" fontId="12" fillId="6" borderId="0" xfId="0" applyFont="1" applyBorder="1" applyProtection="1">
      <protection locked="0"/>
    </xf>
    <xf numFmtId="164" fontId="12" fillId="6" borderId="0" xfId="0" applyNumberFormat="1" applyFont="1" applyAlignment="1" applyProtection="1">
      <alignment horizontal="left"/>
      <protection locked="0"/>
    </xf>
    <xf numFmtId="164" fontId="68" fillId="6" borderId="41" xfId="866" applyNumberFormat="1" applyProtection="1">
      <protection locked="0"/>
    </xf>
    <xf numFmtId="0" fontId="36" fillId="6" borderId="0" xfId="0" applyFont="1" applyProtection="1">
      <protection locked="0"/>
    </xf>
    <xf numFmtId="0" fontId="21" fillId="2" borderId="0" xfId="9" applyFont="1" applyFill="1" applyBorder="1" applyProtection="1">
      <protection locked="0"/>
    </xf>
    <xf numFmtId="0" fontId="41" fillId="6" borderId="0" xfId="0" applyFont="1" applyProtection="1">
      <protection locked="0"/>
    </xf>
    <xf numFmtId="0" fontId="37" fillId="2" borderId="0" xfId="0" applyFont="1" applyFill="1"/>
    <xf numFmtId="0" fontId="23" fillId="2" borderId="0" xfId="0" applyFont="1" applyFill="1" applyAlignment="1" applyProtection="1">
      <alignment vertical="center"/>
      <protection locked="0"/>
    </xf>
    <xf numFmtId="0" fontId="2" fillId="2" borderId="0" xfId="0" applyFont="1" applyFill="1" applyProtection="1">
      <protection locked="0"/>
    </xf>
    <xf numFmtId="0" fontId="76" fillId="2" borderId="0" xfId="0" applyFont="1" applyFill="1" applyProtection="1">
      <protection locked="0"/>
    </xf>
    <xf numFmtId="0" fontId="98" fillId="2" borderId="0" xfId="0" applyFont="1" applyFill="1" applyProtection="1">
      <protection locked="0"/>
    </xf>
    <xf numFmtId="15" fontId="55" fillId="10" borderId="1" xfId="8" applyNumberFormat="1" applyProtection="1">
      <protection locked="0"/>
    </xf>
    <xf numFmtId="0" fontId="0" fillId="6" borderId="41" xfId="0" applyBorder="1" applyProtection="1">
      <protection locked="0"/>
    </xf>
    <xf numFmtId="49" fontId="101" fillId="6" borderId="41" xfId="871" applyNumberFormat="1" applyProtection="1">
      <protection locked="0"/>
    </xf>
    <xf numFmtId="0" fontId="101" fillId="6" borderId="41" xfId="871"/>
    <xf numFmtId="0" fontId="1" fillId="2" borderId="0" xfId="0" applyFont="1" applyFill="1" applyBorder="1" applyProtection="1">
      <protection locked="0"/>
    </xf>
    <xf numFmtId="2" fontId="1" fillId="2" borderId="0" xfId="0" applyNumberFormat="1" applyFont="1" applyFill="1" applyBorder="1" applyProtection="1">
      <protection locked="0"/>
    </xf>
    <xf numFmtId="0" fontId="1" fillId="6" borderId="0" xfId="0" applyFont="1" applyProtection="1">
      <protection locked="0"/>
    </xf>
    <xf numFmtId="0" fontId="97" fillId="6" borderId="0" xfId="0" applyFont="1" applyProtection="1">
      <protection locked="0"/>
    </xf>
    <xf numFmtId="165" fontId="67" fillId="6" borderId="0" xfId="871" applyNumberFormat="1" applyFont="1" applyBorder="1" applyProtection="1">
      <protection locked="0"/>
    </xf>
    <xf numFmtId="165" fontId="29" fillId="6" borderId="0" xfId="869" applyNumberFormat="1" applyFont="1" applyBorder="1" applyProtection="1">
      <protection locked="0"/>
    </xf>
    <xf numFmtId="0" fontId="36" fillId="2" borderId="0" xfId="0" applyFont="1" applyFill="1" applyAlignment="1" applyProtection="1">
      <alignment vertical="center"/>
      <protection locked="0"/>
    </xf>
    <xf numFmtId="0" fontId="29" fillId="6" borderId="41" xfId="869"/>
    <xf numFmtId="0" fontId="13" fillId="0" borderId="0" xfId="0" applyFont="1" applyFill="1" applyBorder="1" applyProtection="1">
      <protection locked="0"/>
    </xf>
    <xf numFmtId="2" fontId="101" fillId="11" borderId="41" xfId="870" applyNumberFormat="1"/>
    <xf numFmtId="0" fontId="1" fillId="0" borderId="0" xfId="0" applyFont="1" applyFill="1" applyProtection="1">
      <protection locked="0"/>
    </xf>
    <xf numFmtId="0" fontId="66" fillId="10" borderId="41" xfId="865"/>
    <xf numFmtId="165" fontId="68" fillId="0" borderId="41" xfId="866" applyNumberFormat="1" applyFill="1" applyProtection="1">
      <protection locked="0"/>
    </xf>
    <xf numFmtId="0" fontId="66" fillId="10" borderId="39" xfId="865" applyBorder="1"/>
    <xf numFmtId="0" fontId="66" fillId="10" borderId="37" xfId="865" applyBorder="1"/>
    <xf numFmtId="0" fontId="66" fillId="10" borderId="40" xfId="865" applyBorder="1"/>
    <xf numFmtId="1" fontId="74" fillId="2" borderId="41" xfId="0" applyNumberFormat="1" applyFont="1" applyFill="1" applyBorder="1" applyProtection="1">
      <protection locked="0"/>
    </xf>
    <xf numFmtId="2" fontId="68" fillId="6" borderId="39" xfId="866" applyBorder="1" applyProtection="1">
      <protection locked="0"/>
    </xf>
    <xf numFmtId="2" fontId="68" fillId="6" borderId="37" xfId="866" applyBorder="1" applyProtection="1">
      <protection locked="0"/>
    </xf>
    <xf numFmtId="2" fontId="68" fillId="6" borderId="40" xfId="866" applyBorder="1" applyProtection="1">
      <protection locked="0"/>
    </xf>
    <xf numFmtId="0" fontId="1" fillId="2" borderId="0" xfId="0" applyFont="1" applyFill="1" applyAlignment="1" applyProtection="1">
      <alignment vertical="center"/>
      <protection locked="0"/>
    </xf>
    <xf numFmtId="165" fontId="29" fillId="7" borderId="41" xfId="868"/>
    <xf numFmtId="165" fontId="101" fillId="11" borderId="41" xfId="870"/>
    <xf numFmtId="2" fontId="29" fillId="6" borderId="41" xfId="869" applyNumberFormat="1"/>
    <xf numFmtId="165" fontId="68" fillId="0" borderId="41" xfId="866" applyNumberFormat="1" applyFont="1" applyFill="1" applyProtection="1">
      <protection locked="0"/>
    </xf>
    <xf numFmtId="0" fontId="1" fillId="2" borderId="0" xfId="0" applyFont="1" applyFill="1" applyProtection="1">
      <protection locked="0"/>
    </xf>
    <xf numFmtId="0" fontId="18" fillId="2" borderId="36" xfId="9" applyFont="1" applyFill="1" applyBorder="1" applyProtection="1">
      <protection locked="0"/>
    </xf>
    <xf numFmtId="0" fontId="66" fillId="10" borderId="41" xfId="865" applyBorder="1" applyProtection="1">
      <protection locked="0"/>
    </xf>
    <xf numFmtId="0" fontId="101" fillId="6" borderId="41" xfId="871" applyBorder="1"/>
    <xf numFmtId="171" fontId="68" fillId="6" borderId="41" xfId="866" applyNumberFormat="1" applyProtection="1">
      <protection locked="0"/>
    </xf>
    <xf numFmtId="0" fontId="43" fillId="0" borderId="0" xfId="0" applyFont="1" applyFill="1" applyProtection="1">
      <protection locked="0"/>
    </xf>
    <xf numFmtId="165" fontId="101" fillId="6" borderId="41" xfId="871" applyNumberFormat="1"/>
    <xf numFmtId="165" fontId="29" fillId="6" borderId="41" xfId="869" applyNumberFormat="1"/>
    <xf numFmtId="1" fontId="30" fillId="2" borderId="0" xfId="0" applyNumberFormat="1" applyFont="1" applyFill="1" applyProtection="1">
      <protection locked="0"/>
    </xf>
    <xf numFmtId="165" fontId="101" fillId="0" borderId="41" xfId="871" applyNumberFormat="1" applyFill="1"/>
    <xf numFmtId="165" fontId="29" fillId="0" borderId="41" xfId="869" applyNumberFormat="1" applyFill="1"/>
    <xf numFmtId="165" fontId="101" fillId="0" borderId="41" xfId="871" applyNumberFormat="1" applyFill="1" applyProtection="1">
      <protection locked="0"/>
    </xf>
    <xf numFmtId="165" fontId="29" fillId="0" borderId="41" xfId="869" applyNumberFormat="1" applyFill="1" applyProtection="1">
      <protection locked="0"/>
    </xf>
    <xf numFmtId="0" fontId="101" fillId="0" borderId="41" xfId="871" applyFill="1" applyProtection="1">
      <protection locked="0"/>
    </xf>
    <xf numFmtId="0" fontId="29" fillId="0" borderId="41" xfId="869" applyFill="1" applyProtection="1">
      <protection locked="0"/>
    </xf>
    <xf numFmtId="1" fontId="29" fillId="6" borderId="41" xfId="869" applyNumberFormat="1"/>
    <xf numFmtId="1" fontId="101" fillId="6" borderId="41" xfId="871" applyNumberFormat="1"/>
    <xf numFmtId="165" fontId="29" fillId="7" borderId="41" xfId="868" applyNumberFormat="1"/>
    <xf numFmtId="0" fontId="1" fillId="2" borderId="0" xfId="0" applyFont="1" applyFill="1" applyBorder="1" applyAlignment="1" applyProtection="1">
      <alignment vertical="center"/>
      <protection locked="0"/>
    </xf>
    <xf numFmtId="165" fontId="0" fillId="7" borderId="41" xfId="868" applyNumberFormat="1" applyFont="1" applyProtection="1">
      <protection locked="0"/>
    </xf>
    <xf numFmtId="0" fontId="62" fillId="2" borderId="0" xfId="0" applyFont="1" applyFill="1" applyAlignment="1" applyProtection="1">
      <alignment vertical="center"/>
      <protection locked="0"/>
    </xf>
    <xf numFmtId="1" fontId="101" fillId="11" borderId="41" xfId="870" applyNumberFormat="1"/>
    <xf numFmtId="169" fontId="101" fillId="6" borderId="41" xfId="871" applyNumberFormat="1"/>
    <xf numFmtId="169" fontId="7" fillId="2" borderId="0" xfId="0" applyNumberFormat="1" applyFont="1" applyFill="1" applyProtection="1">
      <protection locked="0"/>
    </xf>
    <xf numFmtId="169" fontId="101" fillId="11" borderId="41" xfId="870" applyNumberFormat="1" applyProtection="1">
      <protection locked="0"/>
    </xf>
    <xf numFmtId="0" fontId="66" fillId="10" borderId="41" xfId="865" applyProtection="1">
      <protection locked="0"/>
    </xf>
    <xf numFmtId="0" fontId="70" fillId="2" borderId="0" xfId="0" applyFont="1" applyFill="1" applyProtection="1">
      <protection locked="0"/>
    </xf>
    <xf numFmtId="166" fontId="101" fillId="11" borderId="41" xfId="870" applyNumberFormat="1"/>
    <xf numFmtId="164" fontId="14" fillId="0" borderId="41" xfId="0" applyNumberFormat="1" applyFont="1" applyFill="1" applyBorder="1" applyProtection="1">
      <protection locked="0"/>
    </xf>
    <xf numFmtId="164" fontId="1" fillId="2" borderId="41" xfId="0" applyNumberFormat="1" applyFont="1" applyFill="1" applyBorder="1" applyProtection="1">
      <protection locked="0"/>
    </xf>
    <xf numFmtId="0" fontId="47" fillId="6" borderId="0" xfId="0" applyFont="1" applyProtection="1"/>
    <xf numFmtId="0" fontId="18" fillId="2" borderId="0" xfId="0" applyFont="1" applyFill="1" applyAlignment="1" applyProtection="1">
      <alignment vertical="center"/>
    </xf>
    <xf numFmtId="167" fontId="48" fillId="6" borderId="0" xfId="0" applyNumberFormat="1" applyFont="1" applyProtection="1">
      <protection locked="0"/>
    </xf>
    <xf numFmtId="0" fontId="0" fillId="2" borderId="0" xfId="0" applyFill="1"/>
    <xf numFmtId="2" fontId="18" fillId="2" borderId="0" xfId="0" applyNumberFormat="1" applyFont="1" applyFill="1" applyAlignment="1" applyProtection="1">
      <alignment vertical="center"/>
      <protection locked="0"/>
    </xf>
    <xf numFmtId="164" fontId="18" fillId="2" borderId="0" xfId="0" applyNumberFormat="1" applyFont="1" applyFill="1" applyAlignment="1" applyProtection="1">
      <alignment vertical="center"/>
      <protection locked="0"/>
    </xf>
    <xf numFmtId="166" fontId="18" fillId="2" borderId="0" xfId="0" applyNumberFormat="1" applyFont="1" applyFill="1" applyAlignment="1" applyProtection="1">
      <alignment vertical="center"/>
      <protection locked="0"/>
    </xf>
    <xf numFmtId="165" fontId="18" fillId="2" borderId="0" xfId="0" applyNumberFormat="1" applyFont="1" applyFill="1" applyAlignment="1" applyProtection="1">
      <alignment vertical="center"/>
      <protection locked="0"/>
    </xf>
    <xf numFmtId="1" fontId="18" fillId="2" borderId="0" xfId="0" applyNumberFormat="1" applyFont="1" applyFill="1" applyAlignment="1" applyProtection="1">
      <alignment vertical="center"/>
      <protection locked="0"/>
    </xf>
    <xf numFmtId="0" fontId="18" fillId="0" borderId="0" xfId="0" applyFont="1" applyFill="1" applyAlignment="1" applyProtection="1">
      <alignment vertical="center"/>
      <protection locked="0"/>
    </xf>
    <xf numFmtId="0" fontId="99" fillId="6" borderId="0" xfId="0" applyFont="1" applyProtection="1">
      <protection locked="0"/>
    </xf>
    <xf numFmtId="0" fontId="29" fillId="2" borderId="0" xfId="8" applyFont="1" applyFill="1" applyBorder="1" applyProtection="1">
      <protection locked="0"/>
    </xf>
    <xf numFmtId="2" fontId="29" fillId="7" borderId="41" xfId="868" applyNumberFormat="1"/>
    <xf numFmtId="1" fontId="29" fillId="7" borderId="41" xfId="868" applyNumberFormat="1"/>
    <xf numFmtId="0" fontId="29" fillId="6" borderId="37" xfId="869" applyBorder="1" applyProtection="1">
      <protection locked="0"/>
    </xf>
    <xf numFmtId="165" fontId="101" fillId="6" borderId="37" xfId="871" applyNumberFormat="1" applyBorder="1"/>
    <xf numFmtId="165" fontId="29" fillId="6" borderId="37" xfId="869" applyNumberFormat="1" applyBorder="1"/>
    <xf numFmtId="165" fontId="74" fillId="6" borderId="0" xfId="0" applyNumberFormat="1" applyFont="1" applyProtection="1">
      <protection locked="0"/>
    </xf>
    <xf numFmtId="0" fontId="68" fillId="0" borderId="41" xfId="865" applyFont="1" applyFill="1" applyProtection="1">
      <protection locked="0"/>
    </xf>
    <xf numFmtId="0" fontId="74" fillId="0" borderId="41" xfId="0" applyFont="1" applyFill="1" applyBorder="1" applyAlignment="1" applyProtection="1">
      <alignment vertical="center"/>
      <protection locked="0"/>
    </xf>
    <xf numFmtId="165" fontId="74" fillId="0" borderId="41" xfId="868" applyFont="1" applyFill="1" applyBorder="1" applyProtection="1">
      <protection locked="0"/>
    </xf>
    <xf numFmtId="165" fontId="74" fillId="0" borderId="41" xfId="0" applyNumberFormat="1" applyFont="1" applyFill="1" applyBorder="1" applyProtection="1">
      <protection locked="0"/>
    </xf>
    <xf numFmtId="167" fontId="0" fillId="0" borderId="0" xfId="0" applyNumberFormat="1" applyFill="1" applyProtection="1">
      <protection locked="0"/>
    </xf>
    <xf numFmtId="2" fontId="18" fillId="0" borderId="15" xfId="9" applyNumberFormat="1" applyFont="1" applyFill="1" applyBorder="1" applyProtection="1">
      <protection locked="0"/>
    </xf>
    <xf numFmtId="165" fontId="101" fillId="0" borderId="41" xfId="870" applyFill="1" applyProtection="1">
      <protection locked="0"/>
    </xf>
    <xf numFmtId="165" fontId="29" fillId="0" borderId="41" xfId="868" applyFill="1" applyProtection="1">
      <protection locked="0"/>
    </xf>
    <xf numFmtId="0" fontId="1" fillId="6" borderId="0" xfId="0" applyFont="1" applyBorder="1" applyProtection="1">
      <protection locked="0"/>
    </xf>
    <xf numFmtId="0" fontId="66" fillId="10" borderId="41" xfId="865" applyProtection="1">
      <protection locked="0"/>
    </xf>
    <xf numFmtId="165" fontId="101" fillId="0" borderId="37" xfId="870" applyFill="1" applyBorder="1" applyProtection="1">
      <protection locked="0"/>
    </xf>
    <xf numFmtId="0" fontId="64" fillId="2" borderId="0" xfId="161" applyFont="1" applyFill="1" applyProtection="1">
      <protection locked="0"/>
    </xf>
    <xf numFmtId="2" fontId="1" fillId="2" borderId="0" xfId="0" applyNumberFormat="1" applyFont="1" applyFill="1" applyProtection="1">
      <protection locked="0"/>
    </xf>
    <xf numFmtId="165" fontId="102" fillId="11" borderId="41" xfId="870" applyFont="1"/>
    <xf numFmtId="0" fontId="66" fillId="10" borderId="40" xfId="865" applyBorder="1" applyAlignment="1" applyProtection="1">
      <alignment horizontal="center"/>
      <protection locked="0"/>
    </xf>
    <xf numFmtId="0" fontId="66" fillId="10" borderId="39" xfId="865" applyBorder="1" applyAlignment="1" applyProtection="1">
      <alignment horizontal="left"/>
      <protection locked="0"/>
    </xf>
    <xf numFmtId="0" fontId="100" fillId="5" borderId="1" xfId="9"/>
    <xf numFmtId="0" fontId="18" fillId="2" borderId="41" xfId="0" applyFont="1" applyFill="1" applyBorder="1" applyAlignment="1" applyProtection="1">
      <alignment vertical="center"/>
    </xf>
    <xf numFmtId="165" fontId="46" fillId="0" borderId="1" xfId="9" applyNumberFormat="1" applyFont="1" applyFill="1" applyProtection="1">
      <protection locked="0"/>
    </xf>
    <xf numFmtId="2" fontId="77" fillId="2" borderId="0" xfId="0" applyNumberFormat="1" applyFont="1" applyFill="1" applyAlignment="1" applyProtection="1">
      <alignment vertical="center"/>
      <protection locked="0"/>
    </xf>
    <xf numFmtId="0" fontId="77" fillId="2" borderId="0" xfId="0" applyFont="1" applyFill="1" applyAlignment="1" applyProtection="1">
      <alignment vertical="center"/>
      <protection locked="0"/>
    </xf>
    <xf numFmtId="2" fontId="23" fillId="2" borderId="0" xfId="0" applyNumberFormat="1" applyFont="1" applyFill="1" applyAlignment="1" applyProtection="1">
      <alignment vertical="center"/>
      <protection locked="0"/>
    </xf>
    <xf numFmtId="2" fontId="1" fillId="6" borderId="0" xfId="0" applyNumberFormat="1" applyFont="1" applyProtection="1">
      <protection locked="0"/>
    </xf>
    <xf numFmtId="175" fontId="18" fillId="6" borderId="0" xfId="0" applyNumberFormat="1" applyFont="1" applyProtection="1">
      <protection locked="0"/>
    </xf>
    <xf numFmtId="165" fontId="55" fillId="10" borderId="1" xfId="8" applyNumberFormat="1" applyFont="1" applyProtection="1">
      <protection locked="0"/>
    </xf>
    <xf numFmtId="0" fontId="66" fillId="10" borderId="41" xfId="865" applyBorder="1" applyProtection="1">
      <protection locked="0"/>
    </xf>
    <xf numFmtId="0" fontId="37" fillId="6" borderId="0" xfId="0" applyFont="1" applyProtection="1">
      <protection locked="0"/>
    </xf>
    <xf numFmtId="0" fontId="37" fillId="6" borderId="0" xfId="0" applyFont="1"/>
    <xf numFmtId="0" fontId="74" fillId="2" borderId="0" xfId="0" applyFont="1" applyFill="1" applyBorder="1" applyAlignment="1" applyProtection="1">
      <alignment horizontal="left"/>
      <protection locked="0"/>
    </xf>
    <xf numFmtId="166" fontId="46" fillId="0" borderId="41" xfId="866" applyNumberFormat="1" applyFont="1" applyFill="1" applyBorder="1" applyProtection="1">
      <protection locked="0"/>
    </xf>
    <xf numFmtId="0" fontId="66" fillId="10" borderId="41" xfId="865" applyProtection="1">
      <protection locked="0"/>
    </xf>
    <xf numFmtId="0" fontId="1" fillId="6" borderId="0" xfId="0" applyFont="1" applyAlignment="1" applyProtection="1">
      <protection locked="0"/>
    </xf>
    <xf numFmtId="0" fontId="30" fillId="6" borderId="0" xfId="0" applyFont="1"/>
    <xf numFmtId="0" fontId="1" fillId="6" borderId="0" xfId="0" applyFont="1"/>
    <xf numFmtId="0" fontId="1" fillId="0" borderId="0" xfId="0" applyFont="1" applyFill="1" applyBorder="1"/>
    <xf numFmtId="1" fontId="0" fillId="6" borderId="2" xfId="0" applyNumberFormat="1" applyFont="1" applyBorder="1" applyProtection="1">
      <protection locked="0"/>
    </xf>
    <xf numFmtId="0" fontId="53" fillId="2" borderId="0" xfId="0" applyFont="1" applyFill="1" applyProtection="1">
      <protection locked="0"/>
    </xf>
    <xf numFmtId="0" fontId="53" fillId="2" borderId="49" xfId="0" applyFont="1" applyFill="1" applyBorder="1" applyProtection="1">
      <protection locked="0"/>
    </xf>
    <xf numFmtId="0" fontId="60" fillId="10" borderId="0" xfId="7" applyFont="1" applyBorder="1" applyProtection="1">
      <protection locked="0"/>
    </xf>
    <xf numFmtId="0" fontId="46" fillId="2" borderId="0" xfId="0" applyFont="1" applyFill="1" applyBorder="1" applyProtection="1">
      <protection locked="0"/>
    </xf>
    <xf numFmtId="0" fontId="102" fillId="2" borderId="0" xfId="0" applyFont="1" applyFill="1" applyBorder="1" applyProtection="1">
      <protection locked="0"/>
    </xf>
    <xf numFmtId="0" fontId="29" fillId="2" borderId="0" xfId="0" applyFont="1" applyFill="1" applyAlignment="1" applyProtection="1">
      <alignment vertical="center"/>
      <protection locked="0"/>
    </xf>
    <xf numFmtId="0" fontId="101" fillId="6" borderId="41" xfId="871" applyFont="1"/>
    <xf numFmtId="0" fontId="101" fillId="6" borderId="37" xfId="871" applyFont="1" applyBorder="1"/>
    <xf numFmtId="165" fontId="1" fillId="0" borderId="37" xfId="9" applyNumberFormat="1" applyFont="1" applyFill="1" applyBorder="1" applyProtection="1">
      <protection locked="0"/>
    </xf>
    <xf numFmtId="0" fontId="39" fillId="2" borderId="0" xfId="9" applyFont="1" applyFill="1" applyBorder="1" applyProtection="1">
      <protection locked="0"/>
    </xf>
    <xf numFmtId="0" fontId="39" fillId="2" borderId="1" xfId="9" applyFont="1" applyFill="1" applyBorder="1" applyProtection="1">
      <protection locked="0"/>
    </xf>
    <xf numFmtId="0" fontId="67" fillId="6" borderId="36" xfId="871" applyFont="1" applyBorder="1" applyProtection="1">
      <protection locked="0"/>
    </xf>
    <xf numFmtId="0" fontId="101" fillId="6" borderId="36" xfId="871" applyFont="1" applyBorder="1" applyProtection="1">
      <protection locked="0"/>
    </xf>
    <xf numFmtId="0" fontId="67" fillId="6" borderId="0" xfId="871" applyFont="1" applyBorder="1" applyProtection="1">
      <protection locked="0"/>
    </xf>
    <xf numFmtId="0" fontId="101" fillId="6" borderId="0" xfId="871" applyFont="1" applyBorder="1" applyProtection="1">
      <protection locked="0"/>
    </xf>
    <xf numFmtId="165" fontId="67" fillId="6" borderId="1" xfId="871" applyNumberFormat="1" applyFont="1" applyBorder="1" applyProtection="1">
      <protection locked="0"/>
    </xf>
    <xf numFmtId="165" fontId="101" fillId="6" borderId="1" xfId="871" applyNumberFormat="1" applyFont="1" applyBorder="1" applyProtection="1">
      <protection locked="0"/>
    </xf>
    <xf numFmtId="165" fontId="67" fillId="6" borderId="37" xfId="871" applyNumberFormat="1" applyFont="1" applyBorder="1" applyProtection="1">
      <protection locked="0"/>
    </xf>
    <xf numFmtId="165" fontId="101" fillId="6" borderId="37" xfId="871" applyNumberFormat="1" applyFont="1" applyBorder="1" applyProtection="1">
      <protection locked="0"/>
    </xf>
    <xf numFmtId="0" fontId="67" fillId="6" borderId="37" xfId="871" applyFont="1" applyBorder="1" applyProtection="1">
      <protection locked="0"/>
    </xf>
    <xf numFmtId="0" fontId="101" fillId="6" borderId="37" xfId="871" applyFont="1" applyBorder="1" applyProtection="1">
      <protection locked="0"/>
    </xf>
    <xf numFmtId="165" fontId="67" fillId="6" borderId="36" xfId="871" applyNumberFormat="1" applyFont="1" applyBorder="1" applyProtection="1">
      <protection locked="0"/>
    </xf>
    <xf numFmtId="165" fontId="101" fillId="6" borderId="36" xfId="871" applyNumberFormat="1" applyFont="1" applyBorder="1" applyProtection="1">
      <protection locked="0"/>
    </xf>
    <xf numFmtId="165" fontId="101" fillId="6" borderId="0" xfId="871" applyNumberFormat="1" applyFont="1" applyBorder="1" applyProtection="1">
      <protection locked="0"/>
    </xf>
    <xf numFmtId="0" fontId="67" fillId="6" borderId="1" xfId="871" applyFont="1" applyBorder="1" applyProtection="1">
      <protection locked="0"/>
    </xf>
    <xf numFmtId="0" fontId="101" fillId="6" borderId="1" xfId="871" applyFont="1" applyBorder="1" applyProtection="1">
      <protection locked="0"/>
    </xf>
    <xf numFmtId="0" fontId="55" fillId="2" borderId="0" xfId="8" applyFont="1" applyFill="1" applyBorder="1" applyProtection="1">
      <protection locked="0"/>
    </xf>
    <xf numFmtId="165" fontId="101" fillId="11" borderId="41" xfId="870" applyFont="1"/>
    <xf numFmtId="0" fontId="29" fillId="0" borderId="0" xfId="0" applyFont="1" applyFill="1" applyBorder="1" applyProtection="1">
      <protection locked="0"/>
    </xf>
    <xf numFmtId="0" fontId="92" fillId="6" borderId="0" xfId="0" applyFont="1" applyProtection="1">
      <protection locked="0"/>
    </xf>
    <xf numFmtId="0" fontId="46" fillId="2" borderId="0" xfId="0" applyFont="1" applyFill="1" applyBorder="1" applyProtection="1">
      <protection locked="0"/>
    </xf>
    <xf numFmtId="1" fontId="68" fillId="6" borderId="41" xfId="869" applyNumberFormat="1" applyFont="1" applyProtection="1">
      <protection locked="0"/>
    </xf>
    <xf numFmtId="0" fontId="1" fillId="0" borderId="0" xfId="9" applyFont="1" applyFill="1" applyBorder="1" applyProtection="1">
      <protection locked="0"/>
    </xf>
    <xf numFmtId="1" fontId="101" fillId="6" borderId="41" xfId="871" applyNumberFormat="1" applyFont="1"/>
    <xf numFmtId="0" fontId="1" fillId="2" borderId="0" xfId="9" applyFont="1" applyFill="1" applyBorder="1" applyProtection="1">
      <protection locked="0"/>
    </xf>
    <xf numFmtId="11" fontId="1" fillId="6" borderId="0" xfId="0" applyNumberFormat="1" applyFont="1" applyProtection="1">
      <protection locked="0"/>
    </xf>
    <xf numFmtId="165" fontId="103" fillId="11" borderId="41" xfId="870" applyFont="1"/>
    <xf numFmtId="2" fontId="1" fillId="0" borderId="0" xfId="1362" applyNumberFormat="1" applyFont="1"/>
    <xf numFmtId="10" fontId="103" fillId="11" borderId="41" xfId="870" applyNumberFormat="1" applyFont="1"/>
    <xf numFmtId="0" fontId="103" fillId="6" borderId="41" xfId="871" applyFont="1"/>
    <xf numFmtId="0" fontId="1" fillId="6" borderId="41" xfId="869" applyFont="1"/>
    <xf numFmtId="1" fontId="103" fillId="2" borderId="41" xfId="870" applyNumberFormat="1" applyFont="1" applyFill="1" applyBorder="1"/>
    <xf numFmtId="1" fontId="1" fillId="2" borderId="41" xfId="868" applyNumberFormat="1" applyFont="1" applyFill="1" applyBorder="1" applyProtection="1">
      <protection locked="0"/>
    </xf>
    <xf numFmtId="2" fontId="103" fillId="2" borderId="0" xfId="870" applyNumberFormat="1" applyFont="1" applyFill="1" applyBorder="1"/>
    <xf numFmtId="2" fontId="1" fillId="2" borderId="0" xfId="868" applyNumberFormat="1" applyFont="1" applyFill="1" applyBorder="1" applyProtection="1">
      <protection locked="0"/>
    </xf>
    <xf numFmtId="2" fontId="103" fillId="11" borderId="41" xfId="870" applyNumberFormat="1" applyFont="1" applyBorder="1"/>
    <xf numFmtId="2" fontId="1" fillId="7" borderId="41" xfId="868" applyNumberFormat="1" applyFont="1" applyBorder="1" applyProtection="1">
      <protection locked="0"/>
    </xf>
    <xf numFmtId="1" fontId="103" fillId="11" borderId="41" xfId="870" applyNumberFormat="1" applyFont="1" applyBorder="1"/>
    <xf numFmtId="1" fontId="1" fillId="7" borderId="41" xfId="868" applyNumberFormat="1" applyFont="1" applyBorder="1" applyProtection="1">
      <protection locked="0"/>
    </xf>
    <xf numFmtId="1" fontId="103" fillId="6" borderId="41" xfId="871" applyNumberFormat="1" applyFont="1"/>
    <xf numFmtId="1" fontId="103" fillId="11" borderId="41" xfId="870" applyNumberFormat="1" applyFont="1"/>
    <xf numFmtId="0" fontId="1" fillId="6" borderId="0" xfId="0" applyFont="1" applyBorder="1"/>
    <xf numFmtId="166" fontId="1" fillId="6" borderId="0" xfId="0" applyNumberFormat="1" applyFont="1" applyProtection="1">
      <protection locked="0"/>
    </xf>
    <xf numFmtId="2" fontId="1" fillId="6" borderId="0" xfId="0" applyNumberFormat="1" applyFont="1"/>
    <xf numFmtId="165" fontId="103" fillId="6" borderId="41" xfId="871" applyNumberFormat="1" applyFont="1"/>
    <xf numFmtId="165" fontId="1" fillId="7" borderId="41" xfId="868" applyFont="1"/>
    <xf numFmtId="11" fontId="103" fillId="11" borderId="41" xfId="870" applyNumberFormat="1" applyFont="1"/>
    <xf numFmtId="0" fontId="81" fillId="10" borderId="39" xfId="865" applyFont="1" applyBorder="1" applyProtection="1">
      <protection locked="0"/>
    </xf>
    <xf numFmtId="0" fontId="81" fillId="10" borderId="37" xfId="865" applyFont="1" applyBorder="1" applyProtection="1">
      <protection locked="0"/>
    </xf>
    <xf numFmtId="0" fontId="81" fillId="10" borderId="40" xfId="865" applyFont="1" applyBorder="1" applyProtection="1">
      <protection locked="0"/>
    </xf>
    <xf numFmtId="0" fontId="81" fillId="10" borderId="41" xfId="865" applyFont="1" applyProtection="1">
      <protection locked="0"/>
    </xf>
    <xf numFmtId="2" fontId="30" fillId="6" borderId="39" xfId="866" applyFont="1" applyBorder="1" applyProtection="1">
      <protection locked="0"/>
    </xf>
    <xf numFmtId="2" fontId="30" fillId="6" borderId="37" xfId="866" applyFont="1" applyBorder="1" applyProtection="1">
      <protection locked="0"/>
    </xf>
    <xf numFmtId="2" fontId="30" fillId="6" borderId="40" xfId="866" applyFont="1" applyBorder="1" applyProtection="1">
      <protection locked="0"/>
    </xf>
    <xf numFmtId="2" fontId="30" fillId="6" borderId="41" xfId="866" applyFont="1" applyProtection="1">
      <protection locked="0"/>
    </xf>
    <xf numFmtId="165" fontId="30" fillId="6" borderId="41" xfId="866" applyNumberFormat="1" applyFont="1" applyProtection="1">
      <protection locked="0"/>
    </xf>
    <xf numFmtId="165" fontId="1" fillId="6" borderId="0" xfId="0" applyNumberFormat="1" applyFont="1" applyProtection="1">
      <protection locked="0"/>
    </xf>
    <xf numFmtId="176" fontId="1" fillId="2" borderId="0" xfId="0" applyNumberFormat="1" applyFont="1" applyFill="1" applyProtection="1">
      <protection locked="0"/>
    </xf>
    <xf numFmtId="2" fontId="30" fillId="6" borderId="41" xfId="866" applyFont="1" applyBorder="1" applyProtection="1">
      <protection locked="0"/>
    </xf>
    <xf numFmtId="49" fontId="30" fillId="6" borderId="39" xfId="866" applyNumberFormat="1" applyFont="1" applyBorder="1" applyProtection="1">
      <protection locked="0"/>
    </xf>
    <xf numFmtId="1" fontId="30" fillId="0" borderId="41" xfId="866" applyNumberFormat="1" applyFont="1" applyFill="1" applyBorder="1" applyProtection="1">
      <protection locked="0"/>
    </xf>
    <xf numFmtId="2" fontId="30" fillId="0" borderId="40" xfId="866" applyFont="1" applyFill="1" applyBorder="1" applyProtection="1">
      <protection locked="0"/>
    </xf>
    <xf numFmtId="1" fontId="30" fillId="2" borderId="39" xfId="866" applyNumberFormat="1" applyFont="1" applyFill="1" applyBorder="1" applyProtection="1">
      <protection locked="0"/>
    </xf>
    <xf numFmtId="11" fontId="30" fillId="2" borderId="41" xfId="866" applyNumberFormat="1" applyFont="1" applyFill="1" applyBorder="1" applyProtection="1">
      <protection locked="0"/>
    </xf>
    <xf numFmtId="49" fontId="30" fillId="2" borderId="39" xfId="866" applyNumberFormat="1" applyFont="1" applyFill="1" applyBorder="1" applyProtection="1">
      <protection locked="0"/>
    </xf>
    <xf numFmtId="2" fontId="30" fillId="2" borderId="40" xfId="866" applyFont="1" applyFill="1" applyBorder="1" applyProtection="1">
      <protection locked="0"/>
    </xf>
    <xf numFmtId="164" fontId="1" fillId="6" borderId="0" xfId="0" applyNumberFormat="1" applyFont="1" applyProtection="1">
      <protection locked="0"/>
    </xf>
    <xf numFmtId="2" fontId="30" fillId="0" borderId="40" xfId="0" applyNumberFormat="1" applyFont="1" applyFill="1" applyBorder="1" applyProtection="1">
      <protection locked="0"/>
    </xf>
    <xf numFmtId="49" fontId="1" fillId="2" borderId="39" xfId="0" applyNumberFormat="1" applyFont="1" applyFill="1" applyBorder="1" applyProtection="1">
      <protection locked="0"/>
    </xf>
    <xf numFmtId="0" fontId="1" fillId="2" borderId="40" xfId="0" applyFont="1" applyFill="1" applyBorder="1" applyProtection="1">
      <protection locked="0"/>
    </xf>
    <xf numFmtId="2" fontId="30" fillId="0" borderId="40" xfId="866" applyNumberFormat="1" applyFont="1" applyFill="1" applyBorder="1" applyProtection="1">
      <protection locked="0"/>
    </xf>
    <xf numFmtId="0" fontId="81" fillId="10" borderId="41" xfId="865" applyFont="1" applyBorder="1" applyProtection="1">
      <protection locked="0"/>
    </xf>
    <xf numFmtId="0" fontId="81" fillId="10" borderId="41" xfId="865" applyFont="1" applyBorder="1" applyAlignment="1" applyProtection="1">
      <protection locked="0"/>
    </xf>
    <xf numFmtId="0" fontId="43" fillId="6" borderId="41" xfId="0" applyFont="1" applyBorder="1" applyAlignment="1">
      <alignment vertical="center"/>
    </xf>
    <xf numFmtId="0" fontId="1" fillId="6" borderId="41" xfId="0" applyFont="1" applyBorder="1"/>
    <xf numFmtId="0" fontId="81" fillId="10" borderId="41" xfId="865" applyFont="1"/>
    <xf numFmtId="0" fontId="52" fillId="0" borderId="4" xfId="0" applyFont="1" applyFill="1" applyBorder="1" applyAlignment="1">
      <alignment vertical="center"/>
    </xf>
    <xf numFmtId="1" fontId="29" fillId="0" borderId="41" xfId="869" applyNumberFormat="1" applyFill="1" applyProtection="1">
      <protection locked="0"/>
    </xf>
    <xf numFmtId="164" fontId="101" fillId="11" borderId="41" xfId="870" applyNumberFormat="1"/>
    <xf numFmtId="2" fontId="101" fillId="6" borderId="41" xfId="871" applyNumberFormat="1" applyFont="1"/>
    <xf numFmtId="1" fontId="105" fillId="6" borderId="41" xfId="0" applyNumberFormat="1" applyFont="1" applyBorder="1" applyAlignment="1">
      <alignment horizontal="right"/>
    </xf>
    <xf numFmtId="0" fontId="1" fillId="6" borderId="41" xfId="0" applyFont="1" applyBorder="1" applyProtection="1">
      <protection locked="0"/>
    </xf>
    <xf numFmtId="1" fontId="1" fillId="6" borderId="41" xfId="0" applyNumberFormat="1" applyFont="1" applyBorder="1" applyProtection="1">
      <protection locked="0"/>
    </xf>
    <xf numFmtId="0" fontId="81" fillId="6" borderId="0" xfId="0" applyFont="1" applyProtection="1">
      <protection locked="0"/>
    </xf>
    <xf numFmtId="0" fontId="106" fillId="6" borderId="0" xfId="0" applyFont="1"/>
    <xf numFmtId="0" fontId="29" fillId="12" borderId="41" xfId="0" applyFont="1" applyFill="1" applyBorder="1" applyProtection="1">
      <protection locked="0"/>
    </xf>
    <xf numFmtId="0" fontId="0" fillId="2" borderId="0" xfId="0" quotePrefix="1" applyFont="1" applyFill="1" applyProtection="1">
      <protection locked="0"/>
    </xf>
    <xf numFmtId="0" fontId="29" fillId="13" borderId="41" xfId="0" applyFont="1" applyFill="1" applyBorder="1" applyProtection="1">
      <protection locked="0"/>
    </xf>
    <xf numFmtId="0" fontId="29" fillId="10" borderId="41" xfId="0" applyFont="1" applyFill="1" applyBorder="1" applyProtection="1">
      <protection locked="0"/>
    </xf>
    <xf numFmtId="0" fontId="1" fillId="6" borderId="2" xfId="0" applyFont="1" applyBorder="1" applyAlignment="1" applyProtection="1">
      <alignment wrapText="1"/>
      <protection locked="0"/>
    </xf>
    <xf numFmtId="2" fontId="29" fillId="6" borderId="0" xfId="0" applyNumberFormat="1" applyFont="1" applyProtection="1">
      <protection locked="0"/>
    </xf>
    <xf numFmtId="164" fontId="101" fillId="6" borderId="41" xfId="871" applyNumberFormat="1" applyFont="1"/>
    <xf numFmtId="164" fontId="29" fillId="6" borderId="0" xfId="0" applyNumberFormat="1" applyFont="1" applyProtection="1">
      <protection locked="0"/>
    </xf>
    <xf numFmtId="2" fontId="29" fillId="2" borderId="41" xfId="9" applyNumberFormat="1" applyFont="1" applyFill="1" applyBorder="1" applyProtection="1">
      <protection locked="0"/>
    </xf>
    <xf numFmtId="167" fontId="74" fillId="2" borderId="41" xfId="0" applyNumberFormat="1" applyFont="1" applyFill="1" applyBorder="1" applyProtection="1">
      <protection locked="0"/>
    </xf>
    <xf numFmtId="174" fontId="68" fillId="6" borderId="41" xfId="866" applyNumberFormat="1" applyBorder="1" applyAlignment="1" applyProtection="1">
      <alignment horizontal="center"/>
      <protection locked="0"/>
    </xf>
    <xf numFmtId="167" fontId="68" fillId="6" borderId="41" xfId="866" applyNumberFormat="1" applyBorder="1" applyAlignment="1" applyProtection="1">
      <alignment horizontal="center"/>
      <protection locked="0"/>
    </xf>
    <xf numFmtId="164" fontId="68" fillId="6" borderId="41" xfId="866" applyNumberFormat="1" applyBorder="1" applyAlignment="1" applyProtection="1">
      <alignment horizontal="center"/>
      <protection locked="0"/>
    </xf>
    <xf numFmtId="174" fontId="22" fillId="6" borderId="0" xfId="0" applyNumberFormat="1" applyFont="1" applyProtection="1">
      <protection locked="0"/>
    </xf>
    <xf numFmtId="0" fontId="1" fillId="2" borderId="0" xfId="0" applyFont="1" applyFill="1" applyAlignment="1" applyProtection="1">
      <alignment horizontal="left" vertical="center"/>
      <protection locked="0"/>
    </xf>
    <xf numFmtId="0" fontId="29" fillId="6" borderId="41" xfId="869" applyAlignment="1" applyProtection="1">
      <alignment horizontal="center"/>
      <protection locked="0"/>
    </xf>
    <xf numFmtId="0" fontId="29" fillId="14" borderId="41" xfId="869" applyFill="1" applyAlignment="1" applyProtection="1">
      <alignment horizontal="center"/>
      <protection locked="0"/>
    </xf>
    <xf numFmtId="0" fontId="29" fillId="6" borderId="41" xfId="869" applyAlignment="1" applyProtection="1">
      <alignment horizontal="center" vertical="center"/>
      <protection locked="0"/>
    </xf>
    <xf numFmtId="0" fontId="29" fillId="14" borderId="41" xfId="869" applyFill="1" applyAlignment="1" applyProtection="1">
      <alignment horizontal="center" vertical="center"/>
      <protection locked="0"/>
    </xf>
    <xf numFmtId="2" fontId="21" fillId="2" borderId="0" xfId="0" applyNumberFormat="1" applyFont="1" applyFill="1" applyProtection="1">
      <protection locked="0"/>
    </xf>
    <xf numFmtId="166" fontId="68" fillId="6" borderId="41" xfId="866" applyNumberFormat="1" applyProtection="1">
      <protection locked="0"/>
    </xf>
    <xf numFmtId="2" fontId="30" fillId="2" borderId="0" xfId="0" applyNumberFormat="1" applyFont="1" applyFill="1" applyProtection="1">
      <protection locked="0"/>
    </xf>
    <xf numFmtId="0" fontId="82" fillId="2" borderId="0" xfId="0" applyFont="1" applyFill="1" applyAlignment="1" applyProtection="1">
      <alignment vertical="center"/>
      <protection locked="0"/>
    </xf>
    <xf numFmtId="166" fontId="29" fillId="6" borderId="41" xfId="869" applyNumberFormat="1" applyProtection="1">
      <protection locked="0"/>
    </xf>
    <xf numFmtId="0" fontId="0" fillId="6" borderId="0" xfId="0"/>
    <xf numFmtId="0" fontId="111" fillId="6" borderId="0" xfId="0" applyFont="1"/>
    <xf numFmtId="167" fontId="0" fillId="6" borderId="0" xfId="0" applyNumberFormat="1" applyFont="1" applyProtection="1">
      <protection locked="0"/>
    </xf>
    <xf numFmtId="2" fontId="0" fillId="6" borderId="0" xfId="0" applyNumberFormat="1" applyFont="1" applyProtection="1">
      <protection locked="0"/>
    </xf>
    <xf numFmtId="0" fontId="59" fillId="2" borderId="0" xfId="0" applyFont="1" applyFill="1" applyBorder="1" applyProtection="1">
      <protection locked="0"/>
    </xf>
    <xf numFmtId="0" fontId="52" fillId="2" borderId="0" xfId="0" applyFont="1" applyFill="1" applyBorder="1" applyProtection="1">
      <protection locked="0"/>
    </xf>
    <xf numFmtId="0" fontId="0" fillId="6" borderId="0" xfId="0"/>
    <xf numFmtId="2" fontId="68" fillId="6" borderId="41" xfId="866" applyBorder="1" applyProtection="1">
      <protection locked="0"/>
    </xf>
    <xf numFmtId="0" fontId="0" fillId="6" borderId="0" xfId="0"/>
    <xf numFmtId="2" fontId="68" fillId="6" borderId="41" xfId="866" applyBorder="1" applyProtection="1">
      <protection locked="0"/>
    </xf>
    <xf numFmtId="0" fontId="22" fillId="0" borderId="0" xfId="1677" applyFont="1" applyProtection="1">
      <protection locked="0"/>
    </xf>
    <xf numFmtId="0" fontId="0" fillId="0" borderId="0" xfId="0" applyFill="1"/>
    <xf numFmtId="2" fontId="68" fillId="6" borderId="39" xfId="866" applyBorder="1" applyAlignment="1" applyProtection="1">
      <protection locked="0"/>
    </xf>
    <xf numFmtId="0" fontId="66" fillId="0" borderId="0" xfId="865" applyFill="1" applyBorder="1" applyProtection="1">
      <protection locked="0"/>
    </xf>
    <xf numFmtId="0" fontId="0" fillId="0" borderId="0" xfId="1677" applyFont="1" applyProtection="1">
      <protection locked="0"/>
    </xf>
    <xf numFmtId="2" fontId="68" fillId="0" borderId="0" xfId="866" applyFill="1" applyBorder="1" applyProtection="1">
      <protection locked="0"/>
    </xf>
    <xf numFmtId="0" fontId="66" fillId="10" borderId="41" xfId="865" applyBorder="1" applyAlignment="1" applyProtection="1">
      <protection locked="0"/>
    </xf>
    <xf numFmtId="0" fontId="66" fillId="10" borderId="41" xfId="865" applyFont="1"/>
    <xf numFmtId="0" fontId="29" fillId="6" borderId="0" xfId="0" applyFont="1"/>
    <xf numFmtId="165" fontId="29" fillId="6" borderId="0" xfId="0" applyNumberFormat="1" applyFont="1"/>
    <xf numFmtId="2" fontId="29" fillId="6" borderId="0" xfId="0" applyNumberFormat="1" applyFont="1"/>
    <xf numFmtId="0" fontId="0" fillId="6" borderId="0" xfId="0"/>
    <xf numFmtId="3" fontId="68" fillId="6" borderId="0" xfId="866" applyNumberFormat="1" applyBorder="1" applyProtection="1">
      <protection locked="0"/>
    </xf>
    <xf numFmtId="2" fontId="68" fillId="6" borderId="0" xfId="866" applyBorder="1" applyAlignment="1" applyProtection="1">
      <protection locked="0"/>
    </xf>
    <xf numFmtId="177" fontId="68" fillId="6" borderId="0" xfId="866" applyNumberFormat="1" applyBorder="1" applyProtection="1">
      <protection locked="0"/>
    </xf>
    <xf numFmtId="0" fontId="112" fillId="6" borderId="0" xfId="0" applyFont="1" applyProtection="1">
      <protection locked="0"/>
    </xf>
    <xf numFmtId="165" fontId="29" fillId="0" borderId="41" xfId="0" applyNumberFormat="1" applyFont="1" applyFill="1" applyBorder="1"/>
    <xf numFmtId="3" fontId="29" fillId="11" borderId="41" xfId="0" applyNumberFormat="1" applyFont="1" applyFill="1" applyBorder="1"/>
    <xf numFmtId="178" fontId="29" fillId="11" borderId="41" xfId="0" applyNumberFormat="1" applyFont="1" applyFill="1" applyBorder="1"/>
    <xf numFmtId="3" fontId="68" fillId="11" borderId="41" xfId="866" applyNumberFormat="1" applyFill="1" applyBorder="1" applyProtection="1">
      <protection locked="0"/>
    </xf>
    <xf numFmtId="0" fontId="66" fillId="10" borderId="41" xfId="865" applyProtection="1">
      <protection locked="0"/>
    </xf>
    <xf numFmtId="0" fontId="66" fillId="10" borderId="37" xfId="865" applyBorder="1" applyAlignment="1" applyProtection="1">
      <alignment horizontal="center"/>
      <protection locked="0"/>
    </xf>
    <xf numFmtId="0" fontId="66" fillId="10" borderId="40" xfId="865" applyBorder="1" applyAlignment="1" applyProtection="1">
      <alignment horizontal="center"/>
      <protection locked="0"/>
    </xf>
    <xf numFmtId="0" fontId="0" fillId="6" borderId="0" xfId="0"/>
    <xf numFmtId="0" fontId="66" fillId="10" borderId="41" xfId="865" applyBorder="1" applyAlignment="1" applyProtection="1">
      <alignment horizontal="center"/>
      <protection locked="0"/>
    </xf>
    <xf numFmtId="2" fontId="68" fillId="6" borderId="41" xfId="866" applyBorder="1" applyProtection="1">
      <protection locked="0"/>
    </xf>
    <xf numFmtId="0" fontId="114" fillId="6" borderId="0" xfId="0" applyFont="1"/>
    <xf numFmtId="4" fontId="68" fillId="11" borderId="41" xfId="866" applyNumberFormat="1" applyFill="1" applyBorder="1" applyProtection="1">
      <protection locked="0"/>
    </xf>
    <xf numFmtId="0" fontId="66" fillId="2" borderId="0" xfId="865" applyFill="1" applyBorder="1" applyAlignment="1" applyProtection="1">
      <protection locked="0"/>
    </xf>
    <xf numFmtId="0" fontId="0" fillId="2" borderId="0" xfId="0" applyFill="1" applyBorder="1"/>
    <xf numFmtId="2" fontId="68" fillId="2" borderId="0" xfId="866" applyFill="1" applyBorder="1" applyProtection="1">
      <protection locked="0"/>
    </xf>
    <xf numFmtId="0" fontId="66" fillId="2" borderId="0" xfId="865" applyFill="1" applyBorder="1" applyProtection="1">
      <protection locked="0"/>
    </xf>
    <xf numFmtId="1" fontId="68" fillId="2" borderId="0" xfId="866" applyNumberFormat="1" applyFill="1" applyBorder="1" applyProtection="1">
      <protection locked="0"/>
    </xf>
    <xf numFmtId="2" fontId="68" fillId="2" borderId="0" xfId="866" applyNumberFormat="1" applyFill="1" applyBorder="1" applyProtection="1">
      <protection locked="0"/>
    </xf>
    <xf numFmtId="3" fontId="68" fillId="2" borderId="0" xfId="866" applyNumberFormat="1" applyFill="1" applyBorder="1" applyProtection="1">
      <protection locked="0"/>
    </xf>
    <xf numFmtId="0" fontId="29" fillId="2" borderId="0" xfId="1677" applyFill="1" applyBorder="1"/>
    <xf numFmtId="0" fontId="1" fillId="2" borderId="0" xfId="1677" applyFont="1" applyFill="1" applyBorder="1" applyProtection="1">
      <protection locked="0"/>
    </xf>
    <xf numFmtId="0" fontId="46" fillId="2" borderId="0" xfId="1677" applyFont="1" applyFill="1" applyBorder="1" applyProtection="1">
      <protection locked="0"/>
    </xf>
    <xf numFmtId="173" fontId="29" fillId="11" borderId="41" xfId="0" applyNumberFormat="1" applyFont="1" applyFill="1" applyBorder="1"/>
    <xf numFmtId="1" fontId="29" fillId="6" borderId="0" xfId="0" applyNumberFormat="1" applyFont="1"/>
    <xf numFmtId="174" fontId="18" fillId="6" borderId="0" xfId="0" applyNumberFormat="1" applyFont="1" applyProtection="1">
      <protection locked="0"/>
    </xf>
    <xf numFmtId="165" fontId="29" fillId="2" borderId="41" xfId="0" applyNumberFormat="1" applyFont="1" applyFill="1" applyBorder="1" applyProtection="1">
      <protection locked="0"/>
    </xf>
    <xf numFmtId="0" fontId="39" fillId="6" borderId="2" xfId="0" applyFont="1" applyBorder="1" applyProtection="1">
      <protection locked="0"/>
    </xf>
    <xf numFmtId="0" fontId="39" fillId="6" borderId="37" xfId="0" applyFont="1" applyBorder="1" applyProtection="1">
      <protection locked="0"/>
    </xf>
    <xf numFmtId="0" fontId="39" fillId="6" borderId="40" xfId="0" applyFont="1" applyBorder="1" applyProtection="1">
      <protection locked="0"/>
    </xf>
    <xf numFmtId="0" fontId="39" fillId="6" borderId="41" xfId="0" applyFont="1" applyBorder="1" applyProtection="1">
      <protection locked="0"/>
    </xf>
    <xf numFmtId="0" fontId="39" fillId="6" borderId="39" xfId="0" applyFont="1" applyBorder="1" applyAlignment="1" applyProtection="1">
      <alignment horizontal="left"/>
      <protection locked="0"/>
    </xf>
    <xf numFmtId="0" fontId="39" fillId="0" borderId="39" xfId="0" applyFont="1" applyFill="1" applyBorder="1" applyAlignment="1" applyProtection="1">
      <alignment horizontal="left"/>
      <protection locked="0"/>
    </xf>
    <xf numFmtId="0" fontId="39" fillId="6" borderId="14" xfId="0" applyFont="1" applyBorder="1" applyAlignment="1" applyProtection="1">
      <alignment horizontal="left"/>
      <protection locked="0"/>
    </xf>
    <xf numFmtId="0" fontId="39" fillId="6" borderId="9" xfId="0" applyFont="1" applyBorder="1" applyAlignment="1" applyProtection="1">
      <alignment horizontal="left"/>
      <protection locked="0"/>
    </xf>
    <xf numFmtId="165" fontId="39" fillId="6" borderId="34" xfId="0" applyNumberFormat="1" applyFont="1" applyBorder="1" applyProtection="1">
      <protection locked="0"/>
    </xf>
    <xf numFmtId="0" fontId="39" fillId="6" borderId="14" xfId="0" applyFont="1" applyBorder="1" applyProtection="1">
      <protection locked="0"/>
    </xf>
    <xf numFmtId="0" fontId="39" fillId="6" borderId="9" xfId="0" applyFont="1" applyBorder="1" applyProtection="1">
      <protection locked="0"/>
    </xf>
    <xf numFmtId="0" fontId="39" fillId="2" borderId="37" xfId="0" applyFont="1" applyFill="1" applyBorder="1" applyProtection="1">
      <protection locked="0"/>
    </xf>
    <xf numFmtId="0" fontId="39" fillId="2" borderId="40" xfId="0" applyFont="1" applyFill="1" applyBorder="1" applyProtection="1">
      <protection locked="0"/>
    </xf>
    <xf numFmtId="0" fontId="39" fillId="2" borderId="41" xfId="0" applyFont="1" applyFill="1" applyBorder="1" applyProtection="1">
      <protection locked="0"/>
    </xf>
    <xf numFmtId="0" fontId="66" fillId="10" borderId="41" xfId="865" applyAlignment="1" applyProtection="1">
      <alignment horizontal="right"/>
      <protection locked="0"/>
    </xf>
    <xf numFmtId="0" fontId="66" fillId="10" borderId="41" xfId="865" applyProtection="1">
      <protection locked="0"/>
    </xf>
    <xf numFmtId="1" fontId="0" fillId="6" borderId="0" xfId="0" applyNumberFormat="1" applyProtection="1">
      <protection locked="0"/>
    </xf>
    <xf numFmtId="0" fontId="29" fillId="6" borderId="39" xfId="0" applyFont="1" applyBorder="1" applyAlignment="1" applyProtection="1">
      <alignment horizontal="left"/>
      <protection locked="0"/>
    </xf>
    <xf numFmtId="0" fontId="0" fillId="6" borderId="0" xfId="0"/>
    <xf numFmtId="0" fontId="29" fillId="6" borderId="35" xfId="0" applyFont="1" applyBorder="1" applyProtection="1">
      <protection locked="0"/>
    </xf>
    <xf numFmtId="0" fontId="29" fillId="0" borderId="8" xfId="0" applyFont="1" applyFill="1" applyBorder="1" applyProtection="1">
      <protection locked="0"/>
    </xf>
    <xf numFmtId="165" fontId="101" fillId="11" borderId="41" xfId="870" applyNumberFormat="1" applyFont="1" applyProtection="1">
      <protection locked="0"/>
    </xf>
    <xf numFmtId="165" fontId="101" fillId="11" borderId="41" xfId="870" applyFont="1" applyProtection="1">
      <protection locked="0"/>
    </xf>
    <xf numFmtId="0" fontId="29" fillId="6" borderId="27" xfId="0" applyFont="1" applyBorder="1" applyProtection="1">
      <protection locked="0"/>
    </xf>
    <xf numFmtId="0" fontId="29" fillId="6" borderId="28" xfId="0" applyFont="1" applyBorder="1" applyProtection="1">
      <protection locked="0"/>
    </xf>
    <xf numFmtId="0" fontId="29" fillId="6" borderId="29" xfId="0" applyFont="1" applyBorder="1" applyProtection="1">
      <protection locked="0"/>
    </xf>
    <xf numFmtId="0" fontId="29" fillId="6" borderId="26" xfId="0" applyFont="1" applyBorder="1" applyProtection="1">
      <protection locked="0"/>
    </xf>
    <xf numFmtId="0" fontId="29" fillId="0" borderId="27" xfId="0" applyFont="1" applyFill="1" applyBorder="1" applyProtection="1">
      <protection locked="0"/>
    </xf>
    <xf numFmtId="0" fontId="29" fillId="0" borderId="28" xfId="0" applyFont="1" applyFill="1" applyBorder="1" applyProtection="1">
      <protection locked="0"/>
    </xf>
    <xf numFmtId="0" fontId="29" fillId="0" borderId="29" xfId="0" applyFont="1" applyFill="1" applyBorder="1" applyProtection="1">
      <protection locked="0"/>
    </xf>
    <xf numFmtId="0" fontId="29" fillId="0" borderId="26" xfId="0" applyFont="1" applyFill="1" applyBorder="1" applyProtection="1">
      <protection locked="0"/>
    </xf>
    <xf numFmtId="0" fontId="29" fillId="0" borderId="39" xfId="0" applyFont="1" applyFill="1" applyBorder="1" applyProtection="1">
      <protection locked="0"/>
    </xf>
    <xf numFmtId="0" fontId="69" fillId="6" borderId="39" xfId="0" applyFont="1" applyBorder="1" applyProtection="1">
      <protection locked="0"/>
    </xf>
    <xf numFmtId="164" fontId="68" fillId="2" borderId="41" xfId="866" applyNumberFormat="1" applyFill="1" applyBorder="1" applyProtection="1">
      <protection locked="0"/>
    </xf>
    <xf numFmtId="164" fontId="74" fillId="2" borderId="41" xfId="0" applyNumberFormat="1" applyFont="1" applyFill="1" applyBorder="1" applyProtection="1">
      <protection locked="0"/>
    </xf>
    <xf numFmtId="2" fontId="68" fillId="2" borderId="41" xfId="866" applyFill="1" applyBorder="1" applyProtection="1">
      <protection locked="0"/>
    </xf>
    <xf numFmtId="165" fontId="53" fillId="2" borderId="0" xfId="0" applyNumberFormat="1" applyFont="1" applyFill="1" applyBorder="1" applyProtection="1">
      <protection locked="0"/>
    </xf>
    <xf numFmtId="2" fontId="68" fillId="2" borderId="39" xfId="866" applyFill="1" applyBorder="1" applyProtection="1">
      <protection locked="0"/>
    </xf>
    <xf numFmtId="2" fontId="68" fillId="2" borderId="37" xfId="866" applyFill="1" applyBorder="1" applyProtection="1">
      <protection locked="0"/>
    </xf>
    <xf numFmtId="2" fontId="68" fillId="2" borderId="40" xfId="866" applyFill="1" applyBorder="1" applyProtection="1">
      <protection locked="0"/>
    </xf>
    <xf numFmtId="165" fontId="74" fillId="2" borderId="41" xfId="0" applyNumberFormat="1" applyFont="1" applyFill="1" applyBorder="1" applyProtection="1">
      <protection locked="0"/>
    </xf>
    <xf numFmtId="1" fontId="68" fillId="2" borderId="41" xfId="866" applyNumberFormat="1" applyFill="1" applyProtection="1">
      <protection locked="0"/>
    </xf>
    <xf numFmtId="2" fontId="68" fillId="6" borderId="41" xfId="866"/>
    <xf numFmtId="1" fontId="68" fillId="6" borderId="41" xfId="866" applyNumberFormat="1"/>
    <xf numFmtId="1" fontId="68" fillId="2" borderId="41" xfId="866" applyNumberFormat="1" applyFill="1" applyBorder="1" applyProtection="1">
      <protection locked="0"/>
    </xf>
    <xf numFmtId="0" fontId="0" fillId="6" borderId="0" xfId="0"/>
    <xf numFmtId="2" fontId="68" fillId="6" borderId="41" xfId="866" applyNumberFormat="1"/>
    <xf numFmtId="0" fontId="46" fillId="2" borderId="0" xfId="0" applyFont="1" applyFill="1" applyBorder="1" applyProtection="1">
      <protection locked="0"/>
    </xf>
    <xf numFmtId="0" fontId="0" fillId="6" borderId="0" xfId="0"/>
    <xf numFmtId="0" fontId="115" fillId="15" borderId="41" xfId="871" applyFont="1" applyFill="1"/>
    <xf numFmtId="0" fontId="115" fillId="15" borderId="0" xfId="0" applyFont="1" applyFill="1" applyProtection="1">
      <protection locked="0"/>
    </xf>
    <xf numFmtId="0" fontId="115" fillId="15" borderId="0" xfId="0" applyFont="1" applyFill="1" applyAlignment="1" applyProtection="1">
      <alignment vertical="center"/>
      <protection locked="0"/>
    </xf>
    <xf numFmtId="0" fontId="115" fillId="15" borderId="37" xfId="871" applyFont="1" applyFill="1" applyBorder="1"/>
    <xf numFmtId="2" fontId="115" fillId="15" borderId="41" xfId="871" applyNumberFormat="1" applyFont="1" applyFill="1"/>
    <xf numFmtId="0" fontId="115" fillId="15" borderId="36" xfId="9" applyFont="1" applyFill="1" applyBorder="1" applyProtection="1">
      <protection locked="0"/>
    </xf>
    <xf numFmtId="0" fontId="116" fillId="15" borderId="0" xfId="9" applyFont="1" applyFill="1" applyBorder="1" applyProtection="1">
      <protection locked="0"/>
    </xf>
    <xf numFmtId="0" fontId="116" fillId="15" borderId="1" xfId="9" applyFont="1" applyFill="1" applyBorder="1" applyProtection="1">
      <protection locked="0"/>
    </xf>
    <xf numFmtId="0" fontId="115" fillId="15" borderId="36" xfId="871" applyFont="1" applyFill="1" applyBorder="1" applyProtection="1">
      <protection locked="0"/>
    </xf>
    <xf numFmtId="0" fontId="115" fillId="15" borderId="0" xfId="871" applyFont="1" applyFill="1" applyBorder="1" applyProtection="1">
      <protection locked="0"/>
    </xf>
    <xf numFmtId="165" fontId="115" fillId="15" borderId="1" xfId="871" applyNumberFormat="1" applyFont="1" applyFill="1" applyBorder="1" applyProtection="1">
      <protection locked="0"/>
    </xf>
    <xf numFmtId="165" fontId="115" fillId="15" borderId="37" xfId="871" applyNumberFormat="1" applyFont="1" applyFill="1" applyBorder="1" applyProtection="1">
      <protection locked="0"/>
    </xf>
    <xf numFmtId="165" fontId="115" fillId="15" borderId="36" xfId="871" applyNumberFormat="1" applyFont="1" applyFill="1" applyBorder="1" applyProtection="1">
      <protection locked="0"/>
    </xf>
    <xf numFmtId="165" fontId="115" fillId="15" borderId="0" xfId="871" applyNumberFormat="1" applyFont="1" applyFill="1" applyBorder="1" applyProtection="1">
      <protection locked="0"/>
    </xf>
    <xf numFmtId="0" fontId="115" fillId="15" borderId="1" xfId="871" applyFont="1" applyFill="1" applyBorder="1" applyProtection="1">
      <protection locked="0"/>
    </xf>
    <xf numFmtId="0" fontId="115" fillId="15" borderId="37" xfId="871" applyFont="1" applyFill="1" applyBorder="1" applyProtection="1">
      <protection locked="0"/>
    </xf>
    <xf numFmtId="0" fontId="55" fillId="10" borderId="1" xfId="8" applyAlignment="1" applyProtection="1">
      <alignment horizontal="left"/>
      <protection locked="0"/>
    </xf>
    <xf numFmtId="1" fontId="115" fillId="15" borderId="41" xfId="871" applyNumberFormat="1" applyFont="1" applyFill="1"/>
    <xf numFmtId="164" fontId="115" fillId="15" borderId="41" xfId="871" applyNumberFormat="1" applyFont="1" applyFill="1"/>
    <xf numFmtId="0" fontId="66" fillId="10" borderId="41" xfId="865" applyProtection="1">
      <protection locked="0"/>
    </xf>
    <xf numFmtId="0" fontId="66" fillId="10" borderId="39" xfId="865" applyBorder="1" applyProtection="1">
      <protection locked="0"/>
    </xf>
    <xf numFmtId="0" fontId="66" fillId="10" borderId="37" xfId="865" applyBorder="1" applyProtection="1">
      <protection locked="0"/>
    </xf>
    <xf numFmtId="0" fontId="66" fillId="10" borderId="40" xfId="865" applyBorder="1" applyProtection="1">
      <protection locked="0"/>
    </xf>
    <xf numFmtId="0" fontId="80" fillId="10" borderId="39" xfId="865" applyFont="1" applyBorder="1" applyAlignment="1" applyProtection="1">
      <alignment horizontal="center"/>
      <protection locked="0"/>
    </xf>
    <xf numFmtId="0" fontId="74" fillId="2" borderId="40" xfId="0" applyFont="1" applyFill="1" applyBorder="1" applyAlignment="1" applyProtection="1">
      <alignment horizontal="left"/>
      <protection locked="0"/>
    </xf>
    <xf numFmtId="165" fontId="29" fillId="7" borderId="41" xfId="868" applyNumberFormat="1" applyProtection="1">
      <protection locked="0"/>
    </xf>
    <xf numFmtId="0" fontId="113" fillId="6" borderId="41" xfId="0" applyFont="1" applyBorder="1" applyProtection="1">
      <protection locked="0"/>
    </xf>
    <xf numFmtId="0" fontId="53" fillId="2" borderId="49" xfId="0" applyFont="1" applyFill="1" applyBorder="1" applyAlignment="1" applyProtection="1">
      <alignment horizontal="center" vertical="center"/>
      <protection locked="0"/>
    </xf>
    <xf numFmtId="0" fontId="53" fillId="2" borderId="0" xfId="0" applyFont="1" applyFill="1" applyAlignment="1" applyProtection="1">
      <alignment vertical="center"/>
      <protection locked="0"/>
    </xf>
    <xf numFmtId="3" fontId="68" fillId="6" borderId="41" xfId="866" applyNumberFormat="1" applyBorder="1" applyProtection="1">
      <protection locked="0"/>
    </xf>
    <xf numFmtId="166" fontId="101" fillId="6" borderId="41" xfId="871" applyNumberFormat="1" applyProtection="1">
      <protection locked="0"/>
    </xf>
    <xf numFmtId="3" fontId="68" fillId="6" borderId="41" xfId="866" quotePrefix="1" applyNumberFormat="1" applyProtection="1">
      <protection locked="0"/>
    </xf>
    <xf numFmtId="1" fontId="22" fillId="6" borderId="0" xfId="0" applyNumberFormat="1" applyFont="1" applyProtection="1">
      <protection locked="0"/>
    </xf>
    <xf numFmtId="2" fontId="68" fillId="6" borderId="41" xfId="866" quotePrefix="1" applyBorder="1" applyProtection="1">
      <protection locked="0"/>
    </xf>
    <xf numFmtId="2" fontId="68" fillId="6" borderId="41" xfId="866" quotePrefix="1" applyProtection="1">
      <protection locked="0"/>
    </xf>
    <xf numFmtId="0" fontId="29" fillId="2" borderId="39" xfId="0" applyFont="1" applyFill="1" applyBorder="1" applyAlignment="1" applyProtection="1">
      <alignment horizontal="left"/>
      <protection locked="0"/>
    </xf>
    <xf numFmtId="2" fontId="68" fillId="0" borderId="41" xfId="866" applyNumberFormat="1" applyFill="1" applyProtection="1">
      <protection locked="0"/>
    </xf>
    <xf numFmtId="1" fontId="52" fillId="6" borderId="0" xfId="0" applyNumberFormat="1" applyFont="1" applyProtection="1">
      <protection locked="0"/>
    </xf>
    <xf numFmtId="1" fontId="29" fillId="6" borderId="37" xfId="0" applyNumberFormat="1" applyFont="1" applyBorder="1" applyProtection="1">
      <protection locked="0"/>
    </xf>
    <xf numFmtId="1" fontId="39" fillId="6" borderId="37" xfId="0" applyNumberFormat="1" applyFont="1" applyBorder="1" applyProtection="1">
      <protection locked="0"/>
    </xf>
    <xf numFmtId="11" fontId="68" fillId="2" borderId="41" xfId="866" applyNumberFormat="1" applyFill="1" applyProtection="1">
      <protection locked="0"/>
    </xf>
    <xf numFmtId="0" fontId="0" fillId="6" borderId="0" xfId="0"/>
    <xf numFmtId="0" fontId="115" fillId="16" borderId="41" xfId="871" applyFont="1" applyFill="1"/>
    <xf numFmtId="2" fontId="115" fillId="16" borderId="41" xfId="871" applyNumberFormat="1" applyFont="1" applyFill="1"/>
    <xf numFmtId="164" fontId="115" fillId="16" borderId="41" xfId="871" applyNumberFormat="1" applyFont="1" applyFill="1"/>
    <xf numFmtId="0" fontId="117" fillId="15" borderId="0" xfId="0" applyFont="1" applyFill="1" applyProtection="1">
      <protection locked="0"/>
    </xf>
    <xf numFmtId="0" fontId="117" fillId="15" borderId="0" xfId="0" applyFont="1" applyFill="1" applyAlignment="1" applyProtection="1">
      <alignment vertical="center"/>
      <protection locked="0"/>
    </xf>
    <xf numFmtId="165" fontId="117" fillId="15" borderId="37" xfId="9" applyNumberFormat="1" applyFont="1" applyFill="1" applyBorder="1" applyProtection="1">
      <protection locked="0"/>
    </xf>
    <xf numFmtId="0" fontId="118" fillId="15" borderId="0" xfId="9" applyFont="1" applyFill="1" applyBorder="1" applyProtection="1">
      <protection locked="0"/>
    </xf>
    <xf numFmtId="0" fontId="118" fillId="15" borderId="1" xfId="9" applyFont="1" applyFill="1" applyBorder="1" applyProtection="1">
      <protection locked="0"/>
    </xf>
    <xf numFmtId="0" fontId="115" fillId="15" borderId="0" xfId="0" applyFont="1" applyFill="1" applyBorder="1" applyProtection="1">
      <protection locked="0"/>
    </xf>
    <xf numFmtId="165" fontId="115" fillId="17" borderId="41" xfId="870" applyFont="1" applyFill="1"/>
    <xf numFmtId="164" fontId="115" fillId="17" borderId="41" xfId="870" applyNumberFormat="1" applyFont="1" applyFill="1"/>
    <xf numFmtId="2" fontId="115" fillId="17" borderId="41" xfId="870" applyNumberFormat="1" applyFont="1" applyFill="1"/>
    <xf numFmtId="0" fontId="117" fillId="6" borderId="0" xfId="0" applyFont="1"/>
    <xf numFmtId="0" fontId="23" fillId="18" borderId="0" xfId="0" applyFont="1" applyFill="1" applyProtection="1">
      <protection locked="0"/>
    </xf>
    <xf numFmtId="0" fontId="18" fillId="18" borderId="0" xfId="0" applyFont="1" applyFill="1" applyProtection="1">
      <protection locked="0"/>
    </xf>
    <xf numFmtId="0" fontId="82" fillId="2" borderId="0" xfId="0" applyFont="1" applyFill="1" applyBorder="1"/>
    <xf numFmtId="1" fontId="82" fillId="2" borderId="0" xfId="0" applyNumberFormat="1" applyFont="1" applyFill="1" applyBorder="1"/>
    <xf numFmtId="2" fontId="82" fillId="2" borderId="0" xfId="0" applyNumberFormat="1" applyFont="1" applyFill="1" applyBorder="1"/>
    <xf numFmtId="0" fontId="101" fillId="18" borderId="41" xfId="871" applyFill="1" applyProtection="1">
      <protection locked="0"/>
    </xf>
    <xf numFmtId="166" fontId="101" fillId="18" borderId="41" xfId="871" applyNumberFormat="1" applyFill="1" applyProtection="1">
      <protection locked="0"/>
    </xf>
    <xf numFmtId="0" fontId="115" fillId="19" borderId="41" xfId="871" applyFont="1" applyFill="1"/>
    <xf numFmtId="2" fontId="115" fillId="19" borderId="41" xfId="871" applyNumberFormat="1" applyFont="1" applyFill="1"/>
    <xf numFmtId="165" fontId="0" fillId="6" borderId="0" xfId="0" applyNumberFormat="1"/>
    <xf numFmtId="2" fontId="68" fillId="6" borderId="41" xfId="866" applyAlignment="1" applyProtection="1">
      <alignment horizontal="center" vertical="center" wrapText="1"/>
      <protection locked="0"/>
    </xf>
    <xf numFmtId="2" fontId="68" fillId="6" borderId="3" xfId="866" applyBorder="1" applyAlignment="1" applyProtection="1">
      <alignment horizontal="center" vertical="center" wrapText="1"/>
      <protection locked="0"/>
    </xf>
    <xf numFmtId="2" fontId="68" fillId="6" borderId="5" xfId="866" applyBorder="1" applyAlignment="1" applyProtection="1">
      <alignment horizontal="center" vertical="center" wrapText="1"/>
      <protection locked="0"/>
    </xf>
    <xf numFmtId="2" fontId="68" fillId="6" borderId="4" xfId="866" applyBorder="1" applyAlignment="1" applyProtection="1">
      <alignment horizontal="center" vertical="center" wrapText="1"/>
      <protection locked="0"/>
    </xf>
    <xf numFmtId="0" fontId="66" fillId="10" borderId="41" xfId="865" applyProtection="1">
      <protection locked="0"/>
    </xf>
    <xf numFmtId="0" fontId="46" fillId="2" borderId="0" xfId="0" applyFont="1" applyFill="1" applyBorder="1" applyProtection="1">
      <protection locked="0"/>
    </xf>
    <xf numFmtId="0" fontId="29" fillId="6" borderId="41" xfId="0" applyFont="1" applyBorder="1" applyAlignment="1" applyProtection="1">
      <alignment horizontal="left"/>
      <protection locked="0"/>
    </xf>
    <xf numFmtId="0" fontId="29" fillId="6" borderId="39" xfId="0" applyFont="1" applyBorder="1" applyAlignment="1" applyProtection="1">
      <alignment horizontal="left"/>
      <protection locked="0"/>
    </xf>
    <xf numFmtId="0" fontId="29" fillId="6" borderId="37" xfId="0" applyFont="1" applyBorder="1" applyAlignment="1" applyProtection="1">
      <alignment horizontal="left"/>
      <protection locked="0"/>
    </xf>
    <xf numFmtId="0" fontId="29" fillId="6" borderId="40" xfId="0" applyFont="1" applyBorder="1" applyAlignment="1" applyProtection="1">
      <alignment horizontal="left"/>
      <protection locked="0"/>
    </xf>
    <xf numFmtId="0" fontId="66" fillId="10" borderId="39" xfId="865" applyBorder="1" applyProtection="1">
      <protection locked="0"/>
    </xf>
    <xf numFmtId="0" fontId="66" fillId="10" borderId="37" xfId="865" applyBorder="1" applyProtection="1">
      <protection locked="0"/>
    </xf>
    <xf numFmtId="0" fontId="66" fillId="10" borderId="40" xfId="865" applyBorder="1" applyProtection="1">
      <protection locked="0"/>
    </xf>
    <xf numFmtId="0" fontId="66" fillId="10" borderId="39" xfId="865" applyBorder="1" applyAlignment="1" applyProtection="1">
      <alignment horizontal="center"/>
      <protection locked="0"/>
    </xf>
    <xf numFmtId="0" fontId="66" fillId="10" borderId="37" xfId="865" applyBorder="1" applyAlignment="1" applyProtection="1">
      <alignment horizontal="center"/>
      <protection locked="0"/>
    </xf>
    <xf numFmtId="0" fontId="66" fillId="10" borderId="40" xfId="865" applyBorder="1" applyAlignment="1" applyProtection="1">
      <alignment horizontal="center"/>
      <protection locked="0"/>
    </xf>
    <xf numFmtId="0" fontId="80" fillId="10" borderId="39" xfId="865" applyFont="1" applyBorder="1" applyAlignment="1" applyProtection="1">
      <alignment horizontal="center"/>
      <protection locked="0"/>
    </xf>
    <xf numFmtId="0" fontId="80" fillId="10" borderId="37" xfId="865" applyFont="1" applyBorder="1" applyAlignment="1" applyProtection="1">
      <alignment horizontal="center"/>
      <protection locked="0"/>
    </xf>
    <xf numFmtId="0" fontId="80" fillId="10" borderId="40" xfId="865" applyFont="1" applyBorder="1" applyAlignment="1" applyProtection="1">
      <alignment horizontal="center"/>
      <protection locked="0"/>
    </xf>
    <xf numFmtId="0" fontId="75" fillId="10" borderId="41" xfId="865" applyFont="1" applyBorder="1" applyAlignment="1" applyProtection="1">
      <alignment horizontal="center"/>
      <protection locked="0"/>
    </xf>
    <xf numFmtId="0" fontId="74" fillId="6" borderId="41" xfId="0" applyFont="1" applyBorder="1" applyAlignment="1" applyProtection="1">
      <alignment horizontal="right"/>
      <protection locked="0"/>
    </xf>
    <xf numFmtId="0" fontId="74" fillId="0" borderId="41" xfId="0" applyFont="1" applyFill="1" applyBorder="1" applyAlignment="1" applyProtection="1">
      <alignment horizontal="left"/>
      <protection locked="0"/>
    </xf>
    <xf numFmtId="0" fontId="74" fillId="6" borderId="41" xfId="0" applyFont="1" applyBorder="1" applyAlignment="1" applyProtection="1">
      <alignment horizontal="left"/>
      <protection locked="0"/>
    </xf>
    <xf numFmtId="0" fontId="74" fillId="6" borderId="41" xfId="0" applyFont="1" applyBorder="1" applyAlignment="1" applyProtection="1">
      <alignment horizontal="center"/>
      <protection locked="0"/>
    </xf>
    <xf numFmtId="0" fontId="18" fillId="6" borderId="7" xfId="0" applyFont="1" applyBorder="1" applyAlignment="1" applyProtection="1">
      <alignment horizontal="center"/>
      <protection locked="0"/>
    </xf>
    <xf numFmtId="0" fontId="18" fillId="6" borderId="11" xfId="0" applyFont="1" applyBorder="1" applyAlignment="1" applyProtection="1">
      <alignment horizontal="center"/>
      <protection locked="0"/>
    </xf>
    <xf numFmtId="0" fontId="49" fillId="6" borderId="0" xfId="0" applyFont="1" applyAlignment="1" applyProtection="1">
      <alignment horizontal="left"/>
      <protection locked="0"/>
    </xf>
    <xf numFmtId="0" fontId="49" fillId="6" borderId="0" xfId="0" applyFont="1" applyProtection="1">
      <protection locked="0"/>
    </xf>
    <xf numFmtId="0" fontId="49" fillId="6" borderId="19" xfId="0" applyFont="1" applyBorder="1" applyAlignment="1" applyProtection="1">
      <alignment horizontal="left"/>
      <protection locked="0"/>
    </xf>
    <xf numFmtId="0" fontId="49" fillId="6" borderId="11" xfId="0" applyFont="1" applyBorder="1" applyAlignment="1" applyProtection="1">
      <alignment horizontal="left"/>
      <protection locked="0"/>
    </xf>
    <xf numFmtId="0" fontId="48" fillId="6" borderId="6" xfId="0" applyFont="1" applyBorder="1" applyAlignment="1" applyProtection="1">
      <alignment horizontal="center"/>
      <protection locked="0"/>
    </xf>
    <xf numFmtId="0" fontId="48" fillId="6" borderId="10" xfId="0" applyFont="1" applyBorder="1" applyAlignment="1" applyProtection="1">
      <alignment horizontal="center"/>
      <protection locked="0"/>
    </xf>
    <xf numFmtId="0" fontId="48" fillId="6" borderId="8" xfId="0" applyFont="1" applyBorder="1" applyAlignment="1" applyProtection="1">
      <alignment horizontal="center"/>
      <protection locked="0"/>
    </xf>
    <xf numFmtId="0" fontId="48" fillId="6" borderId="12" xfId="0" applyFont="1" applyBorder="1" applyAlignment="1" applyProtection="1">
      <alignment horizontal="center"/>
      <protection locked="0"/>
    </xf>
    <xf numFmtId="0" fontId="48" fillId="6" borderId="6" xfId="0" applyFont="1" applyBorder="1" applyAlignment="1" applyProtection="1">
      <alignment horizontal="center" vertical="center"/>
      <protection locked="0"/>
    </xf>
    <xf numFmtId="0" fontId="48" fillId="6" borderId="10" xfId="0" applyFont="1" applyBorder="1" applyAlignment="1" applyProtection="1">
      <alignment horizontal="center" vertical="center"/>
      <protection locked="0"/>
    </xf>
    <xf numFmtId="0" fontId="66" fillId="10" borderId="39" xfId="865" applyFont="1" applyBorder="1" applyAlignment="1" applyProtection="1">
      <alignment horizontal="left"/>
      <protection locked="0"/>
    </xf>
    <xf numFmtId="0" fontId="66" fillId="10" borderId="37" xfId="865" applyFont="1" applyBorder="1" applyAlignment="1" applyProtection="1">
      <alignment horizontal="left"/>
      <protection locked="0"/>
    </xf>
    <xf numFmtId="0" fontId="66" fillId="10" borderId="40" xfId="865" applyFont="1" applyBorder="1" applyAlignment="1" applyProtection="1">
      <alignment horizontal="left"/>
      <protection locked="0"/>
    </xf>
    <xf numFmtId="0" fontId="66" fillId="10" borderId="39" xfId="865" applyFont="1" applyBorder="1" applyAlignment="1" applyProtection="1">
      <alignment horizontal="center"/>
      <protection locked="0"/>
    </xf>
    <xf numFmtId="0" fontId="66" fillId="10" borderId="37" xfId="865" applyFont="1" applyBorder="1" applyAlignment="1" applyProtection="1">
      <alignment horizontal="center"/>
      <protection locked="0"/>
    </xf>
    <xf numFmtId="0" fontId="66" fillId="10" borderId="40" xfId="865" applyFont="1" applyBorder="1" applyAlignment="1" applyProtection="1">
      <alignment horizontal="center"/>
      <protection locked="0"/>
    </xf>
    <xf numFmtId="0" fontId="68" fillId="6" borderId="39" xfId="0" applyNumberFormat="1" applyFont="1" applyBorder="1" applyAlignment="1" applyProtection="1">
      <alignment horizontal="right"/>
      <protection locked="0"/>
    </xf>
    <xf numFmtId="0" fontId="68" fillId="6" borderId="37" xfId="0" applyNumberFormat="1" applyFont="1" applyBorder="1" applyAlignment="1" applyProtection="1">
      <alignment horizontal="right"/>
      <protection locked="0"/>
    </xf>
    <xf numFmtId="0" fontId="68" fillId="6" borderId="40" xfId="0" applyNumberFormat="1" applyFont="1" applyBorder="1" applyAlignment="1" applyProtection="1">
      <alignment horizontal="right"/>
      <protection locked="0"/>
    </xf>
    <xf numFmtId="0" fontId="22" fillId="6" borderId="19" xfId="0" applyFont="1" applyBorder="1" applyAlignment="1" applyProtection="1">
      <alignment horizontal="center"/>
      <protection locked="0"/>
    </xf>
    <xf numFmtId="0" fontId="22" fillId="6" borderId="22" xfId="0" applyFont="1" applyBorder="1" applyAlignment="1" applyProtection="1">
      <alignment horizontal="center"/>
      <protection locked="0"/>
    </xf>
    <xf numFmtId="0" fontId="22" fillId="6" borderId="0" xfId="0" applyFont="1" applyBorder="1" applyAlignment="1" applyProtection="1">
      <alignment horizontal="center"/>
      <protection locked="0"/>
    </xf>
    <xf numFmtId="0" fontId="0" fillId="6" borderId="0" xfId="0"/>
    <xf numFmtId="0" fontId="81" fillId="10" borderId="39" xfId="865" applyFont="1" applyBorder="1" applyAlignment="1" applyProtection="1">
      <alignment horizontal="left"/>
      <protection locked="0"/>
    </xf>
    <xf numFmtId="0" fontId="81" fillId="10" borderId="37" xfId="865" applyFont="1" applyBorder="1" applyAlignment="1" applyProtection="1">
      <alignment horizontal="left"/>
      <protection locked="0"/>
    </xf>
    <xf numFmtId="0" fontId="81" fillId="10" borderId="40" xfId="865" applyFont="1" applyBorder="1" applyAlignment="1" applyProtection="1">
      <alignment horizontal="left"/>
      <protection locked="0"/>
    </xf>
    <xf numFmtId="0" fontId="74" fillId="2" borderId="39" xfId="0" applyFont="1" applyFill="1" applyBorder="1" applyAlignment="1" applyProtection="1">
      <alignment horizontal="left"/>
      <protection locked="0"/>
    </xf>
    <xf numFmtId="0" fontId="74" fillId="2" borderId="37" xfId="0" applyFont="1" applyFill="1" applyBorder="1" applyAlignment="1" applyProtection="1">
      <alignment horizontal="left"/>
      <protection locked="0"/>
    </xf>
    <xf numFmtId="0" fontId="66" fillId="10" borderId="41" xfId="865"/>
    <xf numFmtId="2" fontId="68" fillId="2" borderId="41" xfId="866" applyFill="1" applyBorder="1" applyProtection="1">
      <protection locked="0"/>
    </xf>
    <xf numFmtId="0" fontId="74" fillId="2" borderId="40" xfId="0" applyFont="1" applyFill="1" applyBorder="1" applyAlignment="1" applyProtection="1">
      <alignment horizontal="left"/>
      <protection locked="0"/>
    </xf>
    <xf numFmtId="0" fontId="66" fillId="10" borderId="39" xfId="865" applyBorder="1" applyAlignment="1" applyProtection="1">
      <alignment horizontal="left"/>
      <protection locked="0"/>
    </xf>
    <xf numFmtId="0" fontId="66" fillId="10" borderId="37" xfId="865" applyBorder="1" applyAlignment="1" applyProtection="1">
      <alignment horizontal="left"/>
      <protection locked="0"/>
    </xf>
    <xf numFmtId="0" fontId="66" fillId="10" borderId="40" xfId="865" applyBorder="1" applyAlignment="1" applyProtection="1">
      <alignment horizontal="left"/>
      <protection locked="0"/>
    </xf>
    <xf numFmtId="0" fontId="66" fillId="10" borderId="44" xfId="865" applyBorder="1" applyProtection="1">
      <protection locked="0"/>
    </xf>
    <xf numFmtId="0" fontId="66" fillId="10" borderId="41" xfId="865" applyBorder="1" applyProtection="1">
      <protection locked="0"/>
    </xf>
    <xf numFmtId="0" fontId="66" fillId="10" borderId="45" xfId="865" applyBorder="1" applyProtection="1">
      <protection locked="0"/>
    </xf>
    <xf numFmtId="0" fontId="66" fillId="10" borderId="39" xfId="865" applyBorder="1" applyAlignment="1" applyProtection="1">
      <alignment horizontal="center" wrapText="1"/>
      <protection locked="0"/>
    </xf>
    <xf numFmtId="0" fontId="66" fillId="10" borderId="37" xfId="865" applyBorder="1" applyAlignment="1" applyProtection="1">
      <alignment horizontal="center" wrapText="1"/>
      <protection locked="0"/>
    </xf>
    <xf numFmtId="0" fontId="66" fillId="10" borderId="40" xfId="865" applyBorder="1" applyAlignment="1" applyProtection="1">
      <alignment horizontal="center" wrapText="1"/>
      <protection locked="0"/>
    </xf>
    <xf numFmtId="0" fontId="66" fillId="10" borderId="47" xfId="865" applyBorder="1" applyAlignment="1" applyProtection="1">
      <alignment horizontal="left"/>
      <protection locked="0"/>
    </xf>
    <xf numFmtId="2" fontId="68" fillId="6" borderId="39" xfId="866" applyBorder="1" applyAlignment="1">
      <alignment horizontal="left"/>
    </xf>
    <xf numFmtId="2" fontId="68" fillId="6" borderId="37" xfId="866" applyBorder="1" applyAlignment="1">
      <alignment horizontal="left"/>
    </xf>
    <xf numFmtId="2" fontId="68" fillId="6" borderId="40" xfId="866" applyBorder="1" applyAlignment="1">
      <alignment horizontal="left"/>
    </xf>
    <xf numFmtId="0" fontId="66" fillId="10" borderId="39" xfId="865" applyBorder="1" applyAlignment="1">
      <alignment horizontal="left"/>
    </xf>
    <xf numFmtId="0" fontId="66" fillId="10" borderId="37" xfId="865" applyBorder="1" applyAlignment="1">
      <alignment horizontal="left"/>
    </xf>
    <xf numFmtId="0" fontId="66" fillId="10" borderId="40" xfId="865" applyBorder="1" applyAlignment="1">
      <alignment horizontal="left"/>
    </xf>
    <xf numFmtId="0" fontId="66" fillId="10" borderId="39" xfId="865" applyBorder="1" applyAlignment="1">
      <alignment horizontal="center"/>
    </xf>
    <xf numFmtId="0" fontId="66" fillId="10" borderId="37" xfId="865" applyBorder="1" applyAlignment="1">
      <alignment horizontal="center"/>
    </xf>
    <xf numFmtId="0" fontId="66" fillId="10" borderId="40" xfId="865" applyBorder="1" applyAlignment="1">
      <alignment horizontal="center"/>
    </xf>
    <xf numFmtId="2" fontId="68" fillId="6" borderId="39" xfId="866" applyBorder="1" applyAlignment="1" applyProtection="1">
      <alignment horizontal="left"/>
      <protection locked="0"/>
    </xf>
    <xf numFmtId="0" fontId="0" fillId="6" borderId="37" xfId="0" applyBorder="1" applyAlignment="1" applyProtection="1">
      <alignment horizontal="left"/>
      <protection locked="0"/>
    </xf>
    <xf numFmtId="0" fontId="0" fillId="6" borderId="40" xfId="0" applyBorder="1" applyAlignment="1" applyProtection="1">
      <alignment horizontal="left"/>
      <protection locked="0"/>
    </xf>
    <xf numFmtId="0" fontId="14" fillId="2" borderId="39" xfId="0" applyFont="1" applyFill="1" applyBorder="1" applyAlignment="1" applyProtection="1">
      <alignment horizontal="left"/>
      <protection locked="0"/>
    </xf>
    <xf numFmtId="0" fontId="14" fillId="2" borderId="37" xfId="0" applyFont="1" applyFill="1" applyBorder="1" applyAlignment="1" applyProtection="1">
      <alignment horizontal="left"/>
      <protection locked="0"/>
    </xf>
    <xf numFmtId="0" fontId="14" fillId="2" borderId="40" xfId="0" applyFont="1" applyFill="1" applyBorder="1" applyAlignment="1" applyProtection="1">
      <alignment horizontal="left"/>
      <protection locked="0"/>
    </xf>
    <xf numFmtId="0" fontId="1" fillId="2" borderId="39" xfId="0" applyFont="1" applyFill="1" applyBorder="1" applyAlignment="1" applyProtection="1">
      <alignment horizontal="left"/>
      <protection locked="0"/>
    </xf>
    <xf numFmtId="2" fontId="68" fillId="6" borderId="37" xfId="866" applyBorder="1" applyAlignment="1" applyProtection="1">
      <alignment horizontal="left"/>
      <protection locked="0"/>
    </xf>
    <xf numFmtId="2" fontId="68" fillId="6" borderId="40" xfId="866" applyBorder="1" applyAlignment="1" applyProtection="1">
      <alignment horizontal="left"/>
      <protection locked="0"/>
    </xf>
  </cellXfs>
  <cellStyles count="1891">
    <cellStyle name="Calculation" xfId="224" builtinId="22" hidden="1"/>
    <cellStyle name="Default_Free" xfId="869"/>
    <cellStyle name="Default_Locked" xfId="868"/>
    <cellStyle name="Followed Hyperlink" xfId="2" builtinId="9" hidden="1"/>
    <cellStyle name="Followed Hyperlink" xfId="4" builtinId="9" hidden="1"/>
    <cellStyle name="Followed Hyperlink" xfId="6"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60" builtinId="9" hidden="1"/>
    <cellStyle name="Followed Hyperlink" xfId="461" builtinId="9" hidden="1"/>
    <cellStyle name="Followed Hyperlink" xfId="462" builtinId="9" hidden="1"/>
    <cellStyle name="Followed Hyperlink" xfId="463" builtinId="9" hidden="1"/>
    <cellStyle name="Followed Hyperlink" xfId="464" builtinId="9" hidden="1"/>
    <cellStyle name="Followed Hyperlink" xfId="465" builtinId="9" hidden="1"/>
    <cellStyle name="Followed Hyperlink" xfId="466" builtinId="9" hidden="1"/>
    <cellStyle name="Followed Hyperlink" xfId="467" builtinId="9" hidden="1"/>
    <cellStyle name="Followed Hyperlink" xfId="468" builtinId="9" hidden="1"/>
    <cellStyle name="Followed Hyperlink" xfId="469" builtinId="9" hidden="1"/>
    <cellStyle name="Followed Hyperlink" xfId="470" builtinId="9" hidden="1"/>
    <cellStyle name="Followed Hyperlink" xfId="471" builtinId="9" hidden="1"/>
    <cellStyle name="Followed Hyperlink" xfId="472" builtinId="9" hidden="1"/>
    <cellStyle name="Followed Hyperlink" xfId="473" builtinId="9" hidden="1"/>
    <cellStyle name="Followed Hyperlink" xfId="474" builtinId="9" hidden="1"/>
    <cellStyle name="Followed Hyperlink" xfId="475" builtinId="9" hidden="1"/>
    <cellStyle name="Followed Hyperlink" xfId="476" builtinId="9" hidden="1"/>
    <cellStyle name="Followed Hyperlink" xfId="477" builtinId="9" hidden="1"/>
    <cellStyle name="Followed Hyperlink" xfId="478" builtinId="9" hidden="1"/>
    <cellStyle name="Followed Hyperlink" xfId="479" builtinId="9" hidden="1"/>
    <cellStyle name="Followed Hyperlink" xfId="480" builtinId="9" hidden="1"/>
    <cellStyle name="Followed Hyperlink" xfId="481" builtinId="9" hidden="1"/>
    <cellStyle name="Followed Hyperlink" xfId="482" builtinId="9" hidden="1"/>
    <cellStyle name="Followed Hyperlink" xfId="483" builtinId="9" hidden="1"/>
    <cellStyle name="Followed Hyperlink" xfId="484" builtinId="9" hidden="1"/>
    <cellStyle name="Followed Hyperlink" xfId="485" builtinId="9" hidden="1"/>
    <cellStyle name="Followed Hyperlink" xfId="486" builtinId="9" hidden="1"/>
    <cellStyle name="Followed Hyperlink" xfId="487" builtinId="9" hidden="1"/>
    <cellStyle name="Followed Hyperlink" xfId="488" builtinId="9" hidden="1"/>
    <cellStyle name="Followed Hyperlink" xfId="489" builtinId="9" hidden="1"/>
    <cellStyle name="Followed Hyperlink" xfId="490" builtinId="9" hidden="1"/>
    <cellStyle name="Followed Hyperlink" xfId="491" builtinId="9" hidden="1"/>
    <cellStyle name="Followed Hyperlink" xfId="492" builtinId="9" hidden="1"/>
    <cellStyle name="Followed Hyperlink" xfId="493" builtinId="9" hidden="1"/>
    <cellStyle name="Followed Hyperlink" xfId="494"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5" builtinId="9" hidden="1"/>
    <cellStyle name="Followed Hyperlink" xfId="516"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6" builtinId="9" hidden="1"/>
    <cellStyle name="Followed Hyperlink" xfId="527" builtinId="9" hidden="1"/>
    <cellStyle name="Followed Hyperlink" xfId="528" builtinId="9" hidden="1"/>
    <cellStyle name="Followed Hyperlink" xfId="529" builtinId="9" hidden="1"/>
    <cellStyle name="Followed Hyperlink" xfId="530" builtinId="9" hidden="1"/>
    <cellStyle name="Followed Hyperlink" xfId="531" builtinId="9" hidden="1"/>
    <cellStyle name="Followed Hyperlink" xfId="532" builtinId="9" hidden="1"/>
    <cellStyle name="Followed Hyperlink" xfId="533" builtinId="9" hidden="1"/>
    <cellStyle name="Followed Hyperlink" xfId="534" builtinId="9" hidden="1"/>
    <cellStyle name="Followed Hyperlink" xfId="535" builtinId="9" hidden="1"/>
    <cellStyle name="Followed Hyperlink" xfId="536" builtinId="9" hidden="1"/>
    <cellStyle name="Followed Hyperlink" xfId="537" builtinId="9" hidden="1"/>
    <cellStyle name="Followed Hyperlink" xfId="538" builtinId="9" hidden="1"/>
    <cellStyle name="Followed Hyperlink" xfId="539" builtinId="9" hidden="1"/>
    <cellStyle name="Followed Hyperlink" xfId="540" builtinId="9" hidden="1"/>
    <cellStyle name="Followed Hyperlink" xfId="541" builtinId="9" hidden="1"/>
    <cellStyle name="Followed Hyperlink" xfId="542" builtinId="9" hidden="1"/>
    <cellStyle name="Followed Hyperlink" xfId="543" builtinId="9" hidden="1"/>
    <cellStyle name="Followed Hyperlink" xfId="544" builtinId="9" hidden="1"/>
    <cellStyle name="Followed Hyperlink" xfId="545" builtinId="9" hidden="1"/>
    <cellStyle name="Followed Hyperlink" xfId="546" builtinId="9" hidden="1"/>
    <cellStyle name="Followed Hyperlink" xfId="547" builtinId="9" hidden="1"/>
    <cellStyle name="Followed Hyperlink" xfId="548" builtinId="9" hidden="1"/>
    <cellStyle name="Followed Hyperlink" xfId="549" builtinId="9" hidden="1"/>
    <cellStyle name="Followed Hyperlink" xfId="550" builtinId="9" hidden="1"/>
    <cellStyle name="Followed Hyperlink" xfId="551" builtinId="9" hidden="1"/>
    <cellStyle name="Followed Hyperlink" xfId="552" builtinId="9" hidden="1"/>
    <cellStyle name="Followed Hyperlink" xfId="553" builtinId="9" hidden="1"/>
    <cellStyle name="Followed Hyperlink" xfId="554" builtinId="9" hidden="1"/>
    <cellStyle name="Followed Hyperlink" xfId="555" builtinId="9" hidden="1"/>
    <cellStyle name="Followed Hyperlink" xfId="556" builtinId="9" hidden="1"/>
    <cellStyle name="Followed Hyperlink" xfId="557" builtinId="9" hidden="1"/>
    <cellStyle name="Followed Hyperlink" xfId="558" builtinId="9" hidden="1"/>
    <cellStyle name="Followed Hyperlink" xfId="559" builtinId="9" hidden="1"/>
    <cellStyle name="Followed Hyperlink" xfId="560" builtinId="9" hidden="1"/>
    <cellStyle name="Followed Hyperlink" xfId="561" builtinId="9" hidden="1"/>
    <cellStyle name="Followed Hyperlink" xfId="562" builtinId="9" hidden="1"/>
    <cellStyle name="Followed Hyperlink" xfId="563" builtinId="9" hidden="1"/>
    <cellStyle name="Followed Hyperlink" xfId="564" builtinId="9" hidden="1"/>
    <cellStyle name="Followed Hyperlink" xfId="565" builtinId="9" hidden="1"/>
    <cellStyle name="Followed Hyperlink" xfId="566" builtinId="9" hidden="1"/>
    <cellStyle name="Followed Hyperlink" xfId="567" builtinId="9" hidden="1"/>
    <cellStyle name="Followed Hyperlink" xfId="568" builtinId="9" hidden="1"/>
    <cellStyle name="Followed Hyperlink" xfId="569" builtinId="9" hidden="1"/>
    <cellStyle name="Followed Hyperlink" xfId="570" builtinId="9" hidden="1"/>
    <cellStyle name="Followed Hyperlink" xfId="571" builtinId="9" hidden="1"/>
    <cellStyle name="Followed Hyperlink" xfId="572" builtinId="9" hidden="1"/>
    <cellStyle name="Followed Hyperlink" xfId="573" builtinId="9" hidden="1"/>
    <cellStyle name="Followed Hyperlink" xfId="574" builtinId="9" hidden="1"/>
    <cellStyle name="Followed Hyperlink" xfId="575" builtinId="9" hidden="1"/>
    <cellStyle name="Followed Hyperlink" xfId="576" builtinId="9" hidden="1"/>
    <cellStyle name="Followed Hyperlink" xfId="577" builtinId="9" hidden="1"/>
    <cellStyle name="Followed Hyperlink" xfId="578" builtinId="9" hidden="1"/>
    <cellStyle name="Followed Hyperlink" xfId="579" builtinId="9" hidden="1"/>
    <cellStyle name="Followed Hyperlink" xfId="580" builtinId="9" hidden="1"/>
    <cellStyle name="Followed Hyperlink" xfId="581" builtinId="9" hidden="1"/>
    <cellStyle name="Followed Hyperlink" xfId="582" builtinId="9" hidden="1"/>
    <cellStyle name="Followed Hyperlink" xfId="583" builtinId="9" hidden="1"/>
    <cellStyle name="Followed Hyperlink" xfId="584" builtinId="9" hidden="1"/>
    <cellStyle name="Followed Hyperlink" xfId="585" builtinId="9" hidden="1"/>
    <cellStyle name="Followed Hyperlink" xfId="586" builtinId="9" hidden="1"/>
    <cellStyle name="Followed Hyperlink" xfId="587" builtinId="9" hidden="1"/>
    <cellStyle name="Followed Hyperlink" xfId="588" builtinId="9" hidden="1"/>
    <cellStyle name="Followed Hyperlink" xfId="589" builtinId="9" hidden="1"/>
    <cellStyle name="Followed Hyperlink" xfId="590" builtinId="9" hidden="1"/>
    <cellStyle name="Followed Hyperlink" xfId="591" builtinId="9" hidden="1"/>
    <cellStyle name="Followed Hyperlink" xfId="592" builtinId="9" hidden="1"/>
    <cellStyle name="Followed Hyperlink" xfId="593" builtinId="9" hidden="1"/>
    <cellStyle name="Followed Hyperlink" xfId="594" builtinId="9" hidden="1"/>
    <cellStyle name="Followed Hyperlink" xfId="595" builtinId="9" hidden="1"/>
    <cellStyle name="Followed Hyperlink" xfId="596" builtinId="9" hidden="1"/>
    <cellStyle name="Followed Hyperlink" xfId="597" builtinId="9" hidden="1"/>
    <cellStyle name="Followed Hyperlink" xfId="598" builtinId="9" hidden="1"/>
    <cellStyle name="Followed Hyperlink" xfId="599" builtinId="9" hidden="1"/>
    <cellStyle name="Followed Hyperlink" xfId="600" builtinId="9" hidden="1"/>
    <cellStyle name="Followed Hyperlink" xfId="601" builtinId="9" hidden="1"/>
    <cellStyle name="Followed Hyperlink" xfId="602" builtinId="9" hidden="1"/>
    <cellStyle name="Followed Hyperlink" xfId="603" builtinId="9" hidden="1"/>
    <cellStyle name="Followed Hyperlink" xfId="604" builtinId="9" hidden="1"/>
    <cellStyle name="Followed Hyperlink" xfId="605" builtinId="9" hidden="1"/>
    <cellStyle name="Followed Hyperlink" xfId="606" builtinId="9" hidden="1"/>
    <cellStyle name="Followed Hyperlink" xfId="607" builtinId="9" hidden="1"/>
    <cellStyle name="Followed Hyperlink" xfId="608" builtinId="9" hidden="1"/>
    <cellStyle name="Followed Hyperlink" xfId="609" builtinId="9" hidden="1"/>
    <cellStyle name="Followed Hyperlink" xfId="610" builtinId="9" hidden="1"/>
    <cellStyle name="Followed Hyperlink" xfId="611" builtinId="9" hidden="1"/>
    <cellStyle name="Followed Hyperlink" xfId="612" builtinId="9" hidden="1"/>
    <cellStyle name="Followed Hyperlink" xfId="613" builtinId="9" hidden="1"/>
    <cellStyle name="Followed Hyperlink" xfId="614" builtinId="9" hidden="1"/>
    <cellStyle name="Followed Hyperlink" xfId="615" builtinId="9" hidden="1"/>
    <cellStyle name="Followed Hyperlink" xfId="616" builtinId="9" hidden="1"/>
    <cellStyle name="Followed Hyperlink" xfId="617" builtinId="9" hidden="1"/>
    <cellStyle name="Followed Hyperlink" xfId="618" builtinId="9" hidden="1"/>
    <cellStyle name="Followed Hyperlink" xfId="619" builtinId="9" hidden="1"/>
    <cellStyle name="Followed Hyperlink" xfId="620" builtinId="9" hidden="1"/>
    <cellStyle name="Followed Hyperlink" xfId="621" builtinId="9" hidden="1"/>
    <cellStyle name="Followed Hyperlink" xfId="622" builtinId="9" hidden="1"/>
    <cellStyle name="Followed Hyperlink" xfId="623" builtinId="9" hidden="1"/>
    <cellStyle name="Followed Hyperlink" xfId="624" builtinId="9" hidden="1"/>
    <cellStyle name="Followed Hyperlink" xfId="625" builtinId="9" hidden="1"/>
    <cellStyle name="Followed Hyperlink" xfId="626" builtinId="9" hidden="1"/>
    <cellStyle name="Followed Hyperlink" xfId="627" builtinId="9" hidden="1"/>
    <cellStyle name="Followed Hyperlink" xfId="628" builtinId="9" hidden="1"/>
    <cellStyle name="Followed Hyperlink" xfId="629" builtinId="9" hidden="1"/>
    <cellStyle name="Followed Hyperlink" xfId="630" builtinId="9" hidden="1"/>
    <cellStyle name="Followed Hyperlink" xfId="631" builtinId="9" hidden="1"/>
    <cellStyle name="Followed Hyperlink" xfId="632" builtinId="9" hidden="1"/>
    <cellStyle name="Followed Hyperlink" xfId="633" builtinId="9" hidden="1"/>
    <cellStyle name="Followed Hyperlink" xfId="634" builtinId="9" hidden="1"/>
    <cellStyle name="Followed Hyperlink" xfId="635" builtinId="9" hidden="1"/>
    <cellStyle name="Followed Hyperlink" xfId="636" builtinId="9" hidden="1"/>
    <cellStyle name="Followed Hyperlink" xfId="637" builtinId="9" hidden="1"/>
    <cellStyle name="Followed Hyperlink" xfId="638" builtinId="9" hidden="1"/>
    <cellStyle name="Followed Hyperlink" xfId="639" builtinId="9" hidden="1"/>
    <cellStyle name="Followed Hyperlink" xfId="640" builtinId="9" hidden="1"/>
    <cellStyle name="Followed Hyperlink" xfId="641" builtinId="9" hidden="1"/>
    <cellStyle name="Followed Hyperlink" xfId="642" builtinId="9" hidden="1"/>
    <cellStyle name="Followed Hyperlink" xfId="643" builtinId="9" hidden="1"/>
    <cellStyle name="Followed Hyperlink" xfId="644" builtinId="9" hidden="1"/>
    <cellStyle name="Followed Hyperlink" xfId="645" builtinId="9" hidden="1"/>
    <cellStyle name="Followed Hyperlink" xfId="646" builtinId="9" hidden="1"/>
    <cellStyle name="Followed Hyperlink" xfId="647" builtinId="9" hidden="1"/>
    <cellStyle name="Followed Hyperlink" xfId="648" builtinId="9" hidden="1"/>
    <cellStyle name="Followed Hyperlink" xfId="649" builtinId="9" hidden="1"/>
    <cellStyle name="Followed Hyperlink" xfId="650" builtinId="9" hidden="1"/>
    <cellStyle name="Followed Hyperlink" xfId="651" builtinId="9" hidden="1"/>
    <cellStyle name="Followed Hyperlink" xfId="652" builtinId="9" hidden="1"/>
    <cellStyle name="Followed Hyperlink" xfId="653" builtinId="9" hidden="1"/>
    <cellStyle name="Followed Hyperlink" xfId="654" builtinId="9" hidden="1"/>
    <cellStyle name="Followed Hyperlink" xfId="655" builtinId="9" hidden="1"/>
    <cellStyle name="Followed Hyperlink" xfId="656" builtinId="9" hidden="1"/>
    <cellStyle name="Followed Hyperlink" xfId="657" builtinId="9" hidden="1"/>
    <cellStyle name="Followed Hyperlink" xfId="658" builtinId="9" hidden="1"/>
    <cellStyle name="Followed Hyperlink" xfId="659" builtinId="9" hidden="1"/>
    <cellStyle name="Followed Hyperlink" xfId="660" builtinId="9" hidden="1"/>
    <cellStyle name="Followed Hyperlink" xfId="661" builtinId="9" hidden="1"/>
    <cellStyle name="Followed Hyperlink" xfId="662" builtinId="9" hidden="1"/>
    <cellStyle name="Followed Hyperlink" xfId="663" builtinId="9" hidden="1"/>
    <cellStyle name="Followed Hyperlink" xfId="664" builtinId="9" hidden="1"/>
    <cellStyle name="Followed Hyperlink" xfId="665" builtinId="9" hidden="1"/>
    <cellStyle name="Followed Hyperlink" xfId="666" builtinId="9" hidden="1"/>
    <cellStyle name="Followed Hyperlink" xfId="667" builtinId="9" hidden="1"/>
    <cellStyle name="Followed Hyperlink" xfId="668" builtinId="9" hidden="1"/>
    <cellStyle name="Followed Hyperlink" xfId="669" builtinId="9" hidden="1"/>
    <cellStyle name="Followed Hyperlink" xfId="670" builtinId="9" hidden="1"/>
    <cellStyle name="Followed Hyperlink" xfId="671" builtinId="9" hidden="1"/>
    <cellStyle name="Followed Hyperlink" xfId="672" builtinId="9" hidden="1"/>
    <cellStyle name="Followed Hyperlink" xfId="673" builtinId="9" hidden="1"/>
    <cellStyle name="Followed Hyperlink" xfId="674" builtinId="9" hidden="1"/>
    <cellStyle name="Followed Hyperlink" xfId="675" builtinId="9" hidden="1"/>
    <cellStyle name="Followed Hyperlink" xfId="676" builtinId="9" hidden="1"/>
    <cellStyle name="Followed Hyperlink" xfId="677" builtinId="9" hidden="1"/>
    <cellStyle name="Followed Hyperlink" xfId="678" builtinId="9" hidden="1"/>
    <cellStyle name="Followed Hyperlink" xfId="679" builtinId="9" hidden="1"/>
    <cellStyle name="Followed Hyperlink" xfId="680" builtinId="9" hidden="1"/>
    <cellStyle name="Followed Hyperlink" xfId="681" builtinId="9" hidden="1"/>
    <cellStyle name="Followed Hyperlink" xfId="682" builtinId="9" hidden="1"/>
    <cellStyle name="Followed Hyperlink" xfId="683" builtinId="9" hidden="1"/>
    <cellStyle name="Followed Hyperlink" xfId="684" builtinId="9" hidden="1"/>
    <cellStyle name="Followed Hyperlink" xfId="685" builtinId="9" hidden="1"/>
    <cellStyle name="Followed Hyperlink" xfId="686" builtinId="9" hidden="1"/>
    <cellStyle name="Followed Hyperlink" xfId="687" builtinId="9" hidden="1"/>
    <cellStyle name="Followed Hyperlink" xfId="688" builtinId="9" hidden="1"/>
    <cellStyle name="Followed Hyperlink" xfId="689" builtinId="9" hidden="1"/>
    <cellStyle name="Followed Hyperlink" xfId="690" builtinId="9" hidden="1"/>
    <cellStyle name="Followed Hyperlink" xfId="691" builtinId="9" hidden="1"/>
    <cellStyle name="Followed Hyperlink" xfId="692" builtinId="9" hidden="1"/>
    <cellStyle name="Followed Hyperlink" xfId="693" builtinId="9" hidden="1"/>
    <cellStyle name="Followed Hyperlink" xfId="694" builtinId="9" hidden="1"/>
    <cellStyle name="Followed Hyperlink" xfId="695" builtinId="9" hidden="1"/>
    <cellStyle name="Followed Hyperlink" xfId="696"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716" builtinId="9" hidden="1"/>
    <cellStyle name="Followed Hyperlink" xfId="717" builtinId="9" hidden="1"/>
    <cellStyle name="Followed Hyperlink" xfId="718" builtinId="9" hidden="1"/>
    <cellStyle name="Followed Hyperlink" xfId="719" builtinId="9" hidden="1"/>
    <cellStyle name="Followed Hyperlink" xfId="720" builtinId="9" hidden="1"/>
    <cellStyle name="Followed Hyperlink" xfId="721" builtinId="9" hidden="1"/>
    <cellStyle name="Followed Hyperlink" xfId="722" builtinId="9" hidden="1"/>
    <cellStyle name="Followed Hyperlink" xfId="723" builtinId="9" hidden="1"/>
    <cellStyle name="Followed Hyperlink" xfId="724" builtinId="9" hidden="1"/>
    <cellStyle name="Followed Hyperlink" xfId="725" builtinId="9" hidden="1"/>
    <cellStyle name="Followed Hyperlink" xfId="726" builtinId="9" hidden="1"/>
    <cellStyle name="Followed Hyperlink" xfId="727" builtinId="9" hidden="1"/>
    <cellStyle name="Followed Hyperlink" xfId="728" builtinId="9" hidden="1"/>
    <cellStyle name="Followed Hyperlink" xfId="729" builtinId="9" hidden="1"/>
    <cellStyle name="Followed Hyperlink" xfId="730" builtinId="9" hidden="1"/>
    <cellStyle name="Followed Hyperlink" xfId="731" builtinId="9" hidden="1"/>
    <cellStyle name="Followed Hyperlink" xfId="732" builtinId="9" hidden="1"/>
    <cellStyle name="Followed Hyperlink" xfId="733" builtinId="9" hidden="1"/>
    <cellStyle name="Followed Hyperlink" xfId="734" builtinId="9" hidden="1"/>
    <cellStyle name="Followed Hyperlink" xfId="735" builtinId="9" hidden="1"/>
    <cellStyle name="Followed Hyperlink" xfId="736" builtinId="9" hidden="1"/>
    <cellStyle name="Followed Hyperlink" xfId="737" builtinId="9" hidden="1"/>
    <cellStyle name="Followed Hyperlink" xfId="738" builtinId="9" hidden="1"/>
    <cellStyle name="Followed Hyperlink" xfId="739" builtinId="9" hidden="1"/>
    <cellStyle name="Followed Hyperlink" xfId="740" builtinId="9" hidden="1"/>
    <cellStyle name="Followed Hyperlink" xfId="741" builtinId="9" hidden="1"/>
    <cellStyle name="Followed Hyperlink" xfId="742" builtinId="9" hidden="1"/>
    <cellStyle name="Followed Hyperlink" xfId="743" builtinId="9" hidden="1"/>
    <cellStyle name="Followed Hyperlink" xfId="744" builtinId="9" hidden="1"/>
    <cellStyle name="Followed Hyperlink" xfId="745" builtinId="9" hidden="1"/>
    <cellStyle name="Followed Hyperlink" xfId="746" builtinId="9" hidden="1"/>
    <cellStyle name="Followed Hyperlink" xfId="747" builtinId="9" hidden="1"/>
    <cellStyle name="Followed Hyperlink" xfId="748" builtinId="9" hidden="1"/>
    <cellStyle name="Followed Hyperlink" xfId="749" builtinId="9" hidden="1"/>
    <cellStyle name="Followed Hyperlink" xfId="750" builtinId="9" hidden="1"/>
    <cellStyle name="Followed Hyperlink" xfId="751" builtinId="9" hidden="1"/>
    <cellStyle name="Followed Hyperlink" xfId="752" builtinId="9" hidden="1"/>
    <cellStyle name="Followed Hyperlink" xfId="753" builtinId="9" hidden="1"/>
    <cellStyle name="Followed Hyperlink" xfId="754" builtinId="9" hidden="1"/>
    <cellStyle name="Followed Hyperlink" xfId="755" builtinId="9" hidden="1"/>
    <cellStyle name="Followed Hyperlink" xfId="756" builtinId="9" hidden="1"/>
    <cellStyle name="Followed Hyperlink" xfId="757" builtinId="9" hidden="1"/>
    <cellStyle name="Followed Hyperlink" xfId="758" builtinId="9" hidden="1"/>
    <cellStyle name="Followed Hyperlink" xfId="759" builtinId="9" hidden="1"/>
    <cellStyle name="Followed Hyperlink" xfId="760" builtinId="9" hidden="1"/>
    <cellStyle name="Followed Hyperlink" xfId="761" builtinId="9" hidden="1"/>
    <cellStyle name="Followed Hyperlink" xfId="762" builtinId="9" hidden="1"/>
    <cellStyle name="Followed Hyperlink" xfId="763" builtinId="9" hidden="1"/>
    <cellStyle name="Followed Hyperlink" xfId="764" builtinId="9" hidden="1"/>
    <cellStyle name="Followed Hyperlink" xfId="765" builtinId="9" hidden="1"/>
    <cellStyle name="Followed Hyperlink" xfId="766" builtinId="9" hidden="1"/>
    <cellStyle name="Followed Hyperlink" xfId="767" builtinId="9" hidden="1"/>
    <cellStyle name="Followed Hyperlink" xfId="768" builtinId="9" hidden="1"/>
    <cellStyle name="Followed Hyperlink" xfId="769" builtinId="9" hidden="1"/>
    <cellStyle name="Followed Hyperlink" xfId="770" builtinId="9" hidden="1"/>
    <cellStyle name="Followed Hyperlink" xfId="771" builtinId="9" hidden="1"/>
    <cellStyle name="Followed Hyperlink" xfId="772" builtinId="9" hidden="1"/>
    <cellStyle name="Followed Hyperlink" xfId="773" builtinId="9" hidden="1"/>
    <cellStyle name="Followed Hyperlink" xfId="774" builtinId="9" hidden="1"/>
    <cellStyle name="Followed Hyperlink" xfId="775" builtinId="9" hidden="1"/>
    <cellStyle name="Followed Hyperlink" xfId="776" builtinId="9" hidden="1"/>
    <cellStyle name="Followed Hyperlink" xfId="777" builtinId="9" hidden="1"/>
    <cellStyle name="Followed Hyperlink" xfId="778" builtinId="9" hidden="1"/>
    <cellStyle name="Followed Hyperlink" xfId="779" builtinId="9" hidden="1"/>
    <cellStyle name="Followed Hyperlink" xfId="780" builtinId="9" hidden="1"/>
    <cellStyle name="Followed Hyperlink" xfId="781" builtinId="9" hidden="1"/>
    <cellStyle name="Followed Hyperlink" xfId="782" builtinId="9" hidden="1"/>
    <cellStyle name="Followed Hyperlink" xfId="783" builtinId="9" hidden="1"/>
    <cellStyle name="Followed Hyperlink" xfId="784" builtinId="9" hidden="1"/>
    <cellStyle name="Followed Hyperlink" xfId="785" builtinId="9" hidden="1"/>
    <cellStyle name="Followed Hyperlink" xfId="786" builtinId="9" hidden="1"/>
    <cellStyle name="Followed Hyperlink" xfId="787" builtinId="9" hidden="1"/>
    <cellStyle name="Followed Hyperlink" xfId="788" builtinId="9" hidden="1"/>
    <cellStyle name="Followed Hyperlink" xfId="789" builtinId="9" hidden="1"/>
    <cellStyle name="Followed Hyperlink" xfId="790" builtinId="9" hidden="1"/>
    <cellStyle name="Followed Hyperlink" xfId="791" builtinId="9" hidden="1"/>
    <cellStyle name="Followed Hyperlink" xfId="792" builtinId="9" hidden="1"/>
    <cellStyle name="Followed Hyperlink" xfId="793" builtinId="9" hidden="1"/>
    <cellStyle name="Followed Hyperlink" xfId="794" builtinId="9" hidden="1"/>
    <cellStyle name="Followed Hyperlink" xfId="795" builtinId="9" hidden="1"/>
    <cellStyle name="Followed Hyperlink" xfId="796" builtinId="9" hidden="1"/>
    <cellStyle name="Followed Hyperlink" xfId="797" builtinId="9" hidden="1"/>
    <cellStyle name="Followed Hyperlink" xfId="798" builtinId="9" hidden="1"/>
    <cellStyle name="Followed Hyperlink" xfId="799" builtinId="9" hidden="1"/>
    <cellStyle name="Followed Hyperlink" xfId="800" builtinId="9" hidden="1"/>
    <cellStyle name="Followed Hyperlink" xfId="801" builtinId="9" hidden="1"/>
    <cellStyle name="Followed Hyperlink" xfId="802" builtinId="9" hidden="1"/>
    <cellStyle name="Followed Hyperlink" xfId="803" builtinId="9" hidden="1"/>
    <cellStyle name="Followed Hyperlink" xfId="804" builtinId="9" hidden="1"/>
    <cellStyle name="Followed Hyperlink" xfId="805" builtinId="9" hidden="1"/>
    <cellStyle name="Followed Hyperlink" xfId="806" builtinId="9" hidden="1"/>
    <cellStyle name="Followed Hyperlink" xfId="807" builtinId="9" hidden="1"/>
    <cellStyle name="Followed Hyperlink" xfId="808" builtinId="9" hidden="1"/>
    <cellStyle name="Followed Hyperlink" xfId="809" builtinId="9" hidden="1"/>
    <cellStyle name="Followed Hyperlink" xfId="810" builtinId="9" hidden="1"/>
    <cellStyle name="Followed Hyperlink" xfId="811" builtinId="9" hidden="1"/>
    <cellStyle name="Followed Hyperlink" xfId="812" builtinId="9" hidden="1"/>
    <cellStyle name="Followed Hyperlink" xfId="813" builtinId="9" hidden="1"/>
    <cellStyle name="Followed Hyperlink" xfId="814" builtinId="9" hidden="1"/>
    <cellStyle name="Followed Hyperlink" xfId="815" builtinId="9" hidden="1"/>
    <cellStyle name="Followed Hyperlink" xfId="816" builtinId="9" hidden="1"/>
    <cellStyle name="Followed Hyperlink" xfId="817" builtinId="9" hidden="1"/>
    <cellStyle name="Followed Hyperlink" xfId="818" builtinId="9" hidden="1"/>
    <cellStyle name="Followed Hyperlink" xfId="819" builtinId="9" hidden="1"/>
    <cellStyle name="Followed Hyperlink" xfId="820" builtinId="9" hidden="1"/>
    <cellStyle name="Followed Hyperlink" xfId="821" builtinId="9" hidden="1"/>
    <cellStyle name="Followed Hyperlink" xfId="822" builtinId="9" hidden="1"/>
    <cellStyle name="Followed Hyperlink" xfId="823" builtinId="9" hidden="1"/>
    <cellStyle name="Followed Hyperlink" xfId="824" builtinId="9" hidden="1"/>
    <cellStyle name="Followed Hyperlink" xfId="825" builtinId="9" hidden="1"/>
    <cellStyle name="Followed Hyperlink" xfId="826" builtinId="9" hidden="1"/>
    <cellStyle name="Followed Hyperlink" xfId="827" builtinId="9" hidden="1"/>
    <cellStyle name="Followed Hyperlink" xfId="828" builtinId="9" hidden="1"/>
    <cellStyle name="Followed Hyperlink" xfId="829" builtinId="9" hidden="1"/>
    <cellStyle name="Followed Hyperlink" xfId="830" builtinId="9" hidden="1"/>
    <cellStyle name="Followed Hyperlink" xfId="831" builtinId="9" hidden="1"/>
    <cellStyle name="Followed Hyperlink" xfId="832" builtinId="9" hidden="1"/>
    <cellStyle name="Followed Hyperlink" xfId="833" builtinId="9" hidden="1"/>
    <cellStyle name="Followed Hyperlink" xfId="834" builtinId="9" hidden="1"/>
    <cellStyle name="Followed Hyperlink" xfId="835" builtinId="9" hidden="1"/>
    <cellStyle name="Followed Hyperlink" xfId="836" builtinId="9" hidden="1"/>
    <cellStyle name="Followed Hyperlink" xfId="837" builtinId="9" hidden="1"/>
    <cellStyle name="Followed Hyperlink" xfId="838" builtinId="9" hidden="1"/>
    <cellStyle name="Followed Hyperlink" xfId="839" builtinId="9" hidden="1"/>
    <cellStyle name="Followed Hyperlink" xfId="840" builtinId="9" hidden="1"/>
    <cellStyle name="Followed Hyperlink" xfId="841" builtinId="9" hidden="1"/>
    <cellStyle name="Followed Hyperlink" xfId="842" builtinId="9" hidden="1"/>
    <cellStyle name="Followed Hyperlink" xfId="843" builtinId="9" hidden="1"/>
    <cellStyle name="Followed Hyperlink" xfId="844" builtinId="9" hidden="1"/>
    <cellStyle name="Followed Hyperlink" xfId="845" builtinId="9" hidden="1"/>
    <cellStyle name="Followed Hyperlink" xfId="846" builtinId="9" hidden="1"/>
    <cellStyle name="Followed Hyperlink" xfId="847" builtinId="9" hidden="1"/>
    <cellStyle name="Followed Hyperlink" xfId="848" builtinId="9" hidden="1"/>
    <cellStyle name="Followed Hyperlink" xfId="849" builtinId="9" hidden="1"/>
    <cellStyle name="Followed Hyperlink" xfId="850" builtinId="9" hidden="1"/>
    <cellStyle name="Followed Hyperlink" xfId="851" builtinId="9" hidden="1"/>
    <cellStyle name="Followed Hyperlink" xfId="852" builtinId="9" hidden="1"/>
    <cellStyle name="Followed Hyperlink" xfId="853" builtinId="9" hidden="1"/>
    <cellStyle name="Followed Hyperlink" xfId="854" builtinId="9" hidden="1"/>
    <cellStyle name="Followed Hyperlink" xfId="855" builtinId="9" hidden="1"/>
    <cellStyle name="Followed Hyperlink" xfId="856" builtinId="9" hidden="1"/>
    <cellStyle name="Followed Hyperlink" xfId="857" builtinId="9" hidden="1"/>
    <cellStyle name="Followed Hyperlink" xfId="858" builtinId="9" hidden="1"/>
    <cellStyle name="Followed Hyperlink" xfId="859" builtinId="9" hidden="1"/>
    <cellStyle name="Followed Hyperlink" xfId="860" builtinId="9" hidden="1"/>
    <cellStyle name="Followed Hyperlink" xfId="861" builtinId="9" hidden="1"/>
    <cellStyle name="Followed Hyperlink" xfId="862" builtinId="9" hidden="1"/>
    <cellStyle name="Followed Hyperlink" xfId="863" builtinId="9" hidden="1"/>
    <cellStyle name="Followed Hyperlink" xfId="864" builtinId="9" hidden="1"/>
    <cellStyle name="Followed Hyperlink" xfId="867" builtinId="9" hidden="1"/>
    <cellStyle name="Followed Hyperlink" xfId="177" builtinId="9" hidden="1"/>
    <cellStyle name="Followed Hyperlink" xfId="176" builtinId="9" hidden="1"/>
    <cellStyle name="Followed Hyperlink" xfId="175" builtinId="9" hidden="1"/>
    <cellStyle name="Followed Hyperlink" xfId="173" builtinId="9" hidden="1"/>
    <cellStyle name="Followed Hyperlink" xfId="172" builtinId="9" hidden="1"/>
    <cellStyle name="Followed Hyperlink" xfId="180" builtinId="9" hidden="1"/>
    <cellStyle name="Followed Hyperlink" xfId="181" builtinId="9" hidden="1"/>
    <cellStyle name="Followed Hyperlink" xfId="182" builtinId="9" hidden="1"/>
    <cellStyle name="Followed Hyperlink" xfId="171" builtinId="9" hidden="1"/>
    <cellStyle name="Followed Hyperlink" xfId="200" builtinId="9" hidden="1"/>
    <cellStyle name="Followed Hyperlink" xfId="199" builtinId="9" hidden="1"/>
    <cellStyle name="Followed Hyperlink" xfId="198" builtinId="9" hidden="1"/>
    <cellStyle name="Followed Hyperlink" xfId="197" builtinId="9" hidden="1"/>
    <cellStyle name="Followed Hyperlink" xfId="195" builtinId="9" hidden="1"/>
    <cellStyle name="Followed Hyperlink" xfId="196" builtinId="9" hidden="1"/>
    <cellStyle name="Followed Hyperlink" xfId="194" builtinId="9" hidden="1"/>
    <cellStyle name="Followed Hyperlink" xfId="193" builtinId="9" hidden="1"/>
    <cellStyle name="Followed Hyperlink" xfId="167" builtinId="9" hidden="1"/>
    <cellStyle name="Followed Hyperlink" xfId="168" builtinId="9" hidden="1"/>
    <cellStyle name="Followed Hyperlink" xfId="192" builtinId="9" hidden="1"/>
    <cellStyle name="Followed Hyperlink" xfId="191" builtinId="9" hidden="1"/>
    <cellStyle name="Followed Hyperlink" xfId="189" builtinId="9" hidden="1"/>
    <cellStyle name="Followed Hyperlink" xfId="179" builtinId="9" hidden="1"/>
    <cellStyle name="Followed Hyperlink" xfId="178" builtinId="9" hidden="1"/>
    <cellStyle name="Followed Hyperlink" xfId="170" builtinId="9" hidden="1"/>
    <cellStyle name="Followed Hyperlink" xfId="190" builtinId="9" hidden="1"/>
    <cellStyle name="Followed Hyperlink" xfId="183" builtinId="9" hidden="1"/>
    <cellStyle name="Followed Hyperlink" xfId="188" builtinId="9" hidden="1"/>
    <cellStyle name="Followed Hyperlink" xfId="187" builtinId="9" hidden="1"/>
    <cellStyle name="Followed Hyperlink" xfId="186" builtinId="9" hidden="1"/>
    <cellStyle name="Followed Hyperlink" xfId="185" builtinId="9" hidden="1"/>
    <cellStyle name="Followed Hyperlink" xfId="184" builtinId="9" hidden="1"/>
    <cellStyle name="Followed Hyperlink" xfId="169" builtinId="9" hidden="1"/>
    <cellStyle name="Followed Hyperlink" xfId="174" builtinId="9" hidden="1"/>
    <cellStyle name="Followed Hyperlink" xfId="872" builtinId="9" hidden="1"/>
    <cellStyle name="Followed Hyperlink" xfId="873" builtinId="9" hidden="1"/>
    <cellStyle name="Followed Hyperlink" xfId="874" builtinId="9" hidden="1"/>
    <cellStyle name="Followed Hyperlink" xfId="875" builtinId="9" hidden="1"/>
    <cellStyle name="Followed Hyperlink" xfId="876" builtinId="9" hidden="1"/>
    <cellStyle name="Followed Hyperlink" xfId="877" builtinId="9" hidden="1"/>
    <cellStyle name="Followed Hyperlink" xfId="878" builtinId="9" hidden="1"/>
    <cellStyle name="Followed Hyperlink" xfId="879" builtinId="9" hidden="1"/>
    <cellStyle name="Followed Hyperlink" xfId="880" builtinId="9" hidden="1"/>
    <cellStyle name="Followed Hyperlink" xfId="881" builtinId="9" hidden="1"/>
    <cellStyle name="Followed Hyperlink" xfId="882" builtinId="9" hidden="1"/>
    <cellStyle name="Followed Hyperlink" xfId="883" builtinId="9" hidden="1"/>
    <cellStyle name="Followed Hyperlink" xfId="884" builtinId="9" hidden="1"/>
    <cellStyle name="Followed Hyperlink" xfId="885" builtinId="9" hidden="1"/>
    <cellStyle name="Followed Hyperlink" xfId="886" builtinId="9" hidden="1"/>
    <cellStyle name="Followed Hyperlink" xfId="887" builtinId="9" hidden="1"/>
    <cellStyle name="Followed Hyperlink" xfId="888" builtinId="9" hidden="1"/>
    <cellStyle name="Followed Hyperlink" xfId="889" builtinId="9" hidden="1"/>
    <cellStyle name="Followed Hyperlink" xfId="890" builtinId="9" hidden="1"/>
    <cellStyle name="Followed Hyperlink" xfId="891" builtinId="9" hidden="1"/>
    <cellStyle name="Followed Hyperlink" xfId="892" builtinId="9" hidden="1"/>
    <cellStyle name="Followed Hyperlink" xfId="893" builtinId="9" hidden="1"/>
    <cellStyle name="Followed Hyperlink" xfId="894" builtinId="9" hidden="1"/>
    <cellStyle name="Followed Hyperlink" xfId="895" builtinId="9" hidden="1"/>
    <cellStyle name="Followed Hyperlink" xfId="896" builtinId="9" hidden="1"/>
    <cellStyle name="Followed Hyperlink" xfId="897" builtinId="9" hidden="1"/>
    <cellStyle name="Followed Hyperlink" xfId="898" builtinId="9" hidden="1"/>
    <cellStyle name="Followed Hyperlink" xfId="899" builtinId="9" hidden="1"/>
    <cellStyle name="Followed Hyperlink" xfId="900" builtinId="9" hidden="1"/>
    <cellStyle name="Followed Hyperlink" xfId="901" builtinId="9" hidden="1"/>
    <cellStyle name="Followed Hyperlink" xfId="902" builtinId="9" hidden="1"/>
    <cellStyle name="Followed Hyperlink" xfId="903" builtinId="9" hidden="1"/>
    <cellStyle name="Followed Hyperlink" xfId="904" builtinId="9" hidden="1"/>
    <cellStyle name="Followed Hyperlink" xfId="905" builtinId="9" hidden="1"/>
    <cellStyle name="Followed Hyperlink" xfId="906" builtinId="9" hidden="1"/>
    <cellStyle name="Followed Hyperlink" xfId="907" builtinId="9" hidden="1"/>
    <cellStyle name="Followed Hyperlink" xfId="908" builtinId="9" hidden="1"/>
    <cellStyle name="Followed Hyperlink" xfId="909" builtinId="9" hidden="1"/>
    <cellStyle name="Followed Hyperlink" xfId="910" builtinId="9" hidden="1"/>
    <cellStyle name="Followed Hyperlink" xfId="911" builtinId="9" hidden="1"/>
    <cellStyle name="Followed Hyperlink" xfId="912" builtinId="9" hidden="1"/>
    <cellStyle name="Followed Hyperlink" xfId="913" builtinId="9" hidden="1"/>
    <cellStyle name="Followed Hyperlink" xfId="914" builtinId="9" hidden="1"/>
    <cellStyle name="Followed Hyperlink" xfId="915" builtinId="9" hidden="1"/>
    <cellStyle name="Followed Hyperlink" xfId="916" builtinId="9" hidden="1"/>
    <cellStyle name="Followed Hyperlink" xfId="917" builtinId="9" hidden="1"/>
    <cellStyle name="Followed Hyperlink" xfId="918" builtinId="9" hidden="1"/>
    <cellStyle name="Followed Hyperlink" xfId="919" builtinId="9" hidden="1"/>
    <cellStyle name="Followed Hyperlink" xfId="920" builtinId="9" hidden="1"/>
    <cellStyle name="Followed Hyperlink" xfId="921" builtinId="9" hidden="1"/>
    <cellStyle name="Followed Hyperlink" xfId="922" builtinId="9" hidden="1"/>
    <cellStyle name="Followed Hyperlink" xfId="923" builtinId="9" hidden="1"/>
    <cellStyle name="Followed Hyperlink" xfId="924" builtinId="9" hidden="1"/>
    <cellStyle name="Followed Hyperlink" xfId="925" builtinId="9" hidden="1"/>
    <cellStyle name="Followed Hyperlink" xfId="926" builtinId="9" hidden="1"/>
    <cellStyle name="Followed Hyperlink" xfId="927" builtinId="9" hidden="1"/>
    <cellStyle name="Followed Hyperlink" xfId="928" builtinId="9" hidden="1"/>
    <cellStyle name="Followed Hyperlink" xfId="929" builtinId="9" hidden="1"/>
    <cellStyle name="Followed Hyperlink" xfId="930" builtinId="9" hidden="1"/>
    <cellStyle name="Followed Hyperlink" xfId="931" builtinId="9" hidden="1"/>
    <cellStyle name="Followed Hyperlink" xfId="932" builtinId="9" hidden="1"/>
    <cellStyle name="Followed Hyperlink" xfId="933" builtinId="9" hidden="1"/>
    <cellStyle name="Followed Hyperlink" xfId="934" builtinId="9" hidden="1"/>
    <cellStyle name="Followed Hyperlink" xfId="935" builtinId="9" hidden="1"/>
    <cellStyle name="Followed Hyperlink" xfId="936" builtinId="9" hidden="1"/>
    <cellStyle name="Followed Hyperlink" xfId="937" builtinId="9" hidden="1"/>
    <cellStyle name="Followed Hyperlink" xfId="938" builtinId="9" hidden="1"/>
    <cellStyle name="Followed Hyperlink" xfId="939" builtinId="9" hidden="1"/>
    <cellStyle name="Followed Hyperlink" xfId="940"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61" builtinId="9" hidden="1"/>
    <cellStyle name="Followed Hyperlink" xfId="962" builtinId="9" hidden="1"/>
    <cellStyle name="Followed Hyperlink" xfId="963" builtinId="9" hidden="1"/>
    <cellStyle name="Followed Hyperlink" xfId="964" builtinId="9" hidden="1"/>
    <cellStyle name="Followed Hyperlink" xfId="965" builtinId="9" hidden="1"/>
    <cellStyle name="Followed Hyperlink" xfId="966" builtinId="9" hidden="1"/>
    <cellStyle name="Followed Hyperlink" xfId="967" builtinId="9" hidden="1"/>
    <cellStyle name="Followed Hyperlink" xfId="968" builtinId="9" hidden="1"/>
    <cellStyle name="Followed Hyperlink" xfId="969" builtinId="9" hidden="1"/>
    <cellStyle name="Followed Hyperlink" xfId="970" builtinId="9" hidden="1"/>
    <cellStyle name="Followed Hyperlink" xfId="971" builtinId="9" hidden="1"/>
    <cellStyle name="Followed Hyperlink" xfId="972" builtinId="9" hidden="1"/>
    <cellStyle name="Followed Hyperlink" xfId="973" builtinId="9" hidden="1"/>
    <cellStyle name="Followed Hyperlink" xfId="974" builtinId="9" hidden="1"/>
    <cellStyle name="Followed Hyperlink" xfId="975" builtinId="9" hidden="1"/>
    <cellStyle name="Followed Hyperlink" xfId="976" builtinId="9" hidden="1"/>
    <cellStyle name="Followed Hyperlink" xfId="977" builtinId="9" hidden="1"/>
    <cellStyle name="Followed Hyperlink" xfId="978" builtinId="9" hidden="1"/>
    <cellStyle name="Followed Hyperlink" xfId="979" builtinId="9" hidden="1"/>
    <cellStyle name="Followed Hyperlink" xfId="980" builtinId="9" hidden="1"/>
    <cellStyle name="Followed Hyperlink" xfId="981" builtinId="9" hidden="1"/>
    <cellStyle name="Followed Hyperlink" xfId="982" builtinId="9" hidden="1"/>
    <cellStyle name="Followed Hyperlink" xfId="983" builtinId="9" hidden="1"/>
    <cellStyle name="Followed Hyperlink" xfId="984" builtinId="9" hidden="1"/>
    <cellStyle name="Followed Hyperlink" xfId="985" builtinId="9" hidden="1"/>
    <cellStyle name="Followed Hyperlink" xfId="986" builtinId="9" hidden="1"/>
    <cellStyle name="Followed Hyperlink" xfId="987" builtinId="9" hidden="1"/>
    <cellStyle name="Followed Hyperlink" xfId="988" builtinId="9" hidden="1"/>
    <cellStyle name="Followed Hyperlink" xfId="989" builtinId="9" hidden="1"/>
    <cellStyle name="Followed Hyperlink" xfId="990" builtinId="9" hidden="1"/>
    <cellStyle name="Followed Hyperlink" xfId="991" builtinId="9" hidden="1"/>
    <cellStyle name="Followed Hyperlink" xfId="992" builtinId="9" hidden="1"/>
    <cellStyle name="Followed Hyperlink" xfId="993" builtinId="9" hidden="1"/>
    <cellStyle name="Followed Hyperlink" xfId="994" builtinId="9" hidden="1"/>
    <cellStyle name="Followed Hyperlink" xfId="995" builtinId="9" hidden="1"/>
    <cellStyle name="Followed Hyperlink" xfId="996" builtinId="9" hidden="1"/>
    <cellStyle name="Followed Hyperlink" xfId="997" builtinId="9" hidden="1"/>
    <cellStyle name="Followed Hyperlink" xfId="998" builtinId="9" hidden="1"/>
    <cellStyle name="Followed Hyperlink" xfId="999" builtinId="9" hidden="1"/>
    <cellStyle name="Followed Hyperlink" xfId="1000" builtinId="9" hidden="1"/>
    <cellStyle name="Followed Hyperlink" xfId="1001" builtinId="9" hidden="1"/>
    <cellStyle name="Followed Hyperlink" xfId="1002" builtinId="9" hidden="1"/>
    <cellStyle name="Followed Hyperlink" xfId="1003" builtinId="9" hidden="1"/>
    <cellStyle name="Followed Hyperlink" xfId="1004" builtinId="9" hidden="1"/>
    <cellStyle name="Followed Hyperlink" xfId="1005" builtinId="9" hidden="1"/>
    <cellStyle name="Followed Hyperlink" xfId="1006" builtinId="9" hidden="1"/>
    <cellStyle name="Followed Hyperlink" xfId="1007" builtinId="9" hidden="1"/>
    <cellStyle name="Followed Hyperlink" xfId="1008" builtinId="9" hidden="1"/>
    <cellStyle name="Followed Hyperlink" xfId="1009" builtinId="9" hidden="1"/>
    <cellStyle name="Followed Hyperlink" xfId="1010" builtinId="9" hidden="1"/>
    <cellStyle name="Followed Hyperlink" xfId="1011" builtinId="9" hidden="1"/>
    <cellStyle name="Followed Hyperlink" xfId="1012" builtinId="9" hidden="1"/>
    <cellStyle name="Followed Hyperlink" xfId="1013" builtinId="9" hidden="1"/>
    <cellStyle name="Followed Hyperlink" xfId="1014" builtinId="9" hidden="1"/>
    <cellStyle name="Followed Hyperlink" xfId="1015" builtinId="9" hidden="1"/>
    <cellStyle name="Followed Hyperlink" xfId="1016" builtinId="9" hidden="1"/>
    <cellStyle name="Followed Hyperlink" xfId="1017" builtinId="9" hidden="1"/>
    <cellStyle name="Followed Hyperlink" xfId="1018" builtinId="9" hidden="1"/>
    <cellStyle name="Followed Hyperlink" xfId="1019" builtinId="9" hidden="1"/>
    <cellStyle name="Followed Hyperlink" xfId="1020" builtinId="9" hidden="1"/>
    <cellStyle name="Followed Hyperlink" xfId="1021" builtinId="9" hidden="1"/>
    <cellStyle name="Followed Hyperlink" xfId="1022" builtinId="9" hidden="1"/>
    <cellStyle name="Followed Hyperlink" xfId="1023" builtinId="9" hidden="1"/>
    <cellStyle name="Followed Hyperlink" xfId="1024" builtinId="9" hidden="1"/>
    <cellStyle name="Followed Hyperlink" xfId="1025" builtinId="9" hidden="1"/>
    <cellStyle name="Followed Hyperlink" xfId="1026" builtinId="9" hidden="1"/>
    <cellStyle name="Followed Hyperlink" xfId="1027" builtinId="9" hidden="1"/>
    <cellStyle name="Followed Hyperlink" xfId="1028" builtinId="9" hidden="1"/>
    <cellStyle name="Followed Hyperlink" xfId="1029" builtinId="9" hidden="1"/>
    <cellStyle name="Followed Hyperlink" xfId="1030" builtinId="9" hidden="1"/>
    <cellStyle name="Followed Hyperlink" xfId="1031" builtinId="9" hidden="1"/>
    <cellStyle name="Followed Hyperlink" xfId="1032" builtinId="9" hidden="1"/>
    <cellStyle name="Followed Hyperlink" xfId="1033" builtinId="9" hidden="1"/>
    <cellStyle name="Followed Hyperlink" xfId="1034" builtinId="9" hidden="1"/>
    <cellStyle name="Followed Hyperlink" xfId="1035" builtinId="9" hidden="1"/>
    <cellStyle name="Followed Hyperlink" xfId="1036" builtinId="9" hidden="1"/>
    <cellStyle name="Followed Hyperlink" xfId="1037" builtinId="9" hidden="1"/>
    <cellStyle name="Followed Hyperlink" xfId="1038" builtinId="9" hidden="1"/>
    <cellStyle name="Followed Hyperlink" xfId="1039" builtinId="9" hidden="1"/>
    <cellStyle name="Followed Hyperlink" xfId="1040" builtinId="9" hidden="1"/>
    <cellStyle name="Followed Hyperlink" xfId="1041" builtinId="9" hidden="1"/>
    <cellStyle name="Followed Hyperlink" xfId="1042" builtinId="9" hidden="1"/>
    <cellStyle name="Followed Hyperlink" xfId="1043" builtinId="9" hidden="1"/>
    <cellStyle name="Followed Hyperlink" xfId="1044" builtinId="9" hidden="1"/>
    <cellStyle name="Followed Hyperlink" xfId="1045" builtinId="9" hidden="1"/>
    <cellStyle name="Followed Hyperlink" xfId="1046" builtinId="9" hidden="1"/>
    <cellStyle name="Followed Hyperlink" xfId="1047" builtinId="9" hidden="1"/>
    <cellStyle name="Followed Hyperlink" xfId="1048" builtinId="9" hidden="1"/>
    <cellStyle name="Followed Hyperlink" xfId="1049" builtinId="9" hidden="1"/>
    <cellStyle name="Followed Hyperlink" xfId="1050" builtinId="9" hidden="1"/>
    <cellStyle name="Followed Hyperlink" xfId="1051" builtinId="9" hidden="1"/>
    <cellStyle name="Followed Hyperlink" xfId="1052" builtinId="9" hidden="1"/>
    <cellStyle name="Followed Hyperlink" xfId="1053" builtinId="9" hidden="1"/>
    <cellStyle name="Followed Hyperlink" xfId="1054" builtinId="9" hidden="1"/>
    <cellStyle name="Followed Hyperlink" xfId="1055" builtinId="9" hidden="1"/>
    <cellStyle name="Followed Hyperlink" xfId="1056" builtinId="9" hidden="1"/>
    <cellStyle name="Followed Hyperlink" xfId="1057" builtinId="9" hidden="1"/>
    <cellStyle name="Followed Hyperlink" xfId="1058" builtinId="9" hidden="1"/>
    <cellStyle name="Followed Hyperlink" xfId="1059" builtinId="9" hidden="1"/>
    <cellStyle name="Followed Hyperlink" xfId="1060" builtinId="9" hidden="1"/>
    <cellStyle name="Followed Hyperlink" xfId="1061" builtinId="9" hidden="1"/>
    <cellStyle name="Followed Hyperlink" xfId="1062" builtinId="9" hidden="1"/>
    <cellStyle name="Followed Hyperlink" xfId="1063" builtinId="9" hidden="1"/>
    <cellStyle name="Followed Hyperlink" xfId="1064" builtinId="9" hidden="1"/>
    <cellStyle name="Followed Hyperlink" xfId="1065" builtinId="9" hidden="1"/>
    <cellStyle name="Followed Hyperlink" xfId="1066" builtinId="9" hidden="1"/>
    <cellStyle name="Followed Hyperlink" xfId="1067" builtinId="9" hidden="1"/>
    <cellStyle name="Followed Hyperlink" xfId="1068" builtinId="9" hidden="1"/>
    <cellStyle name="Followed Hyperlink" xfId="1069" builtinId="9" hidden="1"/>
    <cellStyle name="Followed Hyperlink" xfId="1070" builtinId="9" hidden="1"/>
    <cellStyle name="Followed Hyperlink" xfId="1071" builtinId="9" hidden="1"/>
    <cellStyle name="Followed Hyperlink" xfId="1072" builtinId="9" hidden="1"/>
    <cellStyle name="Followed Hyperlink" xfId="1073" builtinId="9" hidden="1"/>
    <cellStyle name="Followed Hyperlink" xfId="1074" builtinId="9" hidden="1"/>
    <cellStyle name="Followed Hyperlink" xfId="1075" builtinId="9" hidden="1"/>
    <cellStyle name="Followed Hyperlink" xfId="1076" builtinId="9" hidden="1"/>
    <cellStyle name="Followed Hyperlink" xfId="1077" builtinId="9" hidden="1"/>
    <cellStyle name="Followed Hyperlink" xfId="1078" builtinId="9" hidden="1"/>
    <cellStyle name="Followed Hyperlink" xfId="1079" builtinId="9" hidden="1"/>
    <cellStyle name="Followed Hyperlink" xfId="1080" builtinId="9" hidden="1"/>
    <cellStyle name="Followed Hyperlink" xfId="1081" builtinId="9" hidden="1"/>
    <cellStyle name="Followed Hyperlink" xfId="1082" builtinId="9" hidden="1"/>
    <cellStyle name="Followed Hyperlink" xfId="1083" builtinId="9" hidden="1"/>
    <cellStyle name="Followed Hyperlink" xfId="1084" builtinId="9" hidden="1"/>
    <cellStyle name="Followed Hyperlink" xfId="1085" builtinId="9" hidden="1"/>
    <cellStyle name="Followed Hyperlink" xfId="1086" builtinId="9" hidden="1"/>
    <cellStyle name="Followed Hyperlink" xfId="1087" builtinId="9" hidden="1"/>
    <cellStyle name="Followed Hyperlink" xfId="1088" builtinId="9" hidden="1"/>
    <cellStyle name="Followed Hyperlink" xfId="1089" builtinId="9" hidden="1"/>
    <cellStyle name="Followed Hyperlink" xfId="1090" builtinId="9" hidden="1"/>
    <cellStyle name="Followed Hyperlink" xfId="1091" builtinId="9" hidden="1"/>
    <cellStyle name="Followed Hyperlink" xfId="1092" builtinId="9" hidden="1"/>
    <cellStyle name="Followed Hyperlink" xfId="1093" builtinId="9" hidden="1"/>
    <cellStyle name="Followed Hyperlink" xfId="1094" builtinId="9" hidden="1"/>
    <cellStyle name="Followed Hyperlink" xfId="1095" builtinId="9" hidden="1"/>
    <cellStyle name="Followed Hyperlink" xfId="1096" builtinId="9" hidden="1"/>
    <cellStyle name="Followed Hyperlink" xfId="1097" builtinId="9" hidden="1"/>
    <cellStyle name="Followed Hyperlink" xfId="1098" builtinId="9" hidden="1"/>
    <cellStyle name="Followed Hyperlink" xfId="1099" builtinId="9" hidden="1"/>
    <cellStyle name="Followed Hyperlink" xfId="1100" builtinId="9" hidden="1"/>
    <cellStyle name="Followed Hyperlink" xfId="1101" builtinId="9" hidden="1"/>
    <cellStyle name="Followed Hyperlink" xfId="1102"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2"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555" builtinId="9" hidden="1"/>
    <cellStyle name="Followed Hyperlink" xfId="1556" builtinId="9" hidden="1"/>
    <cellStyle name="Followed Hyperlink" xfId="1557" builtinId="9" hidden="1"/>
    <cellStyle name="Followed Hyperlink" xfId="1558" builtinId="9" hidden="1"/>
    <cellStyle name="Followed Hyperlink" xfId="1559" builtinId="9" hidden="1"/>
    <cellStyle name="Followed Hyperlink" xfId="1560" builtinId="9" hidden="1"/>
    <cellStyle name="Followed Hyperlink" xfId="1561" builtinId="9" hidden="1"/>
    <cellStyle name="Followed Hyperlink" xfId="1562" builtinId="9" hidden="1"/>
    <cellStyle name="Followed Hyperlink" xfId="1563" builtinId="9" hidden="1"/>
    <cellStyle name="Followed Hyperlink" xfId="1564" builtinId="9" hidden="1"/>
    <cellStyle name="Followed Hyperlink" xfId="1565" builtinId="9" hidden="1"/>
    <cellStyle name="Followed Hyperlink" xfId="1566" builtinId="9" hidden="1"/>
    <cellStyle name="Followed Hyperlink" xfId="1567" builtinId="9" hidden="1"/>
    <cellStyle name="Followed Hyperlink" xfId="1568" builtinId="9" hidden="1"/>
    <cellStyle name="Followed Hyperlink" xfId="1569" builtinId="9" hidden="1"/>
    <cellStyle name="Followed Hyperlink" xfId="1570" builtinId="9" hidden="1"/>
    <cellStyle name="Followed Hyperlink" xfId="1571" builtinId="9" hidden="1"/>
    <cellStyle name="Followed Hyperlink" xfId="1572" builtinId="9" hidden="1"/>
    <cellStyle name="Followed Hyperlink" xfId="1573" builtinId="9" hidden="1"/>
    <cellStyle name="Followed Hyperlink" xfId="1574" builtinId="9" hidden="1"/>
    <cellStyle name="Followed Hyperlink" xfId="1575" builtinId="9" hidden="1"/>
    <cellStyle name="Followed Hyperlink" xfId="1576" builtinId="9" hidden="1"/>
    <cellStyle name="Followed Hyperlink" xfId="1577" builtinId="9" hidden="1"/>
    <cellStyle name="Followed Hyperlink" xfId="1578" builtinId="9" hidden="1"/>
    <cellStyle name="Followed Hyperlink" xfId="1579" builtinId="9" hidden="1"/>
    <cellStyle name="Followed Hyperlink" xfId="1580" builtinId="9" hidden="1"/>
    <cellStyle name="Followed Hyperlink" xfId="1581" builtinId="9" hidden="1"/>
    <cellStyle name="Followed Hyperlink" xfId="1582" builtinId="9" hidden="1"/>
    <cellStyle name="Followed Hyperlink" xfId="1583" builtinId="9" hidden="1"/>
    <cellStyle name="Followed Hyperlink" xfId="1584" builtinId="9" hidden="1"/>
    <cellStyle name="Followed Hyperlink" xfId="1585" builtinId="9" hidden="1"/>
    <cellStyle name="Followed Hyperlink" xfId="1586" builtinId="9" hidden="1"/>
    <cellStyle name="Followed Hyperlink" xfId="1587" builtinId="9" hidden="1"/>
    <cellStyle name="Followed Hyperlink" xfId="1588" builtinId="9" hidden="1"/>
    <cellStyle name="Followed Hyperlink" xfId="1589" builtinId="9" hidden="1"/>
    <cellStyle name="Followed Hyperlink" xfId="1590" builtinId="9" hidden="1"/>
    <cellStyle name="Followed Hyperlink" xfId="1591" builtinId="9" hidden="1"/>
    <cellStyle name="Followed Hyperlink" xfId="1592" builtinId="9" hidden="1"/>
    <cellStyle name="Followed Hyperlink" xfId="1593" builtinId="9" hidden="1"/>
    <cellStyle name="Followed Hyperlink" xfId="1594" builtinId="9" hidden="1"/>
    <cellStyle name="Followed Hyperlink" xfId="1595" builtinId="9" hidden="1"/>
    <cellStyle name="Followed Hyperlink" xfId="1596" builtinId="9" hidden="1"/>
    <cellStyle name="Followed Hyperlink" xfId="1597" builtinId="9" hidden="1"/>
    <cellStyle name="Followed Hyperlink" xfId="1598" builtinId="9" hidden="1"/>
    <cellStyle name="Followed Hyperlink" xfId="1599" builtinId="9" hidden="1"/>
    <cellStyle name="Followed Hyperlink" xfId="1600" builtinId="9" hidden="1"/>
    <cellStyle name="Followed Hyperlink" xfId="1601" builtinId="9" hidden="1"/>
    <cellStyle name="Followed Hyperlink" xfId="1602" builtinId="9" hidden="1"/>
    <cellStyle name="Followed Hyperlink" xfId="1603" builtinId="9" hidden="1"/>
    <cellStyle name="Followed Hyperlink" xfId="1604" builtinId="9" hidden="1"/>
    <cellStyle name="Followed Hyperlink" xfId="1605" builtinId="9" hidden="1"/>
    <cellStyle name="Followed Hyperlink" xfId="1606" builtinId="9" hidden="1"/>
    <cellStyle name="Followed Hyperlink" xfId="1607" builtinId="9" hidden="1"/>
    <cellStyle name="Followed Hyperlink" xfId="1608" builtinId="9" hidden="1"/>
    <cellStyle name="Followed Hyperlink" xfId="1609" builtinId="9" hidden="1"/>
    <cellStyle name="Followed Hyperlink" xfId="1610" builtinId="9" hidden="1"/>
    <cellStyle name="Followed Hyperlink" xfId="1611" builtinId="9" hidden="1"/>
    <cellStyle name="Followed Hyperlink" xfId="1612" builtinId="9" hidden="1"/>
    <cellStyle name="Followed Hyperlink" xfId="1613" builtinId="9" hidden="1"/>
    <cellStyle name="Followed Hyperlink" xfId="1614" builtinId="9" hidden="1"/>
    <cellStyle name="Followed Hyperlink" xfId="1615" builtinId="9" hidden="1"/>
    <cellStyle name="Followed Hyperlink" xfId="1616" builtinId="9" hidden="1"/>
    <cellStyle name="Followed Hyperlink" xfId="1617" builtinId="9" hidden="1"/>
    <cellStyle name="Followed Hyperlink" xfId="1618" builtinId="9" hidden="1"/>
    <cellStyle name="Followed Hyperlink" xfId="1619" builtinId="9" hidden="1"/>
    <cellStyle name="Followed Hyperlink" xfId="1620" builtinId="9" hidden="1"/>
    <cellStyle name="Followed Hyperlink" xfId="1621" builtinId="9" hidden="1"/>
    <cellStyle name="Followed Hyperlink" xfId="1622" builtinId="9" hidden="1"/>
    <cellStyle name="Followed Hyperlink" xfId="1623" builtinId="9" hidden="1"/>
    <cellStyle name="Followed Hyperlink" xfId="1624" builtinId="9" hidden="1"/>
    <cellStyle name="Followed Hyperlink" xfId="1625" builtinId="9" hidden="1"/>
    <cellStyle name="Followed Hyperlink" xfId="1626" builtinId="9" hidden="1"/>
    <cellStyle name="Followed Hyperlink" xfId="1627" builtinId="9" hidden="1"/>
    <cellStyle name="Followed Hyperlink" xfId="1628" builtinId="9" hidden="1"/>
    <cellStyle name="Followed Hyperlink" xfId="1629" builtinId="9" hidden="1"/>
    <cellStyle name="Followed Hyperlink" xfId="1630" builtinId="9" hidden="1"/>
    <cellStyle name="Followed Hyperlink" xfId="1631" builtinId="9" hidden="1"/>
    <cellStyle name="Followed Hyperlink" xfId="1632" builtinId="9" hidden="1"/>
    <cellStyle name="Followed Hyperlink" xfId="1633" builtinId="9" hidden="1"/>
    <cellStyle name="Followed Hyperlink" xfId="1634" builtinId="9" hidden="1"/>
    <cellStyle name="Followed Hyperlink" xfId="1635" builtinId="9" hidden="1"/>
    <cellStyle name="Followed Hyperlink" xfId="1636" builtinId="9" hidden="1"/>
    <cellStyle name="Followed Hyperlink" xfId="1637" builtinId="9" hidden="1"/>
    <cellStyle name="Followed Hyperlink" xfId="1638" builtinId="9" hidden="1"/>
    <cellStyle name="Followed Hyperlink" xfId="1639" builtinId="9" hidden="1"/>
    <cellStyle name="Followed Hyperlink" xfId="1640" builtinId="9" hidden="1"/>
    <cellStyle name="Followed Hyperlink" xfId="1641" builtinId="9" hidden="1"/>
    <cellStyle name="Followed Hyperlink" xfId="1642" builtinId="9" hidden="1"/>
    <cellStyle name="Followed Hyperlink" xfId="1643" builtinId="9" hidden="1"/>
    <cellStyle name="Followed Hyperlink" xfId="1644" builtinId="9" hidden="1"/>
    <cellStyle name="Followed Hyperlink" xfId="1645" builtinId="9" hidden="1"/>
    <cellStyle name="Followed Hyperlink" xfId="1646" builtinId="9" hidden="1"/>
    <cellStyle name="Followed Hyperlink" xfId="1647" builtinId="9" hidden="1"/>
    <cellStyle name="Followed Hyperlink" xfId="1648" builtinId="9" hidden="1"/>
    <cellStyle name="Followed Hyperlink" xfId="1649" builtinId="9" hidden="1"/>
    <cellStyle name="Followed Hyperlink" xfId="1650" builtinId="9" hidden="1"/>
    <cellStyle name="Followed Hyperlink" xfId="1651"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72" builtinId="9" hidden="1"/>
    <cellStyle name="Followed Hyperlink" xfId="1673" builtinId="9" hidden="1"/>
    <cellStyle name="Followed Hyperlink" xfId="1674" builtinId="9" hidden="1"/>
    <cellStyle name="Followed Hyperlink" xfId="1675" builtinId="9" hidden="1"/>
    <cellStyle name="Followed Hyperlink" xfId="1676" builtinId="9" hidden="1"/>
    <cellStyle name="Followed Hyperlink" xfId="1678"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04" builtinId="9" hidden="1"/>
    <cellStyle name="Followed Hyperlink" xfId="1705" builtinId="9" hidden="1"/>
    <cellStyle name="Followed Hyperlink" xfId="1706" builtinId="9" hidden="1"/>
    <cellStyle name="Followed Hyperlink" xfId="1707" builtinId="9" hidden="1"/>
    <cellStyle name="Followed Hyperlink" xfId="1708" builtinId="9" hidden="1"/>
    <cellStyle name="Followed Hyperlink" xfId="1709" builtinId="9" hidden="1"/>
    <cellStyle name="Followed Hyperlink" xfId="1710" builtinId="9" hidden="1"/>
    <cellStyle name="Followed Hyperlink" xfId="1711" builtinId="9" hidden="1"/>
    <cellStyle name="Followed Hyperlink" xfId="1712" builtinId="9" hidden="1"/>
    <cellStyle name="Followed Hyperlink" xfId="1713" builtinId="9" hidden="1"/>
    <cellStyle name="Followed Hyperlink" xfId="1714" builtinId="9" hidden="1"/>
    <cellStyle name="Followed Hyperlink" xfId="1715" builtinId="9" hidden="1"/>
    <cellStyle name="Followed Hyperlink" xfId="1716" builtinId="9" hidden="1"/>
    <cellStyle name="Followed Hyperlink" xfId="1717" builtinId="9" hidden="1"/>
    <cellStyle name="Followed Hyperlink" xfId="1718" builtinId="9" hidden="1"/>
    <cellStyle name="Followed Hyperlink" xfId="1719" builtinId="9" hidden="1"/>
    <cellStyle name="Followed Hyperlink" xfId="1720" builtinId="9" hidden="1"/>
    <cellStyle name="Followed Hyperlink" xfId="1721" builtinId="9" hidden="1"/>
    <cellStyle name="Followed Hyperlink" xfId="1722" builtinId="9" hidden="1"/>
    <cellStyle name="Followed Hyperlink" xfId="1723" builtinId="9" hidden="1"/>
    <cellStyle name="Followed Hyperlink" xfId="1724" builtinId="9" hidden="1"/>
    <cellStyle name="Followed Hyperlink" xfId="1725" builtinId="9" hidden="1"/>
    <cellStyle name="Followed Hyperlink" xfId="1726" builtinId="9" hidden="1"/>
    <cellStyle name="Followed Hyperlink" xfId="1727" builtinId="9" hidden="1"/>
    <cellStyle name="Followed Hyperlink" xfId="1728" builtinId="9" hidden="1"/>
    <cellStyle name="Followed Hyperlink" xfId="1729" builtinId="9" hidden="1"/>
    <cellStyle name="Followed Hyperlink" xfId="1730" builtinId="9" hidden="1"/>
    <cellStyle name="Followed Hyperlink" xfId="1731" builtinId="9" hidden="1"/>
    <cellStyle name="Followed Hyperlink" xfId="1732" builtinId="9" hidden="1"/>
    <cellStyle name="Followed Hyperlink" xfId="1733" builtinId="9" hidden="1"/>
    <cellStyle name="Followed Hyperlink" xfId="1734" builtinId="9" hidden="1"/>
    <cellStyle name="Followed Hyperlink" xfId="1735" builtinId="9" hidden="1"/>
    <cellStyle name="Followed Hyperlink" xfId="1736" builtinId="9" hidden="1"/>
    <cellStyle name="Followed Hyperlink" xfId="1737" builtinId="9" hidden="1"/>
    <cellStyle name="Followed Hyperlink" xfId="1738" builtinId="9" hidden="1"/>
    <cellStyle name="Followed Hyperlink" xfId="1739" builtinId="9" hidden="1"/>
    <cellStyle name="Followed Hyperlink" xfId="1740" builtinId="9" hidden="1"/>
    <cellStyle name="Followed Hyperlink" xfId="1741" builtinId="9" hidden="1"/>
    <cellStyle name="Followed Hyperlink" xfId="1742" builtinId="9" hidden="1"/>
    <cellStyle name="Followed Hyperlink" xfId="1743" builtinId="9" hidden="1"/>
    <cellStyle name="Followed Hyperlink" xfId="1744" builtinId="9" hidden="1"/>
    <cellStyle name="Followed Hyperlink" xfId="1745" builtinId="9" hidden="1"/>
    <cellStyle name="Followed Hyperlink" xfId="1746" builtinId="9" hidden="1"/>
    <cellStyle name="Followed Hyperlink" xfId="1747" builtinId="9" hidden="1"/>
    <cellStyle name="Followed Hyperlink" xfId="1748" builtinId="9" hidden="1"/>
    <cellStyle name="Followed Hyperlink" xfId="1749" builtinId="9" hidden="1"/>
    <cellStyle name="Followed Hyperlink" xfId="1750" builtinId="9" hidden="1"/>
    <cellStyle name="Followed Hyperlink" xfId="1751" builtinId="9" hidden="1"/>
    <cellStyle name="Followed Hyperlink" xfId="1752"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75" builtinId="9" hidden="1"/>
    <cellStyle name="Followed Hyperlink" xfId="1776" builtinId="9" hidden="1"/>
    <cellStyle name="Followed Hyperlink" xfId="1777" builtinId="9" hidden="1"/>
    <cellStyle name="Followed Hyperlink" xfId="1778" builtinId="9" hidden="1"/>
    <cellStyle name="Followed Hyperlink" xfId="1779" builtinId="9" hidden="1"/>
    <cellStyle name="Followed Hyperlink" xfId="1780" builtinId="9" hidden="1"/>
    <cellStyle name="Followed Hyperlink" xfId="1781" builtinId="9" hidden="1"/>
    <cellStyle name="Followed Hyperlink" xfId="1782" builtinId="9" hidden="1"/>
    <cellStyle name="Followed Hyperlink" xfId="1783" builtinId="9" hidden="1"/>
    <cellStyle name="Followed Hyperlink" xfId="1784" builtinId="9" hidden="1"/>
    <cellStyle name="Followed Hyperlink" xfId="1785" builtinId="9" hidden="1"/>
    <cellStyle name="Followed Hyperlink" xfId="1786" builtinId="9" hidden="1"/>
    <cellStyle name="Followed Hyperlink" xfId="1787" builtinId="9" hidden="1"/>
    <cellStyle name="Followed Hyperlink" xfId="1788" builtinId="9" hidden="1"/>
    <cellStyle name="Followed Hyperlink" xfId="1789" builtinId="9" hidden="1"/>
    <cellStyle name="Followed Hyperlink" xfId="1790" builtinId="9" hidden="1"/>
    <cellStyle name="Followed Hyperlink" xfId="1791" builtinId="9" hidden="1"/>
    <cellStyle name="Followed Hyperlink" xfId="1792" builtinId="9" hidden="1"/>
    <cellStyle name="Followed Hyperlink" xfId="1793" builtinId="9" hidden="1"/>
    <cellStyle name="Followed Hyperlink" xfId="1794" builtinId="9" hidden="1"/>
    <cellStyle name="Followed Hyperlink" xfId="1795" builtinId="9" hidden="1"/>
    <cellStyle name="Followed Hyperlink" xfId="1796" builtinId="9" hidden="1"/>
    <cellStyle name="Followed Hyperlink" xfId="1797" builtinId="9" hidden="1"/>
    <cellStyle name="Followed Hyperlink" xfId="1798" builtinId="9" hidden="1"/>
    <cellStyle name="Followed Hyperlink" xfId="1799" builtinId="9" hidden="1"/>
    <cellStyle name="Followed Hyperlink" xfId="1800" builtinId="9" hidden="1"/>
    <cellStyle name="Followed Hyperlink" xfId="1801" builtinId="9" hidden="1"/>
    <cellStyle name="Followed Hyperlink" xfId="1802" builtinId="9" hidden="1"/>
    <cellStyle name="Followed Hyperlink" xfId="1803" builtinId="9" hidden="1"/>
    <cellStyle name="Followed Hyperlink" xfId="1804" builtinId="9" hidden="1"/>
    <cellStyle name="Followed Hyperlink" xfId="1805" builtinId="9" hidden="1"/>
    <cellStyle name="Followed Hyperlink" xfId="1806" builtinId="9" hidden="1"/>
    <cellStyle name="Followed Hyperlink" xfId="1807" builtinId="9" hidden="1"/>
    <cellStyle name="Followed Hyperlink" xfId="1808" builtinId="9" hidden="1"/>
    <cellStyle name="Followed Hyperlink" xfId="1809" builtinId="9" hidden="1"/>
    <cellStyle name="Followed Hyperlink" xfId="1810" builtinId="9" hidden="1"/>
    <cellStyle name="Followed Hyperlink" xfId="1811" builtinId="9" hidden="1"/>
    <cellStyle name="Followed Hyperlink" xfId="1812" builtinId="9" hidden="1"/>
    <cellStyle name="Followed Hyperlink" xfId="1813" builtinId="9" hidden="1"/>
    <cellStyle name="Followed Hyperlink" xfId="1814" builtinId="9" hidden="1"/>
    <cellStyle name="Followed Hyperlink" xfId="1815" builtinId="9" hidden="1"/>
    <cellStyle name="Followed Hyperlink" xfId="1816" builtinId="9" hidden="1"/>
    <cellStyle name="Followed Hyperlink" xfId="1817" builtinId="9" hidden="1"/>
    <cellStyle name="Followed Hyperlink" xfId="1818" builtinId="9" hidden="1"/>
    <cellStyle name="Followed Hyperlink" xfId="1819" builtinId="9" hidden="1"/>
    <cellStyle name="Followed Hyperlink" xfId="1820" builtinId="9" hidden="1"/>
    <cellStyle name="Followed Hyperlink" xfId="1821" builtinId="9" hidden="1"/>
    <cellStyle name="Followed Hyperlink" xfId="1822" builtinId="9" hidden="1"/>
    <cellStyle name="Followed Hyperlink" xfId="1823" builtinId="9" hidden="1"/>
    <cellStyle name="Followed Hyperlink" xfId="1824" builtinId="9" hidden="1"/>
    <cellStyle name="Followed Hyperlink" xfId="1825" builtinId="9" hidden="1"/>
    <cellStyle name="Followed Hyperlink" xfId="1826" builtinId="9" hidden="1"/>
    <cellStyle name="Followed Hyperlink" xfId="1827" builtinId="9" hidden="1"/>
    <cellStyle name="Followed Hyperlink" xfId="1828" builtinId="9" hidden="1"/>
    <cellStyle name="Followed Hyperlink" xfId="1829" builtinId="9" hidden="1"/>
    <cellStyle name="Followed Hyperlink" xfId="1830" builtinId="9" hidden="1"/>
    <cellStyle name="Followed Hyperlink" xfId="1831" builtinId="9" hidden="1"/>
    <cellStyle name="Followed Hyperlink" xfId="1832" builtinId="9" hidden="1"/>
    <cellStyle name="Followed Hyperlink" xfId="1833" builtinId="9" hidden="1"/>
    <cellStyle name="Followed Hyperlink" xfId="1834" builtinId="9" hidden="1"/>
    <cellStyle name="Followed Hyperlink" xfId="1835" builtinId="9" hidden="1"/>
    <cellStyle name="Followed Hyperlink" xfId="1836" builtinId="9" hidden="1"/>
    <cellStyle name="Followed Hyperlink" xfId="1837" builtinId="9" hidden="1"/>
    <cellStyle name="Followed Hyperlink" xfId="1838" builtinId="9" hidden="1"/>
    <cellStyle name="Followed Hyperlink" xfId="1839" builtinId="9" hidden="1"/>
    <cellStyle name="Followed Hyperlink" xfId="1840" builtinId="9" hidden="1"/>
    <cellStyle name="Followed Hyperlink" xfId="1841" builtinId="9" hidden="1"/>
    <cellStyle name="Followed Hyperlink" xfId="1842"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GHG First" xfId="8"/>
    <cellStyle name="GHG Second" xfId="9"/>
    <cellStyle name="GHG Third" xfId="10"/>
    <cellStyle name="GHG_Title" xfId="7"/>
    <cellStyle name="Hyperlink" xfId="1" builtinId="8" hidden="1"/>
    <cellStyle name="Hyperlink" xfId="3" builtinId="8" hidden="1"/>
    <cellStyle name="Hyperlink" xfId="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cellStyle name="Normal" xfId="0" builtinId="0" customBuiltin="1"/>
    <cellStyle name="Normal 2" xfId="1677"/>
    <cellStyle name="Percent" xfId="1362" builtinId="5"/>
    <cellStyle name="Table_Body" xfId="866"/>
    <cellStyle name="Table_Header" xfId="865"/>
    <cellStyle name="User_Free" xfId="871"/>
    <cellStyle name="User_Locked" xfId="870"/>
  </cellStyles>
  <dxfs count="26">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rgb="FF9C0006"/>
      </font>
      <fill>
        <patternFill patternType="solid">
          <fgColor indexed="64"/>
          <bgColor theme="0"/>
        </patternFill>
      </fill>
      <border>
        <left style="thin">
          <color rgb="FFAA2D0D"/>
        </left>
        <right style="thin">
          <color rgb="FFAA2D0D"/>
        </right>
        <top style="thin">
          <color rgb="FFAA2D0D"/>
        </top>
        <bottom style="thin">
          <color rgb="FFAA2D0D"/>
        </bottom>
      </border>
    </dxf>
    <dxf>
      <font>
        <b/>
        <i val="0"/>
        <color rgb="FF9C0006"/>
      </font>
      <fill>
        <patternFill patternType="none">
          <fgColor indexed="64"/>
          <bgColor auto="1"/>
        </patternFill>
      </fill>
      <border>
        <left style="thin">
          <color rgb="FFAA2D0D"/>
        </left>
        <right style="thin">
          <color rgb="FFAA2D0D"/>
        </right>
        <top style="thin">
          <color rgb="FFAA2D0D"/>
        </top>
        <bottom style="thin">
          <color rgb="FFAA2D0D"/>
        </bottom>
      </border>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s>
  <tableStyles count="0" defaultTableStyle="TableStyleMedium9" defaultPivotStyle="PivotStyleMedium4"/>
  <colors>
    <mruColors>
      <color rgb="FFCEE5FA"/>
      <color rgb="FF76A2CD"/>
      <color rgb="FF01835F"/>
      <color rgb="FF3C3623"/>
      <color rgb="FF02CE94"/>
      <color rgb="FF00808D"/>
      <color rgb="FFA4001D"/>
      <color rgb="FF2584BB"/>
      <color rgb="FFFFCE30"/>
      <color rgb="FFF0A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447315322889"/>
          <c:y val="5.1221005141645799E-2"/>
          <c:w val="0.68335420889307197"/>
          <c:h val="0.85369220922617195"/>
        </c:manualLayout>
      </c:layout>
      <c:barChart>
        <c:barDir val="col"/>
        <c:grouping val="stacked"/>
        <c:varyColors val="0"/>
        <c:ser>
          <c:idx val="0"/>
          <c:order val="0"/>
          <c:tx>
            <c:strRef>
              <c:f>'User Inputs &amp; Results'!$B$10</c:f>
              <c:strCache>
                <c:ptCount val="1"/>
                <c:pt idx="0">
                  <c:v>Exploration</c:v>
                </c:pt>
              </c:strCache>
            </c:strRef>
          </c:tx>
          <c:spPr>
            <a:solidFill>
              <a:srgbClr val="2584BB"/>
            </a:solidFill>
            <a:ln>
              <a:solidFill>
                <a:schemeClr val="tx1"/>
              </a:solidFill>
            </a:ln>
          </c:spPr>
          <c:invertIfNegative val="0"/>
          <c:cat>
            <c:strRef>
              <c:f>'User Inputs &amp; Results'!$C$9:$G$9</c:f>
              <c:strCache>
                <c:ptCount val="1"/>
                <c:pt idx="0">
                  <c:v>Cantarell</c:v>
                </c:pt>
              </c:strCache>
            </c:strRef>
          </c:cat>
          <c:val>
            <c:numRef>
              <c:f>'User Inputs &amp; Results'!$C$10:$G$10</c:f>
              <c:numCache>
                <c:formatCode>0.00</c:formatCode>
                <c:ptCount val="5"/>
                <c:pt idx="0">
                  <c:v>0</c:v>
                </c:pt>
              </c:numCache>
            </c:numRef>
          </c:val>
        </c:ser>
        <c:ser>
          <c:idx val="1"/>
          <c:order val="1"/>
          <c:tx>
            <c:strRef>
              <c:f>'User Inputs &amp; Results'!$B$11</c:f>
              <c:strCache>
                <c:ptCount val="1"/>
                <c:pt idx="0">
                  <c:v>Drilling</c:v>
                </c:pt>
              </c:strCache>
            </c:strRef>
          </c:tx>
          <c:spPr>
            <a:solidFill>
              <a:srgbClr val="BF6900"/>
            </a:solidFill>
            <a:ln>
              <a:solidFill>
                <a:schemeClr val="tx1"/>
              </a:solidFill>
            </a:ln>
          </c:spPr>
          <c:invertIfNegative val="0"/>
          <c:cat>
            <c:strRef>
              <c:f>'User Inputs &amp; Results'!$C$9:$G$9</c:f>
              <c:strCache>
                <c:ptCount val="1"/>
                <c:pt idx="0">
                  <c:v>Cantarell</c:v>
                </c:pt>
              </c:strCache>
            </c:strRef>
          </c:cat>
          <c:val>
            <c:numRef>
              <c:f>'User Inputs &amp; Results'!$C$11:$G$11</c:f>
              <c:numCache>
                <c:formatCode>0.00</c:formatCode>
                <c:ptCount val="5"/>
                <c:pt idx="0">
                  <c:v>0.12530721029874892</c:v>
                </c:pt>
              </c:numCache>
            </c:numRef>
          </c:val>
        </c:ser>
        <c:ser>
          <c:idx val="2"/>
          <c:order val="2"/>
          <c:tx>
            <c:strRef>
              <c:f>'User Inputs &amp; Results'!$B$12</c:f>
              <c:strCache>
                <c:ptCount val="1"/>
                <c:pt idx="0">
                  <c:v>Production</c:v>
                </c:pt>
              </c:strCache>
            </c:strRef>
          </c:tx>
          <c:spPr>
            <a:solidFill>
              <a:srgbClr val="296549"/>
            </a:solidFill>
            <a:ln>
              <a:solidFill>
                <a:schemeClr val="tx1"/>
              </a:solidFill>
            </a:ln>
          </c:spPr>
          <c:invertIfNegative val="0"/>
          <c:cat>
            <c:strRef>
              <c:f>'User Inputs &amp; Results'!$C$9:$G$9</c:f>
              <c:strCache>
                <c:ptCount val="1"/>
                <c:pt idx="0">
                  <c:v>Cantarell</c:v>
                </c:pt>
              </c:strCache>
            </c:strRef>
          </c:cat>
          <c:val>
            <c:numRef>
              <c:f>'User Inputs &amp; Results'!$C$12:$G$12</c:f>
              <c:numCache>
                <c:formatCode>0.00</c:formatCode>
                <c:ptCount val="5"/>
                <c:pt idx="0">
                  <c:v>0.98456863563406893</c:v>
                </c:pt>
              </c:numCache>
            </c:numRef>
          </c:val>
        </c:ser>
        <c:ser>
          <c:idx val="3"/>
          <c:order val="3"/>
          <c:tx>
            <c:strRef>
              <c:f>'User Inputs &amp; Results'!$B$13</c:f>
              <c:strCache>
                <c:ptCount val="1"/>
                <c:pt idx="0">
                  <c:v>Processing</c:v>
                </c:pt>
              </c:strCache>
            </c:strRef>
          </c:tx>
          <c:spPr>
            <a:solidFill>
              <a:srgbClr val="FFCE30"/>
            </a:solidFill>
            <a:ln>
              <a:solidFill>
                <a:schemeClr val="tx1"/>
              </a:solidFill>
            </a:ln>
          </c:spPr>
          <c:invertIfNegative val="0"/>
          <c:cat>
            <c:strRef>
              <c:f>'User Inputs &amp; Results'!$C$9:$G$9</c:f>
              <c:strCache>
                <c:ptCount val="1"/>
                <c:pt idx="0">
                  <c:v>Cantarell</c:v>
                </c:pt>
              </c:strCache>
            </c:strRef>
          </c:cat>
          <c:val>
            <c:numRef>
              <c:f>'User Inputs &amp; Results'!$C$13:$G$13</c:f>
              <c:numCache>
                <c:formatCode>0.00</c:formatCode>
                <c:ptCount val="5"/>
                <c:pt idx="0">
                  <c:v>0.64799863671157942</c:v>
                </c:pt>
              </c:numCache>
            </c:numRef>
          </c:val>
        </c:ser>
        <c:ser>
          <c:idx val="4"/>
          <c:order val="4"/>
          <c:tx>
            <c:strRef>
              <c:f>'User Inputs &amp; Results'!$B$14</c:f>
              <c:strCache>
                <c:ptCount val="1"/>
                <c:pt idx="0">
                  <c:v>Upgrading</c:v>
                </c:pt>
              </c:strCache>
            </c:strRef>
          </c:tx>
          <c:spPr>
            <a:solidFill>
              <a:srgbClr val="2584BB"/>
            </a:solidFill>
            <a:ln>
              <a:solidFill>
                <a:schemeClr val="tx1"/>
              </a:solidFill>
            </a:ln>
          </c:spPr>
          <c:invertIfNegative val="0"/>
          <c:cat>
            <c:strRef>
              <c:f>'User Inputs &amp; Results'!$C$9:$G$9</c:f>
              <c:strCache>
                <c:ptCount val="1"/>
                <c:pt idx="0">
                  <c:v>Cantarell</c:v>
                </c:pt>
              </c:strCache>
            </c:strRef>
          </c:cat>
          <c:val>
            <c:numRef>
              <c:f>'User Inputs &amp; Results'!$C$14:$G$14</c:f>
              <c:numCache>
                <c:formatCode>0.00</c:formatCode>
                <c:ptCount val="5"/>
                <c:pt idx="0">
                  <c:v>0</c:v>
                </c:pt>
              </c:numCache>
            </c:numRef>
          </c:val>
        </c:ser>
        <c:ser>
          <c:idx val="5"/>
          <c:order val="5"/>
          <c:tx>
            <c:strRef>
              <c:f>'User Inputs &amp; Results'!$B$15</c:f>
              <c:strCache>
                <c:ptCount val="1"/>
                <c:pt idx="0">
                  <c:v>Maintenance</c:v>
                </c:pt>
              </c:strCache>
            </c:strRef>
          </c:tx>
          <c:spPr>
            <a:solidFill>
              <a:srgbClr val="F0AF00"/>
            </a:solidFill>
            <a:ln>
              <a:solidFill>
                <a:schemeClr val="tx1"/>
              </a:solidFill>
            </a:ln>
          </c:spPr>
          <c:invertIfNegative val="0"/>
          <c:cat>
            <c:strRef>
              <c:f>'User Inputs &amp; Results'!$C$9:$G$9</c:f>
              <c:strCache>
                <c:ptCount val="1"/>
                <c:pt idx="0">
                  <c:v>Cantarell</c:v>
                </c:pt>
              </c:strCache>
            </c:strRef>
          </c:cat>
          <c:val>
            <c:numRef>
              <c:f>'User Inputs &amp; Results'!$C$15:$G$15</c:f>
              <c:numCache>
                <c:formatCode>0.00</c:formatCode>
                <c:ptCount val="5"/>
                <c:pt idx="0">
                  <c:v>0</c:v>
                </c:pt>
              </c:numCache>
            </c:numRef>
          </c:val>
        </c:ser>
        <c:ser>
          <c:idx val="6"/>
          <c:order val="6"/>
          <c:tx>
            <c:strRef>
              <c:f>'User Inputs &amp; Results'!$B$16</c:f>
              <c:strCache>
                <c:ptCount val="1"/>
                <c:pt idx="0">
                  <c:v>Waste</c:v>
                </c:pt>
              </c:strCache>
            </c:strRef>
          </c:tx>
          <c:spPr>
            <a:solidFill>
              <a:srgbClr val="02CE94"/>
            </a:solidFill>
            <a:ln>
              <a:solidFill>
                <a:schemeClr val="tx1"/>
              </a:solidFill>
            </a:ln>
          </c:spPr>
          <c:invertIfNegative val="0"/>
          <c:cat>
            <c:strRef>
              <c:f>'User Inputs &amp; Results'!$C$9:$G$9</c:f>
              <c:strCache>
                <c:ptCount val="1"/>
                <c:pt idx="0">
                  <c:v>Cantarell</c:v>
                </c:pt>
              </c:strCache>
            </c:strRef>
          </c:cat>
          <c:val>
            <c:numRef>
              <c:f>'User Inputs &amp; Results'!$C$16:$G$16</c:f>
              <c:numCache>
                <c:formatCode>0.00</c:formatCode>
                <c:ptCount val="5"/>
                <c:pt idx="0">
                  <c:v>0</c:v>
                </c:pt>
              </c:numCache>
            </c:numRef>
          </c:val>
        </c:ser>
        <c:ser>
          <c:idx val="7"/>
          <c:order val="7"/>
          <c:tx>
            <c:strRef>
              <c:f>'User Inputs &amp; Results'!$B$17</c:f>
              <c:strCache>
                <c:ptCount val="1"/>
                <c:pt idx="0">
                  <c:v>VFF</c:v>
                </c:pt>
              </c:strCache>
            </c:strRef>
          </c:tx>
          <c:spPr>
            <a:solidFill>
              <a:srgbClr val="A4001D"/>
            </a:solidFill>
            <a:ln>
              <a:solidFill>
                <a:schemeClr val="tx1"/>
              </a:solidFill>
            </a:ln>
          </c:spPr>
          <c:invertIfNegative val="0"/>
          <c:cat>
            <c:strRef>
              <c:f>'User Inputs &amp; Results'!$C$9:$G$9</c:f>
              <c:strCache>
                <c:ptCount val="1"/>
                <c:pt idx="0">
                  <c:v>Cantarell</c:v>
                </c:pt>
              </c:strCache>
            </c:strRef>
          </c:cat>
          <c:val>
            <c:numRef>
              <c:f>'User Inputs &amp; Results'!$C$17:$G$17</c:f>
              <c:numCache>
                <c:formatCode>0.00</c:formatCode>
                <c:ptCount val="5"/>
                <c:pt idx="0">
                  <c:v>3.5626826208475157</c:v>
                </c:pt>
              </c:numCache>
            </c:numRef>
          </c:val>
        </c:ser>
        <c:ser>
          <c:idx val="8"/>
          <c:order val="8"/>
          <c:tx>
            <c:strRef>
              <c:f>'User Inputs &amp; Results'!$B$18</c:f>
              <c:strCache>
                <c:ptCount val="1"/>
                <c:pt idx="0">
                  <c:v>Diluent</c:v>
                </c:pt>
              </c:strCache>
            </c:strRef>
          </c:tx>
          <c:spPr>
            <a:solidFill>
              <a:schemeClr val="accent5">
                <a:lumMod val="60000"/>
                <a:lumOff val="40000"/>
              </a:schemeClr>
            </a:solidFill>
            <a:ln w="9525">
              <a:solidFill>
                <a:schemeClr val="tx1"/>
              </a:solidFill>
            </a:ln>
            <a:effectLst/>
          </c:spPr>
          <c:invertIfNegative val="0"/>
          <c:cat>
            <c:strRef>
              <c:f>'User Inputs &amp; Results'!$C$9:$G$9</c:f>
              <c:strCache>
                <c:ptCount val="1"/>
                <c:pt idx="0">
                  <c:v>Cantarell</c:v>
                </c:pt>
              </c:strCache>
            </c:strRef>
          </c:cat>
          <c:val>
            <c:numRef>
              <c:f>'User Inputs &amp; Results'!$C$18:$G$18</c:f>
              <c:numCache>
                <c:formatCode>0.00</c:formatCode>
                <c:ptCount val="5"/>
                <c:pt idx="0">
                  <c:v>0</c:v>
                </c:pt>
              </c:numCache>
            </c:numRef>
          </c:val>
        </c:ser>
        <c:ser>
          <c:idx val="9"/>
          <c:order val="9"/>
          <c:tx>
            <c:strRef>
              <c:f>'User Inputs &amp; Results'!$B$19</c:f>
              <c:strCache>
                <c:ptCount val="1"/>
                <c:pt idx="0">
                  <c:v>Misc.</c:v>
                </c:pt>
              </c:strCache>
            </c:strRef>
          </c:tx>
          <c:spPr>
            <a:solidFill>
              <a:srgbClr val="92D050"/>
            </a:solidFill>
            <a:ln>
              <a:solidFill>
                <a:schemeClr val="tx1"/>
              </a:solidFill>
            </a:ln>
          </c:spPr>
          <c:invertIfNegative val="0"/>
          <c:cat>
            <c:strRef>
              <c:f>'User Inputs &amp; Results'!$C$9:$G$9</c:f>
              <c:strCache>
                <c:ptCount val="1"/>
                <c:pt idx="0">
                  <c:v>Cantarell</c:v>
                </c:pt>
              </c:strCache>
            </c:strRef>
          </c:cat>
          <c:val>
            <c:numRef>
              <c:f>'User Inputs &amp; Results'!$C$19:$G$19</c:f>
              <c:numCache>
                <c:formatCode>0.00</c:formatCode>
                <c:ptCount val="5"/>
                <c:pt idx="0">
                  <c:v>0.500031</c:v>
                </c:pt>
              </c:numCache>
            </c:numRef>
          </c:val>
        </c:ser>
        <c:ser>
          <c:idx val="10"/>
          <c:order val="10"/>
          <c:tx>
            <c:strRef>
              <c:f>'User Inputs &amp; Results'!$B$20</c:f>
              <c:strCache>
                <c:ptCount val="1"/>
                <c:pt idx="0">
                  <c:v>Transport</c:v>
                </c:pt>
              </c:strCache>
            </c:strRef>
          </c:tx>
          <c:spPr>
            <a:solidFill>
              <a:srgbClr val="CEE5FA"/>
            </a:solidFill>
            <a:ln>
              <a:solidFill>
                <a:schemeClr val="tx1"/>
              </a:solidFill>
            </a:ln>
          </c:spPr>
          <c:invertIfNegative val="0"/>
          <c:cat>
            <c:strRef>
              <c:f>'User Inputs &amp; Results'!$C$9:$G$9</c:f>
              <c:strCache>
                <c:ptCount val="1"/>
                <c:pt idx="0">
                  <c:v>Cantarell</c:v>
                </c:pt>
              </c:strCache>
            </c:strRef>
          </c:cat>
          <c:val>
            <c:numRef>
              <c:f>'User Inputs &amp; Results'!$C$20:$G$20</c:f>
              <c:numCache>
                <c:formatCode>0.00</c:formatCode>
                <c:ptCount val="5"/>
                <c:pt idx="0">
                  <c:v>9.0309772448312856E-2</c:v>
                </c:pt>
              </c:numCache>
            </c:numRef>
          </c:val>
        </c:ser>
        <c:ser>
          <c:idx val="11"/>
          <c:order val="11"/>
          <c:tx>
            <c:strRef>
              <c:f>'User Inputs &amp; Results'!$B$21</c:f>
              <c:strCache>
                <c:ptCount val="1"/>
                <c:pt idx="0">
                  <c:v>Offsite emissions</c:v>
                </c:pt>
              </c:strCache>
            </c:strRef>
          </c:tx>
          <c:spPr>
            <a:pattFill prst="dkVert">
              <a:fgClr>
                <a:srgbClr val="A4001D"/>
              </a:fgClr>
              <a:bgClr>
                <a:schemeClr val="accent2">
                  <a:lumMod val="20000"/>
                  <a:lumOff val="80000"/>
                </a:schemeClr>
              </a:bgClr>
            </a:pattFill>
            <a:ln>
              <a:solidFill>
                <a:schemeClr val="tx1"/>
              </a:solidFill>
            </a:ln>
          </c:spPr>
          <c:invertIfNegative val="0"/>
          <c:cat>
            <c:strRef>
              <c:f>'User Inputs &amp; Results'!$C$9:$G$9</c:f>
              <c:strCache>
                <c:ptCount val="1"/>
                <c:pt idx="0">
                  <c:v>Cantarell</c:v>
                </c:pt>
              </c:strCache>
            </c:strRef>
          </c:cat>
          <c:val>
            <c:numRef>
              <c:f>'User Inputs &amp; Results'!$C$21:$G$21</c:f>
              <c:numCache>
                <c:formatCode>0.00</c:formatCode>
                <c:ptCount val="5"/>
                <c:pt idx="0">
                  <c:v>0.76944111866576514</c:v>
                </c:pt>
              </c:numCache>
            </c:numRef>
          </c:val>
        </c:ser>
        <c:dLbls>
          <c:showLegendKey val="0"/>
          <c:showVal val="0"/>
          <c:showCatName val="0"/>
          <c:showSerName val="0"/>
          <c:showPercent val="0"/>
          <c:showBubbleSize val="0"/>
        </c:dLbls>
        <c:gapWidth val="150"/>
        <c:overlap val="100"/>
        <c:axId val="131511424"/>
        <c:axId val="131513728"/>
      </c:barChart>
      <c:lineChart>
        <c:grouping val="standard"/>
        <c:varyColors val="0"/>
        <c:ser>
          <c:idx val="12"/>
          <c:order val="12"/>
          <c:tx>
            <c:strRef>
              <c:f>'User Inputs &amp; Results'!$B$22</c:f>
              <c:strCache>
                <c:ptCount val="1"/>
                <c:pt idx="0">
                  <c:v>Net lifecycle emissions</c:v>
                </c:pt>
              </c:strCache>
            </c:strRef>
          </c:tx>
          <c:spPr>
            <a:ln>
              <a:noFill/>
            </a:ln>
          </c:spPr>
          <c:marker>
            <c:symbol val="star"/>
            <c:size val="6"/>
            <c:spPr>
              <a:noFill/>
              <a:ln w="19050">
                <a:solidFill>
                  <a:schemeClr val="tx1"/>
                </a:solidFill>
              </a:ln>
            </c:spPr>
          </c:marker>
          <c:val>
            <c:numRef>
              <c:f>'User Inputs &amp; Results'!$C$22:$G$22</c:f>
              <c:numCache>
                <c:formatCode>0.00</c:formatCode>
                <c:ptCount val="5"/>
                <c:pt idx="0">
                  <c:v>6.6803389946059912</c:v>
                </c:pt>
              </c:numCache>
            </c:numRef>
          </c:val>
          <c:smooth val="0"/>
        </c:ser>
        <c:dLbls>
          <c:showLegendKey val="0"/>
          <c:showVal val="0"/>
          <c:showCatName val="0"/>
          <c:showSerName val="0"/>
          <c:showPercent val="0"/>
          <c:showBubbleSize val="0"/>
        </c:dLbls>
        <c:marker val="1"/>
        <c:smooth val="0"/>
        <c:axId val="131511424"/>
        <c:axId val="131513728"/>
      </c:lineChart>
      <c:catAx>
        <c:axId val="131511424"/>
        <c:scaling>
          <c:orientation val="minMax"/>
        </c:scaling>
        <c:delete val="0"/>
        <c:axPos val="b"/>
        <c:numFmt formatCode="General" sourceLinked="1"/>
        <c:majorTickMark val="out"/>
        <c:minorTickMark val="none"/>
        <c:tickLblPos val="nextTo"/>
        <c:spPr>
          <a:ln>
            <a:solidFill>
              <a:schemeClr val="tx1"/>
            </a:solidFill>
          </a:ln>
        </c:spPr>
        <c:txPr>
          <a:bodyPr/>
          <a:lstStyle/>
          <a:p>
            <a:pPr>
              <a:defRPr sz="900">
                <a:latin typeface="Helvetica" pitchFamily="34" charset="0"/>
                <a:cs typeface="Helvetica" pitchFamily="34" charset="0"/>
              </a:defRPr>
            </a:pPr>
            <a:endParaRPr lang="en-US"/>
          </a:p>
        </c:txPr>
        <c:crossAx val="131513728"/>
        <c:crosses val="autoZero"/>
        <c:auto val="1"/>
        <c:lblAlgn val="ctr"/>
        <c:lblOffset val="100"/>
        <c:noMultiLvlLbl val="0"/>
      </c:catAx>
      <c:valAx>
        <c:axId val="131513728"/>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GHG emissions [gCO2eq/MJ]</a:t>
                </a:r>
              </a:p>
            </c:rich>
          </c:tx>
          <c:layout>
            <c:manualLayout>
              <c:xMode val="edge"/>
              <c:yMode val="edge"/>
              <c:x val="6.3284702989204302E-3"/>
              <c:y val="0.23989690276651601"/>
            </c:manualLayout>
          </c:layout>
          <c:overlay val="0"/>
        </c:title>
        <c:numFmt formatCode="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31511424"/>
        <c:crosses val="autoZero"/>
        <c:crossBetween val="between"/>
      </c:valAx>
      <c:spPr>
        <a:ln>
          <a:solidFill>
            <a:schemeClr val="tx1"/>
          </a:solidFill>
        </a:ln>
      </c:spPr>
    </c:plotArea>
    <c:legend>
      <c:legendPos val="r"/>
      <c:layout>
        <c:manualLayout>
          <c:xMode val="edge"/>
          <c:yMode val="edge"/>
          <c:x val="0.82074777205731497"/>
          <c:y val="2.7774953235723002E-2"/>
          <c:w val="0.17925218221990699"/>
          <c:h val="0.9478789427348"/>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7775105238301"/>
          <c:y val="5.1221005141645799E-2"/>
          <c:w val="0.66627889407020202"/>
          <c:h val="0.87339259581911199"/>
        </c:manualLayout>
      </c:layout>
      <c:barChart>
        <c:barDir val="col"/>
        <c:grouping val="stacked"/>
        <c:varyColors val="0"/>
        <c:ser>
          <c:idx val="0"/>
          <c:order val="0"/>
          <c:tx>
            <c:strRef>
              <c:f>'User Inputs &amp; Results'!$B$30</c:f>
              <c:strCache>
                <c:ptCount val="1"/>
                <c:pt idx="0">
                  <c:v>Exploration</c:v>
                </c:pt>
              </c:strCache>
            </c:strRef>
          </c:tx>
          <c:spPr>
            <a:solidFill>
              <a:srgbClr val="00808D"/>
            </a:solidFill>
            <a:ln>
              <a:solidFill>
                <a:schemeClr val="tx1"/>
              </a:solidFill>
            </a:ln>
          </c:spPr>
          <c:invertIfNegative val="0"/>
          <c:cat>
            <c:strRef>
              <c:f>'User Inputs &amp; Results'!$C$29:$G$29</c:f>
              <c:strCache>
                <c:ptCount val="1"/>
                <c:pt idx="0">
                  <c:v>Cantarell</c:v>
                </c:pt>
              </c:strCache>
            </c:strRef>
          </c:cat>
          <c:val>
            <c:numRef>
              <c:f>'User Inputs &amp; Results'!$C$30:$G$30</c:f>
              <c:numCache>
                <c:formatCode>0.00</c:formatCode>
                <c:ptCount val="5"/>
                <c:pt idx="0">
                  <c:v>0</c:v>
                </c:pt>
              </c:numCache>
            </c:numRef>
          </c:val>
        </c:ser>
        <c:ser>
          <c:idx val="1"/>
          <c:order val="1"/>
          <c:tx>
            <c:strRef>
              <c:f>'User Inputs &amp; Results'!$B$31</c:f>
              <c:strCache>
                <c:ptCount val="1"/>
                <c:pt idx="0">
                  <c:v>Drilling</c:v>
                </c:pt>
              </c:strCache>
            </c:strRef>
          </c:tx>
          <c:spPr>
            <a:solidFill>
              <a:srgbClr val="BF6900"/>
            </a:solidFill>
            <a:ln>
              <a:solidFill>
                <a:schemeClr val="tx1"/>
              </a:solidFill>
            </a:ln>
          </c:spPr>
          <c:invertIfNegative val="0"/>
          <c:cat>
            <c:strRef>
              <c:f>'User Inputs &amp; Results'!$C$29:$G$29</c:f>
              <c:strCache>
                <c:ptCount val="1"/>
                <c:pt idx="0">
                  <c:v>Cantarell</c:v>
                </c:pt>
              </c:strCache>
            </c:strRef>
          </c:cat>
          <c:val>
            <c:numRef>
              <c:f>'User Inputs &amp; Results'!$C$31:$G$31</c:f>
              <c:numCache>
                <c:formatCode>0.00</c:formatCode>
                <c:ptCount val="5"/>
                <c:pt idx="0">
                  <c:v>1.6643606288124359E-3</c:v>
                </c:pt>
              </c:numCache>
            </c:numRef>
          </c:val>
        </c:ser>
        <c:ser>
          <c:idx val="2"/>
          <c:order val="2"/>
          <c:tx>
            <c:strRef>
              <c:f>'User Inputs &amp; Results'!$B$32</c:f>
              <c:strCache>
                <c:ptCount val="1"/>
                <c:pt idx="0">
                  <c:v>Production</c:v>
                </c:pt>
              </c:strCache>
            </c:strRef>
          </c:tx>
          <c:spPr>
            <a:solidFill>
              <a:srgbClr val="296549"/>
            </a:solidFill>
            <a:ln>
              <a:solidFill>
                <a:schemeClr val="tx1"/>
              </a:solidFill>
            </a:ln>
          </c:spPr>
          <c:invertIfNegative val="0"/>
          <c:cat>
            <c:strRef>
              <c:f>'User Inputs &amp; Results'!$C$29:$G$29</c:f>
              <c:strCache>
                <c:ptCount val="1"/>
                <c:pt idx="0">
                  <c:v>Cantarell</c:v>
                </c:pt>
              </c:strCache>
            </c:strRef>
          </c:cat>
          <c:val>
            <c:numRef>
              <c:f>'User Inputs &amp; Results'!$C$32:$G$32</c:f>
              <c:numCache>
                <c:formatCode>0.00</c:formatCode>
                <c:ptCount val="5"/>
                <c:pt idx="0">
                  <c:v>2.2202896373937495E-2</c:v>
                </c:pt>
              </c:numCache>
            </c:numRef>
          </c:val>
        </c:ser>
        <c:ser>
          <c:idx val="3"/>
          <c:order val="3"/>
          <c:tx>
            <c:strRef>
              <c:f>'User Inputs &amp; Results'!$B$33</c:f>
              <c:strCache>
                <c:ptCount val="1"/>
                <c:pt idx="0">
                  <c:v>Processing</c:v>
                </c:pt>
              </c:strCache>
            </c:strRef>
          </c:tx>
          <c:spPr>
            <a:solidFill>
              <a:srgbClr val="FFCE30"/>
            </a:solidFill>
            <a:ln>
              <a:solidFill>
                <a:schemeClr val="tx1"/>
              </a:solidFill>
            </a:ln>
          </c:spPr>
          <c:invertIfNegative val="0"/>
          <c:cat>
            <c:strRef>
              <c:f>'User Inputs &amp; Results'!$C$29:$G$29</c:f>
              <c:strCache>
                <c:ptCount val="1"/>
                <c:pt idx="0">
                  <c:v>Cantarell</c:v>
                </c:pt>
              </c:strCache>
            </c:strRef>
          </c:cat>
          <c:val>
            <c:numRef>
              <c:f>'User Inputs &amp; Results'!$C$33:$G$33</c:f>
              <c:numCache>
                <c:formatCode>0.00</c:formatCode>
                <c:ptCount val="5"/>
                <c:pt idx="0">
                  <c:v>2.86205607292059E-2</c:v>
                </c:pt>
              </c:numCache>
            </c:numRef>
          </c:val>
        </c:ser>
        <c:ser>
          <c:idx val="4"/>
          <c:order val="4"/>
          <c:tx>
            <c:strRef>
              <c:f>'User Inputs &amp; Results'!$B$34</c:f>
              <c:strCache>
                <c:ptCount val="1"/>
                <c:pt idx="0">
                  <c:v>Upgrading</c:v>
                </c:pt>
              </c:strCache>
            </c:strRef>
          </c:tx>
          <c:spPr>
            <a:solidFill>
              <a:srgbClr val="2584BB"/>
            </a:solidFill>
            <a:ln>
              <a:solidFill>
                <a:schemeClr val="tx1"/>
              </a:solidFill>
            </a:ln>
          </c:spPr>
          <c:invertIfNegative val="0"/>
          <c:cat>
            <c:strRef>
              <c:f>'User Inputs &amp; Results'!$C$29:$G$29</c:f>
              <c:strCache>
                <c:ptCount val="1"/>
                <c:pt idx="0">
                  <c:v>Cantarell</c:v>
                </c:pt>
              </c:strCache>
            </c:strRef>
          </c:cat>
          <c:val>
            <c:numRef>
              <c:f>'User Inputs &amp; Results'!$C$34:$G$34</c:f>
              <c:numCache>
                <c:formatCode>0.00</c:formatCode>
                <c:ptCount val="5"/>
                <c:pt idx="0">
                  <c:v>0</c:v>
                </c:pt>
              </c:numCache>
            </c:numRef>
          </c:val>
        </c:ser>
        <c:ser>
          <c:idx val="5"/>
          <c:order val="5"/>
          <c:tx>
            <c:strRef>
              <c:f>'User Inputs &amp; Results'!$B$35</c:f>
              <c:strCache>
                <c:ptCount val="1"/>
                <c:pt idx="0">
                  <c:v>Maintenance</c:v>
                </c:pt>
              </c:strCache>
            </c:strRef>
          </c:tx>
          <c:spPr>
            <a:solidFill>
              <a:srgbClr val="F0AF00"/>
            </a:solidFill>
            <a:ln>
              <a:solidFill>
                <a:schemeClr val="tx1"/>
              </a:solidFill>
            </a:ln>
          </c:spPr>
          <c:invertIfNegative val="0"/>
          <c:cat>
            <c:strRef>
              <c:f>'User Inputs &amp; Results'!$C$29:$G$29</c:f>
              <c:strCache>
                <c:ptCount val="1"/>
                <c:pt idx="0">
                  <c:v>Cantarell</c:v>
                </c:pt>
              </c:strCache>
            </c:strRef>
          </c:cat>
          <c:val>
            <c:numRef>
              <c:f>'User Inputs &amp; Results'!$C$35:$G$35</c:f>
              <c:numCache>
                <c:formatCode>0.00</c:formatCode>
                <c:ptCount val="5"/>
                <c:pt idx="0">
                  <c:v>3.3197487638581685E-4</c:v>
                </c:pt>
              </c:numCache>
            </c:numRef>
          </c:val>
        </c:ser>
        <c:ser>
          <c:idx val="6"/>
          <c:order val="6"/>
          <c:tx>
            <c:strRef>
              <c:f>'User Inputs &amp; Results'!$B$36</c:f>
              <c:strCache>
                <c:ptCount val="1"/>
                <c:pt idx="0">
                  <c:v>Waste</c:v>
                </c:pt>
              </c:strCache>
            </c:strRef>
          </c:tx>
          <c:spPr>
            <a:solidFill>
              <a:srgbClr val="02CE94"/>
            </a:solidFill>
            <a:ln>
              <a:solidFill>
                <a:schemeClr val="tx1"/>
              </a:solidFill>
            </a:ln>
          </c:spPr>
          <c:invertIfNegative val="0"/>
          <c:cat>
            <c:strRef>
              <c:f>'User Inputs &amp; Results'!$C$29:$G$29</c:f>
              <c:strCache>
                <c:ptCount val="1"/>
                <c:pt idx="0">
                  <c:v>Cantarell</c:v>
                </c:pt>
              </c:strCache>
            </c:strRef>
          </c:cat>
          <c:val>
            <c:numRef>
              <c:f>'User Inputs &amp; Results'!$C$36:$G$36</c:f>
              <c:numCache>
                <c:formatCode>0.00</c:formatCode>
                <c:ptCount val="5"/>
                <c:pt idx="0">
                  <c:v>0</c:v>
                </c:pt>
              </c:numCache>
            </c:numRef>
          </c:val>
        </c:ser>
        <c:ser>
          <c:idx val="7"/>
          <c:order val="7"/>
          <c:tx>
            <c:strRef>
              <c:f>'User Inputs &amp; Results'!$B$37</c:f>
              <c:strCache>
                <c:ptCount val="1"/>
                <c:pt idx="0">
                  <c:v>Diluent</c:v>
                </c:pt>
              </c:strCache>
            </c:strRef>
          </c:tx>
          <c:spPr>
            <a:solidFill>
              <a:schemeClr val="accent5">
                <a:lumMod val="60000"/>
                <a:lumOff val="40000"/>
              </a:schemeClr>
            </a:solidFill>
            <a:ln>
              <a:solidFill>
                <a:schemeClr val="tx1"/>
              </a:solidFill>
            </a:ln>
          </c:spPr>
          <c:invertIfNegative val="0"/>
          <c:cat>
            <c:strRef>
              <c:f>'User Inputs &amp; Results'!$C$29:$G$29</c:f>
              <c:strCache>
                <c:ptCount val="1"/>
                <c:pt idx="0">
                  <c:v>Cantarell</c:v>
                </c:pt>
              </c:strCache>
            </c:strRef>
          </c:cat>
          <c:val>
            <c:numRef>
              <c:f>'User Inputs &amp; Results'!$C$37:$G$37</c:f>
              <c:numCache>
                <c:formatCode>0.00</c:formatCode>
                <c:ptCount val="5"/>
                <c:pt idx="0">
                  <c:v>0</c:v>
                </c:pt>
              </c:numCache>
            </c:numRef>
          </c:val>
        </c:ser>
        <c:ser>
          <c:idx val="8"/>
          <c:order val="8"/>
          <c:tx>
            <c:strRef>
              <c:f>'User Inputs &amp; Results'!$B$38</c:f>
              <c:strCache>
                <c:ptCount val="1"/>
                <c:pt idx="0">
                  <c:v>Transport</c:v>
                </c:pt>
              </c:strCache>
            </c:strRef>
          </c:tx>
          <c:spPr>
            <a:solidFill>
              <a:srgbClr val="CEE5FA"/>
            </a:solidFill>
            <a:ln>
              <a:solidFill>
                <a:schemeClr val="accent1"/>
              </a:solidFill>
            </a:ln>
          </c:spPr>
          <c:invertIfNegative val="0"/>
          <c:cat>
            <c:strRef>
              <c:f>'User Inputs &amp; Results'!$C$29:$G$29</c:f>
              <c:strCache>
                <c:ptCount val="1"/>
                <c:pt idx="0">
                  <c:v>Cantarell</c:v>
                </c:pt>
              </c:strCache>
            </c:strRef>
          </c:cat>
          <c:val>
            <c:numRef>
              <c:f>'User Inputs &amp; Results'!$C$38:$G$38</c:f>
              <c:numCache>
                <c:formatCode>0.00</c:formatCode>
                <c:ptCount val="5"/>
                <c:pt idx="0">
                  <c:v>1.1792009504335696E-3</c:v>
                </c:pt>
              </c:numCache>
            </c:numRef>
          </c:val>
        </c:ser>
        <c:dLbls>
          <c:showLegendKey val="0"/>
          <c:showVal val="0"/>
          <c:showCatName val="0"/>
          <c:showSerName val="0"/>
          <c:showPercent val="0"/>
          <c:showBubbleSize val="0"/>
        </c:dLbls>
        <c:gapWidth val="150"/>
        <c:overlap val="100"/>
        <c:axId val="157756416"/>
        <c:axId val="158085120"/>
      </c:barChart>
      <c:catAx>
        <c:axId val="157756416"/>
        <c:scaling>
          <c:orientation val="minMax"/>
        </c:scaling>
        <c:delete val="0"/>
        <c:axPos val="b"/>
        <c:numFmt formatCode="General" sourceLinked="1"/>
        <c:majorTickMark val="out"/>
        <c:minorTickMark val="none"/>
        <c:tickLblPos val="nextTo"/>
        <c:txPr>
          <a:bodyPr/>
          <a:lstStyle/>
          <a:p>
            <a:pPr>
              <a:defRPr sz="900">
                <a:latin typeface="Helvetica" pitchFamily="34" charset="0"/>
                <a:cs typeface="Helvetica" pitchFamily="34" charset="0"/>
              </a:defRPr>
            </a:pPr>
            <a:endParaRPr lang="en-US"/>
          </a:p>
        </c:txPr>
        <c:crossAx val="158085120"/>
        <c:crosses val="autoZero"/>
        <c:auto val="1"/>
        <c:lblAlgn val="ctr"/>
        <c:lblOffset val="100"/>
        <c:noMultiLvlLbl val="0"/>
      </c:catAx>
      <c:valAx>
        <c:axId val="158085120"/>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Energy consumption [MJ/MJ]</a:t>
                </a:r>
              </a:p>
            </c:rich>
          </c:tx>
          <c:layout>
            <c:manualLayout>
              <c:xMode val="edge"/>
              <c:yMode val="edge"/>
              <c:x val="3.6890980601278801E-2"/>
              <c:y val="0.21221384487570599"/>
            </c:manualLayout>
          </c:layout>
          <c:overlay val="0"/>
        </c:title>
        <c:numFmt formatCode="0.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57756416"/>
        <c:crosses val="autoZero"/>
        <c:crossBetween val="between"/>
      </c:valAx>
      <c:spPr>
        <a:ln>
          <a:solidFill>
            <a:schemeClr val="tx1"/>
          </a:solidFill>
        </a:ln>
      </c:spPr>
    </c:plotArea>
    <c:legend>
      <c:legendPos val="r"/>
      <c:layout>
        <c:manualLayout>
          <c:xMode val="edge"/>
          <c:yMode val="edge"/>
          <c:x val="0.82876375522981405"/>
          <c:y val="4.4398466534317303E-2"/>
          <c:w val="0.141656945238397"/>
          <c:h val="0.67710588889617995"/>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Wind Speed Probability Distribution</a:t>
            </a:r>
          </a:p>
        </c:rich>
      </c:tx>
      <c:layout>
        <c:manualLayout>
          <c:xMode val="edge"/>
          <c:yMode val="edge"/>
          <c:x val="0.31328681044940299"/>
          <c:y val="3.1881336615338499E-2"/>
        </c:manualLayout>
      </c:layout>
      <c:overlay val="0"/>
    </c:title>
    <c:autoTitleDeleted val="0"/>
    <c:plotArea>
      <c:layout/>
      <c:scatterChart>
        <c:scatterStyle val="smoothMarker"/>
        <c:varyColors val="0"/>
        <c:ser>
          <c:idx val="0"/>
          <c:order val="0"/>
          <c:spPr>
            <a:ln>
              <a:solidFill>
                <a:srgbClr val="2584BB"/>
              </a:solidFill>
            </a:ln>
          </c:spPr>
          <c:marker>
            <c:symbol val="none"/>
          </c:marker>
          <c:xVal>
            <c:numRef>
              <c:f>Flaring!$S$170:$S$249</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Flaring!$T$170:$T$249</c:f>
              <c:numCache>
                <c:formatCode>0.00%</c:formatCode>
                <c:ptCount val="80"/>
                <c:pt idx="0">
                  <c:v>1.7437554448370427E-3</c:v>
                </c:pt>
                <c:pt idx="1">
                  <c:v>3.4783928171753563E-3</c:v>
                </c:pt>
                <c:pt idx="2">
                  <c:v>5.1948734621241844E-3</c:v>
                </c:pt>
                <c:pt idx="3">
                  <c:v>6.8843165921627656E-3</c:v>
                </c:pt>
                <c:pt idx="4">
                  <c:v>8.5380758163665985E-3</c:v>
                </c:pt>
                <c:pt idx="5">
                  <c:v>1.014781282643039E-2</c:v>
                </c:pt>
                <c:pt idx="6">
                  <c:v>1.1705567361135472E-2</c:v>
                </c:pt>
                <c:pt idx="7">
                  <c:v>1.3203822628673822E-2</c:v>
                </c:pt>
                <c:pt idx="8">
                  <c:v>1.4635565436359368E-2</c:v>
                </c:pt>
                <c:pt idx="9">
                  <c:v>1.5994340358407771E-2</c:v>
                </c:pt>
                <c:pt idx="10">
                  <c:v>1.7274297363128494E-2</c:v>
                </c:pt>
                <c:pt idx="11">
                  <c:v>1.847023241936481E-2</c:v>
                </c:pt>
                <c:pt idx="12">
                  <c:v>1.9577620706527167E-2</c:v>
                </c:pt>
                <c:pt idx="13">
                  <c:v>2.0592642161195728E-2</c:v>
                </c:pt>
                <c:pt idx="14">
                  <c:v>2.151219920407289E-2</c:v>
                </c:pt>
                <c:pt idx="15">
                  <c:v>2.2333926602095638E-2</c:v>
                </c:pt>
                <c:pt idx="16">
                  <c:v>2.305619352985374E-2</c:v>
                </c:pt>
                <c:pt idx="17">
                  <c:v>2.3678098000259305E-2</c:v>
                </c:pt>
                <c:pt idx="18">
                  <c:v>2.4199453934943469E-2</c:v>
                </c:pt>
                <c:pt idx="19">
                  <c:v>2.4620771238525047E-2</c:v>
                </c:pt>
                <c:pt idx="20">
                  <c:v>2.4943229326285836E-2</c:v>
                </c:pt>
                <c:pt idx="21">
                  <c:v>2.5168644630675144E-2</c:v>
                </c:pt>
                <c:pt idx="22">
                  <c:v>2.5299432677445489E-2</c:v>
                </c:pt>
                <c:pt idx="23">
                  <c:v>2.5338565376315247E-2</c:v>
                </c:pt>
                <c:pt idx="24">
                  <c:v>2.5289524213324487E-2</c:v>
                </c:pt>
                <c:pt idx="25">
                  <c:v>2.515625006219888E-2</c:v>
                </c:pt>
                <c:pt idx="26">
                  <c:v>2.49430903500059E-2</c:v>
                </c:pt>
                <c:pt idx="27">
                  <c:v>2.4654744318348753E-2</c:v>
                </c:pt>
                <c:pt idx="28">
                  <c:v>2.4296207115687269E-2</c:v>
                </c:pt>
                <c:pt idx="29">
                  <c:v>2.3872713439693209E-2</c:v>
                </c:pt>
                <c:pt idx="30">
                  <c:v>2.3389681421611946E-2</c:v>
                </c:pt>
                <c:pt idx="31">
                  <c:v>2.2852657408343031E-2</c:v>
                </c:pt>
                <c:pt idx="32">
                  <c:v>2.2267262253428254E-2</c:v>
                </c:pt>
                <c:pt idx="33">
                  <c:v>2.1639139676510807E-2</c:v>
                </c:pt>
                <c:pt idx="34">
                  <c:v>2.0973907193339705E-2</c:v>
                </c:pt>
                <c:pt idx="35">
                  <c:v>2.0277110056322351E-2</c:v>
                </c:pt>
                <c:pt idx="36">
                  <c:v>1.9554178580274237E-2</c:v>
                </c:pt>
                <c:pt idx="37">
                  <c:v>1.881038916066656E-2</c:v>
                </c:pt>
                <c:pt idx="38">
                  <c:v>1.8050829223583347E-2</c:v>
                </c:pt>
                <c:pt idx="39">
                  <c:v>1.7280366278962126E-2</c:v>
                </c:pt>
                <c:pt idx="40">
                  <c:v>1.6503621182620293E-2</c:v>
                </c:pt>
                <c:pt idx="41">
                  <c:v>1.5724945649078392E-2</c:v>
                </c:pt>
                <c:pt idx="42">
                  <c:v>1.4948403997185387E-2</c:v>
                </c:pt>
                <c:pt idx="43">
                  <c:v>1.4177759054810304E-2</c:v>
                </c:pt>
                <c:pt idx="44">
                  <c:v>1.3416462098038668E-2</c:v>
                </c:pt>
                <c:pt idx="45">
                  <c:v>1.266764665491622E-2</c:v>
                </c:pt>
                <c:pt idx="46">
                  <c:v>1.1934125964194195E-2</c:v>
                </c:pt>
                <c:pt idx="47">
                  <c:v>1.1218393845995043E-2</c:v>
                </c:pt>
                <c:pt idx="48">
                  <c:v>1.0522628713949272E-2</c:v>
                </c:pt>
                <c:pt idx="49">
                  <c:v>9.8487004371462794E-3</c:v>
                </c:pt>
                <c:pt idx="50">
                  <c:v>9.1981797450742375E-3</c:v>
                </c:pt>
                <c:pt idx="51">
                  <c:v>8.5723498593752376E-3</c:v>
                </c:pt>
                <c:pt idx="52">
                  <c:v>7.9722200324003033E-3</c:v>
                </c:pt>
                <c:pt idx="53">
                  <c:v>7.3985406738284647E-3</c:v>
                </c:pt>
                <c:pt idx="54">
                  <c:v>6.8518197525656108E-3</c:v>
                </c:pt>
                <c:pt idx="55">
                  <c:v>6.3323401712662474E-3</c:v>
                </c:pt>
                <c:pt idx="56">
                  <c:v>5.8401778245937286E-3</c:v>
                </c:pt>
                <c:pt idx="57">
                  <c:v>5.3752200692020738E-3</c:v>
                </c:pt>
                <c:pt idx="58">
                  <c:v>4.9371843528264372E-3</c:v>
                </c:pt>
                <c:pt idx="59">
                  <c:v>4.5256367712559866E-3</c:v>
                </c:pt>
                <c:pt idx="60">
                  <c:v>4.140010344793537E-3</c:v>
                </c:pt>
                <c:pt idx="61">
                  <c:v>3.7796228295658347E-3</c:v>
                </c:pt>
                <c:pt idx="62">
                  <c:v>3.4436939032543102E-3</c:v>
                </c:pt>
                <c:pt idx="63">
                  <c:v>3.1313615890247132E-3</c:v>
                </c:pt>
                <c:pt idx="64">
                  <c:v>2.8416978052447591E-3</c:v>
                </c:pt>
                <c:pt idx="65">
                  <c:v>2.5737229516390203E-3</c:v>
                </c:pt>
                <c:pt idx="66">
                  <c:v>2.3264194645361471E-3</c:v>
                </c:pt>
                <c:pt idx="67">
                  <c:v>2.0987442945622115E-3</c:v>
                </c:pt>
                <c:pt idx="68">
                  <c:v>1.8896402793224924E-3</c:v>
                </c:pt>
                <c:pt idx="69">
                  <c:v>1.6980464011386318E-3</c:v>
                </c:pt>
                <c:pt idx="70">
                  <c:v>1.5229069356612859E-3</c:v>
                </c:pt>
                <c:pt idx="71">
                  <c:v>1.3631795110969633E-3</c:v>
                </c:pt>
                <c:pt idx="72">
                  <c:v>1.2178421098479884E-3</c:v>
                </c:pt>
                <c:pt idx="73">
                  <c:v>1.0858990545796483E-3</c:v>
                </c:pt>
                <c:pt idx="74">
                  <c:v>9.6638602914286213E-4</c:v>
                </c:pt>
                <c:pt idx="75">
                  <c:v>8.5837419146619659E-4</c:v>
                </c:pt>
                <c:pt idx="76">
                  <c:v>7.609734405822924E-4</c:v>
                </c:pt>
                <c:pt idx="77">
                  <c:v>6.7333490348340901E-4</c:v>
                </c:pt>
                <c:pt idx="78">
                  <c:v>5.9465270963539687E-4</c:v>
                </c:pt>
                <c:pt idx="79">
                  <c:v>5.2416512185510646E-4</c:v>
                </c:pt>
              </c:numCache>
            </c:numRef>
          </c:yVal>
          <c:smooth val="1"/>
        </c:ser>
        <c:dLbls>
          <c:showLegendKey val="0"/>
          <c:showVal val="0"/>
          <c:showCatName val="0"/>
          <c:showSerName val="0"/>
          <c:showPercent val="0"/>
          <c:showBubbleSize val="0"/>
        </c:dLbls>
        <c:axId val="129209472"/>
        <c:axId val="129211392"/>
      </c:scatterChart>
      <c:valAx>
        <c:axId val="129209472"/>
        <c:scaling>
          <c:orientation val="minMax"/>
        </c:scaling>
        <c:delete val="0"/>
        <c:axPos val="b"/>
        <c:title>
          <c:tx>
            <c:rich>
              <a:bodyPr/>
              <a:lstStyle/>
              <a:p>
                <a:pPr>
                  <a:defRPr b="0"/>
                </a:pPr>
                <a:r>
                  <a:rPr lang="en-US" b="0"/>
                  <a:t>Wind Speed (mph)</a:t>
                </a:r>
              </a:p>
            </c:rich>
          </c:tx>
          <c:overlay val="0"/>
        </c:title>
        <c:numFmt formatCode="General" sourceLinked="1"/>
        <c:majorTickMark val="none"/>
        <c:minorTickMark val="none"/>
        <c:tickLblPos val="nextTo"/>
        <c:crossAx val="129211392"/>
        <c:crosses val="autoZero"/>
        <c:crossBetween val="midCat"/>
      </c:valAx>
      <c:valAx>
        <c:axId val="129211392"/>
        <c:scaling>
          <c:orientation val="minMax"/>
        </c:scaling>
        <c:delete val="0"/>
        <c:axPos val="l"/>
        <c:title>
          <c:tx>
            <c:rich>
              <a:bodyPr/>
              <a:lstStyle/>
              <a:p>
                <a:pPr>
                  <a:defRPr sz="1200" b="0"/>
                </a:pPr>
                <a:r>
                  <a:rPr lang="en-US" sz="1200" b="0"/>
                  <a:t>Fraction of time at that speed</a:t>
                </a:r>
              </a:p>
            </c:rich>
          </c:tx>
          <c:layout>
            <c:manualLayout>
              <c:xMode val="edge"/>
              <c:yMode val="edge"/>
              <c:x val="9.7031953004139797E-3"/>
              <c:y val="0.245869722438113"/>
            </c:manualLayout>
          </c:layout>
          <c:overlay val="0"/>
        </c:title>
        <c:numFmt formatCode="0.0%" sourceLinked="0"/>
        <c:majorTickMark val="none"/>
        <c:minorTickMark val="none"/>
        <c:tickLblPos val="nextTo"/>
        <c:crossAx val="129209472"/>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Drivers!$D$11:$P$11</c:f>
              <c:numCache>
                <c:formatCode>0.00</c:formatCode>
                <c:ptCount val="13"/>
                <c:pt idx="0">
                  <c:v>7567</c:v>
                </c:pt>
                <c:pt idx="1">
                  <c:v>7775</c:v>
                </c:pt>
                <c:pt idx="2">
                  <c:v>7568</c:v>
                </c:pt>
                <c:pt idx="3">
                  <c:v>7507</c:v>
                </c:pt>
                <c:pt idx="4">
                  <c:v>7008</c:v>
                </c:pt>
                <c:pt idx="5">
                  <c:v>7800</c:v>
                </c:pt>
                <c:pt idx="6">
                  <c:v>7210</c:v>
                </c:pt>
                <c:pt idx="7">
                  <c:v>7402</c:v>
                </c:pt>
                <c:pt idx="8">
                  <c:v>7368</c:v>
                </c:pt>
                <c:pt idx="9">
                  <c:v>6715.7</c:v>
                </c:pt>
                <c:pt idx="10">
                  <c:v>6501.4</c:v>
                </c:pt>
                <c:pt idx="11">
                  <c:v>6649.9</c:v>
                </c:pt>
                <c:pt idx="12">
                  <c:v>6050.8</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Drivers!$D$12:$P$12</c:f>
              <c:numCache>
                <c:formatCode>0.00</c:formatCode>
                <c:ptCount val="13"/>
                <c:pt idx="0">
                  <c:v>7842</c:v>
                </c:pt>
                <c:pt idx="1">
                  <c:v>8318</c:v>
                </c:pt>
                <c:pt idx="2">
                  <c:v>8225</c:v>
                </c:pt>
                <c:pt idx="3">
                  <c:v>7874</c:v>
                </c:pt>
                <c:pt idx="4">
                  <c:v>7350</c:v>
                </c:pt>
                <c:pt idx="5">
                  <c:v>7964</c:v>
                </c:pt>
                <c:pt idx="6">
                  <c:v>7813</c:v>
                </c:pt>
                <c:pt idx="7">
                  <c:v>7676</c:v>
                </c:pt>
                <c:pt idx="8">
                  <c:v>7665</c:v>
                </c:pt>
              </c:numCache>
            </c:numRef>
          </c:yVal>
          <c:smooth val="0"/>
        </c:ser>
        <c:ser>
          <c:idx val="2"/>
          <c:order val="2"/>
          <c:tx>
            <c:v>Median</c:v>
          </c:tx>
          <c:spPr>
            <a:ln w="47625">
              <a:noFill/>
            </a:ln>
            <a:effectLst/>
          </c:spPr>
          <c:marker>
            <c:symbol val="square"/>
            <c:size val="9"/>
            <c:spPr>
              <a:solidFill>
                <a:schemeClr val="accent2"/>
              </a:solidFill>
              <a:ln>
                <a:noFill/>
              </a:ln>
              <a:effectLst/>
            </c:spPr>
          </c:marker>
          <c:trendline>
            <c:trendlineType val="linear"/>
            <c:dispRSqr val="1"/>
            <c:dispEq val="1"/>
            <c:trendlineLbl>
              <c:layout>
                <c:manualLayout>
                  <c:x val="-0.12750787401574801"/>
                  <c:y val="1.4554704634523401E-2"/>
                </c:manualLayout>
              </c:layout>
              <c:numFmt formatCode="General" sourceLinked="0"/>
              <c:txPr>
                <a:bodyPr/>
                <a:lstStyle/>
                <a:p>
                  <a:pPr>
                    <a:defRPr>
                      <a:solidFill>
                        <a:schemeClr val="accent2"/>
                      </a:solidFill>
                    </a:defRPr>
                  </a:pPr>
                  <a:endParaRPr lang="en-US"/>
                </a:p>
              </c:txPr>
            </c:trendlineLbl>
          </c:trendline>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Drivers!$D$13:$P$13</c:f>
              <c:numCache>
                <c:formatCode>0.00</c:formatCode>
                <c:ptCount val="13"/>
                <c:pt idx="0">
                  <c:v>7704.5</c:v>
                </c:pt>
                <c:pt idx="1">
                  <c:v>8046.5</c:v>
                </c:pt>
                <c:pt idx="2">
                  <c:v>7896.5</c:v>
                </c:pt>
                <c:pt idx="3">
                  <c:v>7690.5</c:v>
                </c:pt>
                <c:pt idx="4">
                  <c:v>7179</c:v>
                </c:pt>
                <c:pt idx="5">
                  <c:v>7882</c:v>
                </c:pt>
                <c:pt idx="6">
                  <c:v>7511.5</c:v>
                </c:pt>
                <c:pt idx="7">
                  <c:v>7539</c:v>
                </c:pt>
                <c:pt idx="8">
                  <c:v>7516.5</c:v>
                </c:pt>
                <c:pt idx="9">
                  <c:v>6715.7</c:v>
                </c:pt>
                <c:pt idx="10">
                  <c:v>6501.4</c:v>
                </c:pt>
                <c:pt idx="11">
                  <c:v>6649.9</c:v>
                </c:pt>
                <c:pt idx="12">
                  <c:v>6050.8</c:v>
                </c:pt>
              </c:numCache>
            </c:numRef>
          </c:yVal>
          <c:smooth val="0"/>
        </c:ser>
        <c:dLbls>
          <c:showLegendKey val="0"/>
          <c:showVal val="0"/>
          <c:showCatName val="0"/>
          <c:showSerName val="0"/>
          <c:showPercent val="0"/>
          <c:showBubbleSize val="0"/>
        </c:dLbls>
        <c:axId val="130230912"/>
        <c:axId val="130233088"/>
      </c:scatterChart>
      <c:valAx>
        <c:axId val="130230912"/>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0233088"/>
        <c:crosses val="autoZero"/>
        <c:crossBetween val="midCat"/>
      </c:valAx>
      <c:valAx>
        <c:axId val="130233088"/>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0230912"/>
        <c:crosses val="autoZero"/>
        <c:crossBetween val="midCat"/>
      </c:valAx>
      <c:spPr>
        <a:ln>
          <a:solidFill>
            <a:schemeClr val="tx1"/>
          </a:solidFill>
        </a:ln>
      </c:spPr>
    </c:plotArea>
    <c:legend>
      <c:legendPos val="r"/>
      <c:layout>
        <c:manualLayout>
          <c:xMode val="edge"/>
          <c:yMode val="edge"/>
          <c:x val="0.69580358705161804"/>
          <c:y val="7.1013554812497701E-2"/>
          <c:w val="0.28342825896762902"/>
          <c:h val="0.32685003415668901"/>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trendline>
            <c:trendlineType val="linear"/>
            <c:dispRSqr val="1"/>
            <c:dispEq val="1"/>
            <c:trendlineLbl>
              <c:layout>
                <c:manualLayout>
                  <c:x val="-3.3425853018372698E-2"/>
                  <c:y val="5.0726638622226997E-2"/>
                </c:manualLayout>
              </c:layout>
              <c:numFmt formatCode="General" sourceLinked="0"/>
              <c:txPr>
                <a:bodyPr/>
                <a:lstStyle/>
                <a:p>
                  <a:pPr>
                    <a:defRPr>
                      <a:solidFill>
                        <a:srgbClr val="F0AF00"/>
                      </a:solidFill>
                    </a:defRPr>
                  </a:pPr>
                  <a:endParaRPr lang="en-US"/>
                </a:p>
              </c:txPr>
            </c:trendlineLbl>
          </c:trendline>
          <c:xVal>
            <c:numRef>
              <c:f>Drivers!$D$38:$K$38</c:f>
              <c:numCache>
                <c:formatCode>0.00</c:formatCode>
                <c:ptCount val="8"/>
                <c:pt idx="0">
                  <c:v>1590</c:v>
                </c:pt>
                <c:pt idx="1">
                  <c:v>4700</c:v>
                </c:pt>
                <c:pt idx="2">
                  <c:v>6130</c:v>
                </c:pt>
                <c:pt idx="3">
                  <c:v>7770</c:v>
                </c:pt>
                <c:pt idx="4">
                  <c:v>10915</c:v>
                </c:pt>
                <c:pt idx="5">
                  <c:v>13220</c:v>
                </c:pt>
                <c:pt idx="6">
                  <c:v>15900</c:v>
                </c:pt>
                <c:pt idx="7">
                  <c:v>20500</c:v>
                </c:pt>
              </c:numCache>
            </c:numRef>
          </c:xVal>
          <c:yVal>
            <c:numRef>
              <c:f>Drivers!$D$39:$K$39</c:f>
              <c:numCache>
                <c:formatCode>0.00</c:formatCode>
                <c:ptCount val="8"/>
                <c:pt idx="0">
                  <c:v>10370</c:v>
                </c:pt>
                <c:pt idx="1">
                  <c:v>7775</c:v>
                </c:pt>
                <c:pt idx="2">
                  <c:v>8500</c:v>
                </c:pt>
                <c:pt idx="3">
                  <c:v>7507</c:v>
                </c:pt>
                <c:pt idx="4">
                  <c:v>7205</c:v>
                </c:pt>
                <c:pt idx="5">
                  <c:v>7655</c:v>
                </c:pt>
                <c:pt idx="6">
                  <c:v>7395</c:v>
                </c:pt>
                <c:pt idx="7">
                  <c:v>7025</c:v>
                </c:pt>
              </c:numCache>
            </c:numRef>
          </c:yVal>
          <c:smooth val="0"/>
        </c:ser>
        <c:dLbls>
          <c:showLegendKey val="0"/>
          <c:showVal val="0"/>
          <c:showCatName val="0"/>
          <c:showSerName val="0"/>
          <c:showPercent val="0"/>
          <c:showBubbleSize val="0"/>
        </c:dLbls>
        <c:axId val="130262144"/>
        <c:axId val="130264064"/>
      </c:scatterChart>
      <c:valAx>
        <c:axId val="130262144"/>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0264064"/>
        <c:crosses val="autoZero"/>
        <c:crossBetween val="midCat"/>
      </c:valAx>
      <c:valAx>
        <c:axId val="130264064"/>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0262144"/>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058377077865299"/>
          <c:y val="6.0185185185185203E-2"/>
          <c:w val="0.77015223097112895"/>
          <c:h val="0.75401283172936695"/>
        </c:manualLayout>
      </c:layout>
      <c:scatterChart>
        <c:scatterStyle val="lineMarker"/>
        <c:varyColors val="0"/>
        <c:ser>
          <c:idx val="0"/>
          <c:order val="0"/>
          <c:tx>
            <c:v>100%  Load</c:v>
          </c:tx>
          <c:spPr>
            <a:ln w="47625">
              <a:noFill/>
            </a:ln>
            <a:effectLst/>
          </c:spPr>
          <c:marker>
            <c:symbol val="triangle"/>
            <c:size val="9"/>
            <c:spPr>
              <a:solidFill>
                <a:srgbClr val="FFCE30"/>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Drivers!$D$63:$L$63</c:f>
              <c:numCache>
                <c:formatCode>0.00</c:formatCode>
                <c:ptCount val="9"/>
                <c:pt idx="0">
                  <c:v>7027.2781546811384</c:v>
                </c:pt>
                <c:pt idx="1">
                  <c:v>6737.1611666438439</c:v>
                </c:pt>
                <c:pt idx="2">
                  <c:v>6447.3521282476504</c:v>
                </c:pt>
                <c:pt idx="3">
                  <c:v>6306.3424056189642</c:v>
                </c:pt>
                <c:pt idx="4">
                  <c:v>6257.6238805970152</c:v>
                </c:pt>
                <c:pt idx="5">
                  <c:v>6157.4802458296745</c:v>
                </c:pt>
                <c:pt idx="6">
                  <c:v>6372.3385810672653</c:v>
                </c:pt>
                <c:pt idx="7">
                  <c:v>5964.2977611940296</c:v>
                </c:pt>
                <c:pt idx="8">
                  <c:v>6280.6298507462679</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Drivers!$D$64:$L$64</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ser>
          <c:idx val="2"/>
          <c:order val="2"/>
          <c:tx>
            <c:v>50% Load</c:v>
          </c:tx>
          <c:spPr>
            <a:ln w="47625">
              <a:noFill/>
            </a:ln>
            <a:effectLst/>
          </c:spPr>
          <c:marker>
            <c:symbol val="circle"/>
            <c:size val="9"/>
            <c:spPr>
              <a:solidFill>
                <a:srgbClr val="01835F"/>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Drivers!$D$65:$L$65</c:f>
              <c:numCache>
                <c:formatCode>0.00</c:formatCode>
                <c:ptCount val="9"/>
                <c:pt idx="0">
                  <c:v>7897.322116689279</c:v>
                </c:pt>
                <c:pt idx="1">
                  <c:v>7969.7746131726681</c:v>
                </c:pt>
                <c:pt idx="2">
                  <c:v>6816.5837479270313</c:v>
                </c:pt>
                <c:pt idx="3">
                  <c:v>6712.3301141352067</c:v>
                </c:pt>
                <c:pt idx="4">
                  <c:v>6579.7074626865669</c:v>
                </c:pt>
                <c:pt idx="5">
                  <c:v>6482.2704126426688</c:v>
                </c:pt>
                <c:pt idx="6">
                  <c:v>6971.1241054998964</c:v>
                </c:pt>
                <c:pt idx="7">
                  <c:v>6338.1447761194022</c:v>
                </c:pt>
                <c:pt idx="8">
                  <c:v>6984.6125373134319</c:v>
                </c:pt>
              </c:numCache>
            </c:numRef>
          </c:yVal>
          <c:smooth val="0"/>
        </c:ser>
        <c:ser>
          <c:idx val="3"/>
          <c:order val="3"/>
          <c:tx>
            <c:v>Median</c:v>
          </c:tx>
          <c:spPr>
            <a:ln w="47625">
              <a:noFill/>
            </a:ln>
            <a:effectLst/>
          </c:spPr>
          <c:marker>
            <c:symbol val="square"/>
            <c:size val="9"/>
            <c:spPr>
              <a:solidFill>
                <a:srgbClr val="A4001D"/>
              </a:solidFill>
              <a:ln>
                <a:noFill/>
              </a:ln>
              <a:effectLst/>
            </c:spPr>
          </c:marker>
          <c:trendline>
            <c:trendlineType val="linear"/>
            <c:dispRSqr val="1"/>
            <c:dispEq val="1"/>
            <c:trendlineLbl>
              <c:layout>
                <c:manualLayout>
                  <c:x val="2.14267279090114E-2"/>
                  <c:y val="-0.290297827354914"/>
                </c:manualLayout>
              </c:layout>
              <c:numFmt formatCode="General" sourceLinked="0"/>
              <c:txPr>
                <a:bodyPr/>
                <a:lstStyle/>
                <a:p>
                  <a:pPr>
                    <a:defRPr>
                      <a:solidFill>
                        <a:srgbClr val="A4001D"/>
                      </a:solidFill>
                    </a:defRPr>
                  </a:pPr>
                  <a:endParaRPr lang="en-US"/>
                </a:p>
              </c:txPr>
            </c:trendlineLbl>
          </c:trendline>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Drivers!$D$66:$L$66</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dLbls>
          <c:showLegendKey val="0"/>
          <c:showVal val="0"/>
          <c:showCatName val="0"/>
          <c:showSerName val="0"/>
          <c:showPercent val="0"/>
          <c:showBubbleSize val="0"/>
        </c:dLbls>
        <c:axId val="130275200"/>
        <c:axId val="130277376"/>
      </c:scatterChart>
      <c:valAx>
        <c:axId val="130275200"/>
        <c:scaling>
          <c:orientation val="minMax"/>
        </c:scaling>
        <c:delete val="0"/>
        <c:axPos val="b"/>
        <c:title>
          <c:tx>
            <c:rich>
              <a:bodyPr/>
              <a:lstStyle/>
              <a:p>
                <a:pPr>
                  <a:defRPr b="0"/>
                </a:pPr>
                <a:r>
                  <a:rPr lang="en-US" b="0"/>
                  <a:t>Size of engine (bhp)</a:t>
                </a:r>
              </a:p>
            </c:rich>
          </c:tx>
          <c:layout>
            <c:manualLayout>
              <c:xMode val="edge"/>
              <c:yMode val="edge"/>
              <c:x val="0.39079615048118999"/>
              <c:y val="0.92592592592592604"/>
            </c:manualLayout>
          </c:layout>
          <c:overlay val="0"/>
        </c:title>
        <c:numFmt formatCode="0" sourceLinked="1"/>
        <c:majorTickMark val="out"/>
        <c:minorTickMark val="none"/>
        <c:tickLblPos val="nextTo"/>
        <c:spPr>
          <a:ln>
            <a:solidFill>
              <a:schemeClr val="tx1"/>
            </a:solidFill>
          </a:ln>
        </c:spPr>
        <c:crossAx val="130277376"/>
        <c:crosses val="autoZero"/>
        <c:crossBetween val="midCat"/>
      </c:valAx>
      <c:valAx>
        <c:axId val="130277376"/>
        <c:scaling>
          <c:orientation val="minMax"/>
          <c:min val="4000"/>
        </c:scaling>
        <c:delete val="0"/>
        <c:axPos val="l"/>
        <c:title>
          <c:tx>
            <c:rich>
              <a:bodyPr rot="-5400000" vert="horz"/>
              <a:lstStyle/>
              <a:p>
                <a:pPr>
                  <a:defRPr b="0"/>
                </a:pPr>
                <a:r>
                  <a:rPr lang="en-US" b="0"/>
                  <a:t>Btu LHV/bhp-hr</a:t>
                </a:r>
              </a:p>
            </c:rich>
          </c:tx>
          <c:layout>
            <c:manualLayout>
              <c:xMode val="edge"/>
              <c:yMode val="edge"/>
              <c:x val="1.6666666666666701E-2"/>
              <c:y val="0.25230242053076701"/>
            </c:manualLayout>
          </c:layout>
          <c:overlay val="0"/>
        </c:title>
        <c:numFmt formatCode="0" sourceLinked="0"/>
        <c:majorTickMark val="out"/>
        <c:minorTickMark val="none"/>
        <c:tickLblPos val="nextTo"/>
        <c:spPr>
          <a:ln>
            <a:solidFill>
              <a:schemeClr val="tx1"/>
            </a:solidFill>
          </a:ln>
        </c:spPr>
        <c:crossAx val="130275200"/>
        <c:crosses val="autoZero"/>
        <c:crossBetween val="midCat"/>
      </c:valAx>
      <c:spPr>
        <a:ln>
          <a:solidFill>
            <a:schemeClr val="tx1"/>
          </a:solidFill>
        </a:ln>
      </c:spPr>
    </c:plotArea>
    <c:legend>
      <c:legendPos val="r"/>
      <c:layout>
        <c:manualLayout>
          <c:xMode val="edge"/>
          <c:yMode val="edge"/>
          <c:x val="0.150272965879265"/>
          <c:y val="0.60745333916593802"/>
          <c:w val="0.82787270341207297"/>
          <c:h val="0.192014800233304"/>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78284795386492"/>
          <c:y val="2.80998048320883E-2"/>
          <c:w val="0.76882742782152202"/>
          <c:h val="0.83859781950333101"/>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Drivers!$D$96:$P$96</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ser>
          <c:idx val="1"/>
          <c:order val="1"/>
          <c:tx>
            <c:v>Median</c:v>
          </c:tx>
          <c:spPr>
            <a:ln w="47625">
              <a:noFill/>
            </a:ln>
            <a:effectLst/>
          </c:spPr>
          <c:marker>
            <c:symbol val="square"/>
            <c:size val="9"/>
            <c:spPr>
              <a:solidFill>
                <a:srgbClr val="A4001D"/>
              </a:solidFill>
              <a:ln>
                <a:noFill/>
              </a:ln>
              <a:effectLst/>
            </c:spPr>
          </c:marker>
          <c:trendline>
            <c:trendlineType val="power"/>
            <c:dispRSqr val="1"/>
            <c:dispEq val="1"/>
            <c:trendlineLbl>
              <c:layout>
                <c:manualLayout>
                  <c:x val="8.34297395517868E-2"/>
                  <c:y val="-0.16544754021131999"/>
                </c:manualLayout>
              </c:layout>
              <c:numFmt formatCode="General" sourceLinked="0"/>
              <c:txPr>
                <a:bodyPr/>
                <a:lstStyle/>
                <a:p>
                  <a:pPr>
                    <a:defRPr>
                      <a:solidFill>
                        <a:srgbClr val="A4001D"/>
                      </a:solidFill>
                    </a:defRPr>
                  </a:pPr>
                  <a:endParaRPr lang="en-US"/>
                </a:p>
              </c:txPr>
            </c:trendlineLbl>
          </c:trendline>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Drivers!$D$97:$P$97</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dLbls>
          <c:showLegendKey val="0"/>
          <c:showVal val="0"/>
          <c:showCatName val="0"/>
          <c:showSerName val="0"/>
          <c:showPercent val="0"/>
          <c:showBubbleSize val="0"/>
        </c:dLbls>
        <c:axId val="130332160"/>
        <c:axId val="130334080"/>
      </c:scatterChart>
      <c:valAx>
        <c:axId val="130332160"/>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0334080"/>
        <c:crosses val="autoZero"/>
        <c:crossBetween val="midCat"/>
      </c:valAx>
      <c:valAx>
        <c:axId val="130334080"/>
        <c:scaling>
          <c:orientation val="minMax"/>
          <c:max val="3500"/>
          <c:min val="2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0332160"/>
        <c:crosses val="autoZero"/>
        <c:crossBetween val="midCat"/>
      </c:valAx>
      <c:spPr>
        <a:ln>
          <a:solidFill>
            <a:schemeClr val="tx1"/>
          </a:solidFill>
        </a:ln>
      </c:spPr>
    </c:plotArea>
    <c:legend>
      <c:legendPos val="r"/>
      <c:layout>
        <c:manualLayout>
          <c:xMode val="edge"/>
          <c:yMode val="edge"/>
          <c:x val="0.16988887656648599"/>
          <c:y val="0.64227124006759395"/>
          <c:w val="0.74278717977154296"/>
          <c:h val="0.15837953474993699"/>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423330</xdr:colOff>
      <xdr:row>6</xdr:row>
      <xdr:rowOff>72363</xdr:rowOff>
    </xdr:from>
    <xdr:to>
      <xdr:col>17</xdr:col>
      <xdr:colOff>187324</xdr:colOff>
      <xdr:row>23</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228599</xdr:colOff>
      <xdr:row>26</xdr:row>
      <xdr:rowOff>133350</xdr:rowOff>
    </xdr:from>
    <xdr:to>
      <xdr:col>17</xdr:col>
      <xdr:colOff>152400</xdr:colOff>
      <xdr:row>41</xdr:row>
      <xdr:rowOff>80037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200024</xdr:colOff>
      <xdr:row>137</xdr:row>
      <xdr:rowOff>157691</xdr:rowOff>
    </xdr:from>
    <xdr:to>
      <xdr:col>12</xdr:col>
      <xdr:colOff>49742</xdr:colOff>
      <xdr:row>141</xdr:row>
      <xdr:rowOff>9525</xdr:rowOff>
    </xdr:to>
    <xdr:sp macro="" textlink="">
      <xdr:nvSpPr>
        <xdr:cNvPr id="2" name="Left Arrow 1"/>
        <xdr:cNvSpPr/>
      </xdr:nvSpPr>
      <xdr:spPr>
        <a:xfrm>
          <a:off x="6515099" y="24808391"/>
          <a:ext cx="1135593" cy="632884"/>
        </a:xfrm>
        <a:prstGeom prst="leftArrow">
          <a:avLst/>
        </a:prstGeom>
        <a:solidFill>
          <a:srgbClr val="A4001D"/>
        </a:solidFill>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US" sz="1100" b="1">
              <a:latin typeface="Helvetica" pitchFamily="34" charset="0"/>
              <a:cs typeface="Helvetica" pitchFamily="34" charset="0"/>
            </a:rPr>
            <a:t>Error</a:t>
          </a:r>
          <a:r>
            <a:rPr lang="en-US" sz="1100" b="1" baseline="0">
              <a:latin typeface="Helvetica" pitchFamily="34" charset="0"/>
              <a:cs typeface="Helvetica" pitchFamily="34" charset="0"/>
            </a:rPr>
            <a:t> check</a:t>
          </a:r>
          <a:endParaRPr lang="en-US" sz="1100" b="1">
            <a:latin typeface="Helvetica" pitchFamily="34" charset="0"/>
            <a:cs typeface="Helvetic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89</xdr:row>
          <xdr:rowOff>142875</xdr:rowOff>
        </xdr:from>
        <xdr:to>
          <xdr:col>7</xdr:col>
          <xdr:colOff>0</xdr:colOff>
          <xdr:row>92</xdr:row>
          <xdr:rowOff>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twoCellAnchor>
    <xdr:from>
      <xdr:col>3</xdr:col>
      <xdr:colOff>561975</xdr:colOff>
      <xdr:row>90</xdr:row>
      <xdr:rowOff>44450</xdr:rowOff>
    </xdr:from>
    <xdr:to>
      <xdr:col>5</xdr:col>
      <xdr:colOff>190500</xdr:colOff>
      <xdr:row>91</xdr:row>
      <xdr:rowOff>120650</xdr:rowOff>
    </xdr:to>
    <xdr:sp macro="" textlink="">
      <xdr:nvSpPr>
        <xdr:cNvPr id="3" name="Right Arrow 2"/>
        <xdr:cNvSpPr/>
      </xdr:nvSpPr>
      <xdr:spPr>
        <a:xfrm>
          <a:off x="2895600" y="17198975"/>
          <a:ext cx="1114425" cy="238125"/>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104775</xdr:colOff>
          <xdr:row>1</xdr:row>
          <xdr:rowOff>9525</xdr:rowOff>
        </xdr:from>
        <xdr:to>
          <xdr:col>4</xdr:col>
          <xdr:colOff>657225</xdr:colOff>
          <xdr:row>1</xdr:row>
          <xdr:rowOff>352425</xdr:rowOff>
        </xdr:to>
        <xdr:sp macro="" textlink="">
          <xdr:nvSpPr>
            <xdr:cNvPr id="86019" name="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711200</xdr:colOff>
      <xdr:row>165</xdr:row>
      <xdr:rowOff>139700</xdr:rowOff>
    </xdr:from>
    <xdr:to>
      <xdr:col>5</xdr:col>
      <xdr:colOff>393700</xdr:colOff>
      <xdr:row>168</xdr:row>
      <xdr:rowOff>63500</xdr:rowOff>
    </xdr:to>
    <xdr:sp macro="" textlink="">
      <xdr:nvSpPr>
        <xdr:cNvPr id="2" name="Rounded Rectangle 1"/>
        <xdr:cNvSpPr/>
      </xdr:nvSpPr>
      <xdr:spPr>
        <a:xfrm>
          <a:off x="3111500" y="31877000"/>
          <a:ext cx="14478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Gathering</a:t>
          </a:r>
        </a:p>
      </xdr:txBody>
    </xdr:sp>
    <xdr:clientData/>
  </xdr:twoCellAnchor>
  <xdr:twoCellAnchor>
    <xdr:from>
      <xdr:col>0</xdr:col>
      <xdr:colOff>431800</xdr:colOff>
      <xdr:row>165</xdr:row>
      <xdr:rowOff>139700</xdr:rowOff>
    </xdr:from>
    <xdr:to>
      <xdr:col>2</xdr:col>
      <xdr:colOff>290285</xdr:colOff>
      <xdr:row>168</xdr:row>
      <xdr:rowOff>38100</xdr:rowOff>
    </xdr:to>
    <xdr:sp macro="" textlink="">
      <xdr:nvSpPr>
        <xdr:cNvPr id="3" name="Oval 2"/>
        <xdr:cNvSpPr/>
      </xdr:nvSpPr>
      <xdr:spPr>
        <a:xfrm>
          <a:off x="431800" y="31877000"/>
          <a:ext cx="1458685" cy="46990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Well</a:t>
          </a:r>
          <a:r>
            <a:rPr lang="en-US" sz="1000" baseline="0">
              <a:latin typeface="Helvitica"/>
            </a:rPr>
            <a:t>head</a:t>
          </a:r>
          <a:endParaRPr lang="en-US" sz="1000">
            <a:latin typeface="Helvitica"/>
          </a:endParaRPr>
        </a:p>
      </xdr:txBody>
    </xdr:sp>
    <xdr:clientData/>
  </xdr:twoCellAnchor>
  <xdr:twoCellAnchor>
    <xdr:from>
      <xdr:col>6</xdr:col>
      <xdr:colOff>444500</xdr:colOff>
      <xdr:row>165</xdr:row>
      <xdr:rowOff>127000</xdr:rowOff>
    </xdr:from>
    <xdr:to>
      <xdr:col>8</xdr:col>
      <xdr:colOff>127000</xdr:colOff>
      <xdr:row>168</xdr:row>
      <xdr:rowOff>50800</xdr:rowOff>
    </xdr:to>
    <xdr:sp macro="" textlink="">
      <xdr:nvSpPr>
        <xdr:cNvPr id="4" name="Rounded Rectangle 3"/>
        <xdr:cNvSpPr/>
      </xdr:nvSpPr>
      <xdr:spPr>
        <a:xfrm>
          <a:off x="4432300" y="31864300"/>
          <a:ext cx="8763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Helvitica"/>
            </a:rPr>
            <a:t>P</a:t>
          </a:r>
          <a:r>
            <a:rPr lang="en-US" sz="1000">
              <a:latin typeface="Helvitica"/>
            </a:rPr>
            <a:t>roduction</a:t>
          </a:r>
          <a:r>
            <a:rPr lang="en-US" sz="1000" baseline="0">
              <a:latin typeface="Helvitica"/>
            </a:rPr>
            <a:t> separator</a:t>
          </a:r>
          <a:endParaRPr lang="en-US" sz="1000">
            <a:latin typeface="Helvitica"/>
          </a:endParaRPr>
        </a:p>
      </xdr:txBody>
    </xdr:sp>
    <xdr:clientData/>
  </xdr:twoCellAnchor>
  <xdr:twoCellAnchor>
    <xdr:from>
      <xdr:col>12</xdr:col>
      <xdr:colOff>474889</xdr:colOff>
      <xdr:row>165</xdr:row>
      <xdr:rowOff>139699</xdr:rowOff>
    </xdr:from>
    <xdr:to>
      <xdr:col>14</xdr:col>
      <xdr:colOff>162832</xdr:colOff>
      <xdr:row>168</xdr:row>
      <xdr:rowOff>63499</xdr:rowOff>
    </xdr:to>
    <xdr:sp macro="" textlink="">
      <xdr:nvSpPr>
        <xdr:cNvPr id="5" name="Rounded Rectangle 4"/>
        <xdr:cNvSpPr/>
      </xdr:nvSpPr>
      <xdr:spPr>
        <a:xfrm>
          <a:off x="10241189" y="31876999"/>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Dehyd./ desalting</a:t>
          </a:r>
        </a:p>
      </xdr:txBody>
    </xdr:sp>
    <xdr:clientData/>
  </xdr:twoCellAnchor>
  <xdr:twoCellAnchor>
    <xdr:from>
      <xdr:col>9</xdr:col>
      <xdr:colOff>585108</xdr:colOff>
      <xdr:row>165</xdr:row>
      <xdr:rowOff>127000</xdr:rowOff>
    </xdr:from>
    <xdr:to>
      <xdr:col>11</xdr:col>
      <xdr:colOff>273051</xdr:colOff>
      <xdr:row>168</xdr:row>
      <xdr:rowOff>50800</xdr:rowOff>
    </xdr:to>
    <xdr:sp macro="" textlink="">
      <xdr:nvSpPr>
        <xdr:cNvPr id="6" name="Rounded Rectangle 5"/>
        <xdr:cNvSpPr/>
      </xdr:nvSpPr>
      <xdr:spPr>
        <a:xfrm>
          <a:off x="7951108" y="31864300"/>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H2S</a:t>
          </a:r>
          <a:r>
            <a:rPr lang="en-US" sz="1000" baseline="0">
              <a:latin typeface="Helvitica"/>
            </a:rPr>
            <a:t> removal</a:t>
          </a:r>
          <a:endParaRPr lang="en-US" sz="1000">
            <a:latin typeface="Helvitica"/>
          </a:endParaRPr>
        </a:p>
      </xdr:txBody>
    </xdr:sp>
    <xdr:clientData/>
  </xdr:twoCellAnchor>
  <xdr:twoCellAnchor>
    <xdr:from>
      <xdr:col>15</xdr:col>
      <xdr:colOff>527846</xdr:colOff>
      <xdr:row>165</xdr:row>
      <xdr:rowOff>127000</xdr:rowOff>
    </xdr:from>
    <xdr:to>
      <xdr:col>17</xdr:col>
      <xdr:colOff>210346</xdr:colOff>
      <xdr:row>168</xdr:row>
      <xdr:rowOff>50800</xdr:rowOff>
    </xdr:to>
    <xdr:sp macro="" textlink="">
      <xdr:nvSpPr>
        <xdr:cNvPr id="7" name="Rounded Rectangle 6"/>
        <xdr:cNvSpPr/>
      </xdr:nvSpPr>
      <xdr:spPr>
        <a:xfrm>
          <a:off x="12694446" y="31864300"/>
          <a:ext cx="12827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Stabilizer</a:t>
          </a:r>
        </a:p>
      </xdr:txBody>
    </xdr:sp>
    <xdr:clientData/>
  </xdr:twoCellAnchor>
  <xdr:twoCellAnchor>
    <xdr:from>
      <xdr:col>2</xdr:col>
      <xdr:colOff>290285</xdr:colOff>
      <xdr:row>166</xdr:row>
      <xdr:rowOff>184150</xdr:rowOff>
    </xdr:from>
    <xdr:to>
      <xdr:col>3</xdr:col>
      <xdr:colOff>711200</xdr:colOff>
      <xdr:row>167</xdr:row>
      <xdr:rowOff>6350</xdr:rowOff>
    </xdr:to>
    <xdr:cxnSp macro="">
      <xdr:nvCxnSpPr>
        <xdr:cNvPr id="16" name="Straight Arrow Connector 15"/>
        <xdr:cNvCxnSpPr>
          <a:stCxn id="3" idx="6"/>
          <a:endCxn id="2" idx="1"/>
        </xdr:cNvCxnSpPr>
      </xdr:nvCxnSpPr>
      <xdr:spPr>
        <a:xfrm>
          <a:off x="1890485" y="32111950"/>
          <a:ext cx="1221015"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393700</xdr:colOff>
      <xdr:row>166</xdr:row>
      <xdr:rowOff>184150</xdr:rowOff>
    </xdr:from>
    <xdr:to>
      <xdr:col>6</xdr:col>
      <xdr:colOff>444500</xdr:colOff>
      <xdr:row>167</xdr:row>
      <xdr:rowOff>6350</xdr:rowOff>
    </xdr:to>
    <xdr:cxnSp macro="">
      <xdr:nvCxnSpPr>
        <xdr:cNvPr id="18" name="Straight Arrow Connector 17"/>
        <xdr:cNvCxnSpPr>
          <a:stCxn id="2" idx="3"/>
          <a:endCxn id="4" idx="1"/>
        </xdr:cNvCxnSpPr>
      </xdr:nvCxnSpPr>
      <xdr:spPr>
        <a:xfrm flipV="1">
          <a:off x="3784600" y="32111950"/>
          <a:ext cx="647700"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127000</xdr:colOff>
      <xdr:row>166</xdr:row>
      <xdr:rowOff>184150</xdr:rowOff>
    </xdr:from>
    <xdr:to>
      <xdr:col>9</xdr:col>
      <xdr:colOff>585108</xdr:colOff>
      <xdr:row>166</xdr:row>
      <xdr:rowOff>184150</xdr:rowOff>
    </xdr:to>
    <xdr:cxnSp macro="">
      <xdr:nvCxnSpPr>
        <xdr:cNvPr id="20" name="Straight Arrow Connector 19"/>
        <xdr:cNvCxnSpPr>
          <a:stCxn id="4" idx="3"/>
          <a:endCxn id="6" idx="1"/>
        </xdr:cNvCxnSpPr>
      </xdr:nvCxnSpPr>
      <xdr:spPr>
        <a:xfrm>
          <a:off x="5308600" y="32111950"/>
          <a:ext cx="105500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273051</xdr:colOff>
      <xdr:row>166</xdr:row>
      <xdr:rowOff>184150</xdr:rowOff>
    </xdr:from>
    <xdr:to>
      <xdr:col>12</xdr:col>
      <xdr:colOff>474889</xdr:colOff>
      <xdr:row>167</xdr:row>
      <xdr:rowOff>6349</xdr:rowOff>
    </xdr:to>
    <xdr:cxnSp macro="">
      <xdr:nvCxnSpPr>
        <xdr:cNvPr id="22" name="Straight Arrow Connector 21"/>
        <xdr:cNvCxnSpPr>
          <a:stCxn id="6" idx="3"/>
          <a:endCxn id="5" idx="1"/>
        </xdr:cNvCxnSpPr>
      </xdr:nvCxnSpPr>
      <xdr:spPr>
        <a:xfrm>
          <a:off x="9239251" y="32111950"/>
          <a:ext cx="1001938" cy="1269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629443</xdr:colOff>
      <xdr:row>162</xdr:row>
      <xdr:rowOff>48419</xdr:rowOff>
    </xdr:from>
    <xdr:to>
      <xdr:col>13</xdr:col>
      <xdr:colOff>634998</xdr:colOff>
      <xdr:row>165</xdr:row>
      <xdr:rowOff>148771</xdr:rowOff>
    </xdr:to>
    <xdr:cxnSp macro="">
      <xdr:nvCxnSpPr>
        <xdr:cNvPr id="33" name="Straight Arrow Connector 32"/>
        <xdr:cNvCxnSpPr/>
      </xdr:nvCxnSpPr>
      <xdr:spPr>
        <a:xfrm>
          <a:off x="11195843" y="31214219"/>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162832</xdr:colOff>
      <xdr:row>166</xdr:row>
      <xdr:rowOff>184150</xdr:rowOff>
    </xdr:from>
    <xdr:to>
      <xdr:col>15</xdr:col>
      <xdr:colOff>527846</xdr:colOff>
      <xdr:row>167</xdr:row>
      <xdr:rowOff>6349</xdr:rowOff>
    </xdr:to>
    <xdr:cxnSp macro="">
      <xdr:nvCxnSpPr>
        <xdr:cNvPr id="10" name="Straight Arrow Connector 9"/>
        <xdr:cNvCxnSpPr>
          <a:stCxn id="5" idx="3"/>
          <a:endCxn id="7" idx="1"/>
        </xdr:cNvCxnSpPr>
      </xdr:nvCxnSpPr>
      <xdr:spPr>
        <a:xfrm flipV="1">
          <a:off x="11529332" y="32111950"/>
          <a:ext cx="1165114" cy="12699"/>
        </a:xfrm>
        <a:prstGeom prst="straightConnector1">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210346</xdr:colOff>
      <xdr:row>166</xdr:row>
      <xdr:rowOff>177007</xdr:rowOff>
    </xdr:from>
    <xdr:to>
      <xdr:col>19</xdr:col>
      <xdr:colOff>34924</xdr:colOff>
      <xdr:row>166</xdr:row>
      <xdr:rowOff>178198</xdr:rowOff>
    </xdr:to>
    <xdr:cxnSp macro="">
      <xdr:nvCxnSpPr>
        <xdr:cNvPr id="9" name="Straight Arrow Connector 8"/>
        <xdr:cNvCxnSpPr>
          <a:stCxn id="7" idx="3"/>
        </xdr:cNvCxnSpPr>
      </xdr:nvCxnSpPr>
      <xdr:spPr>
        <a:xfrm flipV="1">
          <a:off x="13977146" y="32104807"/>
          <a:ext cx="1424778" cy="119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203</xdr:row>
      <xdr:rowOff>11907</xdr:rowOff>
    </xdr:from>
    <xdr:to>
      <xdr:col>6</xdr:col>
      <xdr:colOff>11906</xdr:colOff>
      <xdr:row>203</xdr:row>
      <xdr:rowOff>11907</xdr:rowOff>
    </xdr:to>
    <xdr:cxnSp macro="">
      <xdr:nvCxnSpPr>
        <xdr:cNvPr id="11" name="Straight Arrow Connector 10"/>
        <xdr:cNvCxnSpPr/>
      </xdr:nvCxnSpPr>
      <xdr:spPr>
        <a:xfrm flipH="1">
          <a:off x="2762250" y="34980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333376</xdr:colOff>
      <xdr:row>206</xdr:row>
      <xdr:rowOff>23812</xdr:rowOff>
    </xdr:from>
    <xdr:to>
      <xdr:col>3</xdr:col>
      <xdr:colOff>1</xdr:colOff>
      <xdr:row>206</xdr:row>
      <xdr:rowOff>23812</xdr:rowOff>
    </xdr:to>
    <xdr:cxnSp macro="">
      <xdr:nvCxnSpPr>
        <xdr:cNvPr id="13" name="Straight Arrow Connector 12"/>
        <xdr:cNvCxnSpPr/>
      </xdr:nvCxnSpPr>
      <xdr:spPr>
        <a:xfrm>
          <a:off x="1023939" y="33885187"/>
          <a:ext cx="10477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404812</xdr:colOff>
      <xdr:row>198</xdr:row>
      <xdr:rowOff>11906</xdr:rowOff>
    </xdr:from>
    <xdr:to>
      <xdr:col>5</xdr:col>
      <xdr:colOff>404812</xdr:colOff>
      <xdr:row>210</xdr:row>
      <xdr:rowOff>35718</xdr:rowOff>
    </xdr:to>
    <xdr:cxnSp macro="">
      <xdr:nvCxnSpPr>
        <xdr:cNvPr id="34" name="Straight Connector 33"/>
        <xdr:cNvCxnSpPr/>
      </xdr:nvCxnSpPr>
      <xdr:spPr>
        <a:xfrm>
          <a:off x="3857625" y="33956625"/>
          <a:ext cx="0" cy="2476499"/>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404812</xdr:colOff>
      <xdr:row>210</xdr:row>
      <xdr:rowOff>23813</xdr:rowOff>
    </xdr:from>
    <xdr:to>
      <xdr:col>6</xdr:col>
      <xdr:colOff>11906</xdr:colOff>
      <xdr:row>210</xdr:row>
      <xdr:rowOff>23813</xdr:rowOff>
    </xdr:to>
    <xdr:cxnSp macro="">
      <xdr:nvCxnSpPr>
        <xdr:cNvPr id="36" name="Straight Arrow Connector 35"/>
        <xdr:cNvCxnSpPr/>
      </xdr:nvCxnSpPr>
      <xdr:spPr>
        <a:xfrm>
          <a:off x="3857625" y="36421219"/>
          <a:ext cx="297656" cy="0"/>
        </a:xfrm>
        <a:prstGeom prst="straightConnector1">
          <a:avLst/>
        </a:prstGeom>
        <a:ln w="25400">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345281</xdr:colOff>
      <xdr:row>196</xdr:row>
      <xdr:rowOff>130969</xdr:rowOff>
    </xdr:from>
    <xdr:to>
      <xdr:col>3</xdr:col>
      <xdr:colOff>345281</xdr:colOff>
      <xdr:row>200</xdr:row>
      <xdr:rowOff>190502</xdr:rowOff>
    </xdr:to>
    <xdr:cxnSp macro="">
      <xdr:nvCxnSpPr>
        <xdr:cNvPr id="39" name="Straight Connector 38"/>
        <xdr:cNvCxnSpPr/>
      </xdr:nvCxnSpPr>
      <xdr:spPr>
        <a:xfrm flipV="1">
          <a:off x="2416969" y="33670875"/>
          <a:ext cx="0" cy="86915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333375</xdr:colOff>
      <xdr:row>196</xdr:row>
      <xdr:rowOff>119060</xdr:rowOff>
    </xdr:from>
    <xdr:to>
      <xdr:col>5</xdr:col>
      <xdr:colOff>11906</xdr:colOff>
      <xdr:row>196</xdr:row>
      <xdr:rowOff>119060</xdr:rowOff>
    </xdr:to>
    <xdr:cxnSp macro="">
      <xdr:nvCxnSpPr>
        <xdr:cNvPr id="41" name="Straight Arrow Connector 40"/>
        <xdr:cNvCxnSpPr/>
      </xdr:nvCxnSpPr>
      <xdr:spPr>
        <a:xfrm>
          <a:off x="2405063" y="33658966"/>
          <a:ext cx="1059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666754</xdr:colOff>
      <xdr:row>206</xdr:row>
      <xdr:rowOff>95250</xdr:rowOff>
    </xdr:from>
    <xdr:to>
      <xdr:col>6</xdr:col>
      <xdr:colOff>666754</xdr:colOff>
      <xdr:row>209</xdr:row>
      <xdr:rowOff>0</xdr:rowOff>
    </xdr:to>
    <xdr:cxnSp macro="">
      <xdr:nvCxnSpPr>
        <xdr:cNvPr id="44" name="Straight Arrow Connector 43"/>
        <xdr:cNvCxnSpPr/>
      </xdr:nvCxnSpPr>
      <xdr:spPr>
        <a:xfrm flipV="1">
          <a:off x="4810129" y="35671125"/>
          <a:ext cx="0" cy="52387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685799</xdr:colOff>
      <xdr:row>211</xdr:row>
      <xdr:rowOff>11906</xdr:rowOff>
    </xdr:from>
    <xdr:to>
      <xdr:col>6</xdr:col>
      <xdr:colOff>685799</xdr:colOff>
      <xdr:row>213</xdr:row>
      <xdr:rowOff>47625</xdr:rowOff>
    </xdr:to>
    <xdr:cxnSp macro="">
      <xdr:nvCxnSpPr>
        <xdr:cNvPr id="46" name="Straight Connector 45"/>
        <xdr:cNvCxnSpPr/>
      </xdr:nvCxnSpPr>
      <xdr:spPr>
        <a:xfrm>
          <a:off x="4800599" y="41261506"/>
          <a:ext cx="0" cy="44211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678656</xdr:colOff>
      <xdr:row>213</xdr:row>
      <xdr:rowOff>59531</xdr:rowOff>
    </xdr:from>
    <xdr:to>
      <xdr:col>10</xdr:col>
      <xdr:colOff>11906</xdr:colOff>
      <xdr:row>213</xdr:row>
      <xdr:rowOff>59531</xdr:rowOff>
    </xdr:to>
    <xdr:cxnSp macro="">
      <xdr:nvCxnSpPr>
        <xdr:cNvPr id="48" name="Straight Arrow Connector 47"/>
        <xdr:cNvCxnSpPr/>
      </xdr:nvCxnSpPr>
      <xdr:spPr>
        <a:xfrm>
          <a:off x="4822031" y="37064156"/>
          <a:ext cx="2143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203</xdr:row>
      <xdr:rowOff>11907</xdr:rowOff>
    </xdr:from>
    <xdr:to>
      <xdr:col>8</xdr:col>
      <xdr:colOff>11906</xdr:colOff>
      <xdr:row>203</xdr:row>
      <xdr:rowOff>11908</xdr:rowOff>
    </xdr:to>
    <xdr:cxnSp macro="">
      <xdr:nvCxnSpPr>
        <xdr:cNvPr id="50" name="Straight Arrow Connector 49"/>
        <xdr:cNvCxnSpPr/>
      </xdr:nvCxnSpPr>
      <xdr:spPr>
        <a:xfrm flipH="1" flipV="1">
          <a:off x="4833937" y="34980563"/>
          <a:ext cx="702469"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0</xdr:colOff>
      <xdr:row>203</xdr:row>
      <xdr:rowOff>11907</xdr:rowOff>
    </xdr:from>
    <xdr:to>
      <xdr:col>10</xdr:col>
      <xdr:colOff>0</xdr:colOff>
      <xdr:row>203</xdr:row>
      <xdr:rowOff>11907</xdr:rowOff>
    </xdr:to>
    <xdr:cxnSp macro="">
      <xdr:nvCxnSpPr>
        <xdr:cNvPr id="53" name="Straight Arrow Connector 52"/>
        <xdr:cNvCxnSpPr/>
      </xdr:nvCxnSpPr>
      <xdr:spPr>
        <a:xfrm flipH="1">
          <a:off x="6215063" y="34980563"/>
          <a:ext cx="73818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214</xdr:row>
      <xdr:rowOff>11904</xdr:rowOff>
    </xdr:from>
    <xdr:to>
      <xdr:col>12</xdr:col>
      <xdr:colOff>11906</xdr:colOff>
      <xdr:row>214</xdr:row>
      <xdr:rowOff>11904</xdr:rowOff>
    </xdr:to>
    <xdr:cxnSp macro="">
      <xdr:nvCxnSpPr>
        <xdr:cNvPr id="55" name="Straight Arrow Connector 54"/>
        <xdr:cNvCxnSpPr/>
      </xdr:nvCxnSpPr>
      <xdr:spPr>
        <a:xfrm>
          <a:off x="7643813" y="37218935"/>
          <a:ext cx="750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214</xdr:row>
      <xdr:rowOff>0</xdr:rowOff>
    </xdr:from>
    <xdr:to>
      <xdr:col>13</xdr:col>
      <xdr:colOff>304800</xdr:colOff>
      <xdr:row>214</xdr:row>
      <xdr:rowOff>1</xdr:rowOff>
    </xdr:to>
    <xdr:cxnSp macro="">
      <xdr:nvCxnSpPr>
        <xdr:cNvPr id="64" name="Straight Connector 63"/>
        <xdr:cNvCxnSpPr/>
      </xdr:nvCxnSpPr>
      <xdr:spPr>
        <a:xfrm flipV="1">
          <a:off x="7972425" y="40967025"/>
          <a:ext cx="304800" cy="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297656</xdr:colOff>
      <xdr:row>203</xdr:row>
      <xdr:rowOff>190499</xdr:rowOff>
    </xdr:from>
    <xdr:to>
      <xdr:col>13</xdr:col>
      <xdr:colOff>297656</xdr:colOff>
      <xdr:row>214</xdr:row>
      <xdr:rowOff>0</xdr:rowOff>
    </xdr:to>
    <xdr:cxnSp macro="">
      <xdr:nvCxnSpPr>
        <xdr:cNvPr id="66" name="Straight Connector 65"/>
        <xdr:cNvCxnSpPr/>
      </xdr:nvCxnSpPr>
      <xdr:spPr>
        <a:xfrm flipV="1">
          <a:off x="8270081" y="39052499"/>
          <a:ext cx="0" cy="191452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285750</xdr:colOff>
      <xdr:row>204</xdr:row>
      <xdr:rowOff>9525</xdr:rowOff>
    </xdr:from>
    <xdr:to>
      <xdr:col>14</xdr:col>
      <xdr:colOff>9525</xdr:colOff>
      <xdr:row>204</xdr:row>
      <xdr:rowOff>9526</xdr:rowOff>
    </xdr:to>
    <xdr:cxnSp macro="">
      <xdr:nvCxnSpPr>
        <xdr:cNvPr id="68" name="Straight Arrow Connector 67"/>
        <xdr:cNvCxnSpPr/>
      </xdr:nvCxnSpPr>
      <xdr:spPr>
        <a:xfrm flipV="1">
          <a:off x="8258175" y="39062025"/>
          <a:ext cx="276225"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208</xdr:row>
      <xdr:rowOff>11904</xdr:rowOff>
    </xdr:from>
    <xdr:to>
      <xdr:col>16</xdr:col>
      <xdr:colOff>11906</xdr:colOff>
      <xdr:row>208</xdr:row>
      <xdr:rowOff>11904</xdr:rowOff>
    </xdr:to>
    <xdr:cxnSp macro="">
      <xdr:nvCxnSpPr>
        <xdr:cNvPr id="70" name="Straight Arrow Connector 69"/>
        <xdr:cNvCxnSpPr/>
      </xdr:nvCxnSpPr>
      <xdr:spPr>
        <a:xfrm>
          <a:off x="10501313" y="36004498"/>
          <a:ext cx="70246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206</xdr:row>
      <xdr:rowOff>11907</xdr:rowOff>
    </xdr:from>
    <xdr:to>
      <xdr:col>16</xdr:col>
      <xdr:colOff>357188</xdr:colOff>
      <xdr:row>207</xdr:row>
      <xdr:rowOff>1</xdr:rowOff>
    </xdr:to>
    <xdr:cxnSp macro="">
      <xdr:nvCxnSpPr>
        <xdr:cNvPr id="72" name="Elbow Connector 71"/>
        <xdr:cNvCxnSpPr/>
      </xdr:nvCxnSpPr>
      <xdr:spPr>
        <a:xfrm rot="10800000">
          <a:off x="10501313" y="35587782"/>
          <a:ext cx="1047750" cy="202407"/>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381001</xdr:colOff>
      <xdr:row>209</xdr:row>
      <xdr:rowOff>11905</xdr:rowOff>
    </xdr:from>
    <xdr:to>
      <xdr:col>16</xdr:col>
      <xdr:colOff>381001</xdr:colOff>
      <xdr:row>216</xdr:row>
      <xdr:rowOff>71436</xdr:rowOff>
    </xdr:to>
    <xdr:cxnSp macro="">
      <xdr:nvCxnSpPr>
        <xdr:cNvPr id="88" name="Elbow Connector 87"/>
        <xdr:cNvCxnSpPr/>
      </xdr:nvCxnSpPr>
      <xdr:spPr>
        <a:xfrm rot="10800000" flipV="1">
          <a:off x="8763001" y="36206905"/>
          <a:ext cx="2809875" cy="1476375"/>
        </a:xfrm>
        <a:prstGeom prst="bentConnector3">
          <a:avLst>
            <a:gd name="adj1" fmla="val -424"/>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381000</xdr:colOff>
      <xdr:row>215</xdr:row>
      <xdr:rowOff>11906</xdr:rowOff>
    </xdr:from>
    <xdr:to>
      <xdr:col>12</xdr:col>
      <xdr:colOff>381000</xdr:colOff>
      <xdr:row>216</xdr:row>
      <xdr:rowOff>83343</xdr:rowOff>
    </xdr:to>
    <xdr:cxnSp macro="">
      <xdr:nvCxnSpPr>
        <xdr:cNvPr id="93" name="Straight Arrow Connector 92"/>
        <xdr:cNvCxnSpPr/>
      </xdr:nvCxnSpPr>
      <xdr:spPr>
        <a:xfrm flipV="1">
          <a:off x="8763000" y="36516469"/>
          <a:ext cx="0" cy="2738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380999</xdr:colOff>
      <xdr:row>205</xdr:row>
      <xdr:rowOff>11906</xdr:rowOff>
    </xdr:from>
    <xdr:to>
      <xdr:col>12</xdr:col>
      <xdr:colOff>380999</xdr:colOff>
      <xdr:row>213</xdr:row>
      <xdr:rowOff>0</xdr:rowOff>
    </xdr:to>
    <xdr:cxnSp macro="">
      <xdr:nvCxnSpPr>
        <xdr:cNvPr id="95" name="Straight Arrow Connector 94"/>
        <xdr:cNvCxnSpPr/>
      </xdr:nvCxnSpPr>
      <xdr:spPr>
        <a:xfrm flipV="1">
          <a:off x="8762999" y="34278094"/>
          <a:ext cx="0" cy="161925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204</xdr:row>
      <xdr:rowOff>0</xdr:rowOff>
    </xdr:from>
    <xdr:to>
      <xdr:col>12</xdr:col>
      <xdr:colOff>0</xdr:colOff>
      <xdr:row>204</xdr:row>
      <xdr:rowOff>0</xdr:rowOff>
    </xdr:to>
    <xdr:cxnSp macro="">
      <xdr:nvCxnSpPr>
        <xdr:cNvPr id="103" name="Straight Arrow Connector 102"/>
        <xdr:cNvCxnSpPr/>
      </xdr:nvCxnSpPr>
      <xdr:spPr>
        <a:xfrm flipH="1">
          <a:off x="7655719" y="35171063"/>
          <a:ext cx="72628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404811</xdr:colOff>
      <xdr:row>192</xdr:row>
      <xdr:rowOff>11907</xdr:rowOff>
    </xdr:from>
    <xdr:to>
      <xdr:col>5</xdr:col>
      <xdr:colOff>404812</xdr:colOff>
      <xdr:row>195</xdr:row>
      <xdr:rowOff>0</xdr:rowOff>
    </xdr:to>
    <xdr:cxnSp macro="">
      <xdr:nvCxnSpPr>
        <xdr:cNvPr id="105" name="Straight Arrow Connector 104"/>
        <xdr:cNvCxnSpPr/>
      </xdr:nvCxnSpPr>
      <xdr:spPr>
        <a:xfrm flipV="1">
          <a:off x="3857624" y="31837313"/>
          <a:ext cx="1" cy="59531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322792</xdr:colOff>
      <xdr:row>199</xdr:row>
      <xdr:rowOff>11906</xdr:rowOff>
    </xdr:from>
    <xdr:to>
      <xdr:col>14</xdr:col>
      <xdr:colOff>322792</xdr:colOff>
      <xdr:row>202</xdr:row>
      <xdr:rowOff>11906</xdr:rowOff>
    </xdr:to>
    <xdr:cxnSp macro="">
      <xdr:nvCxnSpPr>
        <xdr:cNvPr id="115" name="Straight Connector 114"/>
        <xdr:cNvCxnSpPr/>
      </xdr:nvCxnSpPr>
      <xdr:spPr>
        <a:xfrm flipV="1">
          <a:off x="8916459" y="38979739"/>
          <a:ext cx="0" cy="58208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321469</xdr:colOff>
      <xdr:row>199</xdr:row>
      <xdr:rowOff>23813</xdr:rowOff>
    </xdr:from>
    <xdr:to>
      <xdr:col>15</xdr:col>
      <xdr:colOff>23812</xdr:colOff>
      <xdr:row>199</xdr:row>
      <xdr:rowOff>23813</xdr:rowOff>
    </xdr:to>
    <xdr:cxnSp macro="">
      <xdr:nvCxnSpPr>
        <xdr:cNvPr id="117" name="Straight Arrow Connector 116"/>
        <xdr:cNvCxnSpPr/>
      </xdr:nvCxnSpPr>
      <xdr:spPr>
        <a:xfrm>
          <a:off x="10132219" y="34170938"/>
          <a:ext cx="3929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199</xdr:row>
      <xdr:rowOff>11906</xdr:rowOff>
    </xdr:from>
    <xdr:to>
      <xdr:col>17</xdr:col>
      <xdr:colOff>11906</xdr:colOff>
      <xdr:row>199</xdr:row>
      <xdr:rowOff>11906</xdr:rowOff>
    </xdr:to>
    <xdr:cxnSp macro="">
      <xdr:nvCxnSpPr>
        <xdr:cNvPr id="119" name="Straight Arrow Connector 118"/>
        <xdr:cNvCxnSpPr/>
      </xdr:nvCxnSpPr>
      <xdr:spPr>
        <a:xfrm>
          <a:off x="11191875" y="34159031"/>
          <a:ext cx="7024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357187</xdr:colOff>
      <xdr:row>200</xdr:row>
      <xdr:rowOff>0</xdr:rowOff>
    </xdr:from>
    <xdr:to>
      <xdr:col>17</xdr:col>
      <xdr:colOff>357187</xdr:colOff>
      <xdr:row>203</xdr:row>
      <xdr:rowOff>11907</xdr:rowOff>
    </xdr:to>
    <xdr:cxnSp macro="">
      <xdr:nvCxnSpPr>
        <xdr:cNvPr id="123" name="Straight Connector 122"/>
        <xdr:cNvCxnSpPr/>
      </xdr:nvCxnSpPr>
      <xdr:spPr>
        <a:xfrm>
          <a:off x="12239625" y="34349531"/>
          <a:ext cx="0" cy="6310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203</xdr:row>
      <xdr:rowOff>11907</xdr:rowOff>
    </xdr:from>
    <xdr:to>
      <xdr:col>17</xdr:col>
      <xdr:colOff>369093</xdr:colOff>
      <xdr:row>203</xdr:row>
      <xdr:rowOff>11907</xdr:rowOff>
    </xdr:to>
    <xdr:cxnSp macro="">
      <xdr:nvCxnSpPr>
        <xdr:cNvPr id="127" name="Straight Arrow Connector 126"/>
        <xdr:cNvCxnSpPr/>
      </xdr:nvCxnSpPr>
      <xdr:spPr>
        <a:xfrm flipH="1">
          <a:off x="11882438" y="34980563"/>
          <a:ext cx="369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xdr:colOff>
      <xdr:row>203</xdr:row>
      <xdr:rowOff>11907</xdr:rowOff>
    </xdr:from>
    <xdr:to>
      <xdr:col>16</xdr:col>
      <xdr:colOff>0</xdr:colOff>
      <xdr:row>203</xdr:row>
      <xdr:rowOff>11907</xdr:rowOff>
    </xdr:to>
    <xdr:cxnSp macro="">
      <xdr:nvCxnSpPr>
        <xdr:cNvPr id="129" name="Straight Arrow Connector 128"/>
        <xdr:cNvCxnSpPr/>
      </xdr:nvCxnSpPr>
      <xdr:spPr>
        <a:xfrm flipH="1">
          <a:off x="10513219" y="34980563"/>
          <a:ext cx="678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321468</xdr:colOff>
      <xdr:row>192</xdr:row>
      <xdr:rowOff>190500</xdr:rowOff>
    </xdr:from>
    <xdr:to>
      <xdr:col>17</xdr:col>
      <xdr:colOff>321468</xdr:colOff>
      <xdr:row>196</xdr:row>
      <xdr:rowOff>0</xdr:rowOff>
    </xdr:to>
    <xdr:cxnSp macro="">
      <xdr:nvCxnSpPr>
        <xdr:cNvPr id="131" name="Straight Arrow Connector 130"/>
        <xdr:cNvCxnSpPr/>
      </xdr:nvCxnSpPr>
      <xdr:spPr>
        <a:xfrm flipV="1">
          <a:off x="12203906" y="329207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119061</xdr:colOff>
      <xdr:row>195</xdr:row>
      <xdr:rowOff>35719</xdr:rowOff>
    </xdr:from>
    <xdr:to>
      <xdr:col>15</xdr:col>
      <xdr:colOff>119061</xdr:colOff>
      <xdr:row>197</xdr:row>
      <xdr:rowOff>190500</xdr:rowOff>
    </xdr:to>
    <xdr:cxnSp macro="">
      <xdr:nvCxnSpPr>
        <xdr:cNvPr id="134" name="Straight Arrow Connector 133"/>
        <xdr:cNvCxnSpPr/>
      </xdr:nvCxnSpPr>
      <xdr:spPr>
        <a:xfrm>
          <a:off x="10620374" y="32468344"/>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11905</xdr:colOff>
      <xdr:row>203</xdr:row>
      <xdr:rowOff>154781</xdr:rowOff>
    </xdr:from>
    <xdr:to>
      <xdr:col>18</xdr:col>
      <xdr:colOff>59530</xdr:colOff>
      <xdr:row>203</xdr:row>
      <xdr:rowOff>154781</xdr:rowOff>
    </xdr:to>
    <xdr:cxnSp macro="">
      <xdr:nvCxnSpPr>
        <xdr:cNvPr id="136" name="Straight Arrow Connector 135"/>
        <xdr:cNvCxnSpPr/>
      </xdr:nvCxnSpPr>
      <xdr:spPr>
        <a:xfrm flipH="1">
          <a:off x="11894343" y="34218562"/>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xdr:colOff>
      <xdr:row>207</xdr:row>
      <xdr:rowOff>154780</xdr:rowOff>
    </xdr:from>
    <xdr:to>
      <xdr:col>18</xdr:col>
      <xdr:colOff>47624</xdr:colOff>
      <xdr:row>207</xdr:row>
      <xdr:rowOff>154780</xdr:rowOff>
    </xdr:to>
    <xdr:cxnSp macro="">
      <xdr:nvCxnSpPr>
        <xdr:cNvPr id="137" name="Straight Arrow Connector 136"/>
        <xdr:cNvCxnSpPr/>
      </xdr:nvCxnSpPr>
      <xdr:spPr>
        <a:xfrm flipH="1">
          <a:off x="11882437" y="35040093"/>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107157</xdr:colOff>
      <xdr:row>200</xdr:row>
      <xdr:rowOff>47626</xdr:rowOff>
    </xdr:from>
    <xdr:to>
      <xdr:col>12</xdr:col>
      <xdr:colOff>107157</xdr:colOff>
      <xdr:row>202</xdr:row>
      <xdr:rowOff>190501</xdr:rowOff>
    </xdr:to>
    <xdr:cxnSp macro="">
      <xdr:nvCxnSpPr>
        <xdr:cNvPr id="138" name="Straight Arrow Connector 137"/>
        <xdr:cNvCxnSpPr/>
      </xdr:nvCxnSpPr>
      <xdr:spPr>
        <a:xfrm>
          <a:off x="8489157" y="33492282"/>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71438</xdr:colOff>
      <xdr:row>199</xdr:row>
      <xdr:rowOff>59531</xdr:rowOff>
    </xdr:from>
    <xdr:to>
      <xdr:col>8</xdr:col>
      <xdr:colOff>71438</xdr:colOff>
      <xdr:row>202</xdr:row>
      <xdr:rowOff>0</xdr:rowOff>
    </xdr:to>
    <xdr:cxnSp macro="">
      <xdr:nvCxnSpPr>
        <xdr:cNvPr id="139" name="Straight Arrow Connector 138"/>
        <xdr:cNvCxnSpPr/>
      </xdr:nvCxnSpPr>
      <xdr:spPr>
        <a:xfrm>
          <a:off x="5595938"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95251</xdr:colOff>
      <xdr:row>199</xdr:row>
      <xdr:rowOff>59531</xdr:rowOff>
    </xdr:from>
    <xdr:to>
      <xdr:col>6</xdr:col>
      <xdr:colOff>95251</xdr:colOff>
      <xdr:row>202</xdr:row>
      <xdr:rowOff>0</xdr:rowOff>
    </xdr:to>
    <xdr:cxnSp macro="">
      <xdr:nvCxnSpPr>
        <xdr:cNvPr id="141" name="Straight Arrow Connector 140"/>
        <xdr:cNvCxnSpPr/>
      </xdr:nvCxnSpPr>
      <xdr:spPr>
        <a:xfrm>
          <a:off x="4238626"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xdr:col>
      <xdr:colOff>238125</xdr:colOff>
      <xdr:row>263</xdr:row>
      <xdr:rowOff>11906</xdr:rowOff>
    </xdr:from>
    <xdr:to>
      <xdr:col>3</xdr:col>
      <xdr:colOff>0</xdr:colOff>
      <xdr:row>263</xdr:row>
      <xdr:rowOff>11906</xdr:rowOff>
    </xdr:to>
    <xdr:cxnSp macro="">
      <xdr:nvCxnSpPr>
        <xdr:cNvPr id="12" name="Straight Arrow Connector 11"/>
        <xdr:cNvCxnSpPr/>
      </xdr:nvCxnSpPr>
      <xdr:spPr>
        <a:xfrm>
          <a:off x="928688" y="44755594"/>
          <a:ext cx="114300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11906</xdr:colOff>
      <xdr:row>261</xdr:row>
      <xdr:rowOff>107156</xdr:rowOff>
    </xdr:from>
    <xdr:to>
      <xdr:col>9</xdr:col>
      <xdr:colOff>0</xdr:colOff>
      <xdr:row>263</xdr:row>
      <xdr:rowOff>35718</xdr:rowOff>
    </xdr:to>
    <xdr:cxnSp macro="">
      <xdr:nvCxnSpPr>
        <xdr:cNvPr id="15" name="Elbow Connector 14"/>
        <xdr:cNvCxnSpPr/>
      </xdr:nvCxnSpPr>
      <xdr:spPr>
        <a:xfrm>
          <a:off x="2083594" y="44398406"/>
          <a:ext cx="3440906" cy="333375"/>
        </a:xfrm>
        <a:prstGeom prst="bentConnector3">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263</xdr:row>
      <xdr:rowOff>0</xdr:rowOff>
    </xdr:from>
    <xdr:to>
      <xdr:col>12</xdr:col>
      <xdr:colOff>726281</xdr:colOff>
      <xdr:row>263</xdr:row>
      <xdr:rowOff>0</xdr:rowOff>
    </xdr:to>
    <xdr:cxnSp macro="">
      <xdr:nvCxnSpPr>
        <xdr:cNvPr id="24" name="Straight Connector 23"/>
        <xdr:cNvCxnSpPr/>
      </xdr:nvCxnSpPr>
      <xdr:spPr>
        <a:xfrm>
          <a:off x="6965156" y="44696063"/>
          <a:ext cx="140493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714376</xdr:colOff>
      <xdr:row>252</xdr:row>
      <xdr:rowOff>23812</xdr:rowOff>
    </xdr:from>
    <xdr:to>
      <xdr:col>12</xdr:col>
      <xdr:colOff>714376</xdr:colOff>
      <xdr:row>262</xdr:row>
      <xdr:rowOff>190500</xdr:rowOff>
    </xdr:to>
    <xdr:cxnSp macro="">
      <xdr:nvCxnSpPr>
        <xdr:cNvPr id="26" name="Straight Connector 25"/>
        <xdr:cNvCxnSpPr/>
      </xdr:nvCxnSpPr>
      <xdr:spPr>
        <a:xfrm flipV="1">
          <a:off x="9096376" y="42541031"/>
          <a:ext cx="0" cy="219075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11908</xdr:colOff>
      <xdr:row>252</xdr:row>
      <xdr:rowOff>23812</xdr:rowOff>
    </xdr:from>
    <xdr:to>
      <xdr:col>12</xdr:col>
      <xdr:colOff>726281</xdr:colOff>
      <xdr:row>252</xdr:row>
      <xdr:rowOff>23812</xdr:rowOff>
    </xdr:to>
    <xdr:cxnSp macro="">
      <xdr:nvCxnSpPr>
        <xdr:cNvPr id="35" name="Straight Arrow Connector 34"/>
        <xdr:cNvCxnSpPr/>
      </xdr:nvCxnSpPr>
      <xdr:spPr>
        <a:xfrm flipH="1">
          <a:off x="8393908" y="42541031"/>
          <a:ext cx="71437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511969</xdr:colOff>
      <xdr:row>256</xdr:row>
      <xdr:rowOff>71437</xdr:rowOff>
    </xdr:from>
    <xdr:to>
      <xdr:col>11</xdr:col>
      <xdr:colOff>523875</xdr:colOff>
      <xdr:row>262</xdr:row>
      <xdr:rowOff>59532</xdr:rowOff>
    </xdr:to>
    <xdr:cxnSp macro="">
      <xdr:nvCxnSpPr>
        <xdr:cNvPr id="38" name="Straight Connector 37"/>
        <xdr:cNvCxnSpPr/>
      </xdr:nvCxnSpPr>
      <xdr:spPr>
        <a:xfrm>
          <a:off x="7465219" y="43350656"/>
          <a:ext cx="11906" cy="12025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262</xdr:row>
      <xdr:rowOff>59532</xdr:rowOff>
    </xdr:from>
    <xdr:to>
      <xdr:col>11</xdr:col>
      <xdr:colOff>523875</xdr:colOff>
      <xdr:row>262</xdr:row>
      <xdr:rowOff>59532</xdr:rowOff>
    </xdr:to>
    <xdr:cxnSp macro="">
      <xdr:nvCxnSpPr>
        <xdr:cNvPr id="42" name="Straight Arrow Connector 41"/>
        <xdr:cNvCxnSpPr/>
      </xdr:nvCxnSpPr>
      <xdr:spPr>
        <a:xfrm flipH="1">
          <a:off x="6965156" y="44553188"/>
          <a:ext cx="5119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0</xdr:colOff>
      <xdr:row>264</xdr:row>
      <xdr:rowOff>0</xdr:rowOff>
    </xdr:from>
    <xdr:to>
      <xdr:col>9</xdr:col>
      <xdr:colOff>333375</xdr:colOff>
      <xdr:row>265</xdr:row>
      <xdr:rowOff>0</xdr:rowOff>
    </xdr:to>
    <xdr:cxnSp macro="">
      <xdr:nvCxnSpPr>
        <xdr:cNvPr id="45" name="Elbow Connector 44"/>
        <xdr:cNvCxnSpPr/>
      </xdr:nvCxnSpPr>
      <xdr:spPr>
        <a:xfrm rot="10800000" flipV="1">
          <a:off x="4143375" y="44898469"/>
          <a:ext cx="1714500" cy="202406"/>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0</xdr:colOff>
      <xdr:row>265</xdr:row>
      <xdr:rowOff>11906</xdr:rowOff>
    </xdr:from>
    <xdr:to>
      <xdr:col>6</xdr:col>
      <xdr:colOff>0</xdr:colOff>
      <xdr:row>265</xdr:row>
      <xdr:rowOff>11906</xdr:rowOff>
    </xdr:to>
    <xdr:cxnSp macro="">
      <xdr:nvCxnSpPr>
        <xdr:cNvPr id="56" name="Straight Connector 55"/>
        <xdr:cNvCxnSpPr/>
      </xdr:nvCxnSpPr>
      <xdr:spPr>
        <a:xfrm flipH="1">
          <a:off x="2762250" y="45112781"/>
          <a:ext cx="690563"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11906</xdr:colOff>
      <xdr:row>253</xdr:row>
      <xdr:rowOff>0</xdr:rowOff>
    </xdr:from>
    <xdr:to>
      <xdr:col>5</xdr:col>
      <xdr:colOff>11906</xdr:colOff>
      <xdr:row>265</xdr:row>
      <xdr:rowOff>11906</xdr:rowOff>
    </xdr:to>
    <xdr:cxnSp macro="">
      <xdr:nvCxnSpPr>
        <xdr:cNvPr id="58" name="Straight Connector 57"/>
        <xdr:cNvCxnSpPr/>
      </xdr:nvCxnSpPr>
      <xdr:spPr>
        <a:xfrm flipV="1">
          <a:off x="2774156" y="42672000"/>
          <a:ext cx="0" cy="244078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xdr:colOff>
      <xdr:row>252</xdr:row>
      <xdr:rowOff>190500</xdr:rowOff>
    </xdr:from>
    <xdr:to>
      <xdr:col>5</xdr:col>
      <xdr:colOff>23812</xdr:colOff>
      <xdr:row>252</xdr:row>
      <xdr:rowOff>190500</xdr:rowOff>
    </xdr:to>
    <xdr:cxnSp macro="">
      <xdr:nvCxnSpPr>
        <xdr:cNvPr id="60" name="Straight Arrow Connector 59"/>
        <xdr:cNvCxnSpPr/>
      </xdr:nvCxnSpPr>
      <xdr:spPr>
        <a:xfrm flipH="1">
          <a:off x="2071687" y="42660094"/>
          <a:ext cx="7143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0</xdr:colOff>
      <xdr:row>253</xdr:row>
      <xdr:rowOff>0</xdr:rowOff>
    </xdr:from>
    <xdr:to>
      <xdr:col>3</xdr:col>
      <xdr:colOff>11906</xdr:colOff>
      <xdr:row>253</xdr:row>
      <xdr:rowOff>0</xdr:rowOff>
    </xdr:to>
    <xdr:cxnSp macro="">
      <xdr:nvCxnSpPr>
        <xdr:cNvPr id="65" name="Straight Connector 64"/>
        <xdr:cNvCxnSpPr/>
      </xdr:nvCxnSpPr>
      <xdr:spPr>
        <a:xfrm flipH="1">
          <a:off x="690563" y="42672000"/>
          <a:ext cx="70246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11906</xdr:colOff>
      <xdr:row>252</xdr:row>
      <xdr:rowOff>190500</xdr:rowOff>
    </xdr:from>
    <xdr:to>
      <xdr:col>2</xdr:col>
      <xdr:colOff>11906</xdr:colOff>
      <xdr:row>259</xdr:row>
      <xdr:rowOff>23812</xdr:rowOff>
    </xdr:to>
    <xdr:cxnSp macro="">
      <xdr:nvCxnSpPr>
        <xdr:cNvPr id="73" name="Straight Connector 72"/>
        <xdr:cNvCxnSpPr/>
      </xdr:nvCxnSpPr>
      <xdr:spPr>
        <a:xfrm>
          <a:off x="702469" y="42660094"/>
          <a:ext cx="0" cy="125015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23812</xdr:colOff>
      <xdr:row>259</xdr:row>
      <xdr:rowOff>11906</xdr:rowOff>
    </xdr:from>
    <xdr:to>
      <xdr:col>3</xdr:col>
      <xdr:colOff>23813</xdr:colOff>
      <xdr:row>259</xdr:row>
      <xdr:rowOff>11906</xdr:rowOff>
    </xdr:to>
    <xdr:cxnSp macro="">
      <xdr:nvCxnSpPr>
        <xdr:cNvPr id="75" name="Straight Arrow Connector 74"/>
        <xdr:cNvCxnSpPr/>
      </xdr:nvCxnSpPr>
      <xdr:spPr>
        <a:xfrm>
          <a:off x="714375" y="43898344"/>
          <a:ext cx="690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357187</xdr:colOff>
      <xdr:row>248</xdr:row>
      <xdr:rowOff>190500</xdr:rowOff>
    </xdr:from>
    <xdr:to>
      <xdr:col>3</xdr:col>
      <xdr:colOff>357187</xdr:colOff>
      <xdr:row>252</xdr:row>
      <xdr:rowOff>0</xdr:rowOff>
    </xdr:to>
    <xdr:cxnSp macro="">
      <xdr:nvCxnSpPr>
        <xdr:cNvPr id="77" name="Straight Arrow Connector 76"/>
        <xdr:cNvCxnSpPr/>
      </xdr:nvCxnSpPr>
      <xdr:spPr>
        <a:xfrm flipV="1">
          <a:off x="2428875" y="414932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333375</xdr:colOff>
      <xdr:row>248</xdr:row>
      <xdr:rowOff>11906</xdr:rowOff>
    </xdr:from>
    <xdr:to>
      <xdr:col>11</xdr:col>
      <xdr:colOff>333375</xdr:colOff>
      <xdr:row>250</xdr:row>
      <xdr:rowOff>0</xdr:rowOff>
    </xdr:to>
    <xdr:cxnSp macro="">
      <xdr:nvCxnSpPr>
        <xdr:cNvPr id="79" name="Straight Arrow Connector 78"/>
        <xdr:cNvCxnSpPr/>
      </xdr:nvCxnSpPr>
      <xdr:spPr>
        <a:xfrm flipV="1">
          <a:off x="7977188" y="41719500"/>
          <a:ext cx="0" cy="3929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265</xdr:row>
      <xdr:rowOff>142875</xdr:rowOff>
    </xdr:from>
    <xdr:to>
      <xdr:col>8</xdr:col>
      <xdr:colOff>23812</xdr:colOff>
      <xdr:row>265</xdr:row>
      <xdr:rowOff>142875</xdr:rowOff>
    </xdr:to>
    <xdr:cxnSp macro="">
      <xdr:nvCxnSpPr>
        <xdr:cNvPr id="86" name="Straight Arrow Connector 85"/>
        <xdr:cNvCxnSpPr/>
      </xdr:nvCxnSpPr>
      <xdr:spPr>
        <a:xfrm flipH="1">
          <a:off x="4833937" y="44886563"/>
          <a:ext cx="71437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595313</xdr:colOff>
      <xdr:row>256</xdr:row>
      <xdr:rowOff>11907</xdr:rowOff>
    </xdr:from>
    <xdr:to>
      <xdr:col>10</xdr:col>
      <xdr:colOff>1</xdr:colOff>
      <xdr:row>256</xdr:row>
      <xdr:rowOff>11907</xdr:rowOff>
    </xdr:to>
    <xdr:cxnSp macro="">
      <xdr:nvCxnSpPr>
        <xdr:cNvPr id="96" name="Straight Arrow Connector 95"/>
        <xdr:cNvCxnSpPr/>
      </xdr:nvCxnSpPr>
      <xdr:spPr>
        <a:xfrm>
          <a:off x="6119813" y="42933938"/>
          <a:ext cx="833438"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326</xdr:row>
      <xdr:rowOff>0</xdr:rowOff>
    </xdr:from>
    <xdr:to>
      <xdr:col>7</xdr:col>
      <xdr:colOff>11906</xdr:colOff>
      <xdr:row>326</xdr:row>
      <xdr:rowOff>0</xdr:rowOff>
    </xdr:to>
    <xdr:cxnSp macro="">
      <xdr:nvCxnSpPr>
        <xdr:cNvPr id="19" name="Straight Arrow Connector 18"/>
        <xdr:cNvCxnSpPr/>
      </xdr:nvCxnSpPr>
      <xdr:spPr>
        <a:xfrm>
          <a:off x="3452813" y="52506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326</xdr:row>
      <xdr:rowOff>0</xdr:rowOff>
    </xdr:from>
    <xdr:to>
      <xdr:col>11</xdr:col>
      <xdr:colOff>11906</xdr:colOff>
      <xdr:row>326</xdr:row>
      <xdr:rowOff>0</xdr:rowOff>
    </xdr:to>
    <xdr:cxnSp macro="">
      <xdr:nvCxnSpPr>
        <xdr:cNvPr id="23" name="Straight Arrow Connector 22"/>
        <xdr:cNvCxnSpPr/>
      </xdr:nvCxnSpPr>
      <xdr:spPr>
        <a:xfrm>
          <a:off x="6203156" y="52506563"/>
          <a:ext cx="1452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325</xdr:row>
      <xdr:rowOff>190500</xdr:rowOff>
    </xdr:from>
    <xdr:to>
      <xdr:col>15</xdr:col>
      <xdr:colOff>11906</xdr:colOff>
      <xdr:row>325</xdr:row>
      <xdr:rowOff>190500</xdr:rowOff>
    </xdr:to>
    <xdr:cxnSp macro="">
      <xdr:nvCxnSpPr>
        <xdr:cNvPr id="31" name="Straight Arrow Connector 30"/>
        <xdr:cNvCxnSpPr/>
      </xdr:nvCxnSpPr>
      <xdr:spPr>
        <a:xfrm>
          <a:off x="9132094" y="52494656"/>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326</xdr:row>
      <xdr:rowOff>0</xdr:rowOff>
    </xdr:from>
    <xdr:to>
      <xdr:col>3</xdr:col>
      <xdr:colOff>0</xdr:colOff>
      <xdr:row>326</xdr:row>
      <xdr:rowOff>0</xdr:rowOff>
    </xdr:to>
    <xdr:cxnSp macro="">
      <xdr:nvCxnSpPr>
        <xdr:cNvPr id="40" name="Straight Arrow Connector 39"/>
        <xdr:cNvCxnSpPr/>
      </xdr:nvCxnSpPr>
      <xdr:spPr>
        <a:xfrm>
          <a:off x="690563" y="52506563"/>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326</xdr:row>
      <xdr:rowOff>11906</xdr:rowOff>
    </xdr:from>
    <xdr:to>
      <xdr:col>19</xdr:col>
      <xdr:colOff>35718</xdr:colOff>
      <xdr:row>326</xdr:row>
      <xdr:rowOff>11906</xdr:rowOff>
    </xdr:to>
    <xdr:cxnSp macro="">
      <xdr:nvCxnSpPr>
        <xdr:cNvPr id="47" name="Straight Arrow Connector 46"/>
        <xdr:cNvCxnSpPr/>
      </xdr:nvCxnSpPr>
      <xdr:spPr>
        <a:xfrm>
          <a:off x="11894344" y="52518469"/>
          <a:ext cx="14049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327</xdr:row>
      <xdr:rowOff>0</xdr:rowOff>
    </xdr:from>
    <xdr:to>
      <xdr:col>4</xdr:col>
      <xdr:colOff>0</xdr:colOff>
      <xdr:row>330</xdr:row>
      <xdr:rowOff>0</xdr:rowOff>
    </xdr:to>
    <xdr:cxnSp macro="">
      <xdr:nvCxnSpPr>
        <xdr:cNvPr id="51" name="Straight Arrow Connector 50"/>
        <xdr:cNvCxnSpPr/>
      </xdr:nvCxnSpPr>
      <xdr:spPr>
        <a:xfrm>
          <a:off x="2762250" y="52708969"/>
          <a:ext cx="0" cy="60721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327</xdr:row>
      <xdr:rowOff>11906</xdr:rowOff>
    </xdr:from>
    <xdr:to>
      <xdr:col>8</xdr:col>
      <xdr:colOff>0</xdr:colOff>
      <xdr:row>330</xdr:row>
      <xdr:rowOff>0</xdr:rowOff>
    </xdr:to>
    <xdr:cxnSp macro="">
      <xdr:nvCxnSpPr>
        <xdr:cNvPr id="54" name="Straight Arrow Connector 53"/>
        <xdr:cNvCxnSpPr/>
      </xdr:nvCxnSpPr>
      <xdr:spPr>
        <a:xfrm>
          <a:off x="5524500"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327</xdr:row>
      <xdr:rowOff>0</xdr:rowOff>
    </xdr:from>
    <xdr:to>
      <xdr:col>12</xdr:col>
      <xdr:colOff>0</xdr:colOff>
      <xdr:row>330</xdr:row>
      <xdr:rowOff>11906</xdr:rowOff>
    </xdr:to>
    <xdr:cxnSp macro="">
      <xdr:nvCxnSpPr>
        <xdr:cNvPr id="59" name="Straight Arrow Connector 58"/>
        <xdr:cNvCxnSpPr/>
      </xdr:nvCxnSpPr>
      <xdr:spPr>
        <a:xfrm>
          <a:off x="8382000" y="52708969"/>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327</xdr:row>
      <xdr:rowOff>11906</xdr:rowOff>
    </xdr:from>
    <xdr:to>
      <xdr:col>16</xdr:col>
      <xdr:colOff>0</xdr:colOff>
      <xdr:row>330</xdr:row>
      <xdr:rowOff>0</xdr:rowOff>
    </xdr:to>
    <xdr:cxnSp macro="">
      <xdr:nvCxnSpPr>
        <xdr:cNvPr id="62" name="Straight Arrow Connector 61"/>
        <xdr:cNvCxnSpPr/>
      </xdr:nvCxnSpPr>
      <xdr:spPr>
        <a:xfrm>
          <a:off x="11191875"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321</xdr:row>
      <xdr:rowOff>0</xdr:rowOff>
    </xdr:from>
    <xdr:to>
      <xdr:col>4</xdr:col>
      <xdr:colOff>0</xdr:colOff>
      <xdr:row>324</xdr:row>
      <xdr:rowOff>0</xdr:rowOff>
    </xdr:to>
    <xdr:cxnSp macro="">
      <xdr:nvCxnSpPr>
        <xdr:cNvPr id="67" name="Straight Arrow Connector 66"/>
        <xdr:cNvCxnSpPr/>
      </xdr:nvCxnSpPr>
      <xdr:spPr>
        <a:xfrm>
          <a:off x="276225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321</xdr:row>
      <xdr:rowOff>0</xdr:rowOff>
    </xdr:from>
    <xdr:to>
      <xdr:col>12</xdr:col>
      <xdr:colOff>0</xdr:colOff>
      <xdr:row>324</xdr:row>
      <xdr:rowOff>0</xdr:rowOff>
    </xdr:to>
    <xdr:cxnSp macro="">
      <xdr:nvCxnSpPr>
        <xdr:cNvPr id="76" name="Straight Arrow Connector 75"/>
        <xdr:cNvCxnSpPr/>
      </xdr:nvCxnSpPr>
      <xdr:spPr>
        <a:xfrm>
          <a:off x="838200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321</xdr:row>
      <xdr:rowOff>0</xdr:rowOff>
    </xdr:from>
    <xdr:to>
      <xdr:col>16</xdr:col>
      <xdr:colOff>0</xdr:colOff>
      <xdr:row>324</xdr:row>
      <xdr:rowOff>0</xdr:rowOff>
    </xdr:to>
    <xdr:cxnSp macro="">
      <xdr:nvCxnSpPr>
        <xdr:cNvPr id="80" name="Straight Arrow Connector 79"/>
        <xdr:cNvCxnSpPr/>
      </xdr:nvCxnSpPr>
      <xdr:spPr>
        <a:xfrm>
          <a:off x="11191875"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609614</xdr:colOff>
      <xdr:row>162</xdr:row>
      <xdr:rowOff>10314</xdr:rowOff>
    </xdr:from>
    <xdr:to>
      <xdr:col>16</xdr:col>
      <xdr:colOff>615169</xdr:colOff>
      <xdr:row>165</xdr:row>
      <xdr:rowOff>110666</xdr:rowOff>
    </xdr:to>
    <xdr:cxnSp macro="">
      <xdr:nvCxnSpPr>
        <xdr:cNvPr id="106" name="Straight Arrow Connector 105"/>
        <xdr:cNvCxnSpPr/>
      </xdr:nvCxnSpPr>
      <xdr:spPr>
        <a:xfrm>
          <a:off x="13576314" y="31176114"/>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339</xdr:row>
      <xdr:rowOff>0</xdr:rowOff>
    </xdr:from>
    <xdr:to>
      <xdr:col>7</xdr:col>
      <xdr:colOff>11906</xdr:colOff>
      <xdr:row>339</xdr:row>
      <xdr:rowOff>0</xdr:rowOff>
    </xdr:to>
    <xdr:cxnSp macro="">
      <xdr:nvCxnSpPr>
        <xdr:cNvPr id="82" name="Straight Arrow Connector 81"/>
        <xdr:cNvCxnSpPr/>
      </xdr:nvCxnSpPr>
      <xdr:spPr>
        <a:xfrm>
          <a:off x="3238500" y="59590781"/>
          <a:ext cx="13454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339</xdr:row>
      <xdr:rowOff>0</xdr:rowOff>
    </xdr:from>
    <xdr:to>
      <xdr:col>11</xdr:col>
      <xdr:colOff>11906</xdr:colOff>
      <xdr:row>339</xdr:row>
      <xdr:rowOff>0</xdr:rowOff>
    </xdr:to>
    <xdr:cxnSp macro="">
      <xdr:nvCxnSpPr>
        <xdr:cNvPr id="83" name="Straight Arrow Connector 82"/>
        <xdr:cNvCxnSpPr/>
      </xdr:nvCxnSpPr>
      <xdr:spPr>
        <a:xfrm>
          <a:off x="5769769" y="59590781"/>
          <a:ext cx="133826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338</xdr:row>
      <xdr:rowOff>190500</xdr:rowOff>
    </xdr:from>
    <xdr:to>
      <xdr:col>15</xdr:col>
      <xdr:colOff>11906</xdr:colOff>
      <xdr:row>338</xdr:row>
      <xdr:rowOff>190500</xdr:rowOff>
    </xdr:to>
    <xdr:cxnSp macro="">
      <xdr:nvCxnSpPr>
        <xdr:cNvPr id="84" name="Straight Arrow Connector 83"/>
        <xdr:cNvCxnSpPr/>
      </xdr:nvCxnSpPr>
      <xdr:spPr>
        <a:xfrm>
          <a:off x="8382000" y="59590781"/>
          <a:ext cx="117871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339</xdr:row>
      <xdr:rowOff>0</xdr:rowOff>
    </xdr:from>
    <xdr:to>
      <xdr:col>3</xdr:col>
      <xdr:colOff>0</xdr:colOff>
      <xdr:row>339</xdr:row>
      <xdr:rowOff>0</xdr:rowOff>
    </xdr:to>
    <xdr:cxnSp macro="">
      <xdr:nvCxnSpPr>
        <xdr:cNvPr id="85" name="Straight Arrow Connector 84"/>
        <xdr:cNvCxnSpPr/>
      </xdr:nvCxnSpPr>
      <xdr:spPr>
        <a:xfrm>
          <a:off x="595313" y="59590781"/>
          <a:ext cx="12382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339</xdr:row>
      <xdr:rowOff>11906</xdr:rowOff>
    </xdr:from>
    <xdr:to>
      <xdr:col>19</xdr:col>
      <xdr:colOff>35718</xdr:colOff>
      <xdr:row>339</xdr:row>
      <xdr:rowOff>11906</xdr:rowOff>
    </xdr:to>
    <xdr:cxnSp macro="">
      <xdr:nvCxnSpPr>
        <xdr:cNvPr id="87" name="Straight Arrow Connector 86"/>
        <xdr:cNvCxnSpPr/>
      </xdr:nvCxnSpPr>
      <xdr:spPr>
        <a:xfrm>
          <a:off x="10894219" y="59602687"/>
          <a:ext cx="12144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340</xdr:row>
      <xdr:rowOff>0</xdr:rowOff>
    </xdr:from>
    <xdr:to>
      <xdr:col>4</xdr:col>
      <xdr:colOff>0</xdr:colOff>
      <xdr:row>343</xdr:row>
      <xdr:rowOff>0</xdr:rowOff>
    </xdr:to>
    <xdr:cxnSp macro="">
      <xdr:nvCxnSpPr>
        <xdr:cNvPr id="89" name="Straight Arrow Connector 88"/>
        <xdr:cNvCxnSpPr/>
      </xdr:nvCxnSpPr>
      <xdr:spPr>
        <a:xfrm>
          <a:off x="2524125" y="59781281"/>
          <a:ext cx="0" cy="5715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340</xdr:row>
      <xdr:rowOff>11906</xdr:rowOff>
    </xdr:from>
    <xdr:to>
      <xdr:col>8</xdr:col>
      <xdr:colOff>0</xdr:colOff>
      <xdr:row>343</xdr:row>
      <xdr:rowOff>0</xdr:rowOff>
    </xdr:to>
    <xdr:cxnSp macro="">
      <xdr:nvCxnSpPr>
        <xdr:cNvPr id="90" name="Straight Arrow Connector 89"/>
        <xdr:cNvCxnSpPr/>
      </xdr:nvCxnSpPr>
      <xdr:spPr>
        <a:xfrm>
          <a:off x="5167313"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340</xdr:row>
      <xdr:rowOff>0</xdr:rowOff>
    </xdr:from>
    <xdr:to>
      <xdr:col>12</xdr:col>
      <xdr:colOff>0</xdr:colOff>
      <xdr:row>343</xdr:row>
      <xdr:rowOff>11906</xdr:rowOff>
    </xdr:to>
    <xdr:cxnSp macro="">
      <xdr:nvCxnSpPr>
        <xdr:cNvPr id="91" name="Straight Arrow Connector 90"/>
        <xdr:cNvCxnSpPr/>
      </xdr:nvCxnSpPr>
      <xdr:spPr>
        <a:xfrm>
          <a:off x="7739063" y="59781281"/>
          <a:ext cx="0" cy="5834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340</xdr:row>
      <xdr:rowOff>11906</xdr:rowOff>
    </xdr:from>
    <xdr:to>
      <xdr:col>16</xdr:col>
      <xdr:colOff>0</xdr:colOff>
      <xdr:row>343</xdr:row>
      <xdr:rowOff>0</xdr:rowOff>
    </xdr:to>
    <xdr:cxnSp macro="">
      <xdr:nvCxnSpPr>
        <xdr:cNvPr id="92" name="Straight Arrow Connector 91"/>
        <xdr:cNvCxnSpPr/>
      </xdr:nvCxnSpPr>
      <xdr:spPr>
        <a:xfrm>
          <a:off x="10144125"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334</xdr:row>
      <xdr:rowOff>0</xdr:rowOff>
    </xdr:from>
    <xdr:to>
      <xdr:col>4</xdr:col>
      <xdr:colOff>0</xdr:colOff>
      <xdr:row>337</xdr:row>
      <xdr:rowOff>0</xdr:rowOff>
    </xdr:to>
    <xdr:cxnSp macro="">
      <xdr:nvCxnSpPr>
        <xdr:cNvPr id="94" name="Straight Arrow Connector 93"/>
        <xdr:cNvCxnSpPr/>
      </xdr:nvCxnSpPr>
      <xdr:spPr>
        <a:xfrm>
          <a:off x="252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333</xdr:row>
      <xdr:rowOff>190500</xdr:rowOff>
    </xdr:from>
    <xdr:to>
      <xdr:col>8</xdr:col>
      <xdr:colOff>0</xdr:colOff>
      <xdr:row>337</xdr:row>
      <xdr:rowOff>0</xdr:rowOff>
    </xdr:to>
    <xdr:cxnSp macro="">
      <xdr:nvCxnSpPr>
        <xdr:cNvPr id="97" name="Straight Arrow Connector 96"/>
        <xdr:cNvCxnSpPr/>
      </xdr:nvCxnSpPr>
      <xdr:spPr>
        <a:xfrm>
          <a:off x="516731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334</xdr:row>
      <xdr:rowOff>0</xdr:rowOff>
    </xdr:from>
    <xdr:to>
      <xdr:col>12</xdr:col>
      <xdr:colOff>0</xdr:colOff>
      <xdr:row>337</xdr:row>
      <xdr:rowOff>0</xdr:rowOff>
    </xdr:to>
    <xdr:cxnSp macro="">
      <xdr:nvCxnSpPr>
        <xdr:cNvPr id="98" name="Straight Arrow Connector 97"/>
        <xdr:cNvCxnSpPr/>
      </xdr:nvCxnSpPr>
      <xdr:spPr>
        <a:xfrm>
          <a:off x="773906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334</xdr:row>
      <xdr:rowOff>0</xdr:rowOff>
    </xdr:from>
    <xdr:to>
      <xdr:col>16</xdr:col>
      <xdr:colOff>0</xdr:colOff>
      <xdr:row>337</xdr:row>
      <xdr:rowOff>0</xdr:rowOff>
    </xdr:to>
    <xdr:cxnSp macro="">
      <xdr:nvCxnSpPr>
        <xdr:cNvPr id="99" name="Straight Arrow Connector 98"/>
        <xdr:cNvCxnSpPr/>
      </xdr:nvCxnSpPr>
      <xdr:spPr>
        <a:xfrm>
          <a:off x="1014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320</xdr:row>
      <xdr:rowOff>180975</xdr:rowOff>
    </xdr:from>
    <xdr:to>
      <xdr:col>8</xdr:col>
      <xdr:colOff>0</xdr:colOff>
      <xdr:row>323</xdr:row>
      <xdr:rowOff>180975</xdr:rowOff>
    </xdr:to>
    <xdr:cxnSp macro="">
      <xdr:nvCxnSpPr>
        <xdr:cNvPr id="100" name="Straight Arrow Connector 99"/>
        <xdr:cNvCxnSpPr/>
      </xdr:nvCxnSpPr>
      <xdr:spPr>
        <a:xfrm>
          <a:off x="5010150" y="58988325"/>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11906</xdr:colOff>
      <xdr:row>23</xdr:row>
      <xdr:rowOff>23813</xdr:rowOff>
    </xdr:from>
    <xdr:to>
      <xdr:col>9</xdr:col>
      <xdr:colOff>0</xdr:colOff>
      <xdr:row>23</xdr:row>
      <xdr:rowOff>23815</xdr:rowOff>
    </xdr:to>
    <xdr:cxnSp macro="">
      <xdr:nvCxnSpPr>
        <xdr:cNvPr id="3" name="Straight Arrow Connector 2"/>
        <xdr:cNvCxnSpPr/>
      </xdr:nvCxnSpPr>
      <xdr:spPr>
        <a:xfrm>
          <a:off x="1857375" y="4083844"/>
          <a:ext cx="2405063" cy="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23</xdr:row>
      <xdr:rowOff>23813</xdr:rowOff>
    </xdr:from>
    <xdr:to>
      <xdr:col>25</xdr:col>
      <xdr:colOff>0</xdr:colOff>
      <xdr:row>23</xdr:row>
      <xdr:rowOff>23813</xdr:rowOff>
    </xdr:to>
    <xdr:cxnSp macro="">
      <xdr:nvCxnSpPr>
        <xdr:cNvPr id="11" name="Straight Arrow Connector 10"/>
        <xdr:cNvCxnSpPr/>
      </xdr:nvCxnSpPr>
      <xdr:spPr>
        <a:xfrm>
          <a:off x="10156031" y="4274344"/>
          <a:ext cx="358378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571500</xdr:colOff>
      <xdr:row>12</xdr:row>
      <xdr:rowOff>13607</xdr:rowOff>
    </xdr:from>
    <xdr:to>
      <xdr:col>9</xdr:col>
      <xdr:colOff>585107</xdr:colOff>
      <xdr:row>22</xdr:row>
      <xdr:rowOff>0</xdr:rowOff>
    </xdr:to>
    <xdr:cxnSp macro="">
      <xdr:nvCxnSpPr>
        <xdr:cNvPr id="4" name="Straight Arrow Connector 3"/>
        <xdr:cNvCxnSpPr/>
      </xdr:nvCxnSpPr>
      <xdr:spPr>
        <a:xfrm flipV="1">
          <a:off x="7080250" y="1870982"/>
          <a:ext cx="13607" cy="222476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26</xdr:col>
      <xdr:colOff>15875</xdr:colOff>
      <xdr:row>25</xdr:row>
      <xdr:rowOff>0</xdr:rowOff>
    </xdr:from>
    <xdr:to>
      <xdr:col>26</xdr:col>
      <xdr:colOff>15875</xdr:colOff>
      <xdr:row>34</xdr:row>
      <xdr:rowOff>15875</xdr:rowOff>
    </xdr:to>
    <xdr:cxnSp macro="">
      <xdr:nvCxnSpPr>
        <xdr:cNvPr id="6" name="Straight Arrow Connector 5"/>
        <xdr:cNvCxnSpPr/>
      </xdr:nvCxnSpPr>
      <xdr:spPr>
        <a:xfrm flipV="1">
          <a:off x="14176375" y="4683125"/>
          <a:ext cx="0" cy="2143125"/>
        </a:xfrm>
        <a:prstGeom prst="straightConnector1">
          <a:avLst/>
        </a:prstGeom>
        <a:ln>
          <a:headEnd type="arrow"/>
          <a:tailEnd type="none"/>
        </a:ln>
      </xdr:spPr>
      <xdr:style>
        <a:lnRef idx="2">
          <a:schemeClr val="dk1"/>
        </a:lnRef>
        <a:fillRef idx="0">
          <a:schemeClr val="dk1"/>
        </a:fillRef>
        <a:effectRef idx="1">
          <a:schemeClr val="dk1"/>
        </a:effectRef>
        <a:fontRef idx="minor">
          <a:schemeClr val="tx1"/>
        </a:fontRef>
      </xdr:style>
    </xdr:cxnSp>
    <xdr:clientData/>
  </xdr:twoCellAnchor>
  <xdr:twoCellAnchor>
    <xdr:from>
      <xdr:col>27</xdr:col>
      <xdr:colOff>15875</xdr:colOff>
      <xdr:row>23</xdr:row>
      <xdr:rowOff>25400</xdr:rowOff>
    </xdr:from>
    <xdr:to>
      <xdr:col>35</xdr:col>
      <xdr:colOff>28575</xdr:colOff>
      <xdr:row>23</xdr:row>
      <xdr:rowOff>25400</xdr:rowOff>
    </xdr:to>
    <xdr:cxnSp macro="">
      <xdr:nvCxnSpPr>
        <xdr:cNvPr id="16" name="Straight Arrow Connector 15"/>
        <xdr:cNvCxnSpPr/>
      </xdr:nvCxnSpPr>
      <xdr:spPr>
        <a:xfrm>
          <a:off x="19800661" y="8067221"/>
          <a:ext cx="545555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12700</xdr:colOff>
      <xdr:row>21</xdr:row>
      <xdr:rowOff>50800</xdr:rowOff>
    </xdr:from>
    <xdr:to>
      <xdr:col>36</xdr:col>
      <xdr:colOff>330200</xdr:colOff>
      <xdr:row>25</xdr:row>
      <xdr:rowOff>0</xdr:rowOff>
    </xdr:to>
    <xdr:sp macro="" textlink="">
      <xdr:nvSpPr>
        <xdr:cNvPr id="17" name="Flowchart: Decision 16"/>
        <xdr:cNvSpPr/>
      </xdr:nvSpPr>
      <xdr:spPr>
        <a:xfrm>
          <a:off x="25240343" y="7684407"/>
          <a:ext cx="997857" cy="765629"/>
        </a:xfrm>
        <a:prstGeom prst="flowChartDecisi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latin typeface="Helvetica" pitchFamily="34" charset="0"/>
              <a:cs typeface="Helvetica" pitchFamily="34" charset="0"/>
            </a:rPr>
            <a:t>End</a:t>
          </a:r>
        </a:p>
      </xdr:txBody>
    </xdr:sp>
    <xdr:clientData/>
  </xdr:twoCellAnchor>
  <xdr:twoCellAnchor>
    <xdr:from>
      <xdr:col>35</xdr:col>
      <xdr:colOff>558007</xdr:colOff>
      <xdr:row>17</xdr:row>
      <xdr:rowOff>166688</xdr:rowOff>
    </xdr:from>
    <xdr:to>
      <xdr:col>35</xdr:col>
      <xdr:colOff>561975</xdr:colOff>
      <xdr:row>21</xdr:row>
      <xdr:rowOff>47628</xdr:rowOff>
    </xdr:to>
    <xdr:cxnSp macro="">
      <xdr:nvCxnSpPr>
        <xdr:cNvPr id="18" name="Straight Connector 17"/>
        <xdr:cNvCxnSpPr/>
      </xdr:nvCxnSpPr>
      <xdr:spPr>
        <a:xfrm flipV="1">
          <a:off x="27332782" y="3605213"/>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561975</xdr:colOff>
      <xdr:row>17</xdr:row>
      <xdr:rowOff>152400</xdr:rowOff>
    </xdr:from>
    <xdr:to>
      <xdr:col>40</xdr:col>
      <xdr:colOff>497682</xdr:colOff>
      <xdr:row>17</xdr:row>
      <xdr:rowOff>161924</xdr:rowOff>
    </xdr:to>
    <xdr:cxnSp macro="">
      <xdr:nvCxnSpPr>
        <xdr:cNvPr id="42" name="Straight Arrow Connector 41"/>
        <xdr:cNvCxnSpPr/>
      </xdr:nvCxnSpPr>
      <xdr:spPr>
        <a:xfrm>
          <a:off x="27336750" y="3590925"/>
          <a:ext cx="3802857" cy="952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666750</xdr:colOff>
      <xdr:row>12</xdr:row>
      <xdr:rowOff>0</xdr:rowOff>
    </xdr:from>
    <xdr:to>
      <xdr:col>1</xdr:col>
      <xdr:colOff>680357</xdr:colOff>
      <xdr:row>21</xdr:row>
      <xdr:rowOff>192768</xdr:rowOff>
    </xdr:to>
    <xdr:cxnSp macro="">
      <xdr:nvCxnSpPr>
        <xdr:cNvPr id="19" name="Straight Arrow Connector 18"/>
        <xdr:cNvCxnSpPr/>
      </xdr:nvCxnSpPr>
      <xdr:spPr>
        <a:xfrm flipV="1">
          <a:off x="2714625" y="5365750"/>
          <a:ext cx="13607" cy="22406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36</xdr:col>
      <xdr:colOff>276225</xdr:colOff>
      <xdr:row>28</xdr:row>
      <xdr:rowOff>47625</xdr:rowOff>
    </xdr:from>
    <xdr:to>
      <xdr:col>40</xdr:col>
      <xdr:colOff>431006</xdr:colOff>
      <xdr:row>33</xdr:row>
      <xdr:rowOff>78581</xdr:rowOff>
    </xdr:to>
    <xdr:cxnSp macro="">
      <xdr:nvCxnSpPr>
        <xdr:cNvPr id="7" name="Elbow Connector 6"/>
        <xdr:cNvCxnSpPr/>
      </xdr:nvCxnSpPr>
      <xdr:spPr>
        <a:xfrm>
          <a:off x="27841575" y="5667375"/>
          <a:ext cx="3231356" cy="1031081"/>
        </a:xfrm>
        <a:prstGeom prst="bentConnector3">
          <a:avLst>
            <a:gd name="adj1" fmla="val 479"/>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35</xdr:col>
      <xdr:colOff>581025</xdr:colOff>
      <xdr:row>28</xdr:row>
      <xdr:rowOff>0</xdr:rowOff>
    </xdr:from>
    <xdr:to>
      <xdr:col>39</xdr:col>
      <xdr:colOff>561975</xdr:colOff>
      <xdr:row>28</xdr:row>
      <xdr:rowOff>9525</xdr:rowOff>
    </xdr:to>
    <xdr:cxnSp macro="">
      <xdr:nvCxnSpPr>
        <xdr:cNvPr id="41" name="Straight Arrow Connector 40"/>
        <xdr:cNvCxnSpPr/>
      </xdr:nvCxnSpPr>
      <xdr:spPr>
        <a:xfrm flipV="1">
          <a:off x="27355800" y="5619750"/>
          <a:ext cx="31242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23</xdr:row>
      <xdr:rowOff>23813</xdr:rowOff>
    </xdr:from>
    <xdr:to>
      <xdr:col>15</xdr:col>
      <xdr:colOff>0</xdr:colOff>
      <xdr:row>23</xdr:row>
      <xdr:rowOff>23813</xdr:rowOff>
    </xdr:to>
    <xdr:cxnSp macro="">
      <xdr:nvCxnSpPr>
        <xdr:cNvPr id="20" name="Straight Arrow Connector 19"/>
        <xdr:cNvCxnSpPr/>
      </xdr:nvCxnSpPr>
      <xdr:spPr>
        <a:xfrm>
          <a:off x="5453063" y="4083844"/>
          <a:ext cx="24288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561977</xdr:colOff>
      <xdr:row>25</xdr:row>
      <xdr:rowOff>3</xdr:rowOff>
    </xdr:from>
    <xdr:to>
      <xdr:col>35</xdr:col>
      <xdr:colOff>573881</xdr:colOff>
      <xdr:row>28</xdr:row>
      <xdr:rowOff>11907</xdr:rowOff>
    </xdr:to>
    <xdr:cxnSp macro="">
      <xdr:nvCxnSpPr>
        <xdr:cNvPr id="21" name="Straight Connector 20"/>
        <xdr:cNvCxnSpPr/>
      </xdr:nvCxnSpPr>
      <xdr:spPr>
        <a:xfrm flipH="1" flipV="1">
          <a:off x="27336752" y="5019678"/>
          <a:ext cx="11904" cy="61197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75406</xdr:colOff>
      <xdr:row>9</xdr:row>
      <xdr:rowOff>63500</xdr:rowOff>
    </xdr:from>
    <xdr:to>
      <xdr:col>17</xdr:col>
      <xdr:colOff>79375</xdr:colOff>
      <xdr:row>18</xdr:row>
      <xdr:rowOff>17349</xdr:rowOff>
    </xdr:to>
    <xdr:cxnSp macro="">
      <xdr:nvCxnSpPr>
        <xdr:cNvPr id="29" name="Straight Arrow Connector 28"/>
        <xdr:cNvCxnSpPr/>
      </xdr:nvCxnSpPr>
      <xdr:spPr>
        <a:xfrm flipV="1">
          <a:off x="10489406" y="1079500"/>
          <a:ext cx="3969" cy="139847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57150</xdr:rowOff>
    </xdr:from>
    <xdr:to>
      <xdr:col>39</xdr:col>
      <xdr:colOff>565943</xdr:colOff>
      <xdr:row>29</xdr:row>
      <xdr:rowOff>119065</xdr:rowOff>
    </xdr:to>
    <xdr:cxnSp macro="">
      <xdr:nvCxnSpPr>
        <xdr:cNvPr id="24" name="Straight Connector 23"/>
        <xdr:cNvCxnSpPr/>
      </xdr:nvCxnSpPr>
      <xdr:spPr>
        <a:xfrm flipV="1">
          <a:off x="30480000" y="5267325"/>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66675</xdr:rowOff>
    </xdr:from>
    <xdr:to>
      <xdr:col>40</xdr:col>
      <xdr:colOff>485775</xdr:colOff>
      <xdr:row>26</xdr:row>
      <xdr:rowOff>76200</xdr:rowOff>
    </xdr:to>
    <xdr:cxnSp macro="">
      <xdr:nvCxnSpPr>
        <xdr:cNvPr id="25" name="Straight Arrow Connector 24"/>
        <xdr:cNvCxnSpPr/>
      </xdr:nvCxnSpPr>
      <xdr:spPr>
        <a:xfrm>
          <a:off x="30480000" y="527685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29</xdr:row>
      <xdr:rowOff>123825</xdr:rowOff>
    </xdr:from>
    <xdr:to>
      <xdr:col>40</xdr:col>
      <xdr:colOff>485775</xdr:colOff>
      <xdr:row>29</xdr:row>
      <xdr:rowOff>133350</xdr:rowOff>
    </xdr:to>
    <xdr:cxnSp macro="">
      <xdr:nvCxnSpPr>
        <xdr:cNvPr id="26" name="Straight Arrow Connector 25"/>
        <xdr:cNvCxnSpPr/>
      </xdr:nvCxnSpPr>
      <xdr:spPr>
        <a:xfrm>
          <a:off x="30480000" y="594360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38101</xdr:colOff>
      <xdr:row>96</xdr:row>
      <xdr:rowOff>0</xdr:rowOff>
    </xdr:from>
    <xdr:to>
      <xdr:col>4</xdr:col>
      <xdr:colOff>307340</xdr:colOff>
      <xdr:row>96</xdr:row>
      <xdr:rowOff>0</xdr:rowOff>
    </xdr:to>
    <xdr:cxnSp macro="">
      <xdr:nvCxnSpPr>
        <xdr:cNvPr id="89" name="Straight Arrow Connector 88"/>
        <xdr:cNvCxnSpPr/>
      </xdr:nvCxnSpPr>
      <xdr:spPr>
        <a:xfrm>
          <a:off x="1238251" y="1937385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101</xdr:row>
      <xdr:rowOff>0</xdr:rowOff>
    </xdr:from>
    <xdr:to>
      <xdr:col>4</xdr:col>
      <xdr:colOff>281939</xdr:colOff>
      <xdr:row>101</xdr:row>
      <xdr:rowOff>0</xdr:rowOff>
    </xdr:to>
    <xdr:cxnSp macro="">
      <xdr:nvCxnSpPr>
        <xdr:cNvPr id="90" name="Straight Arrow Connector 89"/>
        <xdr:cNvCxnSpPr/>
      </xdr:nvCxnSpPr>
      <xdr:spPr>
        <a:xfrm flipV="1">
          <a:off x="1212850" y="204597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106</xdr:row>
      <xdr:rowOff>12700</xdr:rowOff>
    </xdr:from>
    <xdr:to>
      <xdr:col>4</xdr:col>
      <xdr:colOff>281939</xdr:colOff>
      <xdr:row>106</xdr:row>
      <xdr:rowOff>12700</xdr:rowOff>
    </xdr:to>
    <xdr:cxnSp macro="">
      <xdr:nvCxnSpPr>
        <xdr:cNvPr id="91" name="Straight Arrow Connector 90"/>
        <xdr:cNvCxnSpPr/>
      </xdr:nvCxnSpPr>
      <xdr:spPr>
        <a:xfrm>
          <a:off x="1212850" y="214249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96</xdr:row>
      <xdr:rowOff>0</xdr:rowOff>
    </xdr:from>
    <xdr:to>
      <xdr:col>11</xdr:col>
      <xdr:colOff>167639</xdr:colOff>
      <xdr:row>96</xdr:row>
      <xdr:rowOff>0</xdr:rowOff>
    </xdr:to>
    <xdr:cxnSp macro="">
      <xdr:nvCxnSpPr>
        <xdr:cNvPr id="92" name="Straight Arrow Connector 91"/>
        <xdr:cNvCxnSpPr/>
      </xdr:nvCxnSpPr>
      <xdr:spPr>
        <a:xfrm>
          <a:off x="5400675" y="19373850"/>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101</xdr:row>
      <xdr:rowOff>25400</xdr:rowOff>
    </xdr:from>
    <xdr:to>
      <xdr:col>11</xdr:col>
      <xdr:colOff>193039</xdr:colOff>
      <xdr:row>101</xdr:row>
      <xdr:rowOff>25400</xdr:rowOff>
    </xdr:to>
    <xdr:cxnSp macro="">
      <xdr:nvCxnSpPr>
        <xdr:cNvPr id="93" name="Straight Arrow Connector 92"/>
        <xdr:cNvCxnSpPr/>
      </xdr:nvCxnSpPr>
      <xdr:spPr>
        <a:xfrm flipV="1">
          <a:off x="5397500" y="20485100"/>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117</xdr:row>
      <xdr:rowOff>0</xdr:rowOff>
    </xdr:from>
    <xdr:to>
      <xdr:col>4</xdr:col>
      <xdr:colOff>307340</xdr:colOff>
      <xdr:row>117</xdr:row>
      <xdr:rowOff>0</xdr:rowOff>
    </xdr:to>
    <xdr:cxnSp macro="">
      <xdr:nvCxnSpPr>
        <xdr:cNvPr id="94" name="Straight Arrow Connector 93"/>
        <xdr:cNvCxnSpPr/>
      </xdr:nvCxnSpPr>
      <xdr:spPr>
        <a:xfrm>
          <a:off x="1238251" y="234600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122</xdr:row>
      <xdr:rowOff>0</xdr:rowOff>
    </xdr:from>
    <xdr:to>
      <xdr:col>4</xdr:col>
      <xdr:colOff>281939</xdr:colOff>
      <xdr:row>122</xdr:row>
      <xdr:rowOff>0</xdr:rowOff>
    </xdr:to>
    <xdr:cxnSp macro="">
      <xdr:nvCxnSpPr>
        <xdr:cNvPr id="95" name="Straight Arrow Connector 94"/>
        <xdr:cNvCxnSpPr/>
      </xdr:nvCxnSpPr>
      <xdr:spPr>
        <a:xfrm flipV="1">
          <a:off x="1212850" y="245459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25400</xdr:colOff>
      <xdr:row>127</xdr:row>
      <xdr:rowOff>12700</xdr:rowOff>
    </xdr:from>
    <xdr:to>
      <xdr:col>4</xdr:col>
      <xdr:colOff>294639</xdr:colOff>
      <xdr:row>127</xdr:row>
      <xdr:rowOff>12700</xdr:rowOff>
    </xdr:to>
    <xdr:cxnSp macro="">
      <xdr:nvCxnSpPr>
        <xdr:cNvPr id="96" name="Straight Arrow Connector 95"/>
        <xdr:cNvCxnSpPr/>
      </xdr:nvCxnSpPr>
      <xdr:spPr>
        <a:xfrm>
          <a:off x="1225550" y="255111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117</xdr:row>
      <xdr:rowOff>0</xdr:rowOff>
    </xdr:from>
    <xdr:to>
      <xdr:col>11</xdr:col>
      <xdr:colOff>167639</xdr:colOff>
      <xdr:row>117</xdr:row>
      <xdr:rowOff>0</xdr:rowOff>
    </xdr:to>
    <xdr:cxnSp macro="">
      <xdr:nvCxnSpPr>
        <xdr:cNvPr id="97" name="Straight Arrow Connector 96"/>
        <xdr:cNvCxnSpPr/>
      </xdr:nvCxnSpPr>
      <xdr:spPr>
        <a:xfrm>
          <a:off x="5400675" y="23460075"/>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122</xdr:row>
      <xdr:rowOff>25400</xdr:rowOff>
    </xdr:from>
    <xdr:to>
      <xdr:col>11</xdr:col>
      <xdr:colOff>193039</xdr:colOff>
      <xdr:row>122</xdr:row>
      <xdr:rowOff>25400</xdr:rowOff>
    </xdr:to>
    <xdr:cxnSp macro="">
      <xdr:nvCxnSpPr>
        <xdr:cNvPr id="98" name="Straight Arrow Connector 97"/>
        <xdr:cNvCxnSpPr/>
      </xdr:nvCxnSpPr>
      <xdr:spPr>
        <a:xfrm flipV="1">
          <a:off x="5397500" y="24571325"/>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800101</xdr:colOff>
      <xdr:row>126</xdr:row>
      <xdr:rowOff>76200</xdr:rowOff>
    </xdr:from>
    <xdr:to>
      <xdr:col>11</xdr:col>
      <xdr:colOff>243840</xdr:colOff>
      <xdr:row>126</xdr:row>
      <xdr:rowOff>76200</xdr:rowOff>
    </xdr:to>
    <xdr:cxnSp macro="">
      <xdr:nvCxnSpPr>
        <xdr:cNvPr id="99" name="Straight Arrow Connector 98"/>
        <xdr:cNvCxnSpPr/>
      </xdr:nvCxnSpPr>
      <xdr:spPr>
        <a:xfrm>
          <a:off x="5400676" y="25412700"/>
          <a:ext cx="14439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25401</xdr:colOff>
      <xdr:row>313</xdr:row>
      <xdr:rowOff>12700</xdr:rowOff>
    </xdr:from>
    <xdr:to>
      <xdr:col>4</xdr:col>
      <xdr:colOff>294640</xdr:colOff>
      <xdr:row>313</xdr:row>
      <xdr:rowOff>12700</xdr:rowOff>
    </xdr:to>
    <xdr:cxnSp macro="">
      <xdr:nvCxnSpPr>
        <xdr:cNvPr id="100" name="Straight Arrow Connector 99"/>
        <xdr:cNvCxnSpPr/>
      </xdr:nvCxnSpPr>
      <xdr:spPr>
        <a:xfrm>
          <a:off x="1225551" y="661066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318</xdr:row>
      <xdr:rowOff>0</xdr:rowOff>
    </xdr:from>
    <xdr:to>
      <xdr:col>4</xdr:col>
      <xdr:colOff>281939</xdr:colOff>
      <xdr:row>318</xdr:row>
      <xdr:rowOff>0</xdr:rowOff>
    </xdr:to>
    <xdr:cxnSp macro="">
      <xdr:nvCxnSpPr>
        <xdr:cNvPr id="101" name="Straight Arrow Connector 100"/>
        <xdr:cNvCxnSpPr/>
      </xdr:nvCxnSpPr>
      <xdr:spPr>
        <a:xfrm flipV="1">
          <a:off x="1212850" y="67151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469900</xdr:colOff>
      <xdr:row>318</xdr:row>
      <xdr:rowOff>12700</xdr:rowOff>
    </xdr:from>
    <xdr:to>
      <xdr:col>12</xdr:col>
      <xdr:colOff>292100</xdr:colOff>
      <xdr:row>318</xdr:row>
      <xdr:rowOff>12700</xdr:rowOff>
    </xdr:to>
    <xdr:cxnSp macro="">
      <xdr:nvCxnSpPr>
        <xdr:cNvPr id="102" name="Straight Arrow Connector 101"/>
        <xdr:cNvCxnSpPr/>
      </xdr:nvCxnSpPr>
      <xdr:spPr>
        <a:xfrm>
          <a:off x="5270500" y="67163950"/>
          <a:ext cx="2222500"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337</xdr:row>
      <xdr:rowOff>0</xdr:rowOff>
    </xdr:from>
    <xdr:to>
      <xdr:col>4</xdr:col>
      <xdr:colOff>307340</xdr:colOff>
      <xdr:row>337</xdr:row>
      <xdr:rowOff>0</xdr:rowOff>
    </xdr:to>
    <xdr:cxnSp macro="">
      <xdr:nvCxnSpPr>
        <xdr:cNvPr id="103" name="Straight Arrow Connector 102"/>
        <xdr:cNvCxnSpPr/>
      </xdr:nvCxnSpPr>
      <xdr:spPr>
        <a:xfrm>
          <a:off x="1238251" y="7071360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342</xdr:row>
      <xdr:rowOff>0</xdr:rowOff>
    </xdr:from>
    <xdr:to>
      <xdr:col>4</xdr:col>
      <xdr:colOff>281939</xdr:colOff>
      <xdr:row>342</xdr:row>
      <xdr:rowOff>0</xdr:rowOff>
    </xdr:to>
    <xdr:cxnSp macro="">
      <xdr:nvCxnSpPr>
        <xdr:cNvPr id="104" name="Straight Arrow Connector 103"/>
        <xdr:cNvCxnSpPr/>
      </xdr:nvCxnSpPr>
      <xdr:spPr>
        <a:xfrm flipV="1">
          <a:off x="1212850" y="71723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165100</xdr:colOff>
      <xdr:row>332</xdr:row>
      <xdr:rowOff>114300</xdr:rowOff>
    </xdr:from>
    <xdr:to>
      <xdr:col>8</xdr:col>
      <xdr:colOff>165100</xdr:colOff>
      <xdr:row>337</xdr:row>
      <xdr:rowOff>12700</xdr:rowOff>
    </xdr:to>
    <xdr:cxnSp macro="">
      <xdr:nvCxnSpPr>
        <xdr:cNvPr id="105" name="Straight Arrow Connector 104"/>
        <xdr:cNvCxnSpPr/>
      </xdr:nvCxnSpPr>
      <xdr:spPr>
        <a:xfrm flipV="1">
          <a:off x="4965700" y="70018275"/>
          <a:ext cx="0" cy="708025"/>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341</xdr:row>
      <xdr:rowOff>25400</xdr:rowOff>
    </xdr:from>
    <xdr:to>
      <xdr:col>12</xdr:col>
      <xdr:colOff>393700</xdr:colOff>
      <xdr:row>341</xdr:row>
      <xdr:rowOff>25400</xdr:rowOff>
    </xdr:to>
    <xdr:cxnSp macro="">
      <xdr:nvCxnSpPr>
        <xdr:cNvPr id="106" name="Straight Arrow Connector 105"/>
        <xdr:cNvCxnSpPr/>
      </xdr:nvCxnSpPr>
      <xdr:spPr>
        <a:xfrm>
          <a:off x="5397500" y="71520050"/>
          <a:ext cx="21971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190500</xdr:colOff>
      <xdr:row>348</xdr:row>
      <xdr:rowOff>12700</xdr:rowOff>
    </xdr:from>
    <xdr:to>
      <xdr:col>8</xdr:col>
      <xdr:colOff>190501</xdr:colOff>
      <xdr:row>352</xdr:row>
      <xdr:rowOff>101600</xdr:rowOff>
    </xdr:to>
    <xdr:cxnSp macro="">
      <xdr:nvCxnSpPr>
        <xdr:cNvPr id="107" name="Straight Arrow Connector 106"/>
        <xdr:cNvCxnSpPr/>
      </xdr:nvCxnSpPr>
      <xdr:spPr>
        <a:xfrm flipH="1">
          <a:off x="4991100" y="72783700"/>
          <a:ext cx="1" cy="73660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673100</xdr:colOff>
      <xdr:row>319</xdr:row>
      <xdr:rowOff>25400</xdr:rowOff>
    </xdr:from>
    <xdr:to>
      <xdr:col>18</xdr:col>
      <xdr:colOff>815339</xdr:colOff>
      <xdr:row>319</xdr:row>
      <xdr:rowOff>25400</xdr:rowOff>
    </xdr:to>
    <xdr:cxnSp macro="">
      <xdr:nvCxnSpPr>
        <xdr:cNvPr id="108" name="Straight Arrow Connector 107"/>
        <xdr:cNvCxnSpPr/>
      </xdr:nvCxnSpPr>
      <xdr:spPr>
        <a:xfrm>
          <a:off x="10398125" y="67405250"/>
          <a:ext cx="12947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313</xdr:row>
      <xdr:rowOff>0</xdr:rowOff>
    </xdr:from>
    <xdr:to>
      <xdr:col>12</xdr:col>
      <xdr:colOff>304800</xdr:colOff>
      <xdr:row>313</xdr:row>
      <xdr:rowOff>0</xdr:rowOff>
    </xdr:to>
    <xdr:cxnSp macro="">
      <xdr:nvCxnSpPr>
        <xdr:cNvPr id="109" name="Straight Arrow Connector 108"/>
        <xdr:cNvCxnSpPr/>
      </xdr:nvCxnSpPr>
      <xdr:spPr>
        <a:xfrm>
          <a:off x="6003925" y="66093975"/>
          <a:ext cx="15017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322</xdr:row>
      <xdr:rowOff>0</xdr:rowOff>
    </xdr:from>
    <xdr:to>
      <xdr:col>12</xdr:col>
      <xdr:colOff>269239</xdr:colOff>
      <xdr:row>322</xdr:row>
      <xdr:rowOff>0</xdr:rowOff>
    </xdr:to>
    <xdr:cxnSp macro="">
      <xdr:nvCxnSpPr>
        <xdr:cNvPr id="110" name="Straight Arrow Connector 109"/>
        <xdr:cNvCxnSpPr/>
      </xdr:nvCxnSpPr>
      <xdr:spPr>
        <a:xfrm flipV="1">
          <a:off x="6000750" y="680085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38101</xdr:colOff>
      <xdr:row>313</xdr:row>
      <xdr:rowOff>0</xdr:rowOff>
    </xdr:from>
    <xdr:to>
      <xdr:col>12</xdr:col>
      <xdr:colOff>307340</xdr:colOff>
      <xdr:row>313</xdr:row>
      <xdr:rowOff>0</xdr:rowOff>
    </xdr:to>
    <xdr:cxnSp macro="">
      <xdr:nvCxnSpPr>
        <xdr:cNvPr id="111" name="Straight Arrow Connector 110"/>
        <xdr:cNvCxnSpPr/>
      </xdr:nvCxnSpPr>
      <xdr:spPr>
        <a:xfrm>
          <a:off x="6038851" y="660939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337</xdr:row>
      <xdr:rowOff>0</xdr:rowOff>
    </xdr:from>
    <xdr:to>
      <xdr:col>12</xdr:col>
      <xdr:colOff>406400</xdr:colOff>
      <xdr:row>337</xdr:row>
      <xdr:rowOff>0</xdr:rowOff>
    </xdr:to>
    <xdr:cxnSp macro="">
      <xdr:nvCxnSpPr>
        <xdr:cNvPr id="112" name="Straight Arrow Connector 111"/>
        <xdr:cNvCxnSpPr/>
      </xdr:nvCxnSpPr>
      <xdr:spPr>
        <a:xfrm>
          <a:off x="6003925" y="70713600"/>
          <a:ext cx="16033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977900</xdr:colOff>
      <xdr:row>347</xdr:row>
      <xdr:rowOff>12700</xdr:rowOff>
    </xdr:from>
    <xdr:to>
      <xdr:col>12</xdr:col>
      <xdr:colOff>383539</xdr:colOff>
      <xdr:row>347</xdr:row>
      <xdr:rowOff>12700</xdr:rowOff>
    </xdr:to>
    <xdr:cxnSp macro="">
      <xdr:nvCxnSpPr>
        <xdr:cNvPr id="113" name="Straight Arrow Connector 112"/>
        <xdr:cNvCxnSpPr/>
      </xdr:nvCxnSpPr>
      <xdr:spPr>
        <a:xfrm flipV="1">
          <a:off x="5997575" y="72612250"/>
          <a:ext cx="15868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622301</xdr:colOff>
      <xdr:row>313</xdr:row>
      <xdr:rowOff>0</xdr:rowOff>
    </xdr:from>
    <xdr:to>
      <xdr:col>19</xdr:col>
      <xdr:colOff>66040</xdr:colOff>
      <xdr:row>313</xdr:row>
      <xdr:rowOff>0</xdr:rowOff>
    </xdr:to>
    <xdr:cxnSp macro="">
      <xdr:nvCxnSpPr>
        <xdr:cNvPr id="114" name="Straight Arrow Connector 113"/>
        <xdr:cNvCxnSpPr/>
      </xdr:nvCxnSpPr>
      <xdr:spPr>
        <a:xfrm>
          <a:off x="10404476" y="66093975"/>
          <a:ext cx="13582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342</xdr:row>
      <xdr:rowOff>0</xdr:rowOff>
    </xdr:from>
    <xdr:to>
      <xdr:col>19</xdr:col>
      <xdr:colOff>243839</xdr:colOff>
      <xdr:row>342</xdr:row>
      <xdr:rowOff>0</xdr:rowOff>
    </xdr:to>
    <xdr:cxnSp macro="">
      <xdr:nvCxnSpPr>
        <xdr:cNvPr id="115" name="Straight Arrow Connector 114"/>
        <xdr:cNvCxnSpPr/>
      </xdr:nvCxnSpPr>
      <xdr:spPr>
        <a:xfrm flipV="1">
          <a:off x="10401300" y="71723250"/>
          <a:ext cx="153923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337</xdr:row>
      <xdr:rowOff>0</xdr:rowOff>
    </xdr:from>
    <xdr:to>
      <xdr:col>19</xdr:col>
      <xdr:colOff>215900</xdr:colOff>
      <xdr:row>337</xdr:row>
      <xdr:rowOff>0</xdr:rowOff>
    </xdr:to>
    <xdr:cxnSp macro="">
      <xdr:nvCxnSpPr>
        <xdr:cNvPr id="116" name="Straight Arrow Connector 115"/>
        <xdr:cNvCxnSpPr/>
      </xdr:nvCxnSpPr>
      <xdr:spPr>
        <a:xfrm>
          <a:off x="10401300" y="70713600"/>
          <a:ext cx="15113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63500</xdr:colOff>
      <xdr:row>347</xdr:row>
      <xdr:rowOff>152400</xdr:rowOff>
    </xdr:from>
    <xdr:to>
      <xdr:col>15</xdr:col>
      <xdr:colOff>63501</xdr:colOff>
      <xdr:row>352</xdr:row>
      <xdr:rowOff>76200</xdr:rowOff>
    </xdr:to>
    <xdr:cxnSp macro="">
      <xdr:nvCxnSpPr>
        <xdr:cNvPr id="117" name="Straight Arrow Connector 116"/>
        <xdr:cNvCxnSpPr/>
      </xdr:nvCxnSpPr>
      <xdr:spPr>
        <a:xfrm flipH="1">
          <a:off x="9264650" y="72751950"/>
          <a:ext cx="1" cy="74295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235324</xdr:colOff>
      <xdr:row>168</xdr:row>
      <xdr:rowOff>150531</xdr:rowOff>
    </xdr:from>
    <xdr:to>
      <xdr:col>30</xdr:col>
      <xdr:colOff>549089</xdr:colOff>
      <xdr:row>195</xdr:row>
      <xdr:rowOff>74705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0</xdr:colOff>
      <xdr:row>17</xdr:row>
      <xdr:rowOff>31750</xdr:rowOff>
    </xdr:from>
    <xdr:ext cx="4572000" cy="2781300"/>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xdr:col>
      <xdr:colOff>63500</xdr:colOff>
      <xdr:row>41</xdr:row>
      <xdr:rowOff>0</xdr:rowOff>
    </xdr:from>
    <xdr:ext cx="4508500" cy="2781300"/>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twoCellAnchor>
    <xdr:from>
      <xdr:col>2</xdr:col>
      <xdr:colOff>127000</xdr:colOff>
      <xdr:row>69</xdr:row>
      <xdr:rowOff>101600</xdr:rowOff>
    </xdr:from>
    <xdr:to>
      <xdr:col>7</xdr:col>
      <xdr:colOff>762000</xdr:colOff>
      <xdr:row>90</xdr:row>
      <xdr:rowOff>12700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50800</xdr:colOff>
      <xdr:row>101</xdr:row>
      <xdr:rowOff>12700</xdr:rowOff>
    </xdr:from>
    <xdr:ext cx="4622800" cy="2971800"/>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PGEEv1.1">
  <a:themeElements>
    <a:clrScheme name="Custom 11">
      <a:dk1>
        <a:sysClr val="windowText" lastClr="000000"/>
      </a:dk1>
      <a:lt1>
        <a:sysClr val="window" lastClr="FFFFFF"/>
      </a:lt1>
      <a:dk2>
        <a:srgbClr val="4D4F53"/>
      </a:dk2>
      <a:lt2>
        <a:srgbClr val="D2C295"/>
      </a:lt2>
      <a:accent1>
        <a:srgbClr val="00505C"/>
      </a:accent1>
      <a:accent2>
        <a:srgbClr val="8C1515"/>
      </a:accent2>
      <a:accent3>
        <a:srgbClr val="EAAB00"/>
      </a:accent3>
      <a:accent4>
        <a:srgbClr val="8D3C1E"/>
      </a:accent4>
      <a:accent5>
        <a:srgbClr val="009B76"/>
      </a:accent5>
      <a:accent6>
        <a:srgbClr val="C7D1C5"/>
      </a:accent6>
      <a:hlink>
        <a:srgbClr val="8C1515"/>
      </a:hlink>
      <a:folHlink>
        <a:srgbClr val="5E3032"/>
      </a:folHlink>
    </a:clrScheme>
    <a:fontScheme name="Solstice">
      <a:majorFont>
        <a:latin typeface="Gill Sans MT"/>
        <a:ea typeface=""/>
        <a:cs typeface=""/>
        <a:font script="Grek" typeface="Corbel"/>
        <a:font script="Cyrl" typeface="Corbel"/>
        <a:font script="Jpan" typeface="ＭＳ ゴシック"/>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ＭＳ ゴシック"/>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lnDef>
  </a:objectDefaults>
  <a:extraClrSchemeLst>
    <a:extraClrScheme>
      <a:clrScheme name="PresentationTemplate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PresentationTemplate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PresentationTemplate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PresentationTemplate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PresentationTemplate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PresentationTemplate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PresentationTemplate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PresentationTemplate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PresentationTemplate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PresentationTemplate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PresentationTemplate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PresentationTemplate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hyperlink" Target="http://www.crudemonitor.ca/"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hyperlink" Target="http://www.engineeringtoolbox.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O120"/>
  <sheetViews>
    <sheetView workbookViewId="0">
      <selection activeCell="C6" sqref="C6"/>
    </sheetView>
  </sheetViews>
  <sheetFormatPr defaultColWidth="8.88671875" defaultRowHeight="15"/>
  <cols>
    <col min="1" max="1" width="8.88671875" style="99"/>
    <col min="2" max="2" width="9" style="99" customWidth="1"/>
    <col min="3" max="6" width="8.88671875" style="99"/>
    <col min="7" max="7" width="12.5546875" style="99" customWidth="1"/>
    <col min="8" max="11" width="8.88671875" style="99"/>
    <col min="12" max="12" width="10.44140625" style="99" customWidth="1"/>
    <col min="13" max="17" width="8.88671875" style="99" customWidth="1"/>
    <col min="18" max="16384" width="8.88671875" style="99"/>
  </cols>
  <sheetData>
    <row r="1" spans="1:15" s="6" customFormat="1" ht="24" customHeight="1">
      <c r="A1" s="6" t="s">
        <v>929</v>
      </c>
    </row>
    <row r="3" spans="1:15" s="9" customFormat="1" ht="15.75">
      <c r="A3" s="9" t="s">
        <v>3826</v>
      </c>
      <c r="C3" s="738" t="s">
        <v>4136</v>
      </c>
      <c r="E3" s="9" t="s">
        <v>3827</v>
      </c>
      <c r="G3" s="637">
        <v>42100</v>
      </c>
      <c r="H3" s="97"/>
    </row>
    <row r="4" spans="1:15" ht="15.75">
      <c r="C4" s="1025" t="s">
        <v>4141</v>
      </c>
      <c r="D4" s="1026"/>
      <c r="E4" s="1026"/>
      <c r="F4" s="1026"/>
      <c r="G4" s="1026"/>
      <c r="H4" s="1026"/>
      <c r="I4" s="1026"/>
      <c r="J4" s="1026"/>
      <c r="K4" s="1026"/>
      <c r="L4" s="1026"/>
      <c r="M4" s="1026"/>
      <c r="N4" s="1026"/>
      <c r="O4" s="1026"/>
    </row>
    <row r="5" spans="1:15" ht="15.75">
      <c r="A5" s="105"/>
    </row>
    <row r="7" spans="1:15" s="98" customFormat="1" ht="15.75">
      <c r="A7" s="98" t="s">
        <v>2</v>
      </c>
    </row>
    <row r="9" spans="1:15" ht="15.75">
      <c r="B9" s="666" t="s">
        <v>603</v>
      </c>
      <c r="C9" s="105"/>
      <c r="E9" s="483" t="s">
        <v>3866</v>
      </c>
    </row>
    <row r="10" spans="1:15" ht="15.75">
      <c r="B10" s="666" t="s">
        <v>3828</v>
      </c>
      <c r="C10" s="105"/>
      <c r="E10" s="99" t="s">
        <v>3270</v>
      </c>
    </row>
    <row r="11" spans="1:15">
      <c r="B11" s="666" t="s">
        <v>3271</v>
      </c>
      <c r="E11" s="666" t="s">
        <v>3272</v>
      </c>
    </row>
    <row r="12" spans="1:15">
      <c r="B12" s="483" t="s">
        <v>3865</v>
      </c>
      <c r="E12" s="99" t="s">
        <v>3270</v>
      </c>
    </row>
    <row r="13" spans="1:15" ht="15.75">
      <c r="B13" s="258" t="s">
        <v>0</v>
      </c>
      <c r="C13" s="105"/>
      <c r="E13" s="99" t="s">
        <v>3270</v>
      </c>
    </row>
    <row r="17" spans="1:5" s="98" customFormat="1" ht="15.75">
      <c r="A17" s="98" t="s">
        <v>3275</v>
      </c>
    </row>
    <row r="19" spans="1:5">
      <c r="B19" s="666" t="s">
        <v>3276</v>
      </c>
    </row>
    <row r="20" spans="1:5">
      <c r="C20" s="666" t="s">
        <v>3278</v>
      </c>
    </row>
    <row r="21" spans="1:5">
      <c r="C21" s="666" t="s">
        <v>3277</v>
      </c>
    </row>
    <row r="24" spans="1:5" s="666" customFormat="1">
      <c r="B24" s="666" t="s">
        <v>3279</v>
      </c>
      <c r="C24" s="99"/>
    </row>
    <row r="25" spans="1:5">
      <c r="C25" s="666" t="s">
        <v>3280</v>
      </c>
    </row>
    <row r="27" spans="1:5">
      <c r="C27" s="666" t="s">
        <v>3273</v>
      </c>
      <c r="E27" s="99" t="s">
        <v>3274</v>
      </c>
    </row>
    <row r="28" spans="1:5">
      <c r="C28" s="666"/>
    </row>
    <row r="29" spans="1:5">
      <c r="C29" s="666"/>
    </row>
    <row r="30" spans="1:5" s="98" customFormat="1" ht="15" customHeight="1">
      <c r="A30" s="98" t="s">
        <v>1</v>
      </c>
    </row>
    <row r="32" spans="1:5">
      <c r="B32" s="99" t="s">
        <v>3</v>
      </c>
    </row>
    <row r="33" spans="1:3">
      <c r="B33" s="666" t="s">
        <v>2458</v>
      </c>
    </row>
    <row r="34" spans="1:3">
      <c r="C34" s="99" t="s">
        <v>4</v>
      </c>
    </row>
    <row r="35" spans="1:3">
      <c r="C35" s="99" t="s">
        <v>7</v>
      </c>
    </row>
    <row r="36" spans="1:3">
      <c r="C36" s="99" t="s">
        <v>8</v>
      </c>
    </row>
    <row r="37" spans="1:3">
      <c r="C37" s="99" t="s">
        <v>5</v>
      </c>
    </row>
    <row r="38" spans="1:3">
      <c r="C38" s="99" t="s">
        <v>6</v>
      </c>
    </row>
    <row r="39" spans="1:3">
      <c r="C39" s="99" t="s">
        <v>9</v>
      </c>
    </row>
    <row r="45" spans="1:3" s="98" customFormat="1" ht="15" customHeight="1">
      <c r="A45" s="98" t="s">
        <v>1028</v>
      </c>
    </row>
    <row r="47" spans="1:3">
      <c r="B47" s="666" t="s">
        <v>3829</v>
      </c>
    </row>
    <row r="48" spans="1:3">
      <c r="B48" s="99" t="s">
        <v>1029</v>
      </c>
    </row>
    <row r="50" spans="2:3">
      <c r="B50" s="99" t="s">
        <v>1030</v>
      </c>
    </row>
    <row r="52" spans="2:3">
      <c r="B52" s="99" t="s">
        <v>1031</v>
      </c>
    </row>
    <row r="53" spans="2:3">
      <c r="C53" s="101" t="s">
        <v>1038</v>
      </c>
    </row>
    <row r="54" spans="2:3">
      <c r="C54" s="101" t="s">
        <v>1039</v>
      </c>
    </row>
    <row r="55" spans="2:3">
      <c r="C55" s="101" t="s">
        <v>1040</v>
      </c>
    </row>
    <row r="56" spans="2:3">
      <c r="C56" s="101" t="s">
        <v>1041</v>
      </c>
    </row>
    <row r="58" spans="2:3">
      <c r="B58" s="99" t="s">
        <v>1032</v>
      </c>
    </row>
    <row r="60" spans="2:3">
      <c r="B60" s="99" t="s">
        <v>1033</v>
      </c>
    </row>
    <row r="62" spans="2:3">
      <c r="B62" s="99" t="s">
        <v>1034</v>
      </c>
    </row>
    <row r="64" spans="2:3">
      <c r="B64" s="99" t="s">
        <v>1035</v>
      </c>
    </row>
    <row r="66" spans="1:2">
      <c r="B66" s="99" t="s">
        <v>1036</v>
      </c>
    </row>
    <row r="67" spans="1:2">
      <c r="B67" s="115"/>
    </row>
    <row r="68" spans="1:2">
      <c r="B68" s="99" t="s">
        <v>1037</v>
      </c>
    </row>
    <row r="69" spans="1:2">
      <c r="A69" s="115"/>
    </row>
    <row r="70" spans="1:2" ht="15.75">
      <c r="A70" s="867"/>
    </row>
    <row r="101" spans="1:12">
      <c r="A101" s="103"/>
      <c r="B101" s="103"/>
      <c r="C101" s="103"/>
      <c r="D101" s="103"/>
      <c r="E101" s="103"/>
      <c r="F101" s="103"/>
      <c r="G101" s="103"/>
      <c r="H101" s="103"/>
      <c r="I101" s="103"/>
      <c r="J101" s="103"/>
      <c r="K101" s="103"/>
      <c r="L101" s="103"/>
    </row>
    <row r="102" spans="1:12">
      <c r="A102" s="115"/>
      <c r="B102" s="115"/>
      <c r="C102" s="115"/>
      <c r="D102" s="115"/>
      <c r="E102" s="115"/>
      <c r="F102" s="115"/>
      <c r="G102" s="115"/>
      <c r="H102" s="115"/>
      <c r="I102" s="103"/>
      <c r="J102" s="103"/>
      <c r="K102" s="103"/>
      <c r="L102" s="103"/>
    </row>
    <row r="103" spans="1:12">
      <c r="A103" s="115"/>
      <c r="B103" s="115"/>
      <c r="C103" s="115"/>
      <c r="D103" s="115"/>
      <c r="E103" s="115"/>
      <c r="F103" s="115"/>
      <c r="G103" s="115"/>
      <c r="H103" s="115"/>
    </row>
    <row r="104" spans="1:12">
      <c r="A104" s="115"/>
      <c r="B104" s="115"/>
      <c r="C104" s="115"/>
      <c r="D104" s="115"/>
      <c r="E104" s="115"/>
      <c r="F104" s="115"/>
      <c r="G104" s="115"/>
      <c r="H104" s="115"/>
    </row>
    <row r="105" spans="1:12">
      <c r="A105" s="115"/>
      <c r="B105" s="115"/>
      <c r="C105" s="115"/>
      <c r="D105" s="115"/>
      <c r="E105" s="115"/>
      <c r="F105" s="115"/>
      <c r="G105" s="115"/>
      <c r="H105" s="115"/>
    </row>
    <row r="106" spans="1:12">
      <c r="A106" s="115"/>
      <c r="B106" s="115"/>
      <c r="C106" s="115"/>
      <c r="D106" s="115"/>
      <c r="E106" s="115"/>
      <c r="F106" s="115"/>
      <c r="G106" s="115"/>
      <c r="H106" s="115"/>
    </row>
    <row r="107" spans="1:12">
      <c r="A107" s="115"/>
      <c r="B107" s="115"/>
      <c r="C107" s="115"/>
      <c r="D107" s="115"/>
      <c r="E107" s="115"/>
      <c r="F107" s="115"/>
      <c r="G107" s="115"/>
      <c r="H107" s="115"/>
    </row>
    <row r="108" spans="1:12">
      <c r="A108" s="115"/>
      <c r="B108" s="115"/>
      <c r="C108" s="115"/>
      <c r="D108" s="115"/>
      <c r="E108" s="115"/>
      <c r="F108" s="115"/>
      <c r="G108" s="115"/>
      <c r="H108" s="115"/>
    </row>
    <row r="109" spans="1:12">
      <c r="A109" s="115"/>
      <c r="B109" s="115"/>
      <c r="C109" s="115"/>
      <c r="D109" s="115"/>
      <c r="E109" s="115"/>
      <c r="F109" s="115"/>
      <c r="G109" s="115"/>
      <c r="H109" s="115"/>
    </row>
    <row r="110" spans="1:12">
      <c r="B110" s="103"/>
    </row>
    <row r="111" spans="1:12">
      <c r="B111" s="103"/>
    </row>
    <row r="112" spans="1:12">
      <c r="B112" s="103"/>
    </row>
    <row r="113" spans="2:2">
      <c r="B113" s="103"/>
    </row>
    <row r="114" spans="2:2">
      <c r="B114" s="103"/>
    </row>
    <row r="115" spans="2:2">
      <c r="B115" s="103"/>
    </row>
    <row r="116" spans="2:2">
      <c r="B116" s="103"/>
    </row>
    <row r="117" spans="2:2">
      <c r="B117" s="103"/>
    </row>
    <row r="118" spans="2:2">
      <c r="B118" s="103"/>
    </row>
    <row r="119" spans="2:2">
      <c r="B119" s="103"/>
    </row>
    <row r="120" spans="2:2">
      <c r="B120" s="103"/>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K176"/>
  <sheetViews>
    <sheetView workbookViewId="0">
      <selection activeCell="E33" sqref="E33"/>
    </sheetView>
  </sheetViews>
  <sheetFormatPr defaultColWidth="8.88671875" defaultRowHeight="15"/>
  <cols>
    <col min="1" max="1" width="8.88671875" style="7"/>
    <col min="2" max="4" width="11.44140625" style="7" customWidth="1"/>
    <col min="5" max="5" width="42.88671875" style="7" customWidth="1"/>
    <col min="6" max="7" width="11.44140625" style="7" customWidth="1"/>
    <col min="8" max="8" width="11.44140625" style="8" customWidth="1"/>
    <col min="9" max="10" width="11.44140625" style="7" customWidth="1"/>
    <col min="11" max="16384" width="8.88671875" style="7"/>
  </cols>
  <sheetData>
    <row r="1" spans="1:5" s="6" customFormat="1" ht="24.95" customHeight="1">
      <c r="A1" s="6" t="s">
        <v>10</v>
      </c>
    </row>
    <row r="2" spans="1:5" s="7" customFormat="1" ht="23.1" customHeight="1"/>
    <row r="3" spans="1:5" s="7" customFormat="1">
      <c r="B3" s="7" t="s">
        <v>66</v>
      </c>
    </row>
    <row r="4" spans="1:5" s="7" customFormat="1">
      <c r="B4" s="104" t="s">
        <v>932</v>
      </c>
    </row>
    <row r="6" spans="1:5" s="99" customFormat="1"/>
    <row r="7" spans="1:5" s="9" customFormat="1" ht="15.75">
      <c r="A7" s="9" t="s">
        <v>1387</v>
      </c>
    </row>
    <row r="8" spans="1:5" s="99" customFormat="1"/>
    <row r="9" spans="1:5" s="99" customFormat="1" ht="15.75">
      <c r="A9" s="105" t="s">
        <v>151</v>
      </c>
      <c r="C9" s="105" t="s">
        <v>143</v>
      </c>
      <c r="D9" s="105"/>
      <c r="E9" s="105" t="s">
        <v>144</v>
      </c>
    </row>
    <row r="10" spans="1:5" s="99" customFormat="1">
      <c r="A10" s="99" t="s">
        <v>139</v>
      </c>
      <c r="C10" s="99">
        <v>0.01</v>
      </c>
      <c r="D10" s="99" t="s">
        <v>148</v>
      </c>
      <c r="E10" s="99" t="s">
        <v>146</v>
      </c>
    </row>
    <row r="11" spans="1:5" s="99" customFormat="1">
      <c r="A11" s="99" t="s">
        <v>140</v>
      </c>
      <c r="C11" s="99">
        <v>0.1</v>
      </c>
      <c r="D11" s="99" t="s">
        <v>148</v>
      </c>
      <c r="E11" s="99" t="s">
        <v>145</v>
      </c>
    </row>
    <row r="12" spans="1:5" s="99" customFormat="1">
      <c r="A12" s="99" t="s">
        <v>141</v>
      </c>
      <c r="C12" s="99">
        <v>1</v>
      </c>
      <c r="D12" s="99" t="s">
        <v>148</v>
      </c>
      <c r="E12" s="99" t="s">
        <v>147</v>
      </c>
    </row>
    <row r="13" spans="1:5" s="99" customFormat="1">
      <c r="A13" s="99" t="s">
        <v>142</v>
      </c>
      <c r="C13" s="99">
        <v>10</v>
      </c>
      <c r="D13" s="99" t="s">
        <v>148</v>
      </c>
      <c r="E13" s="100" t="s">
        <v>1330</v>
      </c>
    </row>
    <row r="14" spans="1:5" s="7" customFormat="1" ht="14.1" customHeight="1"/>
    <row r="15" spans="1:5" s="7" customFormat="1" ht="14.1" customHeight="1"/>
    <row r="16" spans="1:5" s="9" customFormat="1" ht="18" customHeight="1">
      <c r="A16" s="9" t="s">
        <v>1388</v>
      </c>
    </row>
    <row r="19" spans="2:9" s="107" customFormat="1">
      <c r="B19" s="106" t="s">
        <v>11</v>
      </c>
      <c r="C19" s="106" t="s">
        <v>12</v>
      </c>
      <c r="D19" s="106" t="s">
        <v>13</v>
      </c>
      <c r="E19" s="106" t="s">
        <v>15</v>
      </c>
      <c r="F19" s="106" t="s">
        <v>137</v>
      </c>
      <c r="G19" s="106" t="s">
        <v>152</v>
      </c>
      <c r="H19" s="106" t="s">
        <v>181</v>
      </c>
      <c r="I19" s="106" t="s">
        <v>14</v>
      </c>
    </row>
    <row r="20" spans="2:9" s="107" customFormat="1" ht="18" customHeight="1">
      <c r="B20" s="1035" t="s">
        <v>4</v>
      </c>
      <c r="C20" s="1035" t="s">
        <v>16</v>
      </c>
      <c r="D20" s="1035" t="s">
        <v>20</v>
      </c>
      <c r="E20" s="13" t="s">
        <v>25</v>
      </c>
      <c r="F20" s="13" t="s">
        <v>176</v>
      </c>
      <c r="G20" s="13" t="s">
        <v>139</v>
      </c>
      <c r="H20" s="13" t="str">
        <f t="shared" ref="H20:H44" si="0">IF(G20="*","&lt;= 0.01 g",IF(G20="**","~ 0.1   g",IF(G20="***","~ 1 g",IF(G20="****","~ 10 g","Error"))))</f>
        <v>&lt;= 0.01 g</v>
      </c>
      <c r="I20" s="731">
        <v>1</v>
      </c>
    </row>
    <row r="21" spans="2:9" s="107" customFormat="1" ht="18" customHeight="1">
      <c r="B21" s="1035"/>
      <c r="C21" s="1035"/>
      <c r="D21" s="1035"/>
      <c r="E21" s="13" t="s">
        <v>28</v>
      </c>
      <c r="F21" s="13" t="s">
        <v>176</v>
      </c>
      <c r="G21" s="13" t="s">
        <v>139</v>
      </c>
      <c r="H21" s="13" t="str">
        <f t="shared" si="0"/>
        <v>&lt;= 0.01 g</v>
      </c>
      <c r="I21" s="731">
        <v>0</v>
      </c>
    </row>
    <row r="22" spans="2:9" s="107" customFormat="1">
      <c r="B22" s="1035"/>
      <c r="C22" s="1035"/>
      <c r="D22" s="1035"/>
      <c r="E22" s="13" t="s">
        <v>26</v>
      </c>
      <c r="F22" s="13" t="s">
        <v>176</v>
      </c>
      <c r="G22" s="13" t="s">
        <v>139</v>
      </c>
      <c r="H22" s="13" t="str">
        <f t="shared" si="0"/>
        <v>&lt;= 0.01 g</v>
      </c>
      <c r="I22" s="731">
        <v>0</v>
      </c>
    </row>
    <row r="23" spans="2:9" s="107" customFormat="1">
      <c r="B23" s="1035"/>
      <c r="C23" s="1035"/>
      <c r="D23" s="1035"/>
      <c r="E23" s="13" t="s">
        <v>27</v>
      </c>
      <c r="F23" s="13" t="s">
        <v>176</v>
      </c>
      <c r="G23" s="13" t="s">
        <v>139</v>
      </c>
      <c r="H23" s="13" t="str">
        <f t="shared" si="0"/>
        <v>&lt;= 0.01 g</v>
      </c>
      <c r="I23" s="731">
        <v>0</v>
      </c>
    </row>
    <row r="24" spans="2:9" s="107" customFormat="1" ht="18" customHeight="1">
      <c r="B24" s="1035"/>
      <c r="C24" s="1035"/>
      <c r="D24" s="1035" t="s">
        <v>17</v>
      </c>
      <c r="E24" s="13" t="s">
        <v>99</v>
      </c>
      <c r="F24" s="13" t="s">
        <v>176</v>
      </c>
      <c r="G24" s="13" t="s">
        <v>139</v>
      </c>
      <c r="H24" s="13" t="str">
        <f t="shared" si="0"/>
        <v>&lt;= 0.01 g</v>
      </c>
      <c r="I24" s="731">
        <v>0</v>
      </c>
    </row>
    <row r="25" spans="2:9" s="107" customFormat="1" ht="18" customHeight="1">
      <c r="B25" s="1035"/>
      <c r="C25" s="1035"/>
      <c r="D25" s="1035"/>
      <c r="E25" s="13" t="s">
        <v>28</v>
      </c>
      <c r="F25" s="13" t="s">
        <v>176</v>
      </c>
      <c r="G25" s="13" t="s">
        <v>139</v>
      </c>
      <c r="H25" s="13" t="str">
        <f t="shared" si="0"/>
        <v>&lt;= 0.01 g</v>
      </c>
      <c r="I25" s="731">
        <v>0</v>
      </c>
    </row>
    <row r="26" spans="2:9" s="107" customFormat="1" ht="18" customHeight="1">
      <c r="B26" s="1035"/>
      <c r="C26" s="1035"/>
      <c r="D26" s="1035"/>
      <c r="E26" s="13" t="s">
        <v>29</v>
      </c>
      <c r="F26" s="13" t="s">
        <v>176</v>
      </c>
      <c r="G26" s="13" t="s">
        <v>139</v>
      </c>
      <c r="H26" s="13" t="str">
        <f t="shared" si="0"/>
        <v>&lt;= 0.01 g</v>
      </c>
      <c r="I26" s="731">
        <v>0</v>
      </c>
    </row>
    <row r="27" spans="2:9" s="107" customFormat="1" ht="18" customHeight="1">
      <c r="B27" s="1035"/>
      <c r="C27" s="1035" t="s">
        <v>39</v>
      </c>
      <c r="D27" s="1035" t="s">
        <v>21</v>
      </c>
      <c r="E27" s="13" t="s">
        <v>30</v>
      </c>
      <c r="F27" s="13" t="s">
        <v>176</v>
      </c>
      <c r="G27" s="13" t="s">
        <v>139</v>
      </c>
      <c r="H27" s="13" t="str">
        <f t="shared" si="0"/>
        <v>&lt;= 0.01 g</v>
      </c>
      <c r="I27" s="731">
        <v>0</v>
      </c>
    </row>
    <row r="28" spans="2:9" s="107" customFormat="1" ht="18" customHeight="1">
      <c r="B28" s="1035"/>
      <c r="C28" s="1035"/>
      <c r="D28" s="1035"/>
      <c r="E28" s="13" t="s">
        <v>149</v>
      </c>
      <c r="F28" s="13" t="s">
        <v>176</v>
      </c>
      <c r="G28" s="13" t="s">
        <v>139</v>
      </c>
      <c r="H28" s="13" t="str">
        <f t="shared" si="0"/>
        <v>&lt;= 0.01 g</v>
      </c>
      <c r="I28" s="731">
        <v>0</v>
      </c>
    </row>
    <row r="29" spans="2:9" s="107" customFormat="1" ht="18" customHeight="1">
      <c r="B29" s="1035"/>
      <c r="C29" s="1035"/>
      <c r="D29" s="1035"/>
      <c r="E29" s="13" t="s">
        <v>31</v>
      </c>
      <c r="F29" s="13" t="s">
        <v>176</v>
      </c>
      <c r="G29" s="13" t="s">
        <v>139</v>
      </c>
      <c r="H29" s="13" t="str">
        <f t="shared" si="0"/>
        <v>&lt;= 0.01 g</v>
      </c>
      <c r="I29" s="731">
        <v>0</v>
      </c>
    </row>
    <row r="30" spans="2:9" s="107" customFormat="1" ht="18" customHeight="1">
      <c r="B30" s="1035"/>
      <c r="C30" s="1035"/>
      <c r="D30" s="1035"/>
      <c r="E30" s="13" t="s">
        <v>33</v>
      </c>
      <c r="F30" s="13" t="s">
        <v>176</v>
      </c>
      <c r="G30" s="13" t="s">
        <v>139</v>
      </c>
      <c r="H30" s="13" t="str">
        <f t="shared" si="0"/>
        <v>&lt;= 0.01 g</v>
      </c>
      <c r="I30" s="731">
        <v>0</v>
      </c>
    </row>
    <row r="31" spans="2:9" s="107" customFormat="1" ht="18" customHeight="1">
      <c r="B31" s="1035"/>
      <c r="C31" s="1035"/>
      <c r="D31" s="1035"/>
      <c r="E31" s="13" t="s">
        <v>32</v>
      </c>
      <c r="F31" s="13" t="s">
        <v>176</v>
      </c>
      <c r="G31" s="13" t="s">
        <v>139</v>
      </c>
      <c r="H31" s="13" t="str">
        <f t="shared" si="0"/>
        <v>&lt;= 0.01 g</v>
      </c>
      <c r="I31" s="731">
        <v>0</v>
      </c>
    </row>
    <row r="32" spans="2:9" s="107" customFormat="1" ht="18" customHeight="1">
      <c r="B32" s="1035"/>
      <c r="C32" s="1035"/>
      <c r="D32" s="1035"/>
      <c r="E32" s="13" t="s">
        <v>150</v>
      </c>
      <c r="F32" s="13" t="s">
        <v>176</v>
      </c>
      <c r="G32" s="13" t="s">
        <v>139</v>
      </c>
      <c r="H32" s="13" t="str">
        <f t="shared" si="0"/>
        <v>&lt;= 0.01 g</v>
      </c>
      <c r="I32" s="731">
        <v>0</v>
      </c>
    </row>
    <row r="33" spans="2:9" s="107" customFormat="1" ht="18" customHeight="1">
      <c r="B33" s="1035"/>
      <c r="C33" s="1035"/>
      <c r="D33" s="1035"/>
      <c r="E33" s="13" t="s">
        <v>27</v>
      </c>
      <c r="F33" s="13" t="s">
        <v>176</v>
      </c>
      <c r="G33" s="13" t="s">
        <v>139</v>
      </c>
      <c r="H33" s="13" t="str">
        <f t="shared" si="0"/>
        <v>&lt;= 0.01 g</v>
      </c>
      <c r="I33" s="731">
        <v>0</v>
      </c>
    </row>
    <row r="34" spans="2:9" s="107" customFormat="1">
      <c r="B34" s="1035"/>
      <c r="C34" s="1035"/>
      <c r="D34" s="1035"/>
      <c r="E34" s="13" t="s">
        <v>193</v>
      </c>
      <c r="F34" s="13" t="s">
        <v>176</v>
      </c>
      <c r="G34" s="13" t="s">
        <v>139</v>
      </c>
      <c r="H34" s="13" t="str">
        <f t="shared" si="0"/>
        <v>&lt;= 0.01 g</v>
      </c>
      <c r="I34" s="731">
        <v>0</v>
      </c>
    </row>
    <row r="35" spans="2:9" s="107" customFormat="1" ht="18" customHeight="1">
      <c r="B35" s="1035"/>
      <c r="C35" s="1035"/>
      <c r="D35" s="1035" t="s">
        <v>97</v>
      </c>
      <c r="E35" s="13" t="s">
        <v>30</v>
      </c>
      <c r="F35" s="13" t="s">
        <v>176</v>
      </c>
      <c r="G35" s="13" t="s">
        <v>139</v>
      </c>
      <c r="H35" s="13" t="str">
        <f t="shared" si="0"/>
        <v>&lt;= 0.01 g</v>
      </c>
      <c r="I35" s="731">
        <v>0</v>
      </c>
    </row>
    <row r="36" spans="2:9" s="107" customFormat="1" ht="18" customHeight="1">
      <c r="B36" s="1035"/>
      <c r="C36" s="1035"/>
      <c r="D36" s="1035"/>
      <c r="E36" s="13" t="s">
        <v>33</v>
      </c>
      <c r="F36" s="13" t="s">
        <v>176</v>
      </c>
      <c r="G36" s="13" t="s">
        <v>139</v>
      </c>
      <c r="H36" s="13" t="str">
        <f t="shared" si="0"/>
        <v>&lt;= 0.01 g</v>
      </c>
      <c r="I36" s="731">
        <v>0</v>
      </c>
    </row>
    <row r="37" spans="2:9" s="107" customFormat="1" ht="18" customHeight="1">
      <c r="B37" s="1035"/>
      <c r="C37" s="1035"/>
      <c r="D37" s="1035"/>
      <c r="E37" s="13" t="s">
        <v>31</v>
      </c>
      <c r="F37" s="13" t="s">
        <v>176</v>
      </c>
      <c r="G37" s="13" t="s">
        <v>139</v>
      </c>
      <c r="H37" s="13" t="str">
        <f t="shared" si="0"/>
        <v>&lt;= 0.01 g</v>
      </c>
      <c r="I37" s="731">
        <v>0</v>
      </c>
    </row>
    <row r="38" spans="2:9" s="107" customFormat="1" ht="18" customHeight="1">
      <c r="B38" s="1035"/>
      <c r="C38" s="1035"/>
      <c r="D38" s="1035"/>
      <c r="E38" s="13" t="s">
        <v>32</v>
      </c>
      <c r="F38" s="13" t="s">
        <v>176</v>
      </c>
      <c r="G38" s="13" t="s">
        <v>139</v>
      </c>
      <c r="H38" s="13" t="str">
        <f t="shared" si="0"/>
        <v>&lt;= 0.01 g</v>
      </c>
      <c r="I38" s="731">
        <v>0</v>
      </c>
    </row>
    <row r="39" spans="2:9" s="107" customFormat="1" ht="18" customHeight="1">
      <c r="B39" s="1035"/>
      <c r="C39" s="1035" t="s">
        <v>19</v>
      </c>
      <c r="D39" s="1035" t="s">
        <v>36</v>
      </c>
      <c r="E39" s="13" t="s">
        <v>34</v>
      </c>
      <c r="F39" s="13" t="s">
        <v>176</v>
      </c>
      <c r="G39" s="13" t="s">
        <v>139</v>
      </c>
      <c r="H39" s="13" t="str">
        <f t="shared" si="0"/>
        <v>&lt;= 0.01 g</v>
      </c>
      <c r="I39" s="731">
        <v>0</v>
      </c>
    </row>
    <row r="40" spans="2:9" s="107" customFormat="1" ht="18" customHeight="1">
      <c r="B40" s="1035"/>
      <c r="C40" s="1035"/>
      <c r="D40" s="1035"/>
      <c r="E40" s="13" t="s">
        <v>35</v>
      </c>
      <c r="F40" s="13" t="s">
        <v>176</v>
      </c>
      <c r="G40" s="13" t="s">
        <v>139</v>
      </c>
      <c r="H40" s="13" t="str">
        <f t="shared" si="0"/>
        <v>&lt;= 0.01 g</v>
      </c>
      <c r="I40" s="731">
        <v>0</v>
      </c>
    </row>
    <row r="41" spans="2:9" s="107" customFormat="1" ht="18" customHeight="1">
      <c r="B41" s="1035"/>
      <c r="C41" s="1035"/>
      <c r="D41" s="1035"/>
      <c r="E41" s="13" t="s">
        <v>37</v>
      </c>
      <c r="F41" s="13" t="s">
        <v>176</v>
      </c>
      <c r="G41" s="13" t="s">
        <v>139</v>
      </c>
      <c r="H41" s="13" t="str">
        <f t="shared" si="0"/>
        <v>&lt;= 0.01 g</v>
      </c>
      <c r="I41" s="731">
        <v>0</v>
      </c>
    </row>
    <row r="42" spans="2:9" s="107" customFormat="1" ht="25.5">
      <c r="B42" s="1035"/>
      <c r="C42" s="1035"/>
      <c r="D42" s="109" t="s">
        <v>23</v>
      </c>
      <c r="E42" s="13" t="s">
        <v>41</v>
      </c>
      <c r="F42" s="13" t="s">
        <v>176</v>
      </c>
      <c r="G42" s="13" t="s">
        <v>139</v>
      </c>
      <c r="H42" s="13" t="str">
        <f t="shared" si="0"/>
        <v>&lt;= 0.01 g</v>
      </c>
      <c r="I42" s="731">
        <v>0</v>
      </c>
    </row>
    <row r="43" spans="2:9" s="107" customFormat="1" ht="18" customHeight="1">
      <c r="B43" s="1035"/>
      <c r="C43" s="1035"/>
      <c r="D43" s="1035" t="s">
        <v>24</v>
      </c>
      <c r="E43" s="13" t="s">
        <v>42</v>
      </c>
      <c r="F43" s="13" t="s">
        <v>176</v>
      </c>
      <c r="G43" s="13" t="s">
        <v>139</v>
      </c>
      <c r="H43" s="13" t="str">
        <f t="shared" si="0"/>
        <v>&lt;= 0.01 g</v>
      </c>
      <c r="I43" s="731">
        <v>0</v>
      </c>
    </row>
    <row r="44" spans="2:9" s="107" customFormat="1" ht="32.1" customHeight="1">
      <c r="B44" s="1035"/>
      <c r="C44" s="1035"/>
      <c r="D44" s="1035"/>
      <c r="E44" s="13" t="s">
        <v>43</v>
      </c>
      <c r="F44" s="13" t="s">
        <v>176</v>
      </c>
      <c r="G44" s="13" t="s">
        <v>139</v>
      </c>
      <c r="H44" s="13" t="str">
        <f t="shared" si="0"/>
        <v>&lt;= 0.01 g</v>
      </c>
      <c r="I44" s="731">
        <v>0</v>
      </c>
    </row>
    <row r="45" spans="2:9" s="107" customFormat="1">
      <c r="B45" s="110"/>
      <c r="C45" s="110"/>
      <c r="D45" s="110"/>
      <c r="E45" s="111"/>
      <c r="G45" s="112"/>
    </row>
    <row r="46" spans="2:9" s="107" customFormat="1">
      <c r="B46" s="110"/>
      <c r="C46" s="110"/>
      <c r="D46" s="110"/>
      <c r="E46" s="111"/>
      <c r="G46" s="112"/>
    </row>
    <row r="47" spans="2:9" s="107" customFormat="1">
      <c r="B47" s="106" t="s">
        <v>11</v>
      </c>
      <c r="C47" s="106" t="s">
        <v>12</v>
      </c>
      <c r="D47" s="106" t="s">
        <v>13</v>
      </c>
      <c r="E47" s="106" t="s">
        <v>15</v>
      </c>
      <c r="F47" s="106" t="s">
        <v>137</v>
      </c>
      <c r="G47" s="106" t="s">
        <v>152</v>
      </c>
      <c r="H47" s="106" t="s">
        <v>138</v>
      </c>
      <c r="I47" s="106" t="s">
        <v>14</v>
      </c>
    </row>
    <row r="48" spans="2:9" s="107" customFormat="1">
      <c r="B48" s="1035" t="s">
        <v>7</v>
      </c>
      <c r="C48" s="1035" t="s">
        <v>18</v>
      </c>
      <c r="D48" s="1035" t="s">
        <v>21</v>
      </c>
      <c r="E48" s="13" t="s">
        <v>30</v>
      </c>
      <c r="F48" s="13" t="s">
        <v>176</v>
      </c>
      <c r="G48" s="13" t="s">
        <v>140</v>
      </c>
      <c r="H48" s="13" t="str">
        <f t="shared" ref="H48:H77" si="1">IF(G48="*","&lt;= 0.01 g",IF(G48="**","~ 0.1   g",IF(G48="***","~ 1 g",IF(G48="****","~ 10 g","Error"))))</f>
        <v>~ 0.1   g</v>
      </c>
      <c r="I48" s="731">
        <v>1</v>
      </c>
    </row>
    <row r="49" spans="2:9" s="107" customFormat="1" ht="15" customHeight="1">
      <c r="B49" s="1035"/>
      <c r="C49" s="1035"/>
      <c r="D49" s="1035"/>
      <c r="E49" s="13" t="s">
        <v>33</v>
      </c>
      <c r="F49" s="13" t="s">
        <v>176</v>
      </c>
      <c r="G49" s="13" t="s">
        <v>139</v>
      </c>
      <c r="H49" s="13" t="str">
        <f t="shared" si="1"/>
        <v>&lt;= 0.01 g</v>
      </c>
      <c r="I49" s="731">
        <v>0</v>
      </c>
    </row>
    <row r="50" spans="2:9" s="107" customFormat="1" ht="15" customHeight="1">
      <c r="B50" s="1035"/>
      <c r="C50" s="1035"/>
      <c r="D50" s="1035"/>
      <c r="E50" s="13" t="s">
        <v>31</v>
      </c>
      <c r="F50" s="13" t="s">
        <v>176</v>
      </c>
      <c r="G50" s="13" t="s">
        <v>140</v>
      </c>
      <c r="H50" s="13" t="str">
        <f t="shared" si="1"/>
        <v>~ 0.1   g</v>
      </c>
      <c r="I50" s="731">
        <v>0</v>
      </c>
    </row>
    <row r="51" spans="2:9" s="107" customFormat="1" ht="15" customHeight="1">
      <c r="B51" s="1035"/>
      <c r="C51" s="1035"/>
      <c r="D51" s="1035"/>
      <c r="E51" s="13" t="s">
        <v>27</v>
      </c>
      <c r="F51" s="13" t="s">
        <v>176</v>
      </c>
      <c r="G51" s="13" t="s">
        <v>140</v>
      </c>
      <c r="H51" s="13" t="str">
        <f t="shared" si="1"/>
        <v>~ 0.1   g</v>
      </c>
      <c r="I51" s="731">
        <v>1</v>
      </c>
    </row>
    <row r="52" spans="2:9" s="107" customFormat="1" ht="15" customHeight="1">
      <c r="B52" s="1035"/>
      <c r="C52" s="1035"/>
      <c r="D52" s="1035"/>
      <c r="E52" s="13" t="s">
        <v>38</v>
      </c>
      <c r="F52" s="13" t="s">
        <v>176</v>
      </c>
      <c r="G52" s="13" t="s">
        <v>139</v>
      </c>
      <c r="H52" s="13" t="str">
        <f t="shared" si="1"/>
        <v>&lt;= 0.01 g</v>
      </c>
      <c r="I52" s="731">
        <v>0</v>
      </c>
    </row>
    <row r="53" spans="2:9" s="107" customFormat="1" ht="15" customHeight="1">
      <c r="B53" s="1035"/>
      <c r="C53" s="1035"/>
      <c r="D53" s="1035"/>
      <c r="E53" s="13" t="s">
        <v>177</v>
      </c>
      <c r="F53" s="13" t="s">
        <v>176</v>
      </c>
      <c r="G53" s="13" t="s">
        <v>139</v>
      </c>
      <c r="H53" s="13" t="str">
        <f t="shared" si="1"/>
        <v>&lt;= 0.01 g</v>
      </c>
      <c r="I53" s="731">
        <v>0</v>
      </c>
    </row>
    <row r="54" spans="2:9" s="107" customFormat="1" ht="15.95" customHeight="1">
      <c r="B54" s="1035"/>
      <c r="C54" s="1035"/>
      <c r="D54" s="1035"/>
      <c r="E54" s="13" t="s">
        <v>40</v>
      </c>
      <c r="F54" s="13" t="s">
        <v>176</v>
      </c>
      <c r="G54" s="13" t="s">
        <v>139</v>
      </c>
      <c r="H54" s="13" t="str">
        <f t="shared" si="1"/>
        <v>&lt;= 0.01 g</v>
      </c>
      <c r="I54" s="731">
        <v>0</v>
      </c>
    </row>
    <row r="55" spans="2:9" s="107" customFormat="1" ht="15" customHeight="1">
      <c r="B55" s="1035"/>
      <c r="C55" s="1035"/>
      <c r="D55" s="1035" t="s">
        <v>22</v>
      </c>
      <c r="E55" s="13" t="s">
        <v>30</v>
      </c>
      <c r="F55" s="13" t="s">
        <v>176</v>
      </c>
      <c r="G55" s="13" t="s">
        <v>140</v>
      </c>
      <c r="H55" s="13" t="str">
        <f t="shared" si="1"/>
        <v>~ 0.1   g</v>
      </c>
      <c r="I55" s="731">
        <v>1</v>
      </c>
    </row>
    <row r="56" spans="2:9" s="107" customFormat="1" ht="15" customHeight="1">
      <c r="B56" s="1035"/>
      <c r="C56" s="1035"/>
      <c r="D56" s="1035"/>
      <c r="E56" s="13" t="s">
        <v>33</v>
      </c>
      <c r="F56" s="13" t="s">
        <v>176</v>
      </c>
      <c r="G56" s="13" t="s">
        <v>139</v>
      </c>
      <c r="H56" s="13" t="str">
        <f t="shared" si="1"/>
        <v>&lt;= 0.01 g</v>
      </c>
      <c r="I56" s="731">
        <v>0</v>
      </c>
    </row>
    <row r="57" spans="2:9" s="107" customFormat="1" ht="15" customHeight="1">
      <c r="B57" s="1035"/>
      <c r="C57" s="1035"/>
      <c r="D57" s="1035"/>
      <c r="E57" s="13" t="s">
        <v>31</v>
      </c>
      <c r="F57" s="13" t="s">
        <v>176</v>
      </c>
      <c r="G57" s="13" t="s">
        <v>140</v>
      </c>
      <c r="H57" s="13" t="str">
        <f t="shared" si="1"/>
        <v>~ 0.1   g</v>
      </c>
      <c r="I57" s="731">
        <v>0</v>
      </c>
    </row>
    <row r="58" spans="2:9" s="107" customFormat="1" ht="15.95" customHeight="1">
      <c r="B58" s="1035"/>
      <c r="C58" s="1035"/>
      <c r="D58" s="1035"/>
      <c r="E58" s="13" t="s">
        <v>177</v>
      </c>
      <c r="F58" s="13" t="s">
        <v>176</v>
      </c>
      <c r="G58" s="13" t="s">
        <v>139</v>
      </c>
      <c r="H58" s="13" t="str">
        <f t="shared" si="1"/>
        <v>&lt;= 0.01 g</v>
      </c>
      <c r="I58" s="731">
        <v>0</v>
      </c>
    </row>
    <row r="59" spans="2:9" s="107" customFormat="1">
      <c r="B59" s="1035"/>
      <c r="C59" s="1035" t="s">
        <v>44</v>
      </c>
      <c r="D59" s="1035" t="s">
        <v>56</v>
      </c>
      <c r="E59" s="13" t="s">
        <v>59</v>
      </c>
      <c r="F59" s="13" t="s">
        <v>176</v>
      </c>
      <c r="G59" s="13" t="s">
        <v>139</v>
      </c>
      <c r="H59" s="13" t="str">
        <f t="shared" si="1"/>
        <v>&lt;= 0.01 g</v>
      </c>
      <c r="I59" s="731">
        <v>0</v>
      </c>
    </row>
    <row r="60" spans="2:9" s="107" customFormat="1" ht="15" customHeight="1">
      <c r="B60" s="1035"/>
      <c r="C60" s="1035"/>
      <c r="D60" s="1035"/>
      <c r="E60" s="13" t="s">
        <v>60</v>
      </c>
      <c r="F60" s="13" t="s">
        <v>176</v>
      </c>
      <c r="G60" s="13" t="s">
        <v>139</v>
      </c>
      <c r="H60" s="13" t="str">
        <f t="shared" si="1"/>
        <v>&lt;= 0.01 g</v>
      </c>
      <c r="I60" s="731">
        <v>0</v>
      </c>
    </row>
    <row r="61" spans="2:9" s="107" customFormat="1" ht="15" customHeight="1">
      <c r="B61" s="1035"/>
      <c r="C61" s="1035"/>
      <c r="D61" s="1035"/>
      <c r="E61" s="13" t="s">
        <v>61</v>
      </c>
      <c r="F61" s="13" t="s">
        <v>176</v>
      </c>
      <c r="G61" s="13" t="s">
        <v>139</v>
      </c>
      <c r="H61" s="13" t="str">
        <f t="shared" si="1"/>
        <v>&lt;= 0.01 g</v>
      </c>
      <c r="I61" s="731">
        <v>0</v>
      </c>
    </row>
    <row r="62" spans="2:9" s="107" customFormat="1" ht="15.95" customHeight="1">
      <c r="B62" s="1035"/>
      <c r="C62" s="1035"/>
      <c r="D62" s="1035"/>
      <c r="E62" s="13" t="s">
        <v>51</v>
      </c>
      <c r="F62" s="13" t="s">
        <v>176</v>
      </c>
      <c r="G62" s="13" t="s">
        <v>139</v>
      </c>
      <c r="H62" s="13" t="str">
        <f t="shared" si="1"/>
        <v>&lt;= 0.01 g</v>
      </c>
      <c r="I62" s="731">
        <v>0</v>
      </c>
    </row>
    <row r="63" spans="2:9" s="107" customFormat="1" ht="25.5">
      <c r="B63" s="1035"/>
      <c r="C63" s="1035"/>
      <c r="D63" s="109" t="s">
        <v>47</v>
      </c>
      <c r="E63" s="13" t="s">
        <v>62</v>
      </c>
      <c r="F63" s="13" t="s">
        <v>176</v>
      </c>
      <c r="G63" s="13" t="s">
        <v>139</v>
      </c>
      <c r="H63" s="13" t="str">
        <f t="shared" si="1"/>
        <v>&lt;= 0.01 g</v>
      </c>
      <c r="I63" s="731">
        <v>0</v>
      </c>
    </row>
    <row r="64" spans="2:9" s="107" customFormat="1" ht="15" customHeight="1">
      <c r="B64" s="1035"/>
      <c r="C64" s="1035"/>
      <c r="D64" s="1035" t="s">
        <v>48</v>
      </c>
      <c r="E64" s="13" t="s">
        <v>64</v>
      </c>
      <c r="F64" s="13" t="s">
        <v>176</v>
      </c>
      <c r="G64" s="13" t="s">
        <v>139</v>
      </c>
      <c r="H64" s="13" t="str">
        <f t="shared" si="1"/>
        <v>&lt;= 0.01 g</v>
      </c>
      <c r="I64" s="731">
        <v>0</v>
      </c>
    </row>
    <row r="65" spans="2:9" s="107" customFormat="1" ht="15" customHeight="1">
      <c r="B65" s="1035"/>
      <c r="C65" s="1035"/>
      <c r="D65" s="1035"/>
      <c r="E65" s="13" t="s">
        <v>63</v>
      </c>
      <c r="F65" s="13" t="s">
        <v>176</v>
      </c>
      <c r="G65" s="13" t="s">
        <v>139</v>
      </c>
      <c r="H65" s="13" t="str">
        <f t="shared" si="1"/>
        <v>&lt;= 0.01 g</v>
      </c>
      <c r="I65" s="731">
        <v>0</v>
      </c>
    </row>
    <row r="66" spans="2:9" s="107" customFormat="1" ht="15.95" customHeight="1">
      <c r="B66" s="1035"/>
      <c r="C66" s="1035"/>
      <c r="D66" s="1035"/>
      <c r="E66" s="13" t="s">
        <v>65</v>
      </c>
      <c r="F66" s="13" t="s">
        <v>176</v>
      </c>
      <c r="G66" s="13" t="s">
        <v>139</v>
      </c>
      <c r="H66" s="13" t="str">
        <f t="shared" si="1"/>
        <v>&lt;= 0.01 g</v>
      </c>
      <c r="I66" s="731">
        <v>0</v>
      </c>
    </row>
    <row r="67" spans="2:9" s="107" customFormat="1">
      <c r="B67" s="1035"/>
      <c r="C67" s="1035" t="s">
        <v>45</v>
      </c>
      <c r="D67" s="1035" t="s">
        <v>45</v>
      </c>
      <c r="E67" s="13" t="s">
        <v>49</v>
      </c>
      <c r="F67" s="13" t="s">
        <v>176</v>
      </c>
      <c r="G67" s="13" t="s">
        <v>139</v>
      </c>
      <c r="H67" s="13" t="str">
        <f t="shared" si="1"/>
        <v>&lt;= 0.01 g</v>
      </c>
      <c r="I67" s="731">
        <v>0</v>
      </c>
    </row>
    <row r="68" spans="2:9" s="107" customFormat="1" ht="15" customHeight="1">
      <c r="B68" s="1035"/>
      <c r="C68" s="1035"/>
      <c r="D68" s="1035"/>
      <c r="E68" s="13" t="s">
        <v>50</v>
      </c>
      <c r="F68" s="13" t="s">
        <v>176</v>
      </c>
      <c r="G68" s="13" t="s">
        <v>139</v>
      </c>
      <c r="H68" s="13" t="str">
        <f t="shared" si="1"/>
        <v>&lt;= 0.01 g</v>
      </c>
      <c r="I68" s="731">
        <v>0</v>
      </c>
    </row>
    <row r="69" spans="2:9" s="107" customFormat="1" ht="15" customHeight="1">
      <c r="B69" s="1035"/>
      <c r="C69" s="1035"/>
      <c r="D69" s="1035"/>
      <c r="E69" s="13" t="s">
        <v>53</v>
      </c>
      <c r="F69" s="13" t="s">
        <v>176</v>
      </c>
      <c r="G69" s="13" t="s">
        <v>139</v>
      </c>
      <c r="H69" s="13" t="str">
        <f t="shared" si="1"/>
        <v>&lt;= 0.01 g</v>
      </c>
      <c r="I69" s="731">
        <v>0</v>
      </c>
    </row>
    <row r="70" spans="2:9" s="107" customFormat="1" ht="18.95" customHeight="1">
      <c r="B70" s="1035"/>
      <c r="C70" s="1035"/>
      <c r="D70" s="1035"/>
      <c r="E70" s="13" t="s">
        <v>51</v>
      </c>
      <c r="F70" s="13" t="s">
        <v>176</v>
      </c>
      <c r="G70" s="13" t="s">
        <v>139</v>
      </c>
      <c r="H70" s="13" t="str">
        <f t="shared" si="1"/>
        <v>&lt;= 0.01 g</v>
      </c>
      <c r="I70" s="731">
        <v>0</v>
      </c>
    </row>
    <row r="71" spans="2:9" s="107" customFormat="1" ht="18.95" customHeight="1">
      <c r="B71" s="1035"/>
      <c r="C71" s="1035"/>
      <c r="D71" s="1035"/>
      <c r="E71" s="13" t="s">
        <v>27</v>
      </c>
      <c r="F71" s="13" t="s">
        <v>176</v>
      </c>
      <c r="G71" s="13" t="s">
        <v>139</v>
      </c>
      <c r="H71" s="13" t="str">
        <f t="shared" si="1"/>
        <v>&lt;= 0.01 g</v>
      </c>
      <c r="I71" s="731">
        <v>0</v>
      </c>
    </row>
    <row r="72" spans="2:9">
      <c r="B72" s="1035"/>
      <c r="C72" s="1035" t="s">
        <v>46</v>
      </c>
      <c r="D72" s="1035" t="s">
        <v>57</v>
      </c>
      <c r="E72" s="13" t="s">
        <v>52</v>
      </c>
      <c r="F72" s="13" t="s">
        <v>176</v>
      </c>
      <c r="G72" s="13" t="s">
        <v>139</v>
      </c>
      <c r="H72" s="13" t="str">
        <f t="shared" si="1"/>
        <v>&lt;= 0.01 g</v>
      </c>
      <c r="I72" s="731">
        <v>0</v>
      </c>
    </row>
    <row r="73" spans="2:9" ht="15" customHeight="1">
      <c r="B73" s="1035"/>
      <c r="C73" s="1035"/>
      <c r="D73" s="1035"/>
      <c r="E73" s="13" t="s">
        <v>54</v>
      </c>
      <c r="F73" s="13" t="s">
        <v>176</v>
      </c>
      <c r="G73" s="13" t="s">
        <v>139</v>
      </c>
      <c r="H73" s="13" t="str">
        <f t="shared" si="1"/>
        <v>&lt;= 0.01 g</v>
      </c>
      <c r="I73" s="731">
        <v>0</v>
      </c>
    </row>
    <row r="74" spans="2:9" ht="15" customHeight="1">
      <c r="B74" s="1035"/>
      <c r="C74" s="1035"/>
      <c r="D74" s="1035"/>
      <c r="E74" s="13" t="s">
        <v>55</v>
      </c>
      <c r="F74" s="13" t="s">
        <v>176</v>
      </c>
      <c r="G74" s="13" t="s">
        <v>139</v>
      </c>
      <c r="H74" s="13" t="str">
        <f t="shared" si="1"/>
        <v>&lt;= 0.01 g</v>
      </c>
      <c r="I74" s="731">
        <v>0</v>
      </c>
    </row>
    <row r="75" spans="2:9" ht="15" customHeight="1">
      <c r="B75" s="1035"/>
      <c r="C75" s="1035"/>
      <c r="D75" s="1035"/>
      <c r="E75" s="13" t="s">
        <v>51</v>
      </c>
      <c r="F75" s="13" t="s">
        <v>176</v>
      </c>
      <c r="G75" s="13" t="s">
        <v>139</v>
      </c>
      <c r="H75" s="13" t="str">
        <f t="shared" si="1"/>
        <v>&lt;= 0.01 g</v>
      </c>
      <c r="I75" s="731">
        <v>0</v>
      </c>
    </row>
    <row r="76" spans="2:9" ht="15.95" customHeight="1">
      <c r="B76" s="1035"/>
      <c r="C76" s="1035"/>
      <c r="D76" s="1035"/>
      <c r="E76" s="13" t="s">
        <v>27</v>
      </c>
      <c r="F76" s="13" t="s">
        <v>176</v>
      </c>
      <c r="G76" s="13" t="s">
        <v>139</v>
      </c>
      <c r="H76" s="13" t="str">
        <f t="shared" si="1"/>
        <v>&lt;= 0.01 g</v>
      </c>
      <c r="I76" s="731">
        <v>0</v>
      </c>
    </row>
    <row r="77" spans="2:9" ht="36.950000000000003" customHeight="1">
      <c r="B77" s="1035"/>
      <c r="C77" s="1035"/>
      <c r="D77" s="109" t="s">
        <v>58</v>
      </c>
      <c r="E77" s="13" t="s">
        <v>83</v>
      </c>
      <c r="F77" s="13" t="s">
        <v>176</v>
      </c>
      <c r="G77" s="13" t="s">
        <v>139</v>
      </c>
      <c r="H77" s="13" t="str">
        <f t="shared" si="1"/>
        <v>&lt;= 0.01 g</v>
      </c>
      <c r="I77" s="731">
        <v>0</v>
      </c>
    </row>
    <row r="78" spans="2:9">
      <c r="G78" s="8"/>
      <c r="H78" s="7"/>
    </row>
    <row r="79" spans="2:9">
      <c r="G79" s="8"/>
      <c r="H79" s="7"/>
    </row>
    <row r="80" spans="2:9">
      <c r="G80" s="8"/>
      <c r="H80" s="7"/>
    </row>
    <row r="81" spans="2:11" s="107" customFormat="1">
      <c r="B81" s="106" t="s">
        <v>11</v>
      </c>
      <c r="C81" s="106" t="s">
        <v>12</v>
      </c>
      <c r="D81" s="106" t="s">
        <v>13</v>
      </c>
      <c r="E81" s="106" t="s">
        <v>15</v>
      </c>
      <c r="F81" s="106" t="s">
        <v>137</v>
      </c>
      <c r="G81" s="106" t="s">
        <v>152</v>
      </c>
      <c r="H81" s="106" t="s">
        <v>138</v>
      </c>
      <c r="I81" s="106" t="s">
        <v>14</v>
      </c>
    </row>
    <row r="82" spans="2:11" s="107" customFormat="1" ht="12.95" customHeight="1">
      <c r="B82" s="1035" t="s">
        <v>8</v>
      </c>
      <c r="C82" s="1035" t="s">
        <v>67</v>
      </c>
      <c r="D82" s="1035" t="s">
        <v>153</v>
      </c>
      <c r="E82" s="13" t="s">
        <v>154</v>
      </c>
      <c r="F82" s="13" t="s">
        <v>176</v>
      </c>
      <c r="G82" s="13" t="s">
        <v>141</v>
      </c>
      <c r="H82" s="13" t="str">
        <f t="shared" ref="H82:H88" si="2">IF(G82="*","&lt;= 0.01 g",IF(G82="**","~ 0.1   g",IF(G82="***","~ 1 g",IF(G82="****","~ 10 g","Error"))))</f>
        <v>~ 1 g</v>
      </c>
      <c r="I82" s="731">
        <v>1</v>
      </c>
    </row>
    <row r="83" spans="2:11" s="107" customFormat="1" ht="15" customHeight="1">
      <c r="B83" s="1035"/>
      <c r="C83" s="1035"/>
      <c r="D83" s="1035"/>
      <c r="E83" s="13" t="s">
        <v>155</v>
      </c>
      <c r="F83" s="13" t="s">
        <v>176</v>
      </c>
      <c r="G83" s="13" t="s">
        <v>141</v>
      </c>
      <c r="H83" s="13" t="str">
        <f t="shared" si="2"/>
        <v>~ 1 g</v>
      </c>
      <c r="I83" s="731">
        <v>1</v>
      </c>
    </row>
    <row r="84" spans="2:11" s="107" customFormat="1" ht="15" customHeight="1">
      <c r="B84" s="1035"/>
      <c r="C84" s="1035"/>
      <c r="D84" s="1035"/>
      <c r="E84" s="13" t="s">
        <v>232</v>
      </c>
      <c r="F84" s="13" t="s">
        <v>176</v>
      </c>
      <c r="G84" s="13" t="s">
        <v>141</v>
      </c>
      <c r="H84" s="13" t="str">
        <f t="shared" si="2"/>
        <v>~ 1 g</v>
      </c>
      <c r="I84" s="731">
        <v>1</v>
      </c>
    </row>
    <row r="85" spans="2:11" s="107" customFormat="1" ht="15" customHeight="1">
      <c r="B85" s="1035"/>
      <c r="C85" s="1035"/>
      <c r="D85" s="1035" t="s">
        <v>68</v>
      </c>
      <c r="E85" s="13" t="s">
        <v>178</v>
      </c>
      <c r="F85" s="13" t="s">
        <v>176</v>
      </c>
      <c r="G85" s="13" t="s">
        <v>141</v>
      </c>
      <c r="H85" s="13" t="str">
        <f t="shared" si="2"/>
        <v>~ 1 g</v>
      </c>
      <c r="I85" s="731">
        <v>1</v>
      </c>
    </row>
    <row r="86" spans="2:11" s="107" customFormat="1" ht="15" customHeight="1">
      <c r="B86" s="1035"/>
      <c r="C86" s="1035"/>
      <c r="D86" s="1035"/>
      <c r="E86" s="13" t="s">
        <v>71</v>
      </c>
      <c r="F86" s="13" t="s">
        <v>176</v>
      </c>
      <c r="G86" s="13" t="s">
        <v>141</v>
      </c>
      <c r="H86" s="13" t="str">
        <f t="shared" si="2"/>
        <v>~ 1 g</v>
      </c>
      <c r="I86" s="731">
        <v>1</v>
      </c>
    </row>
    <row r="87" spans="2:11" s="107" customFormat="1" ht="15" customHeight="1">
      <c r="B87" s="1035"/>
      <c r="C87" s="1035"/>
      <c r="D87" s="1035"/>
      <c r="E87" s="13" t="s">
        <v>232</v>
      </c>
      <c r="F87" s="13" t="s">
        <v>176</v>
      </c>
      <c r="G87" s="13" t="s">
        <v>141</v>
      </c>
      <c r="H87" s="13" t="str">
        <f t="shared" si="2"/>
        <v>~ 1 g</v>
      </c>
      <c r="I87" s="731">
        <v>1</v>
      </c>
    </row>
    <row r="88" spans="2:11" s="107" customFormat="1">
      <c r="B88" s="1035"/>
      <c r="C88" s="1035" t="s">
        <v>1921</v>
      </c>
      <c r="D88" s="1035" t="s">
        <v>1922</v>
      </c>
      <c r="E88" s="13" t="s">
        <v>234</v>
      </c>
      <c r="F88" s="13" t="s">
        <v>176</v>
      </c>
      <c r="G88" s="13" t="s">
        <v>140</v>
      </c>
      <c r="H88" s="13" t="str">
        <f t="shared" si="2"/>
        <v>~ 0.1   g</v>
      </c>
      <c r="I88" s="731">
        <v>0</v>
      </c>
    </row>
    <row r="89" spans="2:11" s="107" customFormat="1">
      <c r="B89" s="1035"/>
      <c r="C89" s="1035"/>
      <c r="D89" s="1035"/>
      <c r="E89" s="13" t="s">
        <v>189</v>
      </c>
      <c r="F89" s="13"/>
      <c r="G89" s="13" t="s">
        <v>141</v>
      </c>
      <c r="H89" s="13" t="str">
        <f t="shared" ref="H89:H102" si="3">IF(G89="*","&lt;= 0.01 g",IF(G89="**","~ 0.1   g",IF(G89="***","~ 1 g",IF(G89="****","~ 10 g","Error"))))</f>
        <v>~ 1 g</v>
      </c>
      <c r="I89" s="731">
        <v>1</v>
      </c>
    </row>
    <row r="90" spans="2:11" s="107" customFormat="1">
      <c r="B90" s="1035"/>
      <c r="C90" s="1035"/>
      <c r="D90" s="1035"/>
      <c r="E90" s="13" t="s">
        <v>190</v>
      </c>
      <c r="F90" s="13" t="s">
        <v>176</v>
      </c>
      <c r="G90" s="13" t="s">
        <v>141</v>
      </c>
      <c r="H90" s="13" t="str">
        <f t="shared" si="3"/>
        <v>~ 1 g</v>
      </c>
      <c r="I90" s="731">
        <v>0</v>
      </c>
    </row>
    <row r="91" spans="2:11" s="107" customFormat="1" ht="12.95" customHeight="1">
      <c r="B91" s="1035"/>
      <c r="C91" s="1035"/>
      <c r="D91" s="1035" t="s">
        <v>69</v>
      </c>
      <c r="E91" s="13" t="s">
        <v>73</v>
      </c>
      <c r="F91" s="13" t="s">
        <v>176</v>
      </c>
      <c r="G91" s="13" t="s">
        <v>139</v>
      </c>
      <c r="H91" s="13" t="str">
        <f t="shared" si="3"/>
        <v>&lt;= 0.01 g</v>
      </c>
      <c r="I91" s="731">
        <v>0</v>
      </c>
      <c r="K91" s="113"/>
    </row>
    <row r="92" spans="2:11" s="107" customFormat="1">
      <c r="B92" s="1035"/>
      <c r="C92" s="1035"/>
      <c r="D92" s="1035"/>
      <c r="E92" s="13" t="s">
        <v>182</v>
      </c>
      <c r="F92" s="13" t="s">
        <v>183</v>
      </c>
      <c r="G92" s="13" t="s">
        <v>142</v>
      </c>
      <c r="H92" s="13" t="str">
        <f t="shared" si="3"/>
        <v>~ 10 g</v>
      </c>
      <c r="I92" s="731">
        <v>1</v>
      </c>
    </row>
    <row r="93" spans="2:11" s="107" customFormat="1">
      <c r="B93" s="1035"/>
      <c r="C93" s="1035"/>
      <c r="D93" s="1035"/>
      <c r="E93" s="13" t="s">
        <v>75</v>
      </c>
      <c r="F93" s="13" t="s">
        <v>184</v>
      </c>
      <c r="G93" s="13" t="s">
        <v>142</v>
      </c>
      <c r="H93" s="13" t="str">
        <f t="shared" si="3"/>
        <v>~ 10 g</v>
      </c>
      <c r="I93" s="731">
        <v>1</v>
      </c>
    </row>
    <row r="94" spans="2:11" s="107" customFormat="1">
      <c r="B94" s="1035"/>
      <c r="C94" s="1035"/>
      <c r="D94" s="1035"/>
      <c r="E94" s="13" t="s">
        <v>74</v>
      </c>
      <c r="F94" s="13" t="s">
        <v>176</v>
      </c>
      <c r="G94" s="13" t="s">
        <v>141</v>
      </c>
      <c r="H94" s="13" t="str">
        <f t="shared" si="3"/>
        <v>~ 1 g</v>
      </c>
      <c r="I94" s="731">
        <v>1</v>
      </c>
    </row>
    <row r="95" spans="2:11" s="107" customFormat="1">
      <c r="B95" s="1035"/>
      <c r="C95" s="1035"/>
      <c r="D95" s="1035"/>
      <c r="E95" s="13" t="s">
        <v>76</v>
      </c>
      <c r="F95" s="13" t="s">
        <v>185</v>
      </c>
      <c r="G95" s="13" t="s">
        <v>142</v>
      </c>
      <c r="H95" s="13" t="str">
        <f t="shared" si="3"/>
        <v>~ 10 g</v>
      </c>
      <c r="I95" s="731">
        <v>1</v>
      </c>
    </row>
    <row r="96" spans="2:11" s="107" customFormat="1" ht="15" customHeight="1">
      <c r="B96" s="1035"/>
      <c r="C96" s="1035"/>
      <c r="D96" s="1035"/>
      <c r="E96" s="13" t="s">
        <v>179</v>
      </c>
      <c r="F96" s="13" t="s">
        <v>176</v>
      </c>
      <c r="G96" s="13" t="s">
        <v>139</v>
      </c>
      <c r="H96" s="13" t="str">
        <f t="shared" si="3"/>
        <v>&lt;= 0.01 g</v>
      </c>
      <c r="I96" s="731">
        <v>0</v>
      </c>
    </row>
    <row r="97" spans="2:9" s="107" customFormat="1" ht="15.95" customHeight="1">
      <c r="B97" s="1035"/>
      <c r="C97" s="1035"/>
      <c r="D97" s="1035" t="s">
        <v>180</v>
      </c>
      <c r="E97" s="13" t="s">
        <v>77</v>
      </c>
      <c r="F97" s="13" t="s">
        <v>176</v>
      </c>
      <c r="G97" s="13" t="s">
        <v>139</v>
      </c>
      <c r="H97" s="13" t="str">
        <f t="shared" si="3"/>
        <v>&lt;= 0.01 g</v>
      </c>
      <c r="I97" s="731">
        <v>0</v>
      </c>
    </row>
    <row r="98" spans="2:9" s="107" customFormat="1" ht="15.95" customHeight="1">
      <c r="B98" s="1035"/>
      <c r="C98" s="1035"/>
      <c r="D98" s="1035"/>
      <c r="E98" s="13" t="s">
        <v>78</v>
      </c>
      <c r="F98" s="13" t="s">
        <v>176</v>
      </c>
      <c r="G98" s="13" t="s">
        <v>139</v>
      </c>
      <c r="H98" s="13" t="str">
        <f t="shared" si="3"/>
        <v>&lt;= 0.01 g</v>
      </c>
      <c r="I98" s="731">
        <v>0</v>
      </c>
    </row>
    <row r="99" spans="2:9" s="107" customFormat="1" ht="15.95" customHeight="1">
      <c r="B99" s="1035"/>
      <c r="C99" s="1035"/>
      <c r="D99" s="1035"/>
      <c r="E99" s="13" t="s">
        <v>79</v>
      </c>
      <c r="F99" s="13" t="s">
        <v>176</v>
      </c>
      <c r="G99" s="13" t="s">
        <v>139</v>
      </c>
      <c r="H99" s="13" t="str">
        <f t="shared" si="3"/>
        <v>&lt;= 0.01 g</v>
      </c>
      <c r="I99" s="731">
        <v>0</v>
      </c>
    </row>
    <row r="100" spans="2:9" s="107" customFormat="1" ht="15.95" customHeight="1">
      <c r="B100" s="1035"/>
      <c r="C100" s="1035"/>
      <c r="D100" s="1035" t="s">
        <v>70</v>
      </c>
      <c r="E100" s="13" t="s">
        <v>80</v>
      </c>
      <c r="F100" s="13" t="s">
        <v>176</v>
      </c>
      <c r="G100" s="13" t="s">
        <v>139</v>
      </c>
      <c r="H100" s="13" t="str">
        <f t="shared" si="3"/>
        <v>&lt;= 0.01 g</v>
      </c>
      <c r="I100" s="731">
        <v>0</v>
      </c>
    </row>
    <row r="101" spans="2:9" s="107" customFormat="1" ht="15.95" customHeight="1">
      <c r="B101" s="1035"/>
      <c r="C101" s="1035"/>
      <c r="D101" s="1035"/>
      <c r="E101" s="13" t="s">
        <v>81</v>
      </c>
      <c r="F101" s="13" t="s">
        <v>176</v>
      </c>
      <c r="G101" s="13" t="s">
        <v>139</v>
      </c>
      <c r="H101" s="13" t="str">
        <f t="shared" si="3"/>
        <v>&lt;= 0.01 g</v>
      </c>
      <c r="I101" s="731">
        <v>0</v>
      </c>
    </row>
    <row r="102" spans="2:9" s="107" customFormat="1" ht="15.95" customHeight="1">
      <c r="B102" s="1035"/>
      <c r="C102" s="1035"/>
      <c r="D102" s="1035"/>
      <c r="E102" s="13" t="s">
        <v>82</v>
      </c>
      <c r="F102" s="13" t="s">
        <v>176</v>
      </c>
      <c r="G102" s="13" t="s">
        <v>139</v>
      </c>
      <c r="H102" s="13" t="str">
        <f t="shared" si="3"/>
        <v>&lt;= 0.01 g</v>
      </c>
      <c r="I102" s="731">
        <v>0</v>
      </c>
    </row>
    <row r="103" spans="2:9">
      <c r="B103" s="107"/>
      <c r="G103" s="8"/>
      <c r="H103" s="7"/>
    </row>
    <row r="104" spans="2:9">
      <c r="G104" s="8"/>
      <c r="H104" s="7"/>
    </row>
    <row r="105" spans="2:9" s="107" customFormat="1">
      <c r="B105" s="106" t="s">
        <v>11</v>
      </c>
      <c r="C105" s="106" t="s">
        <v>12</v>
      </c>
      <c r="D105" s="106" t="s">
        <v>13</v>
      </c>
      <c r="E105" s="106" t="s">
        <v>15</v>
      </c>
      <c r="F105" s="106" t="s">
        <v>137</v>
      </c>
      <c r="G105" s="106" t="s">
        <v>152</v>
      </c>
      <c r="H105" s="106" t="s">
        <v>138</v>
      </c>
      <c r="I105" s="106" t="s">
        <v>14</v>
      </c>
    </row>
    <row r="106" spans="2:9" s="107" customFormat="1" ht="12.95" customHeight="1">
      <c r="B106" s="1035" t="s">
        <v>84</v>
      </c>
      <c r="C106" s="1035" t="s">
        <v>127</v>
      </c>
      <c r="D106" s="1035" t="s">
        <v>125</v>
      </c>
      <c r="E106" s="114" t="s">
        <v>120</v>
      </c>
      <c r="F106" s="13" t="s">
        <v>176</v>
      </c>
      <c r="G106" s="13" t="s">
        <v>140</v>
      </c>
      <c r="H106" s="13" t="str">
        <f t="shared" ref="H106:H121" si="4">IF(G106="*","&lt;= 0.01 g",IF(G106="**","~ 0.1   g",IF(G106="***","~ 1 g",IF(G106="****","~ 10 g","Error"))))</f>
        <v>~ 0.1   g</v>
      </c>
      <c r="I106" s="731">
        <v>1</v>
      </c>
    </row>
    <row r="107" spans="2:9" s="107" customFormat="1" ht="15" customHeight="1">
      <c r="B107" s="1035"/>
      <c r="C107" s="1035"/>
      <c r="D107" s="1035"/>
      <c r="E107" s="114" t="s">
        <v>122</v>
      </c>
      <c r="F107" s="13" t="s">
        <v>176</v>
      </c>
      <c r="G107" s="13" t="s">
        <v>140</v>
      </c>
      <c r="H107" s="13" t="str">
        <f t="shared" si="4"/>
        <v>~ 0.1   g</v>
      </c>
      <c r="I107" s="731">
        <v>1</v>
      </c>
    </row>
    <row r="108" spans="2:9" s="107" customFormat="1">
      <c r="B108" s="1035"/>
      <c r="C108" s="1035"/>
      <c r="D108" s="1035"/>
      <c r="E108" s="13" t="s">
        <v>174</v>
      </c>
      <c r="F108" s="13" t="s">
        <v>186</v>
      </c>
      <c r="G108" s="13" t="s">
        <v>142</v>
      </c>
      <c r="H108" s="13" t="str">
        <f t="shared" si="4"/>
        <v>~ 10 g</v>
      </c>
      <c r="I108" s="731">
        <v>1</v>
      </c>
    </row>
    <row r="109" spans="2:9" s="107" customFormat="1">
      <c r="B109" s="1035"/>
      <c r="C109" s="1035"/>
      <c r="D109" s="1035"/>
      <c r="E109" s="13" t="s">
        <v>175</v>
      </c>
      <c r="F109" s="13" t="s">
        <v>186</v>
      </c>
      <c r="G109" s="13" t="s">
        <v>142</v>
      </c>
      <c r="H109" s="13" t="str">
        <f t="shared" si="4"/>
        <v>~ 10 g</v>
      </c>
      <c r="I109" s="731">
        <v>1</v>
      </c>
    </row>
    <row r="110" spans="2:9" s="107" customFormat="1" ht="25.5">
      <c r="B110" s="1035"/>
      <c r="C110" s="109" t="s">
        <v>126</v>
      </c>
      <c r="D110" s="109" t="s">
        <v>128</v>
      </c>
      <c r="E110" s="13" t="s">
        <v>129</v>
      </c>
      <c r="F110" s="13" t="s">
        <v>176</v>
      </c>
      <c r="G110" s="13" t="s">
        <v>139</v>
      </c>
      <c r="H110" s="13" t="str">
        <f t="shared" si="4"/>
        <v>&lt;= 0.01 g</v>
      </c>
      <c r="I110" s="731">
        <v>0</v>
      </c>
    </row>
    <row r="111" spans="2:9" s="107" customFormat="1" ht="15" customHeight="1">
      <c r="B111" s="1035"/>
      <c r="C111" s="1036" t="s">
        <v>1923</v>
      </c>
      <c r="D111" s="1035" t="s">
        <v>1923</v>
      </c>
      <c r="E111" s="13" t="s">
        <v>130</v>
      </c>
      <c r="F111" s="13" t="s">
        <v>176</v>
      </c>
      <c r="G111" s="13" t="s">
        <v>139</v>
      </c>
      <c r="H111" s="13" t="str">
        <f t="shared" si="4"/>
        <v>&lt;= 0.01 g</v>
      </c>
      <c r="I111" s="731">
        <v>1</v>
      </c>
    </row>
    <row r="112" spans="2:9" s="107" customFormat="1" ht="15" customHeight="1">
      <c r="B112" s="1035"/>
      <c r="C112" s="1037"/>
      <c r="D112" s="1035"/>
      <c r="E112" s="13" t="s">
        <v>131</v>
      </c>
      <c r="F112" s="13" t="s">
        <v>176</v>
      </c>
      <c r="G112" s="13" t="s">
        <v>141</v>
      </c>
      <c r="H112" s="13" t="str">
        <f t="shared" si="4"/>
        <v>~ 1 g</v>
      </c>
      <c r="I112" s="731">
        <v>1</v>
      </c>
    </row>
    <row r="113" spans="2:9" s="107" customFormat="1" ht="18.95" customHeight="1">
      <c r="B113" s="1035"/>
      <c r="C113" s="1035" t="s">
        <v>100</v>
      </c>
      <c r="D113" s="1035" t="s">
        <v>72</v>
      </c>
      <c r="E113" s="13" t="s">
        <v>118</v>
      </c>
      <c r="F113" s="13" t="s">
        <v>176</v>
      </c>
      <c r="G113" s="13" t="s">
        <v>140</v>
      </c>
      <c r="H113" s="13" t="str">
        <f t="shared" si="4"/>
        <v>~ 0.1   g</v>
      </c>
      <c r="I113" s="731">
        <v>1</v>
      </c>
    </row>
    <row r="114" spans="2:9" s="107" customFormat="1" ht="15" customHeight="1">
      <c r="B114" s="1035"/>
      <c r="C114" s="1035"/>
      <c r="D114" s="1035"/>
      <c r="E114" s="13" t="s">
        <v>119</v>
      </c>
      <c r="F114" s="13" t="s">
        <v>176</v>
      </c>
      <c r="G114" s="13" t="s">
        <v>140</v>
      </c>
      <c r="H114" s="13" t="str">
        <f t="shared" si="4"/>
        <v>~ 0.1   g</v>
      </c>
      <c r="I114" s="731">
        <v>1</v>
      </c>
    </row>
    <row r="115" spans="2:9" s="107" customFormat="1" ht="15" customHeight="1">
      <c r="B115" s="1035"/>
      <c r="C115" s="1035"/>
      <c r="D115" s="1035" t="s">
        <v>114</v>
      </c>
      <c r="E115" s="13" t="s">
        <v>123</v>
      </c>
      <c r="F115" s="13" t="s">
        <v>176</v>
      </c>
      <c r="G115" s="13" t="s">
        <v>141</v>
      </c>
      <c r="H115" s="13" t="str">
        <f t="shared" si="4"/>
        <v>~ 1 g</v>
      </c>
      <c r="I115" s="731">
        <v>1</v>
      </c>
    </row>
    <row r="116" spans="2:9" s="107" customFormat="1" ht="15" customHeight="1">
      <c r="B116" s="1035"/>
      <c r="C116" s="1035"/>
      <c r="D116" s="1035"/>
      <c r="E116" s="13" t="s">
        <v>24</v>
      </c>
      <c r="F116" s="13" t="s">
        <v>176</v>
      </c>
      <c r="G116" s="13" t="s">
        <v>140</v>
      </c>
      <c r="H116" s="13" t="str">
        <f t="shared" si="4"/>
        <v>~ 0.1   g</v>
      </c>
      <c r="I116" s="731">
        <v>1</v>
      </c>
    </row>
    <row r="117" spans="2:9" s="107" customFormat="1" ht="15" customHeight="1">
      <c r="B117" s="1035"/>
      <c r="C117" s="1035" t="s">
        <v>191</v>
      </c>
      <c r="D117" s="1035" t="s">
        <v>87</v>
      </c>
      <c r="E117" s="13" t="s">
        <v>96</v>
      </c>
      <c r="F117" s="13" t="s">
        <v>176</v>
      </c>
      <c r="G117" s="13" t="s">
        <v>139</v>
      </c>
      <c r="H117" s="13" t="str">
        <f t="shared" si="4"/>
        <v>&lt;= 0.01 g</v>
      </c>
      <c r="I117" s="731">
        <v>0</v>
      </c>
    </row>
    <row r="118" spans="2:9" s="107" customFormat="1" ht="15" customHeight="1">
      <c r="B118" s="1035"/>
      <c r="C118" s="1035"/>
      <c r="D118" s="1035"/>
      <c r="E118" s="13" t="s">
        <v>162</v>
      </c>
      <c r="F118" s="13" t="s">
        <v>176</v>
      </c>
      <c r="G118" s="13" t="s">
        <v>139</v>
      </c>
      <c r="H118" s="13" t="str">
        <f t="shared" si="4"/>
        <v>&lt;= 0.01 g</v>
      </c>
      <c r="I118" s="731">
        <v>0</v>
      </c>
    </row>
    <row r="119" spans="2:9" s="107" customFormat="1">
      <c r="B119" s="1035"/>
      <c r="C119" s="1035"/>
      <c r="D119" s="1035"/>
      <c r="E119" s="13" t="s">
        <v>192</v>
      </c>
      <c r="F119" s="13" t="s">
        <v>176</v>
      </c>
      <c r="G119" s="13" t="s">
        <v>140</v>
      </c>
      <c r="H119" s="13" t="str">
        <f t="shared" si="4"/>
        <v>~ 0.1   g</v>
      </c>
      <c r="I119" s="731">
        <v>1</v>
      </c>
    </row>
    <row r="120" spans="2:9" s="107" customFormat="1">
      <c r="B120" s="1035"/>
      <c r="C120" s="1035"/>
      <c r="D120" s="1035"/>
      <c r="E120" s="13" t="s">
        <v>163</v>
      </c>
      <c r="F120" s="13" t="s">
        <v>176</v>
      </c>
      <c r="G120" s="13" t="s">
        <v>139</v>
      </c>
      <c r="H120" s="13" t="str">
        <f t="shared" si="4"/>
        <v>&lt;= 0.01 g</v>
      </c>
      <c r="I120" s="731">
        <v>0</v>
      </c>
    </row>
    <row r="121" spans="2:9" s="107" customFormat="1" ht="18.95" customHeight="1">
      <c r="B121" s="1035"/>
      <c r="C121" s="1035"/>
      <c r="D121" s="1035"/>
      <c r="E121" s="13" t="s">
        <v>27</v>
      </c>
      <c r="F121" s="13" t="s">
        <v>176</v>
      </c>
      <c r="G121" s="13" t="s">
        <v>139</v>
      </c>
      <c r="H121" s="13" t="str">
        <f t="shared" si="4"/>
        <v>&lt;= 0.01 g</v>
      </c>
      <c r="I121" s="731">
        <v>0</v>
      </c>
    </row>
    <row r="122" spans="2:9">
      <c r="G122" s="8"/>
      <c r="H122" s="7"/>
    </row>
    <row r="123" spans="2:9">
      <c r="G123" s="8"/>
      <c r="H123" s="7"/>
    </row>
    <row r="124" spans="2:9" s="107" customFormat="1">
      <c r="B124" s="106" t="s">
        <v>11</v>
      </c>
      <c r="C124" s="106" t="s">
        <v>12</v>
      </c>
      <c r="D124" s="106" t="s">
        <v>13</v>
      </c>
      <c r="E124" s="106" t="s">
        <v>15</v>
      </c>
      <c r="F124" s="106" t="s">
        <v>137</v>
      </c>
      <c r="G124" s="106" t="s">
        <v>152</v>
      </c>
      <c r="H124" s="106" t="s">
        <v>138</v>
      </c>
      <c r="I124" s="106" t="s">
        <v>14</v>
      </c>
    </row>
    <row r="125" spans="2:9" s="107" customFormat="1" ht="12.95" customHeight="1">
      <c r="B125" s="1035" t="s">
        <v>201</v>
      </c>
      <c r="C125" s="1036" t="s">
        <v>194</v>
      </c>
      <c r="D125" s="1035" t="s">
        <v>196</v>
      </c>
      <c r="E125" s="13" t="s">
        <v>198</v>
      </c>
      <c r="F125" s="13" t="s">
        <v>176</v>
      </c>
      <c r="G125" s="13" t="s">
        <v>139</v>
      </c>
      <c r="H125" s="13" t="str">
        <f t="shared" ref="H125:H131" si="5">IF(G125="*","&lt;= 0.01 g",IF(G125="**","~ 0.1   g",IF(G125="***","~ 1 g",IF(G125="****","~ 10 g","Error"))))</f>
        <v>&lt;= 0.01 g</v>
      </c>
      <c r="I125" s="731">
        <v>0</v>
      </c>
    </row>
    <row r="126" spans="2:9" s="107" customFormat="1" ht="15" customHeight="1">
      <c r="B126" s="1035"/>
      <c r="C126" s="1038"/>
      <c r="D126" s="1035"/>
      <c r="E126" s="13" t="s">
        <v>199</v>
      </c>
      <c r="F126" s="13" t="s">
        <v>176</v>
      </c>
      <c r="G126" s="13" t="s">
        <v>140</v>
      </c>
      <c r="H126" s="13" t="str">
        <f t="shared" si="5"/>
        <v>~ 0.1   g</v>
      </c>
      <c r="I126" s="731">
        <v>1</v>
      </c>
    </row>
    <row r="127" spans="2:9" s="107" customFormat="1">
      <c r="B127" s="1035"/>
      <c r="C127" s="1038"/>
      <c r="D127" s="1035"/>
      <c r="E127" s="13" t="s">
        <v>200</v>
      </c>
      <c r="F127" s="13" t="s">
        <v>176</v>
      </c>
      <c r="G127" s="13" t="s">
        <v>139</v>
      </c>
      <c r="H127" s="13" t="str">
        <f t="shared" si="5"/>
        <v>&lt;= 0.01 g</v>
      </c>
      <c r="I127" s="731">
        <v>0</v>
      </c>
    </row>
    <row r="128" spans="2:9" s="107" customFormat="1">
      <c r="B128" s="1035"/>
      <c r="C128" s="1038"/>
      <c r="D128" s="1035" t="s">
        <v>197</v>
      </c>
      <c r="E128" s="13" t="s">
        <v>198</v>
      </c>
      <c r="F128" s="13" t="s">
        <v>176</v>
      </c>
      <c r="G128" s="13" t="s">
        <v>139</v>
      </c>
      <c r="H128" s="13" t="str">
        <f t="shared" si="5"/>
        <v>&lt;= 0.01 g</v>
      </c>
      <c r="I128" s="731">
        <v>0</v>
      </c>
    </row>
    <row r="129" spans="2:9" s="107" customFormat="1" ht="15" customHeight="1">
      <c r="B129" s="1035"/>
      <c r="C129" s="1038"/>
      <c r="D129" s="1035"/>
      <c r="E129" s="13" t="s">
        <v>199</v>
      </c>
      <c r="F129" s="13" t="s">
        <v>176</v>
      </c>
      <c r="G129" s="13" t="s">
        <v>140</v>
      </c>
      <c r="H129" s="13" t="str">
        <f t="shared" si="5"/>
        <v>~ 0.1   g</v>
      </c>
      <c r="I129" s="731">
        <v>1</v>
      </c>
    </row>
    <row r="130" spans="2:9" s="107" customFormat="1" ht="15" customHeight="1">
      <c r="B130" s="1035"/>
      <c r="C130" s="1037"/>
      <c r="D130" s="1035"/>
      <c r="E130" s="13" t="s">
        <v>200</v>
      </c>
      <c r="F130" s="13"/>
      <c r="G130" s="13" t="s">
        <v>139</v>
      </c>
      <c r="H130" s="13" t="str">
        <f t="shared" si="5"/>
        <v>&lt;= 0.01 g</v>
      </c>
      <c r="I130" s="731">
        <v>0</v>
      </c>
    </row>
    <row r="131" spans="2:9" s="107" customFormat="1" ht="25.5">
      <c r="B131" s="1035"/>
      <c r="C131" s="109" t="s">
        <v>195</v>
      </c>
      <c r="D131" s="109" t="s">
        <v>195</v>
      </c>
      <c r="E131" s="13" t="s">
        <v>129</v>
      </c>
      <c r="F131" s="13" t="s">
        <v>176</v>
      </c>
      <c r="G131" s="13" t="s">
        <v>139</v>
      </c>
      <c r="H131" s="13" t="str">
        <f t="shared" si="5"/>
        <v>&lt;= 0.01 g</v>
      </c>
      <c r="I131" s="731">
        <v>0</v>
      </c>
    </row>
    <row r="132" spans="2:9" s="107" customFormat="1">
      <c r="B132" s="110"/>
      <c r="C132" s="110"/>
      <c r="D132" s="110"/>
      <c r="E132" s="111"/>
      <c r="F132" s="111"/>
      <c r="G132" s="110"/>
      <c r="H132" s="111"/>
      <c r="I132" s="111"/>
    </row>
    <row r="133" spans="2:9" s="107" customFormat="1">
      <c r="B133" s="110"/>
      <c r="C133" s="110"/>
      <c r="D133" s="110"/>
      <c r="E133" s="111"/>
      <c r="F133" s="111"/>
      <c r="G133" s="110"/>
      <c r="H133" s="111"/>
      <c r="I133" s="111"/>
    </row>
    <row r="134" spans="2:9" s="107" customFormat="1">
      <c r="B134" s="110"/>
      <c r="C134" s="110"/>
      <c r="D134" s="110"/>
      <c r="E134" s="111"/>
      <c r="F134" s="111"/>
      <c r="G134" s="110"/>
      <c r="H134" s="111"/>
      <c r="I134" s="111"/>
    </row>
    <row r="135" spans="2:9">
      <c r="G135" s="8"/>
      <c r="H135" s="7"/>
    </row>
    <row r="136" spans="2:9" s="107" customFormat="1">
      <c r="B136" s="106" t="s">
        <v>11</v>
      </c>
      <c r="C136" s="106" t="s">
        <v>12</v>
      </c>
      <c r="D136" s="106" t="s">
        <v>13</v>
      </c>
      <c r="E136" s="106" t="s">
        <v>15</v>
      </c>
      <c r="F136" s="106" t="s">
        <v>137</v>
      </c>
      <c r="G136" s="106" t="s">
        <v>152</v>
      </c>
      <c r="H136" s="106" t="s">
        <v>138</v>
      </c>
      <c r="I136" s="106" t="s">
        <v>14</v>
      </c>
    </row>
    <row r="137" spans="2:9" s="107" customFormat="1" ht="15" customHeight="1">
      <c r="B137" s="1035" t="s">
        <v>124</v>
      </c>
      <c r="C137" s="1035" t="s">
        <v>233</v>
      </c>
      <c r="D137" s="1035" t="s">
        <v>115</v>
      </c>
      <c r="E137" s="13" t="s">
        <v>116</v>
      </c>
      <c r="F137" s="13" t="s">
        <v>176</v>
      </c>
      <c r="G137" s="13" t="s">
        <v>139</v>
      </c>
      <c r="H137" s="13" t="str">
        <f t="shared" ref="H137:H150" si="6">IF(G137="*","&lt;= 0.01 g",IF(G137="**","~ 0.1   g",IF(G137="***","~ 1 g",IF(G137="****","~ 10 g","Error"))))</f>
        <v>&lt;= 0.01 g</v>
      </c>
      <c r="I137" s="731">
        <v>0</v>
      </c>
    </row>
    <row r="138" spans="2:9" s="107" customFormat="1" ht="15" customHeight="1">
      <c r="B138" s="1035"/>
      <c r="C138" s="1035"/>
      <c r="D138" s="1035"/>
      <c r="E138" s="13" t="s">
        <v>121</v>
      </c>
      <c r="F138" s="13" t="s">
        <v>176</v>
      </c>
      <c r="G138" s="13" t="s">
        <v>139</v>
      </c>
      <c r="H138" s="13" t="str">
        <f t="shared" si="6"/>
        <v>&lt;= 0.01 g</v>
      </c>
      <c r="I138" s="731">
        <v>0</v>
      </c>
    </row>
    <row r="139" spans="2:9" s="107" customFormat="1" ht="15.95" customHeight="1">
      <c r="B139" s="1035"/>
      <c r="C139" s="1035"/>
      <c r="D139" s="1035"/>
      <c r="E139" s="13" t="s">
        <v>117</v>
      </c>
      <c r="F139" s="13" t="s">
        <v>176</v>
      </c>
      <c r="G139" s="13" t="s">
        <v>139</v>
      </c>
      <c r="H139" s="13" t="str">
        <f t="shared" si="6"/>
        <v>&lt;= 0.01 g</v>
      </c>
      <c r="I139" s="731">
        <v>0</v>
      </c>
    </row>
    <row r="140" spans="2:9" s="107" customFormat="1">
      <c r="B140" s="1035"/>
      <c r="C140" s="1035" t="s">
        <v>98</v>
      </c>
      <c r="D140" s="1035" t="s">
        <v>107</v>
      </c>
      <c r="E140" s="13" t="s">
        <v>107</v>
      </c>
      <c r="F140" s="13" t="s">
        <v>176</v>
      </c>
      <c r="G140" s="13" t="s">
        <v>139</v>
      </c>
      <c r="H140" s="13" t="str">
        <f t="shared" si="6"/>
        <v>&lt;= 0.01 g</v>
      </c>
      <c r="I140" s="731">
        <v>0</v>
      </c>
    </row>
    <row r="141" spans="2:9" s="107" customFormat="1" ht="15" customHeight="1">
      <c r="B141" s="1035"/>
      <c r="C141" s="1035"/>
      <c r="D141" s="1035"/>
      <c r="E141" s="13" t="s">
        <v>112</v>
      </c>
      <c r="F141" s="13" t="s">
        <v>176</v>
      </c>
      <c r="G141" s="13" t="s">
        <v>139</v>
      </c>
      <c r="H141" s="13" t="str">
        <f t="shared" si="6"/>
        <v>&lt;= 0.01 g</v>
      </c>
      <c r="I141" s="731">
        <v>0</v>
      </c>
    </row>
    <row r="142" spans="2:9" s="107" customFormat="1" ht="15" customHeight="1">
      <c r="B142" s="1035"/>
      <c r="C142" s="1035"/>
      <c r="D142" s="1035"/>
      <c r="E142" s="13" t="s">
        <v>113</v>
      </c>
      <c r="F142" s="13" t="s">
        <v>176</v>
      </c>
      <c r="G142" s="13" t="s">
        <v>139</v>
      </c>
      <c r="H142" s="13" t="str">
        <f t="shared" si="6"/>
        <v>&lt;= 0.01 g</v>
      </c>
      <c r="I142" s="731">
        <v>0</v>
      </c>
    </row>
    <row r="143" spans="2:9" s="107" customFormat="1" ht="15" customHeight="1">
      <c r="B143" s="1035"/>
      <c r="C143" s="1035"/>
      <c r="D143" s="1035" t="s">
        <v>108</v>
      </c>
      <c r="E143" s="13" t="s">
        <v>109</v>
      </c>
      <c r="F143" s="13" t="s">
        <v>176</v>
      </c>
      <c r="G143" s="13" t="s">
        <v>139</v>
      </c>
      <c r="H143" s="13" t="str">
        <f t="shared" si="6"/>
        <v>&lt;= 0.01 g</v>
      </c>
      <c r="I143" s="731">
        <v>0</v>
      </c>
    </row>
    <row r="144" spans="2:9" s="107" customFormat="1" ht="15" customHeight="1">
      <c r="B144" s="1035"/>
      <c r="C144" s="1035"/>
      <c r="D144" s="1035"/>
      <c r="E144" s="13" t="s">
        <v>110</v>
      </c>
      <c r="F144" s="13" t="s">
        <v>176</v>
      </c>
      <c r="G144" s="13" t="s">
        <v>139</v>
      </c>
      <c r="H144" s="13" t="str">
        <f t="shared" si="6"/>
        <v>&lt;= 0.01 g</v>
      </c>
      <c r="I144" s="731">
        <v>0</v>
      </c>
    </row>
    <row r="145" spans="2:9" s="107" customFormat="1" ht="15" customHeight="1">
      <c r="B145" s="1035"/>
      <c r="C145" s="1035"/>
      <c r="D145" s="1035"/>
      <c r="E145" s="13" t="s">
        <v>111</v>
      </c>
      <c r="F145" s="13" t="s">
        <v>176</v>
      </c>
      <c r="G145" s="13" t="s">
        <v>139</v>
      </c>
      <c r="H145" s="13" t="str">
        <f t="shared" si="6"/>
        <v>&lt;= 0.01 g</v>
      </c>
      <c r="I145" s="731">
        <v>0</v>
      </c>
    </row>
    <row r="146" spans="2:9" s="107" customFormat="1">
      <c r="B146" s="1035"/>
      <c r="C146" s="1035" t="s">
        <v>202</v>
      </c>
      <c r="D146" s="1035" t="s">
        <v>101</v>
      </c>
      <c r="E146" s="13" t="s">
        <v>105</v>
      </c>
      <c r="F146" s="13" t="s">
        <v>176</v>
      </c>
      <c r="G146" s="13" t="s">
        <v>139</v>
      </c>
      <c r="H146" s="13" t="str">
        <f t="shared" si="6"/>
        <v>&lt;= 0.01 g</v>
      </c>
      <c r="I146" s="731">
        <v>0</v>
      </c>
    </row>
    <row r="147" spans="2:9" s="107" customFormat="1" ht="15" customHeight="1">
      <c r="B147" s="1035"/>
      <c r="C147" s="1035"/>
      <c r="D147" s="1035"/>
      <c r="E147" s="13" t="s">
        <v>106</v>
      </c>
      <c r="F147" s="13" t="s">
        <v>176</v>
      </c>
      <c r="G147" s="13" t="s">
        <v>139</v>
      </c>
      <c r="H147" s="13" t="str">
        <f t="shared" si="6"/>
        <v>&lt;= 0.01 g</v>
      </c>
      <c r="I147" s="731">
        <v>0</v>
      </c>
    </row>
    <row r="148" spans="2:9" s="107" customFormat="1" ht="18.95" customHeight="1">
      <c r="B148" s="1035"/>
      <c r="C148" s="1035"/>
      <c r="D148" s="1035" t="s">
        <v>102</v>
      </c>
      <c r="E148" s="13" t="s">
        <v>203</v>
      </c>
      <c r="F148" s="13" t="s">
        <v>176</v>
      </c>
      <c r="G148" s="13" t="s">
        <v>139</v>
      </c>
      <c r="H148" s="13" t="str">
        <f t="shared" si="6"/>
        <v>&lt;= 0.01 g</v>
      </c>
      <c r="I148" s="731">
        <v>0</v>
      </c>
    </row>
    <row r="149" spans="2:9" s="107" customFormat="1" ht="18.95" customHeight="1">
      <c r="B149" s="1035"/>
      <c r="C149" s="1035"/>
      <c r="D149" s="1035"/>
      <c r="E149" s="13" t="s">
        <v>103</v>
      </c>
      <c r="F149" s="13" t="s">
        <v>176</v>
      </c>
      <c r="G149" s="13" t="s">
        <v>139</v>
      </c>
      <c r="H149" s="13" t="str">
        <f t="shared" si="6"/>
        <v>&lt;= 0.01 g</v>
      </c>
      <c r="I149" s="731">
        <v>0</v>
      </c>
    </row>
    <row r="150" spans="2:9" s="107" customFormat="1" ht="18.95" customHeight="1">
      <c r="B150" s="1035"/>
      <c r="C150" s="1035"/>
      <c r="D150" s="1035"/>
      <c r="E150" s="13" t="s">
        <v>104</v>
      </c>
      <c r="F150" s="13" t="s">
        <v>176</v>
      </c>
      <c r="G150" s="13" t="s">
        <v>139</v>
      </c>
      <c r="H150" s="13" t="str">
        <f t="shared" si="6"/>
        <v>&lt;= 0.01 g</v>
      </c>
      <c r="I150" s="731">
        <v>0</v>
      </c>
    </row>
    <row r="151" spans="2:9">
      <c r="B151" s="107"/>
      <c r="G151" s="8"/>
      <c r="H151" s="7"/>
    </row>
    <row r="152" spans="2:9">
      <c r="B152" s="107"/>
      <c r="G152" s="8"/>
      <c r="H152" s="7"/>
    </row>
    <row r="153" spans="2:9">
      <c r="G153" s="8"/>
      <c r="H153" s="7"/>
    </row>
    <row r="154" spans="2:9" s="107" customFormat="1">
      <c r="B154" s="106" t="s">
        <v>11</v>
      </c>
      <c r="C154" s="106" t="s">
        <v>12</v>
      </c>
      <c r="D154" s="106" t="s">
        <v>13</v>
      </c>
      <c r="E154" s="106" t="s">
        <v>15</v>
      </c>
      <c r="F154" s="106" t="s">
        <v>137</v>
      </c>
      <c r="G154" s="106" t="s">
        <v>152</v>
      </c>
      <c r="H154" s="106" t="s">
        <v>138</v>
      </c>
      <c r="I154" s="106" t="s">
        <v>14</v>
      </c>
    </row>
    <row r="155" spans="2:9" s="107" customFormat="1">
      <c r="B155" s="1035" t="s">
        <v>89</v>
      </c>
      <c r="C155" s="1035" t="s">
        <v>85</v>
      </c>
      <c r="D155" s="1035" t="s">
        <v>85</v>
      </c>
      <c r="E155" s="13" t="s">
        <v>156</v>
      </c>
      <c r="F155" s="13" t="s">
        <v>176</v>
      </c>
      <c r="G155" s="13" t="s">
        <v>141</v>
      </c>
      <c r="H155" s="13" t="str">
        <f t="shared" ref="H155:H172" si="7">IF(G155="*","&lt;= 0.01 g",IF(G155="**","~ 0.1   g",IF(G155="***","~ 1 g",IF(G155="****","~ 10 g","Error"))))</f>
        <v>~ 1 g</v>
      </c>
      <c r="I155" s="731">
        <v>1</v>
      </c>
    </row>
    <row r="156" spans="2:9" s="107" customFormat="1" ht="15" customHeight="1">
      <c r="B156" s="1035"/>
      <c r="C156" s="1035"/>
      <c r="D156" s="1035"/>
      <c r="E156" s="13" t="s">
        <v>157</v>
      </c>
      <c r="F156" s="13" t="s">
        <v>176</v>
      </c>
      <c r="G156" s="13" t="s">
        <v>141</v>
      </c>
      <c r="H156" s="13" t="str">
        <f t="shared" si="7"/>
        <v>~ 1 g</v>
      </c>
      <c r="I156" s="731">
        <v>1</v>
      </c>
    </row>
    <row r="157" spans="2:9" s="107" customFormat="1" ht="15" customHeight="1">
      <c r="B157" s="1035"/>
      <c r="C157" s="1035"/>
      <c r="D157" s="1035"/>
      <c r="E157" s="13" t="s">
        <v>159</v>
      </c>
      <c r="F157" s="13" t="s">
        <v>176</v>
      </c>
      <c r="G157" s="13" t="s">
        <v>139</v>
      </c>
      <c r="H157" s="13" t="str">
        <f t="shared" si="7"/>
        <v>&lt;= 0.01 g</v>
      </c>
      <c r="I157" s="731">
        <v>1</v>
      </c>
    </row>
    <row r="158" spans="2:9" s="107" customFormat="1" ht="15" customHeight="1">
      <c r="B158" s="1035"/>
      <c r="C158" s="1035"/>
      <c r="D158" s="1035"/>
      <c r="E158" s="13" t="s">
        <v>158</v>
      </c>
      <c r="F158" s="13" t="s">
        <v>176</v>
      </c>
      <c r="G158" s="13" t="s">
        <v>141</v>
      </c>
      <c r="H158" s="13" t="str">
        <f t="shared" si="7"/>
        <v>~ 1 g</v>
      </c>
      <c r="I158" s="731">
        <v>1</v>
      </c>
    </row>
    <row r="159" spans="2:9" s="107" customFormat="1">
      <c r="B159" s="1035"/>
      <c r="C159" s="1035"/>
      <c r="D159" s="1035" t="s">
        <v>90</v>
      </c>
      <c r="E159" s="13" t="s">
        <v>160</v>
      </c>
      <c r="F159" s="13" t="s">
        <v>176</v>
      </c>
      <c r="G159" s="13" t="s">
        <v>139</v>
      </c>
      <c r="H159" s="13" t="str">
        <f t="shared" si="7"/>
        <v>&lt;= 0.01 g</v>
      </c>
      <c r="I159" s="731">
        <v>0</v>
      </c>
    </row>
    <row r="160" spans="2:9" s="107" customFormat="1" ht="29.1" customHeight="1">
      <c r="B160" s="1035"/>
      <c r="C160" s="1035"/>
      <c r="D160" s="1035"/>
      <c r="E160" s="13" t="s">
        <v>94</v>
      </c>
      <c r="F160" s="13" t="s">
        <v>176</v>
      </c>
      <c r="G160" s="13" t="s">
        <v>139</v>
      </c>
      <c r="H160" s="13" t="str">
        <f t="shared" si="7"/>
        <v>&lt;= 0.01 g</v>
      </c>
      <c r="I160" s="731">
        <v>0</v>
      </c>
    </row>
    <row r="161" spans="2:9" s="107" customFormat="1">
      <c r="B161" s="1035"/>
      <c r="C161" s="1035"/>
      <c r="D161" s="1035"/>
      <c r="E161" s="13" t="s">
        <v>27</v>
      </c>
      <c r="F161" s="13" t="s">
        <v>176</v>
      </c>
      <c r="G161" s="13" t="s">
        <v>139</v>
      </c>
      <c r="H161" s="13" t="str">
        <f t="shared" si="7"/>
        <v>&lt;= 0.01 g</v>
      </c>
      <c r="I161" s="731">
        <v>0</v>
      </c>
    </row>
    <row r="162" spans="2:9" s="107" customFormat="1">
      <c r="B162" s="1035"/>
      <c r="C162" s="1035" t="s">
        <v>86</v>
      </c>
      <c r="D162" s="1035" t="s">
        <v>86</v>
      </c>
      <c r="E162" s="13" t="s">
        <v>161</v>
      </c>
      <c r="F162" s="13" t="s">
        <v>176</v>
      </c>
      <c r="G162" s="13" t="s">
        <v>141</v>
      </c>
      <c r="H162" s="13" t="str">
        <f t="shared" si="7"/>
        <v>~ 1 g</v>
      </c>
      <c r="I162" s="731">
        <v>1</v>
      </c>
    </row>
    <row r="163" spans="2:9" s="107" customFormat="1" ht="15" customHeight="1">
      <c r="B163" s="1035"/>
      <c r="C163" s="1035"/>
      <c r="D163" s="1035"/>
      <c r="E163" s="13" t="s">
        <v>93</v>
      </c>
      <c r="F163" s="13" t="s">
        <v>176</v>
      </c>
      <c r="G163" s="13" t="s">
        <v>139</v>
      </c>
      <c r="H163" s="13" t="str">
        <f t="shared" si="7"/>
        <v>&lt;= 0.01 g</v>
      </c>
      <c r="I163" s="731">
        <v>1</v>
      </c>
    </row>
    <row r="164" spans="2:9" s="107" customFormat="1" ht="15" customHeight="1">
      <c r="B164" s="1035"/>
      <c r="C164" s="1035"/>
      <c r="D164" s="1035"/>
      <c r="E164" s="13" t="s">
        <v>187</v>
      </c>
      <c r="F164" s="13" t="s">
        <v>176</v>
      </c>
      <c r="G164" s="13" t="s">
        <v>139</v>
      </c>
      <c r="H164" s="13" t="str">
        <f t="shared" si="7"/>
        <v>&lt;= 0.01 g</v>
      </c>
      <c r="I164" s="731">
        <v>1</v>
      </c>
    </row>
    <row r="165" spans="2:9" s="107" customFormat="1" ht="15" customHeight="1">
      <c r="B165" s="1035"/>
      <c r="C165" s="1035"/>
      <c r="D165" s="1035"/>
      <c r="E165" s="13" t="s">
        <v>188</v>
      </c>
      <c r="F165" s="13" t="s">
        <v>176</v>
      </c>
      <c r="G165" s="13" t="s">
        <v>139</v>
      </c>
      <c r="H165" s="13" t="str">
        <f t="shared" si="7"/>
        <v>&lt;= 0.01 g</v>
      </c>
      <c r="I165" s="731">
        <v>1</v>
      </c>
    </row>
    <row r="166" spans="2:9" s="107" customFormat="1" ht="15" customHeight="1">
      <c r="B166" s="1035"/>
      <c r="C166" s="1035"/>
      <c r="D166" s="1035" t="s">
        <v>92</v>
      </c>
      <c r="E166" s="13" t="s">
        <v>95</v>
      </c>
      <c r="F166" s="13" t="s">
        <v>176</v>
      </c>
      <c r="G166" s="13" t="s">
        <v>139</v>
      </c>
      <c r="H166" s="13" t="str">
        <f t="shared" si="7"/>
        <v>&lt;= 0.01 g</v>
      </c>
      <c r="I166" s="731">
        <v>0</v>
      </c>
    </row>
    <row r="167" spans="2:9" s="107" customFormat="1" ht="15" customHeight="1">
      <c r="B167" s="1035"/>
      <c r="C167" s="1035"/>
      <c r="D167" s="1035"/>
      <c r="E167" s="13" t="s">
        <v>91</v>
      </c>
      <c r="F167" s="13" t="s">
        <v>176</v>
      </c>
      <c r="G167" s="13" t="s">
        <v>139</v>
      </c>
      <c r="H167" s="13" t="str">
        <f t="shared" si="7"/>
        <v>&lt;= 0.01 g</v>
      </c>
      <c r="I167" s="731">
        <v>0</v>
      </c>
    </row>
    <row r="168" spans="2:9" s="107" customFormat="1">
      <c r="B168" s="1035"/>
      <c r="C168" s="1035" t="s">
        <v>88</v>
      </c>
      <c r="D168" s="1035" t="s">
        <v>87</v>
      </c>
      <c r="E168" s="13" t="s">
        <v>96</v>
      </c>
      <c r="F168" s="13" t="s">
        <v>176</v>
      </c>
      <c r="G168" s="13" t="s">
        <v>139</v>
      </c>
      <c r="H168" s="13" t="str">
        <f t="shared" si="7"/>
        <v>&lt;= 0.01 g</v>
      </c>
      <c r="I168" s="731">
        <v>0</v>
      </c>
    </row>
    <row r="169" spans="2:9" s="107" customFormat="1" ht="15" customHeight="1">
      <c r="B169" s="1035"/>
      <c r="C169" s="1035"/>
      <c r="D169" s="1035"/>
      <c r="E169" s="13" t="s">
        <v>162</v>
      </c>
      <c r="F169" s="13" t="s">
        <v>176</v>
      </c>
      <c r="G169" s="13" t="s">
        <v>139</v>
      </c>
      <c r="H169" s="13" t="str">
        <f t="shared" si="7"/>
        <v>&lt;= 0.01 g</v>
      </c>
      <c r="I169" s="731">
        <v>0</v>
      </c>
    </row>
    <row r="170" spans="2:9" s="107" customFormat="1">
      <c r="B170" s="1035"/>
      <c r="C170" s="1035"/>
      <c r="D170" s="1035"/>
      <c r="E170" s="13" t="s">
        <v>192</v>
      </c>
      <c r="F170" s="13" t="s">
        <v>176</v>
      </c>
      <c r="G170" s="13" t="s">
        <v>140</v>
      </c>
      <c r="H170" s="13" t="str">
        <f t="shared" si="7"/>
        <v>~ 0.1   g</v>
      </c>
      <c r="I170" s="731">
        <v>1</v>
      </c>
    </row>
    <row r="171" spans="2:9" s="107" customFormat="1" ht="18.95" customHeight="1">
      <c r="B171" s="1035"/>
      <c r="C171" s="1035"/>
      <c r="D171" s="1035"/>
      <c r="E171" s="13" t="s">
        <v>163</v>
      </c>
      <c r="F171" s="13" t="s">
        <v>176</v>
      </c>
      <c r="G171" s="13" t="s">
        <v>139</v>
      </c>
      <c r="H171" s="13" t="str">
        <f t="shared" si="7"/>
        <v>&lt;= 0.01 g</v>
      </c>
      <c r="I171" s="731">
        <v>0</v>
      </c>
    </row>
    <row r="172" spans="2:9" s="107" customFormat="1" ht="18.95" customHeight="1">
      <c r="B172" s="1035"/>
      <c r="C172" s="1035"/>
      <c r="D172" s="1035"/>
      <c r="E172" s="13" t="s">
        <v>27</v>
      </c>
      <c r="F172" s="13" t="s">
        <v>176</v>
      </c>
      <c r="G172" s="13" t="s">
        <v>139</v>
      </c>
      <c r="H172" s="13" t="str">
        <f t="shared" si="7"/>
        <v>&lt;= 0.01 g</v>
      </c>
      <c r="I172" s="731">
        <v>0</v>
      </c>
    </row>
    <row r="173" spans="2:9">
      <c r="G173" s="8"/>
      <c r="H173" s="7"/>
    </row>
    <row r="174" spans="2:9">
      <c r="G174" s="8"/>
      <c r="H174" s="7"/>
    </row>
    <row r="175" spans="2:9">
      <c r="G175" s="8"/>
      <c r="H175" s="7"/>
    </row>
    <row r="176" spans="2:9">
      <c r="G176" s="8"/>
      <c r="H176" s="7"/>
    </row>
  </sheetData>
  <mergeCells count="62">
    <mergeCell ref="B48:B77"/>
    <mergeCell ref="D67:D71"/>
    <mergeCell ref="D72:D76"/>
    <mergeCell ref="C48:C58"/>
    <mergeCell ref="C59:C66"/>
    <mergeCell ref="C67:C71"/>
    <mergeCell ref="C72:C77"/>
    <mergeCell ref="D48:D54"/>
    <mergeCell ref="D55:D58"/>
    <mergeCell ref="D43:D44"/>
    <mergeCell ref="B20:B44"/>
    <mergeCell ref="C20:C26"/>
    <mergeCell ref="C27:C38"/>
    <mergeCell ref="C39:C44"/>
    <mergeCell ref="D20:D23"/>
    <mergeCell ref="D24:D26"/>
    <mergeCell ref="D27:D34"/>
    <mergeCell ref="D35:D38"/>
    <mergeCell ref="D39:D41"/>
    <mergeCell ref="D85:D87"/>
    <mergeCell ref="D59:D62"/>
    <mergeCell ref="D64:D66"/>
    <mergeCell ref="D100:D102"/>
    <mergeCell ref="D117:D121"/>
    <mergeCell ref="D111:D112"/>
    <mergeCell ref="D106:D109"/>
    <mergeCell ref="D82:D84"/>
    <mergeCell ref="D88:D90"/>
    <mergeCell ref="D91:D96"/>
    <mergeCell ref="D97:D99"/>
    <mergeCell ref="D128:D130"/>
    <mergeCell ref="D125:D127"/>
    <mergeCell ref="C113:C116"/>
    <mergeCell ref="D168:D172"/>
    <mergeCell ref="D159:D161"/>
    <mergeCell ref="D155:D158"/>
    <mergeCell ref="D162:D165"/>
    <mergeCell ref="D166:D167"/>
    <mergeCell ref="D113:D114"/>
    <mergeCell ref="D115:D116"/>
    <mergeCell ref="D137:D139"/>
    <mergeCell ref="C137:C139"/>
    <mergeCell ref="C117:C121"/>
    <mergeCell ref="C125:C130"/>
    <mergeCell ref="D140:D142"/>
    <mergeCell ref="D143:D145"/>
    <mergeCell ref="D146:D147"/>
    <mergeCell ref="D148:D150"/>
    <mergeCell ref="B155:B172"/>
    <mergeCell ref="C155:C161"/>
    <mergeCell ref="C162:C167"/>
    <mergeCell ref="B82:B102"/>
    <mergeCell ref="C140:C145"/>
    <mergeCell ref="C168:C172"/>
    <mergeCell ref="C88:C102"/>
    <mergeCell ref="C82:C87"/>
    <mergeCell ref="B137:B150"/>
    <mergeCell ref="B106:B121"/>
    <mergeCell ref="B125:B131"/>
    <mergeCell ref="C106:C109"/>
    <mergeCell ref="C111:C112"/>
    <mergeCell ref="C146:C150"/>
  </mergeCells>
  <conditionalFormatting sqref="I20">
    <cfRule type="expression" dxfId="25" priority="21">
      <formula>I20=1</formula>
    </cfRule>
    <cfRule type="expression" dxfId="24" priority="22">
      <formula>I20=0</formula>
    </cfRule>
  </conditionalFormatting>
  <conditionalFormatting sqref="I21:I44">
    <cfRule type="expression" dxfId="23" priority="13">
      <formula>I21=1</formula>
    </cfRule>
    <cfRule type="expression" dxfId="22" priority="14">
      <formula>I21=0</formula>
    </cfRule>
  </conditionalFormatting>
  <conditionalFormatting sqref="I48:I77">
    <cfRule type="expression" dxfId="21" priority="11">
      <formula>I48=1</formula>
    </cfRule>
    <cfRule type="expression" dxfId="20" priority="12">
      <formula>I48=0</formula>
    </cfRule>
  </conditionalFormatting>
  <conditionalFormatting sqref="I82:I102">
    <cfRule type="expression" dxfId="19" priority="9">
      <formula>I82=1</formula>
    </cfRule>
    <cfRule type="expression" dxfId="18" priority="10">
      <formula>I82=0</formula>
    </cfRule>
  </conditionalFormatting>
  <conditionalFormatting sqref="I106:I121">
    <cfRule type="expression" dxfId="17" priority="7">
      <formula>I106=1</formula>
    </cfRule>
    <cfRule type="expression" dxfId="16" priority="8">
      <formula>I106=0</formula>
    </cfRule>
  </conditionalFormatting>
  <conditionalFormatting sqref="I125:I131">
    <cfRule type="expression" dxfId="15" priority="5">
      <formula>I125=1</formula>
    </cfRule>
    <cfRule type="expression" dxfId="14" priority="6">
      <formula>I125=0</formula>
    </cfRule>
  </conditionalFormatting>
  <conditionalFormatting sqref="I137:I150">
    <cfRule type="expression" dxfId="13" priority="3">
      <formula>I137=1</formula>
    </cfRule>
    <cfRule type="expression" dxfId="12" priority="4">
      <formula>I137=0</formula>
    </cfRule>
  </conditionalFormatting>
  <conditionalFormatting sqref="I155:I172">
    <cfRule type="expression" dxfId="11" priority="1">
      <formula>I155=1</formula>
    </cfRule>
    <cfRule type="expression" dxfId="10" priority="2">
      <formula>I155=0</formula>
    </cfRule>
  </conditionalFormatting>
  <pageMargins left="0.75" right="0.75" top="1" bottom="1" header="0.5" footer="0.5"/>
  <pageSetup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V150"/>
  <sheetViews>
    <sheetView topLeftCell="A3" workbookViewId="0">
      <selection activeCell="C8" sqref="C8"/>
    </sheetView>
  </sheetViews>
  <sheetFormatPr defaultColWidth="8.88671875" defaultRowHeight="15"/>
  <cols>
    <col min="1" max="1" width="8.88671875" style="699"/>
    <col min="2" max="4" width="11.44140625" style="699" customWidth="1"/>
    <col min="5" max="5" width="42.88671875" style="699" customWidth="1"/>
    <col min="6" max="10" width="11.44140625" style="699" customWidth="1"/>
    <col min="11" max="16384" width="8.88671875" style="699"/>
  </cols>
  <sheetData>
    <row r="1" spans="1:3" s="6" customFormat="1" ht="24.95" customHeight="1">
      <c r="A1" s="6" t="s">
        <v>2461</v>
      </c>
    </row>
    <row r="2" spans="1:3" s="7" customFormat="1"/>
    <row r="3" spans="1:3" s="7" customFormat="1">
      <c r="A3" s="661" t="s">
        <v>2462</v>
      </c>
    </row>
    <row r="4" spans="1:3" s="7" customFormat="1">
      <c r="B4" s="661"/>
    </row>
    <row r="5" spans="1:3" s="730" customFormat="1" ht="15.75">
      <c r="A5" s="730" t="s">
        <v>4137</v>
      </c>
    </row>
    <row r="6" spans="1:3" s="7" customFormat="1">
      <c r="B6" s="117" t="s">
        <v>4138</v>
      </c>
    </row>
    <row r="7" spans="1:3" s="7" customFormat="1">
      <c r="B7" s="661"/>
      <c r="C7" s="117" t="s">
        <v>4139</v>
      </c>
    </row>
    <row r="8" spans="1:3" s="7" customFormat="1">
      <c r="B8" s="661"/>
      <c r="C8" s="117" t="s">
        <v>4140</v>
      </c>
    </row>
    <row r="9" spans="1:3" s="730" customFormat="1" ht="15.75">
      <c r="A9" s="730" t="s">
        <v>4005</v>
      </c>
    </row>
    <row r="10" spans="1:3" s="7" customFormat="1">
      <c r="B10" s="117" t="s">
        <v>3999</v>
      </c>
    </row>
    <row r="11" spans="1:3" s="7" customFormat="1">
      <c r="B11" s="117"/>
      <c r="C11" s="117" t="s">
        <v>3995</v>
      </c>
    </row>
    <row r="12" spans="1:3" s="7" customFormat="1">
      <c r="B12" s="117"/>
      <c r="C12" s="117" t="s">
        <v>3996</v>
      </c>
    </row>
    <row r="13" spans="1:3" s="7" customFormat="1">
      <c r="B13" s="117"/>
      <c r="C13" s="117" t="s">
        <v>3997</v>
      </c>
    </row>
    <row r="14" spans="1:3" s="7" customFormat="1">
      <c r="B14" s="117"/>
      <c r="C14" s="117" t="s">
        <v>4001</v>
      </c>
    </row>
    <row r="15" spans="1:3" s="7" customFormat="1">
      <c r="B15" s="117"/>
      <c r="C15" s="117" t="s">
        <v>3998</v>
      </c>
    </row>
    <row r="16" spans="1:3" s="7" customFormat="1">
      <c r="B16" s="117" t="s">
        <v>4004</v>
      </c>
      <c r="C16" s="117"/>
    </row>
    <row r="17" spans="1:3" s="7" customFormat="1">
      <c r="B17" s="117"/>
      <c r="C17" s="117" t="s">
        <v>4017</v>
      </c>
    </row>
    <row r="18" spans="1:3" s="7" customFormat="1">
      <c r="B18" s="117"/>
      <c r="C18" s="117" t="s">
        <v>4043</v>
      </c>
    </row>
    <row r="19" spans="1:3" s="7" customFormat="1">
      <c r="B19" s="117"/>
      <c r="C19" s="117" t="s">
        <v>4048</v>
      </c>
    </row>
    <row r="20" spans="1:3" s="7" customFormat="1">
      <c r="B20" s="117"/>
      <c r="C20" s="117" t="s">
        <v>4128</v>
      </c>
    </row>
    <row r="21" spans="1:3" s="7" customFormat="1">
      <c r="B21" s="117" t="s">
        <v>4003</v>
      </c>
      <c r="C21" s="117"/>
    </row>
    <row r="22" spans="1:3" s="7" customFormat="1">
      <c r="B22" s="117"/>
      <c r="C22" s="117" t="s">
        <v>3993</v>
      </c>
    </row>
    <row r="23" spans="1:3" s="7" customFormat="1">
      <c r="B23" s="117"/>
      <c r="C23" s="117" t="s">
        <v>4000</v>
      </c>
    </row>
    <row r="24" spans="1:3" s="7" customFormat="1">
      <c r="B24" s="117"/>
      <c r="C24" s="117" t="s">
        <v>3991</v>
      </c>
    </row>
    <row r="25" spans="1:3" s="7" customFormat="1">
      <c r="B25" s="117" t="s">
        <v>4002</v>
      </c>
      <c r="C25" s="117"/>
    </row>
    <row r="26" spans="1:3" s="7" customFormat="1">
      <c r="B26" s="117"/>
      <c r="C26" s="117" t="s">
        <v>3992</v>
      </c>
    </row>
    <row r="27" spans="1:3" s="7" customFormat="1">
      <c r="B27" s="661"/>
      <c r="C27" s="117" t="s">
        <v>3994</v>
      </c>
    </row>
    <row r="28" spans="1:3" s="7" customFormat="1">
      <c r="B28" s="661"/>
    </row>
    <row r="29" spans="1:3" s="730" customFormat="1" ht="15.75">
      <c r="A29" s="730" t="s">
        <v>3875</v>
      </c>
    </row>
    <row r="30" spans="1:3" s="7" customFormat="1">
      <c r="B30" s="117" t="s">
        <v>3874</v>
      </c>
    </row>
    <row r="31" spans="1:3" s="7" customFormat="1">
      <c r="B31" s="117" t="s">
        <v>3925</v>
      </c>
    </row>
    <row r="32" spans="1:3" s="7" customFormat="1">
      <c r="B32" s="117" t="s">
        <v>3981</v>
      </c>
    </row>
    <row r="33" spans="1:5" s="7" customFormat="1">
      <c r="B33" s="117" t="s">
        <v>3982</v>
      </c>
      <c r="C33" s="117"/>
      <c r="D33" s="117"/>
      <c r="E33" s="117"/>
    </row>
    <row r="34" spans="1:5" s="7" customFormat="1">
      <c r="B34" s="117" t="s">
        <v>3983</v>
      </c>
      <c r="C34" s="117"/>
      <c r="D34" s="117"/>
      <c r="E34" s="117"/>
    </row>
    <row r="35" spans="1:5" s="7" customFormat="1">
      <c r="B35" s="104"/>
    </row>
    <row r="36" spans="1:5" s="730" customFormat="1" ht="15.75">
      <c r="A36" s="730" t="s">
        <v>3830</v>
      </c>
    </row>
    <row r="37" spans="1:5">
      <c r="B37" s="699" t="s">
        <v>3831</v>
      </c>
    </row>
    <row r="39" spans="1:5">
      <c r="B39" s="699" t="s">
        <v>3832</v>
      </c>
    </row>
    <row r="40" spans="1:5">
      <c r="C40" s="699" t="s">
        <v>3833</v>
      </c>
    </row>
    <row r="41" spans="1:5">
      <c r="C41" s="699" t="s">
        <v>3838</v>
      </c>
    </row>
    <row r="42" spans="1:5">
      <c r="C42" s="699" t="s">
        <v>3834</v>
      </c>
    </row>
    <row r="44" spans="1:5">
      <c r="B44" s="699" t="s">
        <v>3835</v>
      </c>
    </row>
    <row r="45" spans="1:5">
      <c r="C45" s="699" t="s">
        <v>3836</v>
      </c>
    </row>
    <row r="46" spans="1:5">
      <c r="C46" s="699" t="s">
        <v>3847</v>
      </c>
    </row>
    <row r="48" spans="1:5">
      <c r="B48" s="699" t="s">
        <v>3841</v>
      </c>
    </row>
    <row r="49" spans="1:3">
      <c r="C49" s="699" t="s">
        <v>3843</v>
      </c>
    </row>
    <row r="50" spans="1:3">
      <c r="C50" s="699" t="s">
        <v>3842</v>
      </c>
    </row>
    <row r="51" spans="1:3">
      <c r="C51" s="699" t="s">
        <v>3845</v>
      </c>
    </row>
    <row r="53" spans="1:3">
      <c r="B53" s="699" t="s">
        <v>3844</v>
      </c>
    </row>
    <row r="54" spans="1:3">
      <c r="C54" s="699" t="s">
        <v>3837</v>
      </c>
    </row>
    <row r="55" spans="1:3">
      <c r="C55" s="699" t="s">
        <v>3839</v>
      </c>
    </row>
    <row r="56" spans="1:3">
      <c r="C56" s="699" t="s">
        <v>3840</v>
      </c>
    </row>
    <row r="57" spans="1:3">
      <c r="C57" s="699" t="s">
        <v>3846</v>
      </c>
    </row>
    <row r="60" spans="1:3" s="730" customFormat="1" ht="15.75">
      <c r="A60" s="730" t="s">
        <v>3791</v>
      </c>
    </row>
    <row r="61" spans="1:3" customFormat="1"/>
    <row r="62" spans="1:3" customFormat="1">
      <c r="B62" t="s">
        <v>2463</v>
      </c>
    </row>
    <row r="63" spans="1:3" customFormat="1"/>
    <row r="64" spans="1:3" customFormat="1">
      <c r="B64" t="s">
        <v>2737</v>
      </c>
    </row>
    <row r="65" spans="2:3" customFormat="1">
      <c r="C65" t="s">
        <v>2743</v>
      </c>
    </row>
    <row r="66" spans="2:3" customFormat="1">
      <c r="C66" t="s">
        <v>2742</v>
      </c>
    </row>
    <row r="67" spans="2:3" customFormat="1">
      <c r="C67" t="s">
        <v>3675</v>
      </c>
    </row>
    <row r="68" spans="2:3" customFormat="1"/>
    <row r="69" spans="2:3" customFormat="1">
      <c r="B69" t="s">
        <v>2740</v>
      </c>
    </row>
    <row r="70" spans="2:3" customFormat="1">
      <c r="C70" t="s">
        <v>2744</v>
      </c>
    </row>
    <row r="71" spans="2:3" customFormat="1">
      <c r="C71" t="s">
        <v>2750</v>
      </c>
    </row>
    <row r="72" spans="2:3" customFormat="1">
      <c r="C72" t="s">
        <v>2751</v>
      </c>
    </row>
    <row r="73" spans="2:3" customFormat="1">
      <c r="C73" t="s">
        <v>3265</v>
      </c>
    </row>
    <row r="74" spans="2:3" customFormat="1">
      <c r="C74" t="s">
        <v>3266</v>
      </c>
    </row>
    <row r="75" spans="2:3" customFormat="1">
      <c r="C75" t="s">
        <v>3267</v>
      </c>
    </row>
    <row r="76" spans="2:3" customFormat="1">
      <c r="C76" t="s">
        <v>3268</v>
      </c>
    </row>
    <row r="77" spans="2:3" customFormat="1"/>
    <row r="78" spans="2:3" customFormat="1">
      <c r="B78" t="s">
        <v>2735</v>
      </c>
    </row>
    <row r="79" spans="2:3" customFormat="1">
      <c r="C79" t="s">
        <v>2752</v>
      </c>
    </row>
    <row r="80" spans="2:3" customFormat="1"/>
    <row r="81" spans="2:4" customFormat="1">
      <c r="B81" t="s">
        <v>2762</v>
      </c>
    </row>
    <row r="82" spans="2:4" customFormat="1">
      <c r="C82" t="s">
        <v>2771</v>
      </c>
    </row>
    <row r="83" spans="2:4" customFormat="1">
      <c r="C83" t="s">
        <v>2753</v>
      </c>
    </row>
    <row r="84" spans="2:4" customFormat="1">
      <c r="C84" t="s">
        <v>3680</v>
      </c>
    </row>
    <row r="85" spans="2:4" customFormat="1"/>
    <row r="86" spans="2:4" customFormat="1">
      <c r="B86" t="s">
        <v>2736</v>
      </c>
    </row>
    <row r="87" spans="2:4" customFormat="1">
      <c r="C87" t="s">
        <v>2754</v>
      </c>
    </row>
    <row r="88" spans="2:4" customFormat="1">
      <c r="C88" t="s">
        <v>2755</v>
      </c>
    </row>
    <row r="89" spans="2:4" customFormat="1">
      <c r="C89" t="s">
        <v>3269</v>
      </c>
    </row>
    <row r="90" spans="2:4" customFormat="1"/>
    <row r="91" spans="2:4" customFormat="1">
      <c r="B91" t="s">
        <v>2738</v>
      </c>
    </row>
    <row r="92" spans="2:4" customFormat="1">
      <c r="C92" t="s">
        <v>3704</v>
      </c>
    </row>
    <row r="93" spans="2:4" customFormat="1">
      <c r="D93" t="s">
        <v>3705</v>
      </c>
    </row>
    <row r="94" spans="2:4" customFormat="1">
      <c r="D94" t="s">
        <v>3706</v>
      </c>
    </row>
    <row r="95" spans="2:4" customFormat="1">
      <c r="D95" t="s">
        <v>3707</v>
      </c>
    </row>
    <row r="96" spans="2:4" customFormat="1"/>
    <row r="97" spans="3:5" customFormat="1">
      <c r="C97" t="s">
        <v>2756</v>
      </c>
    </row>
    <row r="98" spans="3:5" customFormat="1">
      <c r="D98" t="s">
        <v>2514</v>
      </c>
    </row>
    <row r="99" spans="3:5" customFormat="1">
      <c r="D99" t="s">
        <v>2518</v>
      </c>
    </row>
    <row r="100" spans="3:5" customFormat="1">
      <c r="D100" t="s">
        <v>2582</v>
      </c>
    </row>
    <row r="101" spans="3:5" customFormat="1">
      <c r="D101" t="s">
        <v>2532</v>
      </c>
    </row>
    <row r="102" spans="3:5" customFormat="1">
      <c r="D102" t="s">
        <v>2583</v>
      </c>
    </row>
    <row r="103" spans="3:5" customFormat="1"/>
    <row r="104" spans="3:5" customFormat="1">
      <c r="C104" t="s">
        <v>2741</v>
      </c>
    </row>
    <row r="105" spans="3:5" customFormat="1">
      <c r="D105" t="s">
        <v>2581</v>
      </c>
    </row>
    <row r="106" spans="3:5" customFormat="1">
      <c r="D106" t="s">
        <v>2757</v>
      </c>
    </row>
    <row r="107" spans="3:5" customFormat="1">
      <c r="E107" t="s">
        <v>2758</v>
      </c>
    </row>
    <row r="108" spans="3:5" customFormat="1">
      <c r="E108" t="s">
        <v>2760</v>
      </c>
    </row>
    <row r="109" spans="3:5" customFormat="1">
      <c r="E109" t="s">
        <v>2759</v>
      </c>
    </row>
    <row r="110" spans="3:5" customFormat="1"/>
    <row r="111" spans="3:5" customFormat="1">
      <c r="C111" t="s">
        <v>2745</v>
      </c>
    </row>
    <row r="112" spans="3:5" customFormat="1">
      <c r="D112" t="s">
        <v>2500</v>
      </c>
    </row>
    <row r="113" spans="2:4" customFormat="1">
      <c r="D113" t="s">
        <v>2502</v>
      </c>
    </row>
    <row r="114" spans="2:4" customFormat="1">
      <c r="D114" t="s">
        <v>2535</v>
      </c>
    </row>
    <row r="115" spans="2:4" customFormat="1"/>
    <row r="116" spans="2:4" customFormat="1">
      <c r="C116" t="s">
        <v>2747</v>
      </c>
    </row>
    <row r="117" spans="2:4" customFormat="1">
      <c r="D117" t="s">
        <v>2749</v>
      </c>
    </row>
    <row r="118" spans="2:4" customFormat="1">
      <c r="D118" t="s">
        <v>2748</v>
      </c>
    </row>
    <row r="119" spans="2:4" customFormat="1">
      <c r="D119" t="s">
        <v>2703</v>
      </c>
    </row>
    <row r="120" spans="2:4" customFormat="1"/>
    <row r="121" spans="2:4" customFormat="1">
      <c r="C121" t="s">
        <v>3790</v>
      </c>
    </row>
    <row r="122" spans="2:4" customFormat="1"/>
    <row r="123" spans="2:4" customFormat="1"/>
    <row r="124" spans="2:4" customFormat="1">
      <c r="B124" t="s">
        <v>2739</v>
      </c>
    </row>
    <row r="125" spans="2:4" customFormat="1">
      <c r="C125" t="s">
        <v>2556</v>
      </c>
    </row>
    <row r="126" spans="2:4" customFormat="1">
      <c r="C126" t="s">
        <v>2501</v>
      </c>
    </row>
    <row r="127" spans="2:4" customFormat="1">
      <c r="C127" t="s">
        <v>2689</v>
      </c>
    </row>
    <row r="128" spans="2:4" customFormat="1">
      <c r="C128" t="s">
        <v>2690</v>
      </c>
    </row>
    <row r="129" spans="2:3" customFormat="1">
      <c r="C129" t="s">
        <v>2687</v>
      </c>
    </row>
    <row r="130" spans="2:3" customFormat="1">
      <c r="C130" t="s">
        <v>2746</v>
      </c>
    </row>
    <row r="131" spans="2:3" customFormat="1">
      <c r="C131" t="s">
        <v>2580</v>
      </c>
    </row>
    <row r="132" spans="2:3" customFormat="1">
      <c r="C132" t="s">
        <v>3586</v>
      </c>
    </row>
    <row r="133" spans="2:3" customFormat="1"/>
    <row r="134" spans="2:3" customFormat="1">
      <c r="B134" t="s">
        <v>2761</v>
      </c>
    </row>
    <row r="135" spans="2:3" customFormat="1">
      <c r="C135" t="s">
        <v>2515</v>
      </c>
    </row>
    <row r="136" spans="2:3" customFormat="1">
      <c r="C136" t="s">
        <v>2540</v>
      </c>
    </row>
    <row r="137" spans="2:3" customFormat="1">
      <c r="C137" t="s">
        <v>2734</v>
      </c>
    </row>
    <row r="138" spans="2:3" customFormat="1">
      <c r="C138" t="s">
        <v>2686</v>
      </c>
    </row>
    <row r="139" spans="2:3" customFormat="1">
      <c r="C139" t="s">
        <v>2688</v>
      </c>
    </row>
    <row r="140" spans="2:3" customFormat="1"/>
    <row r="141" spans="2:3" customFormat="1"/>
    <row r="150" spans="2:22" ht="15.75">
      <c r="B150" s="28"/>
      <c r="C150" s="11"/>
      <c r="D150" s="11"/>
      <c r="E150" s="11"/>
      <c r="F150" s="11"/>
      <c r="G150" s="11"/>
      <c r="H150" s="11"/>
      <c r="I150" s="11"/>
      <c r="J150" s="11"/>
      <c r="K150" s="11"/>
      <c r="L150" s="11"/>
      <c r="M150" s="11"/>
      <c r="N150" s="11"/>
      <c r="O150" s="11"/>
      <c r="P150" s="11"/>
      <c r="Q150" s="11"/>
      <c r="R150" s="11"/>
      <c r="S150" s="11"/>
      <c r="T150" s="11"/>
      <c r="U150" s="11"/>
      <c r="V150" s="11"/>
    </row>
  </sheetData>
  <pageMargins left="0.75" right="0.75" top="1" bottom="1" header="0.5" footer="0.5"/>
  <pageSetup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BF301"/>
  <sheetViews>
    <sheetView topLeftCell="A10" workbookViewId="0">
      <selection activeCell="B2" sqref="B2:N2"/>
    </sheetView>
  </sheetViews>
  <sheetFormatPr defaultColWidth="8.88671875" defaultRowHeight="15"/>
  <cols>
    <col min="1" max="1" width="19.44140625" style="11" customWidth="1"/>
    <col min="2" max="2" width="11.88671875" style="11" customWidth="1"/>
    <col min="3" max="3" width="9.5546875" style="11" bestFit="1" customWidth="1"/>
    <col min="4" max="4" width="9" style="11" bestFit="1" customWidth="1"/>
    <col min="5" max="6" width="9.5546875" style="11" bestFit="1" customWidth="1"/>
    <col min="7" max="7" width="9.88671875" style="11" customWidth="1"/>
    <col min="8" max="8" width="8.88671875" style="11"/>
    <col min="9" max="9" width="10.88671875" style="11" customWidth="1"/>
    <col min="10" max="10" width="10.44140625" style="11" customWidth="1"/>
    <col min="11" max="11" width="8.88671875" style="11"/>
    <col min="12" max="12" width="10.44140625" style="11" customWidth="1"/>
    <col min="13" max="13" width="17.44140625" style="11" customWidth="1"/>
    <col min="14" max="14" width="10.44140625" style="11" customWidth="1"/>
    <col min="15" max="15" width="10.88671875" style="11" customWidth="1"/>
    <col min="16" max="21" width="8.88671875" style="11"/>
    <col min="22" max="22" width="9.44140625" style="11" customWidth="1"/>
    <col min="23" max="23" width="9.5546875" style="11" customWidth="1"/>
    <col min="24" max="16384" width="8.88671875" style="11"/>
  </cols>
  <sheetData>
    <row r="1" spans="1:58" s="6" customFormat="1" ht="24" customHeight="1">
      <c r="A1" s="6" t="s">
        <v>644</v>
      </c>
    </row>
    <row r="2" spans="1:58" s="7" customFormat="1" ht="18" customHeight="1">
      <c r="B2" s="1025" t="s">
        <v>4141</v>
      </c>
      <c r="C2" s="1026"/>
      <c r="D2" s="1026"/>
      <c r="E2" s="1026"/>
      <c r="F2" s="1026"/>
      <c r="G2" s="1026"/>
      <c r="H2" s="1026"/>
      <c r="I2" s="1026"/>
      <c r="J2" s="1026"/>
      <c r="K2" s="1026"/>
      <c r="L2" s="1026"/>
      <c r="M2" s="1026"/>
      <c r="N2" s="1026"/>
    </row>
    <row r="3" spans="1:58" s="9" customFormat="1" ht="18" customHeight="1">
      <c r="A3" s="9" t="s">
        <v>1366</v>
      </c>
    </row>
    <row r="4" spans="1:58" s="7" customFormat="1" ht="18" customHeight="1">
      <c r="F4" s="8"/>
    </row>
    <row r="5" spans="1:58" s="7" customFormat="1" ht="15" customHeight="1">
      <c r="B5" s="661" t="s">
        <v>2459</v>
      </c>
      <c r="D5" s="697" t="str">
        <f>J140</f>
        <v>OK</v>
      </c>
      <c r="F5" s="8"/>
    </row>
    <row r="6" spans="1:58" s="7" customFormat="1" ht="15" customHeight="1">
      <c r="F6" s="8"/>
      <c r="H6" s="700"/>
      <c r="J6" s="10" t="s">
        <v>1369</v>
      </c>
      <c r="Z6" s="661"/>
      <c r="AA6" s="661"/>
      <c r="AB6" s="661"/>
      <c r="AC6" s="661"/>
      <c r="AD6" s="661"/>
    </row>
    <row r="7" spans="1:58" s="7" customFormat="1" ht="15" customHeight="1">
      <c r="A7" s="11"/>
      <c r="B7" s="12" t="s">
        <v>1367</v>
      </c>
      <c r="C7" s="11"/>
      <c r="D7" s="11"/>
      <c r="E7" s="11"/>
      <c r="F7" s="11"/>
      <c r="G7" s="11"/>
      <c r="H7" s="11"/>
    </row>
    <row r="8" spans="1:58" s="7" customFormat="1" ht="15" customHeight="1">
      <c r="A8" s="11"/>
      <c r="B8" s="1039" t="s">
        <v>880</v>
      </c>
      <c r="C8" s="1039"/>
      <c r="D8" s="1039"/>
      <c r="E8" s="1039"/>
      <c r="F8" s="1039"/>
      <c r="G8" s="1039"/>
      <c r="H8" s="11"/>
      <c r="AA8" s="701"/>
      <c r="AB8" s="701"/>
    </row>
    <row r="9" spans="1:58" s="7" customFormat="1" ht="15" customHeight="1">
      <c r="A9" s="11"/>
      <c r="B9" s="13"/>
      <c r="C9" s="14" t="str">
        <f>J67</f>
        <v>Cantarell</v>
      </c>
      <c r="D9" s="13"/>
      <c r="E9" s="13"/>
      <c r="F9" s="13"/>
      <c r="G9" s="13"/>
      <c r="H9" s="11"/>
      <c r="AA9" s="701"/>
      <c r="AB9" s="701"/>
    </row>
    <row r="10" spans="1:58" s="7" customFormat="1" ht="15" customHeight="1">
      <c r="A10" s="11"/>
      <c r="B10" s="13" t="s">
        <v>4</v>
      </c>
      <c r="C10" s="17">
        <f>(G159)*G203+(G222)*G260</f>
        <v>0</v>
      </c>
      <c r="D10" s="13"/>
      <c r="E10" s="13"/>
      <c r="F10" s="13"/>
      <c r="G10" s="13"/>
      <c r="H10" s="11"/>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s="7" customFormat="1" ht="15" customHeight="1">
      <c r="A11" s="11"/>
      <c r="B11" s="13" t="s">
        <v>865</v>
      </c>
      <c r="C11" s="17">
        <f>(G165)*G203+(G229)*G260</f>
        <v>0.12530721029874892</v>
      </c>
      <c r="D11" s="13"/>
      <c r="E11" s="13"/>
      <c r="F11" s="13"/>
      <c r="G11" s="13"/>
      <c r="H11" s="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s="7" customFormat="1" ht="15" customHeight="1">
      <c r="A12" s="11"/>
      <c r="B12" s="13" t="s">
        <v>579</v>
      </c>
      <c r="C12" s="17">
        <f>(G171)*G203+(G236)*G260</f>
        <v>0.98456863563406893</v>
      </c>
      <c r="D12" s="13"/>
      <c r="E12" s="13"/>
      <c r="F12" s="13"/>
      <c r="G12" s="13"/>
      <c r="H12" s="11"/>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s="7" customFormat="1" ht="15" customHeight="1">
      <c r="A13" s="11"/>
      <c r="B13" s="13" t="s">
        <v>866</v>
      </c>
      <c r="C13" s="17">
        <f>(G177)*G203</f>
        <v>0.64799863671157942</v>
      </c>
      <c r="D13" s="13"/>
      <c r="E13" s="13"/>
      <c r="F13" s="13"/>
      <c r="G13" s="13"/>
      <c r="H13" s="11"/>
      <c r="U13" s="700"/>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s="7" customFormat="1" ht="15" customHeight="1">
      <c r="A14" s="11"/>
      <c r="B14" s="13" t="s">
        <v>2031</v>
      </c>
      <c r="C14" s="17">
        <f>G198*G203+(G242)*G260</f>
        <v>0</v>
      </c>
      <c r="D14" s="13"/>
      <c r="E14" s="13"/>
      <c r="F14" s="13"/>
      <c r="G14" s="13"/>
      <c r="H14" s="11"/>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s="7" customFormat="1" ht="15" customHeight="1">
      <c r="A15" s="11"/>
      <c r="B15" s="13" t="s">
        <v>671</v>
      </c>
      <c r="C15" s="17">
        <f>(G183)*G203+(G248)*G260</f>
        <v>0</v>
      </c>
      <c r="D15" s="13"/>
      <c r="E15" s="13"/>
      <c r="F15" s="13"/>
      <c r="G15" s="13"/>
      <c r="H15" s="11"/>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s="7" customFormat="1" ht="15" customHeight="1">
      <c r="A16" s="11"/>
      <c r="B16" s="13" t="s">
        <v>867</v>
      </c>
      <c r="C16" s="17">
        <f>(G189)*G203+(G254)*G260</f>
        <v>0</v>
      </c>
      <c r="D16" s="13"/>
      <c r="E16" s="13"/>
      <c r="F16" s="13"/>
      <c r="G16" s="13"/>
      <c r="H16" s="11"/>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1:58" s="7" customFormat="1" ht="15" customHeight="1">
      <c r="A17" s="11"/>
      <c r="B17" s="13" t="s">
        <v>864</v>
      </c>
      <c r="C17" s="650">
        <f>(G160+G166+G172+G178+G184+G190)*G203+(G223+G230+G237+G243+G249+G255)*G260</f>
        <v>3.5626826208475157</v>
      </c>
      <c r="D17" s="13"/>
      <c r="E17" s="13"/>
      <c r="F17" s="13"/>
      <c r="G17" s="13"/>
      <c r="H17" s="11"/>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1:58" s="7" customFormat="1" ht="15" customHeight="1">
      <c r="A18" s="11"/>
      <c r="B18" s="13" t="s">
        <v>2779</v>
      </c>
      <c r="C18" s="17">
        <f>G194*G203</f>
        <v>0</v>
      </c>
      <c r="D18" s="13"/>
      <c r="E18" s="13"/>
      <c r="F18" s="13"/>
      <c r="G18" s="13"/>
      <c r="H18" s="11"/>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1:58" s="7" customFormat="1" ht="15" customHeight="1">
      <c r="A19" s="11"/>
      <c r="B19" s="13" t="s">
        <v>2108</v>
      </c>
      <c r="C19" s="17">
        <f>(G205)*G203+(G262)*G260</f>
        <v>0.500031</v>
      </c>
      <c r="D19" s="13"/>
      <c r="E19" s="13"/>
      <c r="F19" s="13"/>
      <c r="G19" s="13"/>
      <c r="H19" s="11"/>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1:58" s="7" customFormat="1" ht="15" customHeight="1">
      <c r="A20" s="11"/>
      <c r="B20" s="13" t="s">
        <v>9</v>
      </c>
      <c r="C20" s="17">
        <f>G202+G259</f>
        <v>9.0309772448312856E-2</v>
      </c>
      <c r="D20" s="13"/>
      <c r="E20" s="13"/>
      <c r="F20" s="13"/>
      <c r="G20" s="13"/>
      <c r="H20" s="11"/>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1:58" s="7" customFormat="1" ht="15" customHeight="1">
      <c r="A21" s="11"/>
      <c r="B21" s="13" t="s">
        <v>3250</v>
      </c>
      <c r="C21" s="17">
        <f>G207*G203+G264*G260</f>
        <v>0.76944111866576514</v>
      </c>
      <c r="D21" s="13"/>
      <c r="E21" s="13"/>
      <c r="F21" s="13"/>
      <c r="G21" s="13"/>
      <c r="H21" s="1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1:58" s="7" customFormat="1" ht="15" customHeight="1">
      <c r="A22" s="11"/>
      <c r="B22" s="13" t="s">
        <v>3251</v>
      </c>
      <c r="C22" s="17">
        <f>J46*G211+J47*G268</f>
        <v>6.6803389946059912</v>
      </c>
      <c r="D22" s="13"/>
      <c r="E22" s="13"/>
      <c r="F22" s="13"/>
      <c r="G22" s="13"/>
      <c r="H22" s="11"/>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1:58" s="7" customFormat="1" ht="15" customHeight="1">
      <c r="A23" s="643"/>
      <c r="B23" s="16" t="s">
        <v>917</v>
      </c>
      <c r="C23" s="11"/>
      <c r="D23" s="11"/>
      <c r="E23" s="11"/>
      <c r="F23" s="11"/>
      <c r="G23" s="11"/>
      <c r="H23" s="11"/>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1:58" s="7" customFormat="1" ht="15" customHeight="1">
      <c r="C24" s="700"/>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row>
    <row r="25" spans="1:58" s="7" customFormat="1" ht="15" customHeight="1">
      <c r="Y25" s="939"/>
      <c r="Z25" s="939"/>
      <c r="AA25" s="939"/>
      <c r="AB25" s="939"/>
      <c r="AC25" s="939"/>
      <c r="AD25" s="939"/>
      <c r="AE25" s="939"/>
      <c r="AF25" s="939"/>
      <c r="AG25" s="939"/>
      <c r="AH25" s="939"/>
      <c r="AI25" s="939"/>
      <c r="AJ25" s="939"/>
      <c r="AK25" s="939"/>
      <c r="AL25" s="939"/>
      <c r="AM25" s="939"/>
      <c r="AN25" s="939"/>
      <c r="AO25" s="939"/>
      <c r="AP25" s="939"/>
      <c r="AQ25" s="939"/>
      <c r="AR25" s="939"/>
      <c r="AS25" s="939"/>
      <c r="AT25" s="939"/>
      <c r="AU25" s="939"/>
      <c r="AV25" s="939"/>
      <c r="AW25" s="939"/>
      <c r="AX25" s="939"/>
      <c r="AY25" s="939"/>
      <c r="AZ25" s="939"/>
      <c r="BA25" s="939"/>
      <c r="BB25" s="939"/>
      <c r="BC25" s="939"/>
      <c r="BD25" s="939"/>
      <c r="BE25" s="939"/>
      <c r="BF25" s="939"/>
    </row>
    <row r="26" spans="1:58" s="7" customFormat="1" ht="15" customHeight="1">
      <c r="I26" s="661"/>
      <c r="J26" s="661" t="s">
        <v>3255</v>
      </c>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1:58" s="7" customFormat="1" ht="15" customHeight="1">
      <c r="B27" s="10" t="s">
        <v>1368</v>
      </c>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1:58" s="7" customFormat="1" ht="15" customHeight="1">
      <c r="B28" s="1039" t="s">
        <v>868</v>
      </c>
      <c r="C28" s="1039"/>
      <c r="D28" s="1039"/>
      <c r="E28" s="1039"/>
      <c r="F28" s="1039"/>
      <c r="G28" s="1039"/>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1:58" s="7" customFormat="1" ht="15" customHeight="1">
      <c r="B29" s="13"/>
      <c r="C29" s="14" t="str">
        <f>J67</f>
        <v>Cantarell</v>
      </c>
      <c r="D29" s="13"/>
      <c r="E29" s="13"/>
      <c r="F29" s="13"/>
      <c r="G29" s="13"/>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1:58" s="7" customFormat="1" ht="15" customHeight="1">
      <c r="B30" s="13" t="s">
        <v>4</v>
      </c>
      <c r="C30" s="17">
        <f>G157*G203+G220*G260</f>
        <v>0</v>
      </c>
      <c r="D30" s="13"/>
      <c r="E30" s="13"/>
      <c r="F30" s="13"/>
      <c r="G30" s="13"/>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1:58" s="7" customFormat="1" ht="15" customHeight="1">
      <c r="B31" s="13" t="s">
        <v>865</v>
      </c>
      <c r="C31" s="17">
        <f>G163*G203+G227*G260</f>
        <v>1.6643606288124359E-3</v>
      </c>
      <c r="D31" s="13"/>
      <c r="E31" s="13"/>
      <c r="F31" s="13"/>
      <c r="G31" s="13"/>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1:58" s="7" customFormat="1" ht="15" customHeight="1">
      <c r="B32" s="13" t="s">
        <v>579</v>
      </c>
      <c r="C32" s="17">
        <f>G169*G203+G234*G260</f>
        <v>2.2202896373937495E-2</v>
      </c>
      <c r="D32" s="13"/>
      <c r="E32" s="13"/>
      <c r="F32" s="13"/>
      <c r="G32" s="13"/>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1:58" s="7" customFormat="1" ht="15" customHeight="1">
      <c r="B33" s="13" t="s">
        <v>866</v>
      </c>
      <c r="C33" s="17">
        <f>G175*G203</f>
        <v>2.86205607292059E-2</v>
      </c>
      <c r="D33" s="13"/>
      <c r="E33" s="13"/>
      <c r="F33" s="13"/>
      <c r="G33" s="1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1:58" s="7" customFormat="1" ht="15" customHeight="1">
      <c r="B34" s="13" t="s">
        <v>2031</v>
      </c>
      <c r="C34" s="17">
        <f>G197*G203+G240*G260</f>
        <v>0</v>
      </c>
      <c r="D34" s="13"/>
      <c r="E34" s="13"/>
      <c r="F34" s="13"/>
      <c r="G34" s="13"/>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1:58" s="7" customFormat="1" ht="15" customHeight="1">
      <c r="B35" s="13" t="s">
        <v>671</v>
      </c>
      <c r="C35" s="17">
        <f>G181*G203+G246*G260</f>
        <v>3.3197487638581685E-4</v>
      </c>
      <c r="D35" s="13"/>
      <c r="E35" s="13"/>
      <c r="F35" s="13"/>
      <c r="G35" s="13"/>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1:58" s="7" customFormat="1" ht="15" customHeight="1">
      <c r="B36" s="13" t="s">
        <v>867</v>
      </c>
      <c r="C36" s="17">
        <f>G187*G203+G252*G260</f>
        <v>0</v>
      </c>
      <c r="D36" s="13"/>
      <c r="E36" s="13"/>
      <c r="F36" s="13"/>
      <c r="G36" s="13"/>
    </row>
    <row r="37" spans="1:58" s="7" customFormat="1" ht="15" customHeight="1">
      <c r="B37" s="13" t="s">
        <v>2779</v>
      </c>
      <c r="C37" s="17">
        <f>G193*G203</f>
        <v>0</v>
      </c>
      <c r="D37" s="13"/>
      <c r="E37" s="13"/>
      <c r="F37" s="13"/>
      <c r="G37" s="13"/>
    </row>
    <row r="38" spans="1:58" s="7" customFormat="1" ht="15" customHeight="1">
      <c r="B38" s="13" t="s">
        <v>9</v>
      </c>
      <c r="C38" s="17">
        <f>G201+G258</f>
        <v>1.1792009504335696E-3</v>
      </c>
      <c r="D38" s="13"/>
      <c r="E38" s="13"/>
      <c r="F38" s="13"/>
      <c r="G38" s="13"/>
    </row>
    <row r="39" spans="1:58" s="7" customFormat="1" ht="15" customHeight="1">
      <c r="B39" s="13" t="s">
        <v>339</v>
      </c>
      <c r="C39" s="242">
        <f>J46*G209+J47*G266</f>
        <v>5.3998993558775216E-2</v>
      </c>
      <c r="D39" s="13"/>
      <c r="E39" s="13"/>
      <c r="F39" s="13"/>
      <c r="G39" s="13"/>
    </row>
    <row r="40" spans="1:58" s="7" customFormat="1" ht="18" customHeight="1">
      <c r="B40" s="18" t="s">
        <v>917</v>
      </c>
      <c r="F40" s="8"/>
      <c r="AJ40" s="702"/>
    </row>
    <row r="41" spans="1:58" s="7" customFormat="1" ht="18" customHeight="1">
      <c r="F41" s="8"/>
      <c r="AJ41" s="702"/>
    </row>
    <row r="42" spans="1:58" s="7" customFormat="1" ht="18" customHeight="1">
      <c r="F42" s="8"/>
      <c r="AJ42" s="702"/>
    </row>
    <row r="43" spans="1:58" s="9" customFormat="1" ht="15" customHeight="1">
      <c r="A43" s="9" t="s">
        <v>1946</v>
      </c>
    </row>
    <row r="44" spans="1:58" s="7" customFormat="1" ht="15" customHeight="1">
      <c r="F44" s="8"/>
      <c r="AI44" s="702"/>
    </row>
    <row r="45" spans="1:58" s="7" customFormat="1" ht="15" customHeight="1">
      <c r="F45" s="8"/>
    </row>
    <row r="46" spans="1:58" s="7" customFormat="1" ht="15" customHeight="1">
      <c r="A46" s="19" t="s">
        <v>1947</v>
      </c>
      <c r="F46" s="8"/>
      <c r="J46" s="20">
        <v>1</v>
      </c>
      <c r="K46" s="21">
        <v>1</v>
      </c>
      <c r="L46" s="7" t="s">
        <v>237</v>
      </c>
    </row>
    <row r="47" spans="1:58" s="7" customFormat="1" ht="15" customHeight="1">
      <c r="A47" s="19" t="s">
        <v>1948</v>
      </c>
      <c r="F47" s="8"/>
      <c r="J47" s="20">
        <v>0</v>
      </c>
      <c r="K47" s="21">
        <v>0</v>
      </c>
      <c r="L47" s="7" t="s">
        <v>237</v>
      </c>
    </row>
    <row r="48" spans="1:58" s="7" customFormat="1" ht="15" customHeight="1">
      <c r="A48" s="19"/>
      <c r="F48" s="8"/>
      <c r="I48" s="22" t="s">
        <v>375</v>
      </c>
      <c r="J48" s="23" t="str">
        <f>IF(J46+J47=1,"OK","ERROR")</f>
        <v>OK</v>
      </c>
      <c r="K48" s="23" t="str">
        <f>IF(K46+K47=1,"OK","ERROR")</f>
        <v>OK</v>
      </c>
    </row>
    <row r="49" spans="1:33" s="7" customFormat="1" ht="15" customHeight="1">
      <c r="F49" s="8"/>
    </row>
    <row r="50" spans="1:33" s="9" customFormat="1" ht="15" customHeight="1">
      <c r="A50" s="9" t="s">
        <v>2694</v>
      </c>
    </row>
    <row r="51" spans="1:33" s="7" customFormat="1" ht="15" customHeight="1"/>
    <row r="52" spans="1:33" s="7" customFormat="1" ht="15" customHeight="1">
      <c r="A52" s="24" t="s">
        <v>1055</v>
      </c>
      <c r="F52" s="8"/>
      <c r="J52" s="11" t="s">
        <v>222</v>
      </c>
      <c r="K52" s="7" t="s">
        <v>221</v>
      </c>
      <c r="L52" s="11" t="s">
        <v>239</v>
      </c>
      <c r="M52" s="661"/>
      <c r="N52" s="11" t="s">
        <v>348</v>
      </c>
    </row>
    <row r="53" spans="1:33" s="7" customFormat="1" ht="15" customHeight="1">
      <c r="Q53" s="11"/>
    </row>
    <row r="54" spans="1:33" s="7" customFormat="1" ht="15" customHeight="1">
      <c r="A54" s="19" t="s">
        <v>1952</v>
      </c>
      <c r="J54" s="11"/>
      <c r="L54" s="11"/>
      <c r="Q54" s="11"/>
    </row>
    <row r="55" spans="1:33" s="7" customFormat="1" ht="15" customHeight="1">
      <c r="A55" s="25" t="s">
        <v>2258</v>
      </c>
      <c r="J55" s="11"/>
      <c r="L55" s="11"/>
      <c r="Q55" s="11"/>
    </row>
    <row r="56" spans="1:33" s="7" customFormat="1" ht="15" customHeight="1">
      <c r="J56" s="11"/>
      <c r="L56" s="11"/>
      <c r="Q56" s="11"/>
    </row>
    <row r="57" spans="1:33" s="7" customFormat="1" ht="15" customHeight="1">
      <c r="B57" s="26" t="s">
        <v>1953</v>
      </c>
      <c r="C57" s="27"/>
      <c r="D57" s="27"/>
      <c r="E57" s="28"/>
      <c r="F57" s="28"/>
      <c r="G57" s="28"/>
      <c r="H57" s="28"/>
      <c r="I57" s="28"/>
      <c r="J57" s="20">
        <v>0</v>
      </c>
      <c r="K57" s="21">
        <v>1</v>
      </c>
      <c r="L57" s="7" t="s">
        <v>237</v>
      </c>
      <c r="Q57" s="11"/>
      <c r="AG57" s="704"/>
    </row>
    <row r="58" spans="1:33" s="7" customFormat="1" ht="15" customHeight="1">
      <c r="B58" s="26" t="s">
        <v>1954</v>
      </c>
      <c r="C58" s="27"/>
      <c r="D58" s="27"/>
      <c r="E58" s="28"/>
      <c r="F58" s="28"/>
      <c r="G58" s="28"/>
      <c r="H58" s="28"/>
      <c r="I58" s="28"/>
      <c r="J58" s="20">
        <v>1</v>
      </c>
      <c r="K58" s="21">
        <v>1</v>
      </c>
      <c r="L58" s="7" t="s">
        <v>237</v>
      </c>
      <c r="N58" s="25" t="s">
        <v>919</v>
      </c>
      <c r="P58" s="633"/>
      <c r="Q58" s="91"/>
      <c r="R58" s="633"/>
    </row>
    <row r="59" spans="1:33" s="7" customFormat="1" ht="15" customHeight="1">
      <c r="B59" s="26" t="s">
        <v>1955</v>
      </c>
      <c r="C59" s="27"/>
      <c r="D59" s="27"/>
      <c r="E59" s="28"/>
      <c r="F59" s="28"/>
      <c r="G59" s="28"/>
      <c r="H59" s="28"/>
      <c r="I59" s="29"/>
      <c r="J59" s="20">
        <v>0</v>
      </c>
      <c r="K59" s="21">
        <v>1</v>
      </c>
      <c r="L59" s="7" t="s">
        <v>237</v>
      </c>
      <c r="N59" s="25" t="s">
        <v>2278</v>
      </c>
      <c r="P59" s="633"/>
      <c r="Q59" s="91"/>
      <c r="R59" s="633"/>
    </row>
    <row r="60" spans="1:33" s="7" customFormat="1" ht="15" customHeight="1">
      <c r="B60" s="26" t="s">
        <v>1956</v>
      </c>
      <c r="C60" s="27"/>
      <c r="D60" s="27"/>
      <c r="E60" s="28"/>
      <c r="F60" s="28"/>
      <c r="G60" s="28"/>
      <c r="H60" s="28"/>
      <c r="I60" s="28"/>
      <c r="J60" s="20">
        <v>0</v>
      </c>
      <c r="K60" s="21">
        <v>0</v>
      </c>
      <c r="L60" s="7" t="s">
        <v>237</v>
      </c>
      <c r="N60" s="25" t="s">
        <v>2311</v>
      </c>
      <c r="P60" s="633"/>
      <c r="Q60" s="91"/>
      <c r="R60" s="633"/>
    </row>
    <row r="61" spans="1:33" s="7" customFormat="1" ht="15" customHeight="1">
      <c r="B61" s="26" t="s">
        <v>1957</v>
      </c>
      <c r="C61" s="27"/>
      <c r="D61" s="27"/>
      <c r="E61" s="28"/>
      <c r="F61" s="28"/>
      <c r="G61" s="28"/>
      <c r="H61" s="28"/>
      <c r="I61" s="707" t="str">
        <f>IF(AND(J57=1,J61=1),"ERROR","OK")</f>
        <v>OK</v>
      </c>
      <c r="J61" s="20">
        <v>1</v>
      </c>
      <c r="K61" s="21">
        <v>0</v>
      </c>
      <c r="L61" s="7" t="s">
        <v>237</v>
      </c>
      <c r="N61" s="25" t="s">
        <v>2313</v>
      </c>
      <c r="P61" s="633"/>
      <c r="Q61" s="91"/>
      <c r="R61" s="633"/>
    </row>
    <row r="62" spans="1:33" s="7" customFormat="1" ht="15" customHeight="1">
      <c r="B62" s="26" t="s">
        <v>1958</v>
      </c>
      <c r="C62" s="27"/>
      <c r="D62" s="27"/>
      <c r="E62" s="28"/>
      <c r="F62" s="28"/>
      <c r="G62" s="28"/>
      <c r="H62" s="28"/>
      <c r="I62" s="28"/>
      <c r="J62" s="20">
        <v>1</v>
      </c>
      <c r="K62" s="21">
        <v>0</v>
      </c>
      <c r="L62" s="7" t="s">
        <v>237</v>
      </c>
      <c r="N62" s="25" t="s">
        <v>2312</v>
      </c>
      <c r="P62" s="633"/>
      <c r="Q62" s="91"/>
      <c r="R62" s="633"/>
    </row>
    <row r="63" spans="1:33" s="7" customFormat="1" ht="15" customHeight="1">
      <c r="B63" s="30" t="s">
        <v>1959</v>
      </c>
      <c r="C63" s="27"/>
      <c r="D63" s="27"/>
      <c r="E63" s="28"/>
      <c r="F63" s="28"/>
      <c r="G63" s="28"/>
      <c r="H63" s="28"/>
      <c r="I63" s="28"/>
      <c r="J63" s="20">
        <v>0</v>
      </c>
      <c r="K63" s="21">
        <v>0</v>
      </c>
      <c r="L63" s="7" t="s">
        <v>237</v>
      </c>
      <c r="N63" s="25" t="s">
        <v>2314</v>
      </c>
      <c r="P63" s="633"/>
      <c r="Q63" s="91"/>
      <c r="R63" s="633"/>
    </row>
    <row r="64" spans="1:33" s="7" customFormat="1" ht="15" customHeight="1">
      <c r="J64" s="11"/>
      <c r="L64" s="11"/>
      <c r="N64" s="633"/>
      <c r="P64" s="633"/>
      <c r="Q64" s="91"/>
      <c r="R64" s="633"/>
    </row>
    <row r="65" spans="1:18" s="7" customFormat="1" ht="15" customHeight="1">
      <c r="A65" s="19" t="s">
        <v>1960</v>
      </c>
      <c r="N65" s="633"/>
      <c r="P65" s="633"/>
      <c r="Q65" s="633"/>
      <c r="R65" s="633"/>
    </row>
    <row r="66" spans="1:18" s="7" customFormat="1" ht="15" customHeight="1">
      <c r="B66" s="19" t="s">
        <v>1961</v>
      </c>
      <c r="I66" s="117" t="str">
        <f>IF(ISNA(MATCH(J66,Flaring!B93:B151,0))=TRUE,"ERROR","OK")</f>
        <v>OK</v>
      </c>
      <c r="J66" s="639" t="s">
        <v>1852</v>
      </c>
      <c r="K66" s="31" t="s">
        <v>208</v>
      </c>
      <c r="L66" s="7" t="s">
        <v>237</v>
      </c>
      <c r="N66" s="647" t="str">
        <f>IF(I66="ERROR","Check the spelling of the field location (The location name must be spelled exactly the same as in the 'Flaring' sheet, Table 4.1)","")</f>
        <v/>
      </c>
      <c r="P66" s="633"/>
      <c r="Q66" s="633"/>
      <c r="R66" s="633"/>
    </row>
    <row r="67" spans="1:18" s="7" customFormat="1" ht="15" customHeight="1">
      <c r="B67" s="19" t="s">
        <v>1962</v>
      </c>
      <c r="J67" s="20" t="s">
        <v>4142</v>
      </c>
      <c r="K67" s="31" t="s">
        <v>208</v>
      </c>
      <c r="L67" s="7" t="s">
        <v>237</v>
      </c>
      <c r="N67" s="633"/>
      <c r="P67" s="633"/>
      <c r="Q67" s="633"/>
      <c r="R67" s="633"/>
    </row>
    <row r="68" spans="1:18" s="7" customFormat="1" ht="15" customHeight="1">
      <c r="B68" s="19" t="s">
        <v>1963</v>
      </c>
      <c r="J68" s="20">
        <v>35</v>
      </c>
      <c r="K68" s="31">
        <v>35</v>
      </c>
      <c r="L68" s="32" t="s">
        <v>1799</v>
      </c>
      <c r="N68" s="633"/>
      <c r="P68" s="633"/>
      <c r="Q68" s="633"/>
      <c r="R68" s="633"/>
    </row>
    <row r="69" spans="1:18" s="7" customFormat="1" ht="15" customHeight="1">
      <c r="B69" s="19" t="s">
        <v>1964</v>
      </c>
      <c r="J69" s="20">
        <v>8100</v>
      </c>
      <c r="K69" s="31">
        <v>7240</v>
      </c>
      <c r="L69" s="7" t="s">
        <v>220</v>
      </c>
      <c r="N69" s="633"/>
      <c r="P69" s="633"/>
      <c r="Q69" s="633"/>
      <c r="R69" s="633"/>
    </row>
    <row r="70" spans="1:18" s="7" customFormat="1" ht="15" customHeight="1">
      <c r="B70" s="33" t="s">
        <v>2125</v>
      </c>
      <c r="J70" s="20">
        <v>750000</v>
      </c>
      <c r="K70" s="31">
        <v>1500</v>
      </c>
      <c r="L70" s="33" t="s">
        <v>1075</v>
      </c>
      <c r="N70" s="633"/>
      <c r="P70" s="633"/>
      <c r="Q70" s="633"/>
      <c r="R70" s="633"/>
    </row>
    <row r="71" spans="1:18" s="7" customFormat="1" ht="15" customHeight="1">
      <c r="B71" s="33" t="s">
        <v>2124</v>
      </c>
      <c r="J71" s="20">
        <v>210</v>
      </c>
      <c r="K71" s="34">
        <f>IF(ROUND(J70/183,0)&lt;1,1,ROUND(J70/183,0))</f>
        <v>4098</v>
      </c>
      <c r="L71" s="33" t="s">
        <v>2119</v>
      </c>
      <c r="P71" s="633"/>
      <c r="Q71" s="633"/>
      <c r="R71" s="633"/>
    </row>
    <row r="72" spans="1:18" s="7" customFormat="1" ht="15" customHeight="1">
      <c r="B72" s="661" t="s">
        <v>2430</v>
      </c>
      <c r="J72" s="20">
        <v>9</v>
      </c>
      <c r="K72" s="34">
        <f>ROUNDUP(IF((J70/J71)&lt;10,0.143*J71,IF((J70/J71)&lt;100,0.254*J71,IF((J70/J71)&lt;1000,0.532*J71,0.831*J71))),0)</f>
        <v>175</v>
      </c>
      <c r="L72" s="661" t="s">
        <v>2119</v>
      </c>
      <c r="N72" s="647"/>
      <c r="P72" s="633"/>
      <c r="Q72" s="633"/>
      <c r="R72" s="633"/>
    </row>
    <row r="73" spans="1:18" s="7" customFormat="1" ht="15" customHeight="1">
      <c r="B73" s="661" t="s">
        <v>2432</v>
      </c>
      <c r="J73" s="35">
        <v>9.625</v>
      </c>
      <c r="K73" s="49">
        <f>(1.05+4.5)/2</f>
        <v>2.7749999999999999</v>
      </c>
      <c r="L73" s="661" t="s">
        <v>241</v>
      </c>
      <c r="N73" s="633"/>
      <c r="P73" s="633"/>
      <c r="Q73" s="633"/>
      <c r="R73" s="633"/>
    </row>
    <row r="74" spans="1:18" s="7" customFormat="1" ht="15" customHeight="1">
      <c r="B74" s="661" t="s">
        <v>2433</v>
      </c>
      <c r="E74" s="661"/>
      <c r="G74" s="661"/>
      <c r="H74" s="661"/>
      <c r="I74" s="705"/>
      <c r="J74" s="35">
        <v>150</v>
      </c>
      <c r="K74" s="49">
        <v>3</v>
      </c>
      <c r="L74" s="661" t="s">
        <v>2299</v>
      </c>
    </row>
    <row r="75" spans="1:18" s="7" customFormat="1" ht="15" customHeight="1">
      <c r="B75" s="661" t="s">
        <v>2434</v>
      </c>
      <c r="J75" s="60">
        <v>1470</v>
      </c>
      <c r="K75" s="781">
        <f>0.5*(J69*0.43)</f>
        <v>1741.5</v>
      </c>
      <c r="L75" s="7" t="s">
        <v>219</v>
      </c>
      <c r="N75" s="25" t="str">
        <f>IF(AND((('Production &amp; Extraction'!M63+'Production &amp; Extraction'!M225)-('Production &amp; Extraction'!M59-(1+'Production &amp; Extraction'!M52)*('Production &amp; Extraction'!M35/'Production &amp; Extraction'!M64)/'Production &amp; Extraction'!M66))&gt;0,J57=0),"Warning ! Downhole pump off : Insufficient pressure for natural flow.",(IF(J57,"Downhole pump on","Downhole pump off")))</f>
        <v>Warning ! Downhole pump off : Insufficient pressure for natural flow.</v>
      </c>
      <c r="P75" s="633"/>
      <c r="Q75" s="633"/>
      <c r="R75" s="633"/>
    </row>
    <row r="76" spans="1:18" s="7" customFormat="1" ht="15" customHeight="1">
      <c r="N76" s="633"/>
      <c r="P76" s="633"/>
      <c r="Q76" s="633"/>
      <c r="R76" s="633"/>
    </row>
    <row r="77" spans="1:18" s="7" customFormat="1" ht="15" customHeight="1">
      <c r="A77" s="19" t="s">
        <v>1965</v>
      </c>
      <c r="N77" s="633"/>
      <c r="P77" s="633"/>
      <c r="Q77" s="633"/>
      <c r="R77" s="633"/>
    </row>
    <row r="78" spans="1:18" s="7" customFormat="1" ht="15" customHeight="1">
      <c r="B78" s="19" t="s">
        <v>1966</v>
      </c>
      <c r="J78" s="20">
        <v>22</v>
      </c>
      <c r="K78" s="21">
        <v>30</v>
      </c>
      <c r="L78" s="7" t="s">
        <v>350</v>
      </c>
      <c r="N78" s="633"/>
      <c r="P78" s="633"/>
      <c r="Q78" s="633"/>
      <c r="R78" s="633"/>
    </row>
    <row r="79" spans="1:18" s="7" customFormat="1" ht="15" customHeight="1">
      <c r="B79" s="36" t="s">
        <v>1967</v>
      </c>
      <c r="J79" s="37"/>
      <c r="K79" s="38"/>
      <c r="N79" s="633"/>
      <c r="P79" s="633"/>
      <c r="Q79" s="633"/>
      <c r="R79" s="633"/>
    </row>
    <row r="80" spans="1:18" s="7" customFormat="1" ht="15" customHeight="1">
      <c r="I80" s="7" t="s">
        <v>216</v>
      </c>
      <c r="J80" s="122">
        <v>2.370869299565538</v>
      </c>
      <c r="K80" s="39">
        <v>2</v>
      </c>
      <c r="L80" s="7" t="s">
        <v>210</v>
      </c>
      <c r="N80" s="25" t="s">
        <v>874</v>
      </c>
      <c r="P80" s="633"/>
      <c r="Q80" s="633"/>
      <c r="R80" s="633"/>
    </row>
    <row r="81" spans="1:19" s="7" customFormat="1" ht="15" customHeight="1">
      <c r="B81" s="40"/>
      <c r="I81" s="7" t="s">
        <v>215</v>
      </c>
      <c r="J81" s="122">
        <v>0.70588235294117652</v>
      </c>
      <c r="K81" s="39">
        <v>6</v>
      </c>
      <c r="L81" s="7" t="s">
        <v>210</v>
      </c>
      <c r="N81" s="633"/>
      <c r="P81" s="633"/>
      <c r="Q81" s="633"/>
      <c r="R81" s="633"/>
    </row>
    <row r="82" spans="1:19" s="7" customFormat="1" ht="15" customHeight="1">
      <c r="B82" s="41"/>
      <c r="I82" s="7" t="s">
        <v>921</v>
      </c>
      <c r="J82" s="122">
        <v>95.936476909622343</v>
      </c>
      <c r="K82" s="39">
        <v>84</v>
      </c>
      <c r="L82" s="7" t="s">
        <v>210</v>
      </c>
      <c r="N82" s="633"/>
      <c r="P82" s="633"/>
      <c r="Q82" s="633"/>
      <c r="R82" s="633"/>
    </row>
    <row r="83" spans="1:19" s="7" customFormat="1" ht="15" customHeight="1">
      <c r="B83" s="41"/>
      <c r="I83" s="7" t="s">
        <v>922</v>
      </c>
      <c r="J83" s="122">
        <v>0.51618320257682326</v>
      </c>
      <c r="K83" s="39">
        <v>4</v>
      </c>
      <c r="L83" s="7" t="s">
        <v>210</v>
      </c>
      <c r="N83" s="633"/>
      <c r="P83" s="633"/>
      <c r="Q83" s="633"/>
      <c r="R83" s="633"/>
    </row>
    <row r="84" spans="1:19" s="7" customFormat="1" ht="15" customHeight="1">
      <c r="B84" s="41"/>
      <c r="I84" s="7" t="s">
        <v>923</v>
      </c>
      <c r="J84" s="122">
        <v>0.23529411764705882</v>
      </c>
      <c r="K84" s="39">
        <v>2</v>
      </c>
      <c r="L84" s="7" t="s">
        <v>210</v>
      </c>
      <c r="N84" s="633"/>
      <c r="P84" s="633"/>
      <c r="Q84" s="633"/>
      <c r="R84" s="633"/>
    </row>
    <row r="85" spans="1:19" s="7" customFormat="1" ht="15" customHeight="1">
      <c r="I85" s="42" t="s">
        <v>1790</v>
      </c>
      <c r="J85" s="122">
        <v>0.11764705882352941</v>
      </c>
      <c r="K85" s="39">
        <v>1</v>
      </c>
      <c r="L85" s="7" t="s">
        <v>210</v>
      </c>
      <c r="N85" s="633"/>
      <c r="P85" s="633"/>
      <c r="Q85" s="633"/>
      <c r="R85" s="633"/>
    </row>
    <row r="86" spans="1:19" s="7" customFormat="1" ht="15" customHeight="1">
      <c r="I86" s="7" t="s">
        <v>214</v>
      </c>
      <c r="J86" s="122">
        <v>0.11764705882352941</v>
      </c>
      <c r="K86" s="39">
        <v>1</v>
      </c>
      <c r="L86" s="7" t="s">
        <v>210</v>
      </c>
      <c r="N86" s="633"/>
      <c r="P86" s="633"/>
      <c r="Q86" s="633"/>
      <c r="R86" s="633"/>
    </row>
    <row r="87" spans="1:19" s="7" customFormat="1" ht="15" customHeight="1">
      <c r="I87" s="633" t="s">
        <v>3792</v>
      </c>
      <c r="J87" s="853"/>
      <c r="K87" s="44"/>
      <c r="N87" s="633"/>
      <c r="P87" s="633"/>
      <c r="Q87" s="633"/>
      <c r="R87" s="633"/>
    </row>
    <row r="88" spans="1:19" s="7" customFormat="1" ht="15" customHeight="1">
      <c r="A88" s="19" t="s">
        <v>1968</v>
      </c>
      <c r="J88" s="45"/>
      <c r="K88" s="46"/>
      <c r="N88" s="633"/>
      <c r="P88" s="633"/>
      <c r="Q88" s="633"/>
      <c r="R88" s="633"/>
      <c r="S88" s="661"/>
    </row>
    <row r="89" spans="1:19" s="7" customFormat="1" ht="15" customHeight="1">
      <c r="A89" s="686" t="s">
        <v>920</v>
      </c>
      <c r="J89" s="45"/>
      <c r="K89" s="46"/>
      <c r="N89" s="633"/>
      <c r="P89" s="633"/>
      <c r="Q89" s="633"/>
      <c r="R89" s="633"/>
    </row>
    <row r="90" spans="1:19" s="7" customFormat="1" ht="15" customHeight="1">
      <c r="B90" s="19" t="s">
        <v>1969</v>
      </c>
      <c r="J90" s="20">
        <v>2125</v>
      </c>
      <c r="K90" s="48">
        <f>IF(J78&lt;20,227,IF(AND(J78&gt;=20,J78&lt;=30),908,1297))</f>
        <v>908</v>
      </c>
      <c r="L90" s="7" t="s">
        <v>876</v>
      </c>
      <c r="N90" s="25" t="s">
        <v>2460</v>
      </c>
      <c r="P90" s="633"/>
      <c r="Q90" s="633"/>
      <c r="R90" s="633"/>
    </row>
    <row r="91" spans="1:19" s="7" customFormat="1" ht="15" customHeight="1">
      <c r="B91" s="19" t="s">
        <v>1970</v>
      </c>
      <c r="J91" s="35">
        <v>0.25</v>
      </c>
      <c r="K91" s="49">
        <f>1.706*EXP(0.036*J68)-1.706</f>
        <v>4.3083690574453417</v>
      </c>
      <c r="L91" s="7" t="s">
        <v>875</v>
      </c>
      <c r="N91" s="633"/>
      <c r="P91" s="633"/>
      <c r="Q91" s="633"/>
      <c r="R91" s="633"/>
    </row>
    <row r="92" spans="1:19" s="7" customFormat="1" ht="15" customHeight="1">
      <c r="B92" s="36" t="s">
        <v>1971</v>
      </c>
      <c r="I92" s="23" t="str">
        <f>IF(AND(J92="NA",J60=1),"ERROR","OK")</f>
        <v>OK</v>
      </c>
      <c r="J92" s="35">
        <v>1.25</v>
      </c>
      <c r="K92" s="39">
        <f>J91+1</f>
        <v>1.25</v>
      </c>
      <c r="L92" s="7" t="s">
        <v>875</v>
      </c>
      <c r="N92" s="633"/>
      <c r="P92" s="633"/>
      <c r="Q92" s="633"/>
      <c r="R92" s="633"/>
    </row>
    <row r="93" spans="1:19" s="7" customFormat="1" ht="15" customHeight="1">
      <c r="B93" s="36" t="s">
        <v>2121</v>
      </c>
      <c r="I93" s="23" t="str">
        <f>IF(AND(J93="NA",J61=1),"ERROR","OK")</f>
        <v>OK</v>
      </c>
      <c r="J93" s="60">
        <v>1500</v>
      </c>
      <c r="K93" s="50">
        <v>1500</v>
      </c>
      <c r="L93" s="33" t="s">
        <v>2122</v>
      </c>
      <c r="N93" s="25" t="s">
        <v>1331</v>
      </c>
      <c r="P93" s="633"/>
      <c r="Q93" s="633"/>
      <c r="R93" s="633"/>
    </row>
    <row r="94" spans="1:19" s="7" customFormat="1" ht="15" customHeight="1">
      <c r="B94" s="36" t="s">
        <v>2271</v>
      </c>
      <c r="I94" s="23" t="str">
        <f>IF(AND(J94="NA",J62=1),"ERROR","OK")</f>
        <v>OK</v>
      </c>
      <c r="J94" s="60">
        <v>1000</v>
      </c>
      <c r="K94" s="21">
        <f>IF('Production &amp; Extraction'!M186=1,1.5*J90,1200)</f>
        <v>1200</v>
      </c>
      <c r="L94" s="7" t="s">
        <v>876</v>
      </c>
      <c r="N94" s="633"/>
      <c r="P94" s="633"/>
      <c r="Q94" s="633"/>
      <c r="R94" s="633"/>
    </row>
    <row r="95" spans="1:19" s="7" customFormat="1" ht="15" customHeight="1">
      <c r="B95" s="36" t="s">
        <v>1972</v>
      </c>
      <c r="I95" s="23" t="str">
        <f>IF(AND(J95="NA",J63=1),"ERROR","OK")</f>
        <v>OK</v>
      </c>
      <c r="J95" s="35">
        <v>3</v>
      </c>
      <c r="K95" s="39">
        <v>3</v>
      </c>
      <c r="L95" s="7" t="s">
        <v>871</v>
      </c>
      <c r="N95" s="633"/>
      <c r="P95" s="633"/>
      <c r="Q95" s="633"/>
      <c r="R95" s="633"/>
    </row>
    <row r="96" spans="1:19" s="7" customFormat="1" ht="15" customHeight="1">
      <c r="B96" s="36" t="s">
        <v>2120</v>
      </c>
      <c r="I96" s="23"/>
      <c r="J96" s="122">
        <v>0</v>
      </c>
      <c r="K96" s="326">
        <v>0</v>
      </c>
      <c r="L96" s="33" t="s">
        <v>2119</v>
      </c>
      <c r="N96" s="633"/>
      <c r="P96" s="633"/>
      <c r="Q96" s="633"/>
      <c r="R96" s="633"/>
    </row>
    <row r="97" spans="1:18" s="7" customFormat="1" ht="15" customHeight="1">
      <c r="B97" s="36" t="s">
        <v>2257</v>
      </c>
      <c r="I97" s="7" t="str">
        <f>'Gas Balance'!AR26</f>
        <v>WARNING</v>
      </c>
      <c r="J97" s="122">
        <v>1</v>
      </c>
      <c r="K97" s="326">
        <v>0</v>
      </c>
      <c r="L97" s="33" t="s">
        <v>2119</v>
      </c>
      <c r="M97" s="647"/>
      <c r="N97" s="25" t="s">
        <v>2382</v>
      </c>
      <c r="P97" s="633"/>
      <c r="Q97" s="633"/>
      <c r="R97" s="633"/>
    </row>
    <row r="98" spans="1:18" s="7" customFormat="1" ht="15" customHeight="1">
      <c r="B98" s="661" t="s">
        <v>2425</v>
      </c>
      <c r="J98" s="122">
        <v>1</v>
      </c>
      <c r="K98" s="326">
        <v>1</v>
      </c>
      <c r="L98" s="33" t="s">
        <v>2119</v>
      </c>
      <c r="M98" s="33"/>
      <c r="N98" s="25" t="s">
        <v>2383</v>
      </c>
      <c r="P98" s="633"/>
      <c r="Q98" s="633"/>
      <c r="R98" s="633"/>
    </row>
    <row r="99" spans="1:18" s="7" customFormat="1" ht="15" customHeight="1">
      <c r="B99" s="661" t="s">
        <v>2385</v>
      </c>
      <c r="J99" s="122">
        <v>0</v>
      </c>
      <c r="K99" s="326">
        <v>0</v>
      </c>
      <c r="L99" s="661" t="s">
        <v>2119</v>
      </c>
      <c r="M99" s="33"/>
      <c r="N99" s="647"/>
      <c r="P99" s="633"/>
      <c r="Q99" s="633"/>
      <c r="R99" s="633"/>
    </row>
    <row r="100" spans="1:18" s="7" customFormat="1" ht="15" customHeight="1">
      <c r="B100" s="33"/>
      <c r="N100" s="633"/>
      <c r="P100" s="633"/>
      <c r="Q100" s="633"/>
      <c r="R100" s="633"/>
    </row>
    <row r="101" spans="1:18" s="7" customFormat="1" ht="15" customHeight="1">
      <c r="A101" s="19" t="s">
        <v>1973</v>
      </c>
      <c r="N101" s="633"/>
      <c r="P101" s="633"/>
      <c r="Q101" s="633"/>
      <c r="R101" s="633"/>
    </row>
    <row r="102" spans="1:18" s="7" customFormat="1" ht="15" customHeight="1">
      <c r="B102" s="661" t="s">
        <v>2259</v>
      </c>
      <c r="J102" s="20">
        <v>0</v>
      </c>
      <c r="K102" s="34">
        <f>IF(J78&lt;18,1,0)</f>
        <v>0</v>
      </c>
      <c r="L102" s="7" t="s">
        <v>237</v>
      </c>
      <c r="N102" s="633"/>
      <c r="P102" s="633"/>
      <c r="Q102" s="633"/>
      <c r="R102" s="633"/>
    </row>
    <row r="103" spans="1:18" s="7" customFormat="1" ht="15" customHeight="1">
      <c r="B103" s="661" t="s">
        <v>2260</v>
      </c>
      <c r="J103" s="20">
        <v>1</v>
      </c>
      <c r="K103" s="48">
        <f>IF(J90&lt;=500,0,1)</f>
        <v>1</v>
      </c>
      <c r="L103" s="7" t="s">
        <v>237</v>
      </c>
      <c r="N103" s="633"/>
      <c r="P103" s="633"/>
      <c r="Q103" s="633"/>
      <c r="R103" s="633"/>
    </row>
    <row r="104" spans="1:18" s="7" customFormat="1" ht="15" customHeight="1">
      <c r="B104" s="661" t="s">
        <v>2695</v>
      </c>
      <c r="J104" s="20">
        <v>1</v>
      </c>
      <c r="K104" s="48">
        <v>1</v>
      </c>
      <c r="L104" s="7" t="s">
        <v>237</v>
      </c>
      <c r="N104" s="647"/>
      <c r="P104" s="633"/>
      <c r="Q104" s="633"/>
      <c r="R104" s="633"/>
    </row>
    <row r="105" spans="1:18" s="7" customFormat="1" ht="15" customHeight="1">
      <c r="B105" s="661" t="s">
        <v>2696</v>
      </c>
      <c r="J105" s="20">
        <v>1</v>
      </c>
      <c r="K105" s="48">
        <v>1</v>
      </c>
      <c r="L105" s="7" t="s">
        <v>237</v>
      </c>
      <c r="N105" s="633"/>
      <c r="P105" s="633"/>
      <c r="Q105" s="633"/>
      <c r="R105" s="633"/>
    </row>
    <row r="106" spans="1:18" s="7" customFormat="1" ht="15" customHeight="1">
      <c r="B106" s="661" t="s">
        <v>2697</v>
      </c>
      <c r="J106" s="20">
        <v>1</v>
      </c>
      <c r="K106" s="48">
        <v>1</v>
      </c>
      <c r="L106" s="7" t="s">
        <v>237</v>
      </c>
      <c r="N106" s="633"/>
      <c r="P106" s="633"/>
      <c r="Q106" s="633"/>
      <c r="R106" s="633"/>
    </row>
    <row r="107" spans="1:18" s="7" customFormat="1" ht="15" customHeight="1">
      <c r="B107" s="36" t="s">
        <v>2780</v>
      </c>
      <c r="J107" s="60">
        <v>29.603587365479498</v>
      </c>
      <c r="K107" s="837">
        <f>1000000*(Flaring!N15/'Production &amp; Extraction'!M35)</f>
        <v>77.876293090598679</v>
      </c>
      <c r="L107" s="51" t="s">
        <v>1074</v>
      </c>
      <c r="N107" s="25" t="s">
        <v>879</v>
      </c>
      <c r="P107" s="633"/>
      <c r="Q107" s="633"/>
      <c r="R107" s="633"/>
    </row>
    <row r="108" spans="1:18" s="7" customFormat="1" ht="15" customHeight="1">
      <c r="B108" s="36" t="s">
        <v>2781</v>
      </c>
      <c r="J108" s="35">
        <v>0</v>
      </c>
      <c r="K108" s="39">
        <v>0</v>
      </c>
      <c r="L108" s="51" t="s">
        <v>1074</v>
      </c>
      <c r="N108" s="25" t="s">
        <v>2290</v>
      </c>
      <c r="P108" s="633"/>
      <c r="Q108" s="633"/>
      <c r="R108" s="633"/>
    </row>
    <row r="109" spans="1:18" s="7" customFormat="1" ht="15" customHeight="1">
      <c r="B109" s="36" t="s">
        <v>3245</v>
      </c>
      <c r="I109" s="23" t="str">
        <f>IF(J109&lt;K109,"ERROR","OK")</f>
        <v>OK</v>
      </c>
      <c r="J109" s="566">
        <v>0</v>
      </c>
      <c r="K109" s="567">
        <f>ROUND('Surface Processing'!M122*('Gas Balance'!AC36/'Fuel Specs'!M14)/(J70+'Surface Processing'!M122*('Gas Balance'!AC36/'Fuel Specs'!M14)),3)</f>
        <v>0</v>
      </c>
      <c r="L109" s="661" t="s">
        <v>2119</v>
      </c>
      <c r="M109" s="661"/>
      <c r="N109" s="25" t="s">
        <v>2559</v>
      </c>
      <c r="P109" s="633"/>
      <c r="Q109" s="633"/>
      <c r="R109" s="633"/>
    </row>
    <row r="110" spans="1:18" s="7" customFormat="1" ht="15" customHeight="1">
      <c r="B110" s="36"/>
      <c r="J110" s="52"/>
      <c r="K110" s="53"/>
      <c r="L110" s="661"/>
      <c r="N110" s="633"/>
      <c r="P110" s="633"/>
      <c r="Q110" s="633"/>
      <c r="R110" s="633"/>
    </row>
    <row r="111" spans="1:18" s="7" customFormat="1" ht="15" customHeight="1">
      <c r="A111" s="661" t="s">
        <v>2376</v>
      </c>
      <c r="B111" s="36"/>
      <c r="J111" s="54"/>
      <c r="K111" s="55"/>
      <c r="L111" s="51"/>
      <c r="M111" s="661"/>
      <c r="N111" s="633"/>
      <c r="P111" s="633"/>
      <c r="Q111" s="633"/>
      <c r="R111" s="633"/>
    </row>
    <row r="112" spans="1:18" s="7" customFormat="1" ht="15" customHeight="1">
      <c r="B112" s="56" t="s">
        <v>2256</v>
      </c>
      <c r="J112" s="57"/>
      <c r="K112" s="58"/>
      <c r="L112" s="51"/>
      <c r="N112" s="735"/>
      <c r="P112" s="633"/>
      <c r="Q112" s="633"/>
      <c r="R112" s="633"/>
    </row>
    <row r="113" spans="1:18" s="7" customFormat="1" ht="15" customHeight="1">
      <c r="B113" s="56"/>
      <c r="C113" s="666" t="s">
        <v>2397</v>
      </c>
      <c r="D113" s="59"/>
      <c r="J113" s="60">
        <v>1</v>
      </c>
      <c r="K113" s="50">
        <v>0</v>
      </c>
      <c r="L113" s="33" t="s">
        <v>237</v>
      </c>
      <c r="M113" s="733"/>
      <c r="N113" s="633"/>
      <c r="O113" s="661"/>
      <c r="P113" s="633"/>
      <c r="Q113" s="633"/>
      <c r="R113" s="633"/>
    </row>
    <row r="114" spans="1:18" s="7" customFormat="1" ht="15" customHeight="1">
      <c r="B114" s="56"/>
      <c r="C114" s="666" t="s">
        <v>2398</v>
      </c>
      <c r="D114" s="59"/>
      <c r="J114" s="60">
        <v>0</v>
      </c>
      <c r="K114" s="50">
        <v>1</v>
      </c>
      <c r="L114" s="33" t="s">
        <v>237</v>
      </c>
      <c r="M114" s="734"/>
      <c r="N114" s="633"/>
      <c r="O114" s="661"/>
      <c r="P114" s="633"/>
      <c r="Q114" s="633"/>
      <c r="R114" s="633"/>
    </row>
    <row r="115" spans="1:18" s="7" customFormat="1" ht="15" customHeight="1">
      <c r="B115" s="56"/>
      <c r="C115" s="666" t="s">
        <v>2399</v>
      </c>
      <c r="D115" s="56"/>
      <c r="J115" s="60">
        <v>0</v>
      </c>
      <c r="K115" s="50">
        <v>0</v>
      </c>
      <c r="L115" s="33" t="s">
        <v>237</v>
      </c>
      <c r="M115" s="703"/>
      <c r="N115" s="633"/>
      <c r="O115" s="661"/>
      <c r="P115" s="633"/>
      <c r="Q115" s="633"/>
      <c r="R115" s="633"/>
    </row>
    <row r="116" spans="1:18" s="7" customFormat="1" ht="15" customHeight="1">
      <c r="B116" s="666" t="s">
        <v>2400</v>
      </c>
      <c r="C116" s="59"/>
      <c r="D116" s="59"/>
      <c r="E116" s="59"/>
      <c r="J116" s="61"/>
      <c r="K116" s="62"/>
      <c r="L116" s="51"/>
      <c r="N116" s="633"/>
      <c r="O116" s="661"/>
      <c r="P116" s="633"/>
      <c r="Q116" s="633"/>
      <c r="R116" s="633"/>
    </row>
    <row r="117" spans="1:18" s="7" customFormat="1" ht="15" customHeight="1">
      <c r="B117" s="59"/>
      <c r="C117" s="666" t="s">
        <v>2401</v>
      </c>
      <c r="D117" s="59"/>
      <c r="E117" s="59"/>
      <c r="J117" s="60">
        <v>1</v>
      </c>
      <c r="K117" s="50">
        <v>0</v>
      </c>
      <c r="L117" s="33" t="s">
        <v>237</v>
      </c>
      <c r="N117" s="633"/>
      <c r="O117" s="661"/>
      <c r="P117" s="633"/>
      <c r="Q117" s="633"/>
      <c r="R117" s="633"/>
    </row>
    <row r="118" spans="1:18" s="7" customFormat="1" ht="15" customHeight="1">
      <c r="B118" s="59"/>
      <c r="C118" s="666" t="s">
        <v>2402</v>
      </c>
      <c r="D118" s="56"/>
      <c r="E118" s="59"/>
      <c r="J118" s="60">
        <v>0</v>
      </c>
      <c r="K118" s="50">
        <v>1</v>
      </c>
      <c r="L118" s="33" t="s">
        <v>237</v>
      </c>
      <c r="N118" s="633"/>
      <c r="P118" s="633"/>
      <c r="Q118" s="633"/>
      <c r="R118" s="633"/>
    </row>
    <row r="119" spans="1:18" s="7" customFormat="1" ht="15" customHeight="1">
      <c r="B119" s="59"/>
      <c r="C119" s="666" t="s">
        <v>2403</v>
      </c>
      <c r="D119" s="59"/>
      <c r="E119" s="59"/>
      <c r="J119" s="60">
        <v>0</v>
      </c>
      <c r="K119" s="50">
        <v>0</v>
      </c>
      <c r="L119" s="33" t="s">
        <v>237</v>
      </c>
      <c r="N119" s="633"/>
      <c r="O119" s="661"/>
      <c r="P119" s="633"/>
      <c r="Q119" s="633"/>
      <c r="R119" s="633"/>
    </row>
    <row r="120" spans="1:18" s="7" customFormat="1" ht="15" customHeight="1">
      <c r="A120" s="46"/>
      <c r="B120" s="63"/>
      <c r="C120" s="64"/>
      <c r="D120" s="64"/>
      <c r="E120" s="46"/>
      <c r="F120" s="46"/>
      <c r="G120" s="46"/>
      <c r="H120" s="46"/>
      <c r="I120" s="46"/>
      <c r="J120" s="52"/>
      <c r="K120" s="53"/>
      <c r="L120" s="51"/>
      <c r="N120" s="633"/>
      <c r="P120" s="633"/>
      <c r="Q120" s="633"/>
      <c r="R120" s="633"/>
    </row>
    <row r="121" spans="1:18" s="7" customFormat="1" ht="15" customHeight="1">
      <c r="A121" s="661" t="s">
        <v>2589</v>
      </c>
      <c r="B121" s="36"/>
      <c r="C121" s="33"/>
      <c r="J121" s="60">
        <v>0</v>
      </c>
      <c r="K121" s="50">
        <v>0</v>
      </c>
      <c r="L121" s="661" t="s">
        <v>237</v>
      </c>
      <c r="N121" s="633"/>
      <c r="P121" s="633"/>
      <c r="Q121" s="633"/>
      <c r="R121" s="633"/>
    </row>
    <row r="122" spans="1:18" s="7" customFormat="1" ht="15" customHeight="1">
      <c r="A122" s="46"/>
      <c r="B122" s="63"/>
      <c r="C122" s="64"/>
      <c r="D122" s="64"/>
      <c r="E122" s="46"/>
      <c r="F122" s="46"/>
      <c r="G122" s="46"/>
      <c r="H122" s="46"/>
      <c r="I122" s="46"/>
      <c r="J122" s="54"/>
      <c r="K122" s="55"/>
      <c r="L122" s="51"/>
      <c r="N122" s="633"/>
      <c r="P122" s="633"/>
      <c r="Q122" s="633"/>
      <c r="R122" s="633"/>
    </row>
    <row r="123" spans="1:18" s="7" customFormat="1" ht="15" customHeight="1">
      <c r="A123" s="684" t="s">
        <v>2590</v>
      </c>
      <c r="B123" s="63"/>
      <c r="C123" s="46"/>
      <c r="D123" s="46"/>
      <c r="E123" s="46"/>
      <c r="F123" s="46"/>
      <c r="G123" s="46"/>
      <c r="H123" s="46"/>
      <c r="I123" s="46"/>
      <c r="J123" s="54"/>
      <c r="K123" s="55"/>
      <c r="L123" s="51"/>
      <c r="N123" s="633"/>
      <c r="P123" s="633"/>
      <c r="Q123" s="633"/>
      <c r="R123" s="633"/>
    </row>
    <row r="124" spans="1:18" s="7" customFormat="1" ht="15" customHeight="1">
      <c r="A124" s="46"/>
      <c r="B124" s="65" t="s">
        <v>2591</v>
      </c>
      <c r="C124" s="46"/>
      <c r="D124" s="46"/>
      <c r="E124" s="46"/>
      <c r="F124" s="46"/>
      <c r="G124" s="46"/>
      <c r="H124" s="46"/>
      <c r="I124" s="46"/>
      <c r="J124" s="54"/>
      <c r="K124" s="55"/>
      <c r="L124" s="51"/>
      <c r="N124" s="25" t="s">
        <v>2388</v>
      </c>
      <c r="P124" s="633"/>
      <c r="Q124" s="633"/>
      <c r="R124" s="633"/>
    </row>
    <row r="125" spans="1:18" s="7" customFormat="1" ht="15" customHeight="1">
      <c r="B125" s="36"/>
      <c r="C125" s="661" t="s">
        <v>2592</v>
      </c>
      <c r="J125" s="60">
        <v>1</v>
      </c>
      <c r="K125" s="50">
        <v>1</v>
      </c>
      <c r="L125" s="661" t="s">
        <v>2119</v>
      </c>
      <c r="N125" s="633"/>
      <c r="P125" s="633"/>
      <c r="Q125" s="633"/>
      <c r="R125" s="633"/>
    </row>
    <row r="126" spans="1:18" s="7" customFormat="1" ht="15" customHeight="1">
      <c r="B126" s="36"/>
      <c r="C126" s="661" t="s">
        <v>2593</v>
      </c>
      <c r="J126" s="60">
        <v>0</v>
      </c>
      <c r="K126" s="50">
        <v>0</v>
      </c>
      <c r="L126" s="661" t="s">
        <v>2119</v>
      </c>
      <c r="N126" s="633"/>
      <c r="P126" s="633"/>
      <c r="Q126" s="633"/>
      <c r="R126" s="633"/>
    </row>
    <row r="127" spans="1:18" s="7" customFormat="1" ht="15" customHeight="1">
      <c r="B127" s="36"/>
      <c r="C127" s="661" t="s">
        <v>2594</v>
      </c>
      <c r="J127" s="60">
        <v>0</v>
      </c>
      <c r="K127" s="50">
        <v>1</v>
      </c>
      <c r="L127" s="661" t="s">
        <v>2119</v>
      </c>
      <c r="N127" s="633"/>
      <c r="P127" s="633"/>
      <c r="Q127" s="633"/>
      <c r="R127" s="633"/>
    </row>
    <row r="128" spans="1:18" s="7" customFormat="1" ht="15" customHeight="1">
      <c r="B128" s="36"/>
      <c r="C128" s="661" t="s">
        <v>2595</v>
      </c>
      <c r="J128" s="60">
        <v>0</v>
      </c>
      <c r="K128" s="50">
        <v>0</v>
      </c>
      <c r="L128" s="661" t="s">
        <v>2119</v>
      </c>
      <c r="N128" s="633"/>
      <c r="P128" s="67"/>
      <c r="Q128" s="633"/>
      <c r="R128" s="633"/>
    </row>
    <row r="129" spans="1:18" s="7" customFormat="1" ht="15" customHeight="1">
      <c r="B129" s="36" t="s">
        <v>2596</v>
      </c>
      <c r="C129" s="33"/>
      <c r="J129" s="61"/>
      <c r="K129" s="62"/>
      <c r="L129" s="51"/>
      <c r="N129" s="633"/>
      <c r="P129" s="633"/>
      <c r="Q129" s="633"/>
      <c r="R129" s="633"/>
    </row>
    <row r="130" spans="1:18" s="7" customFormat="1" ht="15" customHeight="1">
      <c r="B130" s="36"/>
      <c r="C130" s="661" t="s">
        <v>2597</v>
      </c>
      <c r="J130" s="60">
        <v>765</v>
      </c>
      <c r="K130" s="50">
        <v>5082</v>
      </c>
      <c r="L130" s="33" t="s">
        <v>2261</v>
      </c>
      <c r="N130" s="633"/>
      <c r="P130" s="633"/>
      <c r="Q130" s="633"/>
      <c r="R130" s="633"/>
    </row>
    <row r="131" spans="1:18" s="7" customFormat="1" ht="15" customHeight="1">
      <c r="B131" s="36"/>
      <c r="C131" s="661" t="s">
        <v>2598</v>
      </c>
      <c r="J131" s="60">
        <v>500</v>
      </c>
      <c r="K131" s="50">
        <v>500</v>
      </c>
      <c r="L131" s="33" t="s">
        <v>2261</v>
      </c>
      <c r="N131" s="633"/>
      <c r="P131" s="633"/>
      <c r="Q131" s="633"/>
      <c r="R131" s="633"/>
    </row>
    <row r="132" spans="1:18" s="7" customFormat="1" ht="15" customHeight="1">
      <c r="B132" s="36"/>
      <c r="C132" s="661" t="s">
        <v>2599</v>
      </c>
      <c r="J132" s="60">
        <v>750</v>
      </c>
      <c r="K132" s="50">
        <v>750</v>
      </c>
      <c r="L132" s="33" t="s">
        <v>2261</v>
      </c>
      <c r="N132" s="633"/>
      <c r="P132" s="633"/>
      <c r="Q132" s="633"/>
      <c r="R132" s="633"/>
    </row>
    <row r="133" spans="1:18" s="7" customFormat="1" ht="15" customHeight="1">
      <c r="B133" s="36"/>
      <c r="C133" s="661" t="s">
        <v>2600</v>
      </c>
      <c r="J133" s="60">
        <v>800</v>
      </c>
      <c r="K133" s="50">
        <v>800</v>
      </c>
      <c r="L133" s="33" t="s">
        <v>2261</v>
      </c>
      <c r="N133" s="633"/>
      <c r="P133" s="633"/>
      <c r="Q133" s="633"/>
      <c r="R133" s="633"/>
    </row>
    <row r="134" spans="1:18" s="7" customFormat="1" ht="15" customHeight="1">
      <c r="B134" s="36" t="s">
        <v>2698</v>
      </c>
      <c r="C134" s="661"/>
      <c r="J134" s="60">
        <v>250000</v>
      </c>
      <c r="K134" s="50">
        <v>250000</v>
      </c>
      <c r="L134" s="661" t="s">
        <v>2699</v>
      </c>
      <c r="N134" s="633"/>
      <c r="P134" s="633"/>
      <c r="Q134" s="633"/>
      <c r="R134" s="633"/>
    </row>
    <row r="135" spans="1:18" s="7" customFormat="1" ht="15" customHeight="1">
      <c r="B135" s="36"/>
      <c r="C135" s="33"/>
      <c r="L135" s="33"/>
      <c r="N135" s="633"/>
      <c r="P135" s="633"/>
      <c r="Q135" s="633"/>
      <c r="R135" s="633"/>
    </row>
    <row r="136" spans="1:18" s="7" customFormat="1" ht="15" customHeight="1">
      <c r="A136" s="661" t="s">
        <v>2584</v>
      </c>
      <c r="B136" s="36"/>
      <c r="J136" s="35">
        <v>0.5</v>
      </c>
      <c r="K136" s="39">
        <v>0.5</v>
      </c>
      <c r="L136" s="33" t="s">
        <v>2266</v>
      </c>
      <c r="N136" s="25" t="s">
        <v>2288</v>
      </c>
      <c r="P136" s="633"/>
      <c r="Q136" s="633"/>
      <c r="R136" s="633"/>
    </row>
    <row r="137" spans="1:18" s="7" customFormat="1" ht="15" customHeight="1">
      <c r="B137" s="36"/>
      <c r="J137" s="54"/>
      <c r="K137" s="55"/>
      <c r="L137" s="51"/>
    </row>
    <row r="138" spans="1:18" s="7" customFormat="1" ht="15" customHeight="1">
      <c r="B138" s="36"/>
      <c r="F138" s="67"/>
      <c r="G138" s="67"/>
      <c r="H138" s="67"/>
      <c r="I138" s="67"/>
      <c r="J138" s="645"/>
      <c r="K138" s="646"/>
      <c r="L138" s="67"/>
      <c r="M138" s="67"/>
      <c r="N138" s="67"/>
    </row>
    <row r="139" spans="1:18" ht="15.75">
      <c r="A139" s="91"/>
      <c r="B139" s="91"/>
      <c r="C139" s="91"/>
      <c r="D139" s="91"/>
      <c r="E139" s="91"/>
      <c r="F139" s="91"/>
      <c r="G139" s="91"/>
      <c r="H139" s="91"/>
      <c r="I139" s="91"/>
      <c r="J139" s="91" t="s">
        <v>1017</v>
      </c>
      <c r="K139" s="91"/>
      <c r="L139" s="91"/>
      <c r="M139" s="93"/>
    </row>
    <row r="140" spans="1:18" ht="15.95" customHeight="1">
      <c r="A140" s="76" t="s">
        <v>2585</v>
      </c>
      <c r="B140" s="91"/>
      <c r="C140" s="91"/>
      <c r="D140" s="91"/>
      <c r="E140" s="91"/>
      <c r="F140" s="92"/>
      <c r="G140" s="91"/>
      <c r="H140" s="91"/>
      <c r="I140" s="91"/>
      <c r="J140" s="696" t="str">
        <f>IF(J57="","",IF(OR(J276="ERROR",J277="ERROR",J278="ERROR",J279="ERROR",J280="ERROR",J281="ERROR",J282="ERROR",J283="ERROR",J284="ERROR",J285="ERROR",J286="ERROR",J287="ERROR",J288="ERROR",J289="ERROR",J290="ERROR",J291="ERROR",J292="ERROR",J293="ERROR",J294="ERROR",J295="ERROR",J296="ERROR",J297="ERROR",J298="ERROR",J299="ERROR",J300="ERROR"),"ERROR","OK"))</f>
        <v>OK</v>
      </c>
      <c r="N140" s="72" t="s">
        <v>2289</v>
      </c>
    </row>
    <row r="141" spans="1:18" s="7" customFormat="1" ht="15" customHeight="1">
      <c r="B141" s="36"/>
      <c r="J141" s="54"/>
      <c r="K141" s="55"/>
      <c r="L141" s="51"/>
    </row>
    <row r="142" spans="1:18" s="7" customFormat="1" ht="15" customHeight="1">
      <c r="B142" s="36"/>
      <c r="J142"/>
      <c r="K142" s="66"/>
      <c r="L142" s="51"/>
    </row>
    <row r="143" spans="1:18" s="9" customFormat="1" ht="18" customHeight="1">
      <c r="A143" s="9" t="s">
        <v>1949</v>
      </c>
    </row>
    <row r="144" spans="1:18" s="7" customFormat="1" ht="15" customHeight="1"/>
    <row r="145" spans="1:21" s="7" customFormat="1" ht="15" customHeight="1"/>
    <row r="146" spans="1:21" s="7" customFormat="1" ht="15" customHeight="1">
      <c r="A146" s="67" t="s">
        <v>829</v>
      </c>
    </row>
    <row r="147" spans="1:21" s="7" customFormat="1" ht="15" customHeight="1">
      <c r="A147" s="67" t="s">
        <v>2027</v>
      </c>
    </row>
    <row r="148" spans="1:21" s="7" customFormat="1" ht="15" customHeight="1">
      <c r="A148" s="67" t="s">
        <v>2028</v>
      </c>
    </row>
    <row r="149" spans="1:21" s="7" customFormat="1" ht="15" customHeight="1">
      <c r="A149" s="24"/>
    </row>
    <row r="150" spans="1:21" s="7" customFormat="1" ht="15" customHeight="1">
      <c r="D150" s="68"/>
      <c r="P150" s="41"/>
      <c r="R150" s="8"/>
      <c r="U150" s="8"/>
    </row>
    <row r="151" spans="1:21" s="9" customFormat="1" ht="18" customHeight="1">
      <c r="A151" s="9" t="s">
        <v>1974</v>
      </c>
    </row>
    <row r="152" spans="1:21" ht="17.100000000000001" customHeight="1"/>
    <row r="153" spans="1:21" ht="17.100000000000001" customHeight="1">
      <c r="A153" s="69" t="s">
        <v>645</v>
      </c>
    </row>
    <row r="154" spans="1:21" ht="17.100000000000001" customHeight="1"/>
    <row r="155" spans="1:21" ht="15" customHeight="1">
      <c r="G155" s="11" t="s">
        <v>164</v>
      </c>
      <c r="H155" s="11" t="s">
        <v>239</v>
      </c>
      <c r="J155" s="11" t="s">
        <v>348</v>
      </c>
    </row>
    <row r="156" spans="1:21" ht="15" customHeight="1">
      <c r="A156" s="30" t="s">
        <v>1975</v>
      </c>
      <c r="C156" s="70"/>
    </row>
    <row r="157" spans="1:21" ht="15" customHeight="1">
      <c r="B157" s="30" t="s">
        <v>1976</v>
      </c>
      <c r="G157" s="242">
        <f>J46*0</f>
        <v>0</v>
      </c>
      <c r="H157" s="71" t="s">
        <v>169</v>
      </c>
      <c r="J157" s="72" t="s">
        <v>2032</v>
      </c>
    </row>
    <row r="158" spans="1:21" ht="15" customHeight="1">
      <c r="B158" s="30" t="s">
        <v>1977</v>
      </c>
      <c r="G158" s="17">
        <f>J46*0</f>
        <v>0</v>
      </c>
      <c r="H158" s="71" t="s">
        <v>173</v>
      </c>
      <c r="J158" s="72" t="s">
        <v>1332</v>
      </c>
    </row>
    <row r="159" spans="1:21" ht="15" customHeight="1">
      <c r="C159" s="30" t="s">
        <v>1978</v>
      </c>
      <c r="F159" s="73"/>
      <c r="G159" s="17">
        <f>J46*0</f>
        <v>0</v>
      </c>
      <c r="H159" s="71" t="s">
        <v>173</v>
      </c>
      <c r="J159" s="72"/>
    </row>
    <row r="160" spans="1:21" ht="15" customHeight="1">
      <c r="C160" s="30" t="s">
        <v>1979</v>
      </c>
      <c r="F160" s="73"/>
      <c r="G160" s="17">
        <f>J46*0</f>
        <v>0</v>
      </c>
      <c r="H160" s="71" t="s">
        <v>173</v>
      </c>
      <c r="J160" s="72"/>
    </row>
    <row r="161" spans="1:16" ht="15" customHeight="1">
      <c r="H161" s="74"/>
      <c r="J161" s="72"/>
    </row>
    <row r="162" spans="1:16" ht="15" customHeight="1">
      <c r="A162" s="30" t="s">
        <v>1980</v>
      </c>
      <c r="J162" s="643"/>
    </row>
    <row r="163" spans="1:16" ht="15" customHeight="1">
      <c r="B163" s="30" t="s">
        <v>1981</v>
      </c>
      <c r="F163" s="73"/>
      <c r="G163" s="242">
        <f>J46*(1+IF(J109=1,0,('Surface Processing'!M122*('Gas Balance'!AC36/'Fuel Specs'!M14)/(J70/(1-J109))))-J109)*(('Energy Consumption'!H20/('Energy Consumption'!H61-'Energy Consumption'!H59))*('Energy Consumption'!E97+'Energy Consumption'!E108)+0)/('Production &amp; Extraction'!M35*'Fuel Specs'!M14-'Energy Consumption'!E96+'Gas Balance'!AC36*'Surface Processing'!M122+IF('Fuel Cycle'!F10=2,ABS('Energy Consumption'!E84),0))</f>
        <v>1.6642574448508551E-3</v>
      </c>
      <c r="H163" s="71" t="s">
        <v>169</v>
      </c>
      <c r="J163" s="72"/>
    </row>
    <row r="164" spans="1:16" ht="15" customHeight="1">
      <c r="B164" s="30" t="s">
        <v>1982</v>
      </c>
      <c r="F164" s="73"/>
      <c r="G164" s="17">
        <f>J46*SUM(G165:G166)</f>
        <v>0.12529944173336144</v>
      </c>
      <c r="H164" s="71" t="s">
        <v>173</v>
      </c>
      <c r="J164" s="72"/>
    </row>
    <row r="165" spans="1:16" ht="15" customHeight="1">
      <c r="C165" s="30" t="s">
        <v>1983</v>
      </c>
      <c r="F165" s="73"/>
      <c r="G165" s="17">
        <f>J46*(1+IF(J109=1,0,('Surface Processing'!M122*('Gas Balance'!AC36/'Fuel Specs'!M14)/(J70/(1-J109))))-J109)*('GHG Emissions'!H12+'GHG Emissions'!I12)/('Input data'!E48*('Production &amp; Extraction'!M35*'Fuel Specs'!M14-'Energy Consumption'!E96+'Gas Balance'!AC36*'Surface Processing'!M122+IF('Fuel Cycle'!F10=2,ABS('Energy Consumption'!E84),0)))</f>
        <v>0.12529944173336144</v>
      </c>
      <c r="H165" s="71" t="s">
        <v>173</v>
      </c>
      <c r="J165" s="72"/>
    </row>
    <row r="166" spans="1:16" ht="15" customHeight="1">
      <c r="C166" s="30" t="s">
        <v>1984</v>
      </c>
      <c r="F166" s="73"/>
      <c r="G166" s="17">
        <f>J46*0</f>
        <v>0</v>
      </c>
      <c r="H166" s="71" t="s">
        <v>173</v>
      </c>
      <c r="J166" s="72"/>
    </row>
    <row r="167" spans="1:16" ht="15" customHeight="1">
      <c r="J167" s="72"/>
    </row>
    <row r="168" spans="1:16" ht="15" customHeight="1">
      <c r="A168" s="30" t="s">
        <v>1985</v>
      </c>
      <c r="B168" s="76"/>
      <c r="C168" s="76"/>
      <c r="G168" s="76"/>
      <c r="H168" s="76"/>
      <c r="I168" s="76"/>
      <c r="J168" s="643"/>
      <c r="M168" s="73"/>
    </row>
    <row r="169" spans="1:16" ht="15" customHeight="1">
      <c r="B169" s="76" t="s">
        <v>1986</v>
      </c>
      <c r="C169" s="76"/>
      <c r="F169" s="73"/>
      <c r="G169" s="838">
        <f>J46*(1+IF(J109=1,0,('Surface Processing'!M122*('Gas Balance'!AC36/'Fuel Specs'!M14)/(J70/(1-J109))))-J109)*(('Energy Consumption'!H22/('Energy Consumption'!H61-'Energy Consumption'!H59))*('Energy Consumption'!E97+'Energy Consumption'!E108)+((Flaring!I80+'Venting &amp; Fugitives'!H261+'Venting &amp; Fugitives'!H265)/365))/('Production &amp; Extraction'!M35*'Fuel Specs'!M14-'Energy Consumption'!E96+'Gas Balance'!AC36*'Surface Processing'!M122+IF('Fuel Cycle'!F10=2,ABS('Energy Consumption'!E84),0))</f>
        <v>2.2201519879704954E-2</v>
      </c>
      <c r="H169" s="77" t="s">
        <v>169</v>
      </c>
      <c r="I169" s="76"/>
      <c r="J169" s="736"/>
    </row>
    <row r="170" spans="1:16" ht="15" customHeight="1">
      <c r="B170" s="76" t="s">
        <v>1987</v>
      </c>
      <c r="C170" s="76"/>
      <c r="G170" s="17">
        <f>J46*(G171+G172)</f>
        <v>0.98567519246453716</v>
      </c>
      <c r="H170" s="71" t="s">
        <v>173</v>
      </c>
      <c r="I170" s="76"/>
      <c r="J170" s="72" t="s">
        <v>1022</v>
      </c>
      <c r="L170" s="73"/>
    </row>
    <row r="171" spans="1:16" ht="15" customHeight="1">
      <c r="B171" s="76"/>
      <c r="C171" s="76" t="s">
        <v>1988</v>
      </c>
      <c r="F171" s="73"/>
      <c r="G171" s="17">
        <f>J46*(1+IF(J109=1,0,('Surface Processing'!M122*('Gas Balance'!AC36/'Fuel Specs'!M14)/(J70/(1-J109))))-J109)*(('GHG Emissions'!H14+'GHG Emissions'!I14)+('Energy Consumption'!H22/('Energy Consumption'!H22+'Energy Consumption'!H34))*'GHG Emissions'!H49)/('Input data'!E48*('Production &amp; Extraction'!M35*'Fuel Specs'!M14-'Energy Consumption'!E96+'Gas Balance'!AC36*'Surface Processing'!M122+IF('Fuel Cycle'!F10=2,ABS('Energy Consumption'!E84),0)))</f>
        <v>0.98450759616310679</v>
      </c>
      <c r="H171" s="71" t="s">
        <v>173</v>
      </c>
      <c r="I171" s="76"/>
      <c r="J171" s="78"/>
      <c r="K171" s="79"/>
    </row>
    <row r="172" spans="1:16" ht="15" customHeight="1">
      <c r="B172" s="76"/>
      <c r="C172" s="76" t="s">
        <v>1989</v>
      </c>
      <c r="F172" s="73"/>
      <c r="G172" s="17">
        <f>J46*(1+IF(J109=1,0,('Surface Processing'!M122*('Gas Balance'!AC36/'Fuel Specs'!M14)/(J70/(1-J109))))-J109)*('GHG Emissions'!J14+'GHG Emissions'!K14+'GHG Emissions'!L14)/('Input data'!E48*('Production &amp; Extraction'!M35*'Fuel Specs'!M14-'Energy Consumption'!E96+'Gas Balance'!AC36*'Surface Processing'!M122+IF('Fuel Cycle'!F10=2,ABS('Energy Consumption'!E84),0)))</f>
        <v>1.167596301430345E-3</v>
      </c>
      <c r="H172" s="71" t="s">
        <v>173</v>
      </c>
      <c r="I172" s="76"/>
      <c r="J172" s="78"/>
      <c r="N172" s="80"/>
      <c r="O172" s="80"/>
      <c r="P172" s="80"/>
    </row>
    <row r="173" spans="1:16" ht="15" customHeight="1">
      <c r="B173" s="76"/>
      <c r="C173" s="76"/>
      <c r="G173" s="76"/>
      <c r="H173" s="82"/>
      <c r="I173" s="76"/>
      <c r="J173" s="72"/>
    </row>
    <row r="174" spans="1:16" ht="15" customHeight="1">
      <c r="A174" s="30" t="s">
        <v>1990</v>
      </c>
      <c r="H174" s="74"/>
      <c r="J174" s="72"/>
      <c r="N174" s="80"/>
      <c r="O174" s="80"/>
      <c r="P174" s="83"/>
    </row>
    <row r="175" spans="1:16" ht="15" customHeight="1">
      <c r="A175" s="76"/>
      <c r="B175" s="76" t="s">
        <v>1991</v>
      </c>
      <c r="C175" s="76"/>
      <c r="F175" s="73"/>
      <c r="G175" s="838">
        <f>J46*(1+IF(J109=1,0,('Surface Processing'!M122*('Gas Balance'!AC36/'Fuel Specs'!M14)/(J70/(1-J109))))-J109)*(('Energy Consumption'!H34/('Energy Consumption'!H61-'Energy Consumption'!H59))*('Energy Consumption'!E97+'Energy Consumption'!E108)+((Flaring!I81+'Venting &amp; Fugitives'!H262+'Venting &amp; Fugitives'!H266)/365))/('Production &amp; Extraction'!M35*'Fuel Specs'!M14-'Energy Consumption'!E96+'Gas Balance'!AC36*'Surface Processing'!M122+IF('Fuel Cycle'!F10=2,ABS('Energy Consumption'!E84),0))</f>
        <v>2.8618786364451303E-2</v>
      </c>
      <c r="H175" s="77" t="s">
        <v>169</v>
      </c>
      <c r="I175" s="76"/>
      <c r="J175" s="643"/>
      <c r="N175" s="84"/>
      <c r="O175" s="84"/>
      <c r="P175" s="84"/>
    </row>
    <row r="176" spans="1:16" ht="15" customHeight="1">
      <c r="A176" s="76"/>
      <c r="B176" s="76" t="s">
        <v>1992</v>
      </c>
      <c r="C176" s="76"/>
      <c r="G176" s="17">
        <f>J46*(G177+G178)</f>
        <v>4.0042457940830314</v>
      </c>
      <c r="H176" s="71" t="s">
        <v>173</v>
      </c>
      <c r="I176" s="76"/>
      <c r="J176" s="72" t="s">
        <v>1022</v>
      </c>
      <c r="M176" s="79"/>
      <c r="N176" s="80"/>
      <c r="O176" s="80"/>
      <c r="P176" s="80"/>
    </row>
    <row r="177" spans="1:26" ht="15" customHeight="1">
      <c r="A177" s="76"/>
      <c r="B177" s="76"/>
      <c r="C177" s="76" t="s">
        <v>1993</v>
      </c>
      <c r="F177" s="73"/>
      <c r="G177" s="17">
        <f>J46*(1+IF(J109=1,0,('Surface Processing'!M122*('Gas Balance'!AC36/'Fuel Specs'!M14)/(J70/(1-J109))))-J109)*(('GHG Emissions'!H24+'GHG Emissions'!I24)+('Energy Consumption'!H34/('Energy Consumption'!H22+'Energy Consumption'!H34))*'GHG Emissions'!H49)/('Input data'!E48*('Production &amp; Extraction'!M35*'Fuel Specs'!M14-'Energy Consumption'!E96+'Gas Balance'!AC36*'Surface Processing'!M122+IF('Fuel Cycle'!F10=2,ABS('Energy Consumption'!E84),0)))</f>
        <v>0.64795846328685558</v>
      </c>
      <c r="H177" s="71" t="s">
        <v>173</v>
      </c>
      <c r="I177" s="76"/>
      <c r="J177" s="78"/>
      <c r="Q177"/>
      <c r="R177"/>
      <c r="S177"/>
      <c r="T177"/>
      <c r="U177"/>
      <c r="V177"/>
      <c r="W177"/>
      <c r="X177"/>
      <c r="Y177"/>
      <c r="Z177"/>
    </row>
    <row r="178" spans="1:26" ht="15" customHeight="1">
      <c r="A178" s="76"/>
      <c r="B178" s="76"/>
      <c r="C178" s="76" t="s">
        <v>1994</v>
      </c>
      <c r="F178" s="73"/>
      <c r="G178" s="17">
        <f>J46*(1+IF(J109=1,0,('Surface Processing'!M122*('Gas Balance'!AC36/'Fuel Specs'!M14)/(J70/(1-J109))))-J109)*('GHG Emissions'!J24+'GHG Emissions'!K24+'GHG Emissions'!L24)/('Input data'!E48*('Production &amp; Extraction'!M35*'Fuel Specs'!M14-'Energy Consumption'!E96+'Gas Balance'!AC36*'Surface Processing'!M122+IF('Fuel Cycle'!F10=2,ABS('Energy Consumption'!E84),0)))</f>
        <v>3.3562873307961758</v>
      </c>
      <c r="H178" s="71" t="s">
        <v>173</v>
      </c>
      <c r="I178" s="76"/>
      <c r="J178" s="78"/>
      <c r="N178" s="80"/>
      <c r="O178" s="80"/>
      <c r="P178" s="80"/>
      <c r="Q178"/>
      <c r="R178"/>
      <c r="S178"/>
      <c r="T178"/>
      <c r="U178"/>
      <c r="V178"/>
      <c r="W178"/>
      <c r="X178"/>
      <c r="Y178"/>
      <c r="Z178"/>
    </row>
    <row r="179" spans="1:26" ht="15" customHeight="1">
      <c r="H179" s="74"/>
      <c r="J179" s="72"/>
      <c r="Q179"/>
      <c r="R179"/>
      <c r="S179"/>
      <c r="T179"/>
      <c r="U179"/>
      <c r="V179"/>
      <c r="W179"/>
      <c r="X179"/>
      <c r="Y179"/>
      <c r="Z179"/>
    </row>
    <row r="180" spans="1:26" ht="15" customHeight="1">
      <c r="A180" s="76" t="s">
        <v>1995</v>
      </c>
      <c r="B180" s="76"/>
      <c r="C180" s="76"/>
      <c r="G180" s="76"/>
      <c r="H180" s="82"/>
      <c r="J180" s="72"/>
      <c r="N180" s="80"/>
      <c r="O180" s="80"/>
      <c r="P180" s="80"/>
      <c r="Q180"/>
      <c r="R180"/>
      <c r="S180"/>
      <c r="T180"/>
      <c r="U180"/>
      <c r="V180"/>
      <c r="W180"/>
      <c r="X180"/>
      <c r="Y180"/>
      <c r="Z180"/>
    </row>
    <row r="181" spans="1:26" ht="15" customHeight="1">
      <c r="A181" s="76"/>
      <c r="B181" s="76" t="s">
        <v>1996</v>
      </c>
      <c r="C181" s="76"/>
      <c r="F181" s="73"/>
      <c r="G181" s="838">
        <f>J46*(1+IF(J109=1,0,('Surface Processing'!M122*('Gas Balance'!AC36/'Fuel Specs'!M14)/(J70/(1-J109))))-J109)*(('Energy Consumption'!H55/('Energy Consumption'!H61-'Energy Consumption'!H59))*('Energy Consumption'!E97+'Energy Consumption'!E108)+((Flaring!I82+'Venting &amp; Fugitives'!H263+'Venting &amp; Fugitives'!H267)/365))/('Production &amp; Extraction'!M35*'Fuel Specs'!M14-'Energy Consumption'!E96+'Gas Balance'!AC36*'Surface Processing'!M122+IF('Fuel Cycle'!F10=2,ABS('Energy Consumption'!E84),0))</f>
        <v>3.3195429521951325E-4</v>
      </c>
      <c r="H181" s="77" t="s">
        <v>169</v>
      </c>
      <c r="J181" s="643"/>
      <c r="O181" s="85"/>
      <c r="Q181"/>
      <c r="R181"/>
      <c r="S181"/>
      <c r="T181"/>
      <c r="U181"/>
      <c r="V181"/>
      <c r="W181"/>
      <c r="X181"/>
      <c r="Y181"/>
      <c r="Z181"/>
    </row>
    <row r="182" spans="1:26" ht="15" customHeight="1">
      <c r="A182" s="76"/>
      <c r="B182" s="76" t="s">
        <v>1997</v>
      </c>
      <c r="C182" s="76"/>
      <c r="G182" s="17">
        <f>J46*(G183+G184)</f>
        <v>0.20500682112152016</v>
      </c>
      <c r="H182" s="71" t="s">
        <v>173</v>
      </c>
      <c r="J182" s="72" t="s">
        <v>1022</v>
      </c>
      <c r="N182" s="80"/>
      <c r="O182" s="80"/>
      <c r="P182" s="80"/>
      <c r="Q182"/>
      <c r="R182"/>
      <c r="S182"/>
      <c r="T182"/>
      <c r="U182"/>
      <c r="V182"/>
      <c r="W182"/>
      <c r="X182"/>
      <c r="Y182"/>
      <c r="Z182"/>
    </row>
    <row r="183" spans="1:26" ht="15" customHeight="1">
      <c r="A183" s="76"/>
      <c r="B183" s="76"/>
      <c r="C183" s="76" t="s">
        <v>1998</v>
      </c>
      <c r="G183" s="17">
        <f>J46*0</f>
        <v>0</v>
      </c>
      <c r="H183" s="71" t="s">
        <v>173</v>
      </c>
      <c r="J183" s="78"/>
      <c r="Q183"/>
      <c r="R183"/>
      <c r="S183"/>
      <c r="T183"/>
      <c r="U183"/>
      <c r="V183"/>
      <c r="W183"/>
      <c r="X183"/>
      <c r="Y183"/>
      <c r="Z183"/>
    </row>
    <row r="184" spans="1:26" ht="15" customHeight="1">
      <c r="A184" s="76"/>
      <c r="B184" s="76"/>
      <c r="C184" s="76" t="s">
        <v>1999</v>
      </c>
      <c r="G184" s="650">
        <f>J46*(1+IF(J109=1,0,('Surface Processing'!M122*('Gas Balance'!AC36/'Fuel Specs'!M14)/(J70/(1-J109))))-J109)*('GHG Emissions'!J45+'GHG Emissions'!K45+'GHG Emissions'!L45)/('Input data'!E48*('Production &amp; Extraction'!M35*'Fuel Specs'!M14-'Energy Consumption'!E96+'Gas Balance'!AC36*'Surface Processing'!M122+IF('Fuel Cycle'!F10=2,ABS('Energy Consumption'!E84),0)))</f>
        <v>0.20500682112152016</v>
      </c>
      <c r="H184" s="71" t="s">
        <v>173</v>
      </c>
      <c r="I184" s="79"/>
      <c r="J184" s="78"/>
      <c r="Q184"/>
      <c r="R184"/>
      <c r="S184"/>
      <c r="T184"/>
      <c r="U184"/>
      <c r="V184"/>
      <c r="W184"/>
      <c r="X184"/>
      <c r="Y184"/>
      <c r="Z184"/>
    </row>
    <row r="185" spans="1:26" ht="15" customHeight="1">
      <c r="H185" s="74"/>
      <c r="J185" s="72"/>
      <c r="Q185"/>
      <c r="R185"/>
      <c r="S185"/>
      <c r="T185"/>
      <c r="U185"/>
      <c r="V185"/>
      <c r="W185"/>
      <c r="X185"/>
      <c r="Y185"/>
      <c r="Z185"/>
    </row>
    <row r="186" spans="1:26" ht="15" customHeight="1">
      <c r="A186" s="30" t="s">
        <v>2000</v>
      </c>
      <c r="H186" s="74"/>
      <c r="J186" s="72"/>
      <c r="Q186"/>
      <c r="R186"/>
      <c r="S186"/>
      <c r="T186"/>
      <c r="U186"/>
      <c r="V186"/>
      <c r="W186"/>
      <c r="X186"/>
      <c r="Y186"/>
      <c r="Z186"/>
    </row>
    <row r="187" spans="1:26" ht="15" customHeight="1">
      <c r="B187" s="30" t="s">
        <v>2001</v>
      </c>
      <c r="G187" s="242">
        <f>J46*0</f>
        <v>0</v>
      </c>
      <c r="H187" s="71" t="s">
        <v>169</v>
      </c>
      <c r="J187" s="72" t="s">
        <v>2033</v>
      </c>
    </row>
    <row r="188" spans="1:26" ht="15" customHeight="1">
      <c r="B188" s="30" t="s">
        <v>2002</v>
      </c>
      <c r="G188" s="17">
        <f>J46*0</f>
        <v>0</v>
      </c>
      <c r="H188" s="71" t="s">
        <v>173</v>
      </c>
      <c r="J188" s="72" t="s">
        <v>877</v>
      </c>
    </row>
    <row r="189" spans="1:26" ht="15" customHeight="1">
      <c r="C189" s="643" t="s">
        <v>2416</v>
      </c>
      <c r="F189" s="73"/>
      <c r="G189" s="17">
        <f>J46*0</f>
        <v>0</v>
      </c>
      <c r="H189" s="71" t="s">
        <v>173</v>
      </c>
      <c r="J189" s="72"/>
    </row>
    <row r="190" spans="1:26" ht="15" customHeight="1">
      <c r="C190" s="643" t="s">
        <v>2417</v>
      </c>
      <c r="F190" s="73"/>
      <c r="G190" s="17">
        <f>J46*0</f>
        <v>0</v>
      </c>
      <c r="H190" s="71" t="s">
        <v>173</v>
      </c>
      <c r="J190" s="72"/>
    </row>
    <row r="191" spans="1:26" ht="15" customHeight="1">
      <c r="H191" s="74"/>
      <c r="J191" s="72"/>
    </row>
    <row r="192" spans="1:26" ht="15" customHeight="1">
      <c r="A192" s="643" t="s">
        <v>2772</v>
      </c>
      <c r="H192" s="74"/>
      <c r="J192" s="72"/>
    </row>
    <row r="193" spans="1:10" ht="15" customHeight="1">
      <c r="B193" s="643" t="s">
        <v>2003</v>
      </c>
      <c r="G193" s="242">
        <f>J46*IF(J109=1,'Fuel Cycle'!D56,'Fuel Cycle'!D56*(J109-('Surface Processing'!M122*('Gas Balance'!AC36/'Fuel Specs'!M14)/(J70/(1-J109)))))</f>
        <v>0</v>
      </c>
      <c r="H193" s="722" t="s">
        <v>169</v>
      </c>
      <c r="J193" s="575"/>
    </row>
    <row r="194" spans="1:10" ht="15" customHeight="1">
      <c r="B194" s="643" t="s">
        <v>2004</v>
      </c>
      <c r="G194" s="17">
        <f>J46*IF(J109=1,'Fuel Cycle'!D69/'Input data'!E48,('Fuel Cycle'!D69/'Input data'!E48)*(J109-('Surface Processing'!M122*('Gas Balance'!AC36/'Fuel Specs'!M14)/(J70/(1-J109)))))</f>
        <v>0</v>
      </c>
      <c r="H194" s="722" t="s">
        <v>173</v>
      </c>
      <c r="J194" s="72"/>
    </row>
    <row r="195" spans="1:10" ht="15" customHeight="1">
      <c r="B195" s="643"/>
      <c r="H195" s="74"/>
      <c r="J195" s="72"/>
    </row>
    <row r="196" spans="1:10" ht="15" customHeight="1">
      <c r="A196" s="643" t="s">
        <v>2773</v>
      </c>
    </row>
    <row r="197" spans="1:10" ht="15" customHeight="1">
      <c r="A197" s="643"/>
      <c r="B197" s="643" t="s">
        <v>2587</v>
      </c>
      <c r="G197" s="242">
        <f>J46*(1+IF(J109=1,0,('Surface Processing'!M122*('Gas Balance'!AC36/'Fuel Specs'!M14)/(J70/(1-J109))))-J109)*IF(J121=1,0.271597710331727,0)</f>
        <v>0</v>
      </c>
      <c r="H197" s="643" t="s">
        <v>169</v>
      </c>
    </row>
    <row r="198" spans="1:10" ht="15" customHeight="1">
      <c r="B198" s="643" t="s">
        <v>2588</v>
      </c>
      <c r="G198" s="17">
        <f>J46*(1+IF(J109=1,0,('Surface Processing'!M122*('Gas Balance'!AC36/'Fuel Specs'!M14)/(J70/(1-J109))))-J109)*IF(J121=1,16.8745465084971,0)</f>
        <v>0</v>
      </c>
      <c r="H198" s="722" t="s">
        <v>173</v>
      </c>
      <c r="J198" s="72" t="s">
        <v>2586</v>
      </c>
    </row>
    <row r="199" spans="1:10" ht="15" customHeight="1">
      <c r="B199" s="643"/>
      <c r="G199" s="89"/>
      <c r="H199" s="722"/>
      <c r="J199" s="72"/>
    </row>
    <row r="200" spans="1:10" ht="15" customHeight="1">
      <c r="A200" s="643" t="s">
        <v>2774</v>
      </c>
      <c r="H200" s="74"/>
      <c r="J200" s="643"/>
    </row>
    <row r="201" spans="1:10" ht="15" customHeight="1">
      <c r="B201" s="643" t="s">
        <v>2775</v>
      </c>
      <c r="G201" s="242">
        <f>J46*'Crude Transport'!M9</f>
        <v>1.1792009504335696E-3</v>
      </c>
      <c r="H201" s="71" t="s">
        <v>169</v>
      </c>
      <c r="J201" s="643"/>
    </row>
    <row r="202" spans="1:10" ht="15" customHeight="1">
      <c r="B202" s="643" t="s">
        <v>2776</v>
      </c>
      <c r="G202" s="17">
        <f>J46*'Crude Transport'!M10</f>
        <v>9.0309772448312856E-2</v>
      </c>
      <c r="H202" s="71" t="s">
        <v>173</v>
      </c>
      <c r="J202" s="72" t="s">
        <v>1023</v>
      </c>
    </row>
    <row r="203" spans="1:10" ht="15" customHeight="1">
      <c r="B203" s="643" t="s">
        <v>2777</v>
      </c>
      <c r="G203" s="75">
        <f>J46*(('Crude Transport'!B88/1000000)+1)</f>
        <v>1.000062</v>
      </c>
      <c r="H203" s="71" t="s">
        <v>237</v>
      </c>
      <c r="J203" s="72" t="s">
        <v>999</v>
      </c>
    </row>
    <row r="204" spans="1:10" ht="15" customHeight="1">
      <c r="H204" s="74"/>
      <c r="J204" s="72"/>
    </row>
    <row r="205" spans="1:10" ht="15" customHeight="1">
      <c r="A205" s="643" t="s">
        <v>2778</v>
      </c>
      <c r="G205" s="17">
        <f>J46*(1+IF(J109=1,0,('Surface Processing'!M122*('Gas Balance'!AC36/'Fuel Specs'!M14)/(J70/(1-J109))))-J109)*J136</f>
        <v>0.5</v>
      </c>
      <c r="H205" s="71" t="s">
        <v>173</v>
      </c>
      <c r="J205" s="72" t="s">
        <v>2733</v>
      </c>
    </row>
    <row r="206" spans="1:10" ht="15" customHeight="1">
      <c r="A206" s="643"/>
      <c r="G206"/>
      <c r="H206" s="74"/>
      <c r="J206" s="72"/>
    </row>
    <row r="207" spans="1:10" ht="15" customHeight="1">
      <c r="A207" s="643" t="s">
        <v>3247</v>
      </c>
      <c r="G207" s="17">
        <f>J46*(1+IF(J109=1,0,('Surface Processing'!M122*('Gas Balance'!AC36/'Fuel Specs'!M14)/(J70/(1-J109))))-J109)*('GHG Emissions'!G63)/('Input data'!E48*('Production &amp; Extraction'!M35*'Fuel Specs'!M14-'Energy Consumption'!E96+'Gas Balance'!AC36*'Surface Processing'!M122+IF('Fuel Cycle'!F10=2,ABS('Energy Consumption'!E84))))</f>
        <v>0.76939341627395619</v>
      </c>
      <c r="H207" s="71" t="s">
        <v>173</v>
      </c>
      <c r="J207" s="72" t="s">
        <v>2539</v>
      </c>
    </row>
    <row r="208" spans="1:10" ht="15" customHeight="1">
      <c r="H208" s="74"/>
      <c r="J208" s="643"/>
    </row>
    <row r="209" spans="1:12" ht="15" customHeight="1">
      <c r="A209" s="643" t="s">
        <v>3248</v>
      </c>
      <c r="G209" s="17">
        <f>J46*((G157+G163+G169+G175+G181+G187+G193+G197)*G203+G201)</f>
        <v>5.3998993558775216E-2</v>
      </c>
      <c r="H209" s="71" t="s">
        <v>169</v>
      </c>
      <c r="J209" s="643"/>
    </row>
    <row r="210" spans="1:12" ht="15" customHeight="1">
      <c r="H210" s="74"/>
      <c r="J210" s="643"/>
    </row>
    <row r="211" spans="1:12" ht="15" customHeight="1">
      <c r="A211" s="643" t="s">
        <v>3249</v>
      </c>
      <c r="G211" s="17">
        <f>J46*((G158+G164+G170+G176+G182+G188+G205+G194+G198+G207)*G203+G202)</f>
        <v>6.6803389946059912</v>
      </c>
      <c r="H211" s="71" t="s">
        <v>173</v>
      </c>
      <c r="J211" s="72" t="s">
        <v>1024</v>
      </c>
    </row>
    <row r="212" spans="1:12" ht="15" customHeight="1">
      <c r="A212" s="12"/>
      <c r="G212" s="89"/>
      <c r="H212" s="74"/>
      <c r="J212" s="72"/>
    </row>
    <row r="213" spans="1:12">
      <c r="G213" s="737"/>
      <c r="I213" s="737"/>
    </row>
    <row r="214" spans="1:12" s="9" customFormat="1" ht="18" customHeight="1">
      <c r="A214" s="9" t="s">
        <v>2005</v>
      </c>
    </row>
    <row r="216" spans="1:12" ht="17.100000000000001" customHeight="1">
      <c r="A216" s="69" t="s">
        <v>1950</v>
      </c>
    </row>
    <row r="217" spans="1:12" ht="17.100000000000001" customHeight="1"/>
    <row r="218" spans="1:12" ht="15" customHeight="1">
      <c r="G218" s="11" t="s">
        <v>164</v>
      </c>
      <c r="H218" s="11" t="s">
        <v>239</v>
      </c>
      <c r="J218" s="11" t="s">
        <v>348</v>
      </c>
    </row>
    <row r="219" spans="1:12" ht="15" customHeight="1">
      <c r="A219" s="30" t="s">
        <v>2006</v>
      </c>
      <c r="C219" s="70"/>
    </row>
    <row r="220" spans="1:12" ht="15" customHeight="1">
      <c r="B220" s="30" t="s">
        <v>2007</v>
      </c>
      <c r="G220" s="242">
        <f>J47*0</f>
        <v>0</v>
      </c>
      <c r="H220" s="71" t="s">
        <v>169</v>
      </c>
      <c r="J220" s="72" t="s">
        <v>2032</v>
      </c>
    </row>
    <row r="221" spans="1:12" ht="15" customHeight="1">
      <c r="B221" s="30" t="s">
        <v>2008</v>
      </c>
      <c r="G221" s="17">
        <f>J47*0</f>
        <v>0</v>
      </c>
      <c r="H221" s="71" t="s">
        <v>173</v>
      </c>
      <c r="J221" s="72" t="s">
        <v>1332</v>
      </c>
    </row>
    <row r="222" spans="1:12" ht="15" customHeight="1">
      <c r="B222" s="76"/>
      <c r="C222" s="76" t="s">
        <v>2404</v>
      </c>
      <c r="G222" s="17">
        <f>J47*0</f>
        <v>0</v>
      </c>
      <c r="H222" s="71" t="s">
        <v>173</v>
      </c>
      <c r="J222" s="72"/>
      <c r="L222" s="73"/>
    </row>
    <row r="223" spans="1:12" ht="15" customHeight="1">
      <c r="B223" s="76"/>
      <c r="C223" s="76" t="s">
        <v>2405</v>
      </c>
      <c r="G223" s="17">
        <f>J47*0</f>
        <v>0</v>
      </c>
      <c r="H223" s="71" t="s">
        <v>173</v>
      </c>
      <c r="I223" s="79"/>
      <c r="J223" s="72"/>
      <c r="L223" s="73"/>
    </row>
    <row r="224" spans="1:12" ht="15" customHeight="1">
      <c r="B224" s="30"/>
      <c r="H224" s="74"/>
      <c r="J224" s="72"/>
    </row>
    <row r="225" spans="1:16" ht="15" customHeight="1">
      <c r="H225" s="74"/>
      <c r="J225" s="72"/>
    </row>
    <row r="226" spans="1:16" ht="15" customHeight="1">
      <c r="A226" s="30" t="s">
        <v>2009</v>
      </c>
      <c r="J226" s="643"/>
    </row>
    <row r="227" spans="1:16" ht="15" customHeight="1">
      <c r="B227" s="30" t="s">
        <v>2010</v>
      </c>
      <c r="F227" s="73"/>
      <c r="G227" s="242">
        <f>J47*0</f>
        <v>0</v>
      </c>
      <c r="H227" s="71" t="s">
        <v>169</v>
      </c>
      <c r="J227" s="72" t="s">
        <v>2034</v>
      </c>
    </row>
    <row r="228" spans="1:16" ht="15" customHeight="1">
      <c r="B228" s="30" t="s">
        <v>2011</v>
      </c>
      <c r="F228" s="73"/>
      <c r="G228" s="17">
        <f>J47*(G229+G230)</f>
        <v>0</v>
      </c>
      <c r="H228" s="71" t="s">
        <v>173</v>
      </c>
      <c r="J228" s="72"/>
    </row>
    <row r="229" spans="1:16" ht="15" customHeight="1">
      <c r="B229" s="76"/>
      <c r="C229" s="76" t="s">
        <v>2406</v>
      </c>
      <c r="G229" s="17">
        <f>J47*'Bitumen Extraction &amp; Upgrading'!M172</f>
        <v>0</v>
      </c>
      <c r="H229" s="71" t="s">
        <v>173</v>
      </c>
      <c r="J229" s="72"/>
      <c r="L229" s="73"/>
    </row>
    <row r="230" spans="1:16" ht="15" customHeight="1">
      <c r="B230" s="76"/>
      <c r="C230" s="76" t="s">
        <v>2407</v>
      </c>
      <c r="G230" s="17">
        <f>J47*0</f>
        <v>0</v>
      </c>
      <c r="H230" s="71" t="s">
        <v>173</v>
      </c>
      <c r="I230" s="79"/>
      <c r="J230" s="72"/>
      <c r="L230" s="73"/>
    </row>
    <row r="231" spans="1:16" ht="15" customHeight="1">
      <c r="B231" s="30"/>
      <c r="F231" s="73"/>
      <c r="H231" s="74"/>
      <c r="J231" s="72"/>
    </row>
    <row r="232" spans="1:16" ht="15" customHeight="1">
      <c r="J232" s="643"/>
    </row>
    <row r="233" spans="1:16" ht="15" customHeight="1">
      <c r="A233" s="30" t="s">
        <v>2029</v>
      </c>
      <c r="B233" s="76"/>
      <c r="C233" s="76"/>
      <c r="G233" s="76"/>
      <c r="H233" s="76"/>
      <c r="I233" s="76"/>
      <c r="J233" s="643"/>
      <c r="M233" s="73"/>
    </row>
    <row r="234" spans="1:16" ht="15" customHeight="1">
      <c r="B234" s="76" t="s">
        <v>2012</v>
      </c>
      <c r="C234" s="76"/>
      <c r="F234" s="73"/>
      <c r="G234" s="242">
        <f>J47*'Bitumen Extraction &amp; Upgrading'!M8</f>
        <v>0</v>
      </c>
      <c r="H234" s="77" t="s">
        <v>169</v>
      </c>
      <c r="I234" s="76"/>
      <c r="J234" s="643"/>
    </row>
    <row r="235" spans="1:16" ht="15" customHeight="1">
      <c r="B235" s="76" t="s">
        <v>2013</v>
      </c>
      <c r="C235" s="76"/>
      <c r="G235" s="17">
        <f>J47*(G236+G237)</f>
        <v>0</v>
      </c>
      <c r="H235" s="71" t="s">
        <v>173</v>
      </c>
      <c r="I235" s="76"/>
      <c r="J235" s="72" t="s">
        <v>1951</v>
      </c>
      <c r="L235" s="73"/>
    </row>
    <row r="236" spans="1:16" ht="15" customHeight="1">
      <c r="B236" s="76"/>
      <c r="C236" s="76" t="s">
        <v>2408</v>
      </c>
      <c r="G236" s="17">
        <f>J47*'Bitumen Extraction &amp; Upgrading'!M18</f>
        <v>0</v>
      </c>
      <c r="H236" s="71" t="s">
        <v>173</v>
      </c>
      <c r="J236" s="72"/>
      <c r="L236" s="73"/>
    </row>
    <row r="237" spans="1:16" ht="15" customHeight="1">
      <c r="B237" s="76"/>
      <c r="C237" s="76" t="s">
        <v>2409</v>
      </c>
      <c r="G237" s="17">
        <f>J47*'Bitumen Extraction &amp; Upgrading'!M20</f>
        <v>0</v>
      </c>
      <c r="H237" s="71" t="s">
        <v>173</v>
      </c>
      <c r="I237" s="79"/>
      <c r="J237" s="72"/>
      <c r="L237" s="73"/>
    </row>
    <row r="238" spans="1:16" ht="15" customHeight="1">
      <c r="B238" s="76"/>
      <c r="C238" s="30"/>
      <c r="H238" s="74"/>
      <c r="J238" s="72"/>
    </row>
    <row r="239" spans="1:16" ht="15" customHeight="1">
      <c r="A239" s="30" t="s">
        <v>2030</v>
      </c>
      <c r="H239" s="74"/>
      <c r="J239" s="72"/>
      <c r="N239" s="80"/>
      <c r="O239" s="80"/>
      <c r="P239" s="83"/>
    </row>
    <row r="240" spans="1:16" ht="15" customHeight="1">
      <c r="A240" s="76"/>
      <c r="B240" s="76" t="s">
        <v>2014</v>
      </c>
      <c r="C240" s="76"/>
      <c r="F240" s="73"/>
      <c r="G240" s="242">
        <f>J47*'Bitumen Extraction &amp; Upgrading'!M12</f>
        <v>0</v>
      </c>
      <c r="H240" s="77" t="s">
        <v>169</v>
      </c>
      <c r="I240" s="76"/>
      <c r="J240" s="643"/>
      <c r="N240" s="84"/>
      <c r="O240" s="84"/>
      <c r="P240" s="84"/>
    </row>
    <row r="241" spans="1:16" ht="15" customHeight="1">
      <c r="A241" s="76"/>
      <c r="B241" s="76" t="s">
        <v>2015</v>
      </c>
      <c r="C241" s="76"/>
      <c r="G241" s="17">
        <f>J47*(G242+G243)</f>
        <v>0</v>
      </c>
      <c r="H241" s="71" t="s">
        <v>173</v>
      </c>
      <c r="I241" s="76"/>
      <c r="J241" s="72" t="s">
        <v>1951</v>
      </c>
      <c r="M241" s="79"/>
      <c r="N241" s="80"/>
      <c r="O241" s="80"/>
      <c r="P241" s="80"/>
    </row>
    <row r="242" spans="1:16" ht="15" customHeight="1">
      <c r="B242" s="76"/>
      <c r="C242" s="76" t="s">
        <v>2410</v>
      </c>
      <c r="G242" s="17">
        <f>J47*('Bitumen Extraction &amp; Upgrading'!M22)</f>
        <v>0</v>
      </c>
      <c r="H242" s="71" t="s">
        <v>173</v>
      </c>
      <c r="J242" s="72"/>
      <c r="L242" s="73"/>
    </row>
    <row r="243" spans="1:16" ht="15" customHeight="1">
      <c r="B243" s="76"/>
      <c r="C243" s="76" t="s">
        <v>2411</v>
      </c>
      <c r="G243" s="17">
        <f>J47*0</f>
        <v>0</v>
      </c>
      <c r="H243" s="71" t="s">
        <v>173</v>
      </c>
      <c r="I243" s="79"/>
      <c r="J243" s="72"/>
      <c r="L243" s="73"/>
    </row>
    <row r="244" spans="1:16" ht="15" customHeight="1">
      <c r="H244" s="74"/>
      <c r="J244" s="72"/>
    </row>
    <row r="245" spans="1:16" ht="15" customHeight="1">
      <c r="A245" s="76" t="s">
        <v>2016</v>
      </c>
      <c r="B245" s="76"/>
      <c r="C245" s="76"/>
      <c r="G245" s="76"/>
      <c r="H245" s="82"/>
      <c r="J245" s="72"/>
      <c r="N245" s="80"/>
      <c r="O245" s="80"/>
      <c r="P245" s="80"/>
    </row>
    <row r="246" spans="1:16" ht="15" customHeight="1">
      <c r="A246" s="76"/>
      <c r="B246" s="76" t="s">
        <v>2017</v>
      </c>
      <c r="C246" s="76"/>
      <c r="F246" s="73"/>
      <c r="G246" s="242">
        <f>J47*0</f>
        <v>0</v>
      </c>
      <c r="H246" s="77" t="s">
        <v>169</v>
      </c>
      <c r="J246" s="643"/>
      <c r="O246" s="85"/>
    </row>
    <row r="247" spans="1:16" ht="15" customHeight="1">
      <c r="A247" s="76"/>
      <c r="B247" s="76" t="s">
        <v>2018</v>
      </c>
      <c r="C247" s="76"/>
      <c r="G247" s="17">
        <f>J47*0</f>
        <v>0</v>
      </c>
      <c r="H247" s="71" t="s">
        <v>173</v>
      </c>
      <c r="J247" s="72" t="s">
        <v>1951</v>
      </c>
      <c r="N247" s="80"/>
      <c r="O247" s="80"/>
      <c r="P247" s="80"/>
    </row>
    <row r="248" spans="1:16" ht="15" customHeight="1">
      <c r="B248" s="76"/>
      <c r="C248" s="76" t="s">
        <v>2412</v>
      </c>
      <c r="G248" s="17">
        <f>J47*0</f>
        <v>0</v>
      </c>
      <c r="H248" s="71" t="s">
        <v>173</v>
      </c>
      <c r="J248" s="72"/>
      <c r="L248" s="73"/>
    </row>
    <row r="249" spans="1:16" ht="15" customHeight="1">
      <c r="B249" s="76"/>
      <c r="C249" s="76" t="s">
        <v>2413</v>
      </c>
      <c r="G249" s="17">
        <f>J47*0</f>
        <v>0</v>
      </c>
      <c r="H249" s="71" t="s">
        <v>173</v>
      </c>
      <c r="I249" s="79"/>
      <c r="J249" s="72"/>
      <c r="L249" s="73"/>
    </row>
    <row r="250" spans="1:16" ht="15" customHeight="1">
      <c r="H250" s="74"/>
      <c r="J250" s="72"/>
    </row>
    <row r="251" spans="1:16" ht="15" customHeight="1">
      <c r="A251" s="30" t="s">
        <v>2019</v>
      </c>
      <c r="H251" s="74"/>
      <c r="J251" s="72"/>
    </row>
    <row r="252" spans="1:16" ht="15" customHeight="1">
      <c r="B252" s="30" t="s">
        <v>2020</v>
      </c>
      <c r="G252" s="242">
        <f>J47*0</f>
        <v>0</v>
      </c>
      <c r="H252" s="71" t="s">
        <v>169</v>
      </c>
      <c r="J252" s="72" t="s">
        <v>2033</v>
      </c>
    </row>
    <row r="253" spans="1:16" ht="15" customHeight="1">
      <c r="B253" s="30" t="s">
        <v>2021</v>
      </c>
      <c r="G253" s="17">
        <f>J47*0</f>
        <v>0</v>
      </c>
      <c r="H253" s="71" t="s">
        <v>173</v>
      </c>
      <c r="J253" s="72" t="s">
        <v>877</v>
      </c>
    </row>
    <row r="254" spans="1:16" ht="15" customHeight="1">
      <c r="B254" s="76"/>
      <c r="C254" s="76" t="s">
        <v>2414</v>
      </c>
      <c r="G254" s="17">
        <f>J47*0</f>
        <v>0</v>
      </c>
      <c r="H254" s="71" t="s">
        <v>173</v>
      </c>
      <c r="J254" s="72"/>
      <c r="L254" s="73"/>
    </row>
    <row r="255" spans="1:16" ht="15" customHeight="1">
      <c r="B255" s="76"/>
      <c r="C255" s="76" t="s">
        <v>2415</v>
      </c>
      <c r="G255" s="17">
        <f>J47*0</f>
        <v>0</v>
      </c>
      <c r="H255" s="71" t="s">
        <v>173</v>
      </c>
      <c r="I255" s="79"/>
      <c r="J255" s="72"/>
      <c r="L255" s="73"/>
    </row>
    <row r="256" spans="1:16" ht="15" customHeight="1">
      <c r="H256" s="74"/>
      <c r="J256" s="72"/>
    </row>
    <row r="257" spans="1:10" ht="15" customHeight="1">
      <c r="A257" s="30" t="s">
        <v>2022</v>
      </c>
      <c r="H257" s="74"/>
      <c r="J257" s="643"/>
    </row>
    <row r="258" spans="1:10" ht="15" customHeight="1">
      <c r="B258" s="30" t="s">
        <v>2023</v>
      </c>
      <c r="G258" s="242">
        <f>J47*'Crude Transport'!M9</f>
        <v>0</v>
      </c>
      <c r="H258" s="71" t="s">
        <v>169</v>
      </c>
      <c r="J258" s="643"/>
    </row>
    <row r="259" spans="1:10" ht="15" customHeight="1">
      <c r="B259" s="30" t="s">
        <v>2024</v>
      </c>
      <c r="G259" s="81">
        <f>J47*'Crude Transport'!M10</f>
        <v>0</v>
      </c>
      <c r="H259" s="71" t="s">
        <v>173</v>
      </c>
      <c r="J259" s="72" t="s">
        <v>1023</v>
      </c>
    </row>
    <row r="260" spans="1:10" ht="15" customHeight="1">
      <c r="B260" s="30" t="s">
        <v>2025</v>
      </c>
      <c r="G260" s="75">
        <f>J47*(('Crude Transport'!B88/1000000)+1)</f>
        <v>0</v>
      </c>
      <c r="H260" s="71" t="s">
        <v>237</v>
      </c>
      <c r="J260" s="72" t="s">
        <v>999</v>
      </c>
    </row>
    <row r="261" spans="1:10" ht="15" customHeight="1">
      <c r="H261" s="74"/>
      <c r="J261" s="643"/>
    </row>
    <row r="262" spans="1:10" ht="15" customHeight="1">
      <c r="A262" s="86" t="s">
        <v>2107</v>
      </c>
      <c r="G262" s="17">
        <f>J47*J136</f>
        <v>0</v>
      </c>
      <c r="H262" s="71" t="s">
        <v>173</v>
      </c>
      <c r="J262" s="643"/>
    </row>
    <row r="263" spans="1:10" ht="15" customHeight="1">
      <c r="A263" s="86"/>
      <c r="G263" s="90"/>
      <c r="H263" s="74"/>
      <c r="J263" s="643"/>
    </row>
    <row r="264" spans="1:10" ht="15" customHeight="1">
      <c r="A264" s="643" t="s">
        <v>3252</v>
      </c>
      <c r="G264" s="17">
        <f>J47*('Bitumen Extraction &amp; Upgrading'!M19+'Bitumen Extraction &amp; Upgrading'!M23)</f>
        <v>0</v>
      </c>
      <c r="H264" s="74"/>
      <c r="J264" s="72" t="s">
        <v>2539</v>
      </c>
    </row>
    <row r="265" spans="1:10" ht="15" customHeight="1">
      <c r="A265" s="86"/>
      <c r="G265" s="90"/>
      <c r="H265" s="74"/>
      <c r="J265" s="643"/>
    </row>
    <row r="266" spans="1:10" ht="15" customHeight="1">
      <c r="A266" s="643" t="s">
        <v>3253</v>
      </c>
      <c r="G266" s="17">
        <f>(G220+G227+G234+G240+G246+G252)*G260+G258</f>
        <v>0</v>
      </c>
      <c r="H266" s="71" t="s">
        <v>169</v>
      </c>
      <c r="J266" s="643"/>
    </row>
    <row r="267" spans="1:10" ht="15" customHeight="1">
      <c r="H267" s="74"/>
      <c r="J267" s="643"/>
    </row>
    <row r="268" spans="1:10" ht="15" customHeight="1">
      <c r="A268" s="643" t="s">
        <v>3254</v>
      </c>
      <c r="G268" s="17">
        <f>(G221+G228+G235+G241+G247+G253+G262+G264)*G260+G259</f>
        <v>0</v>
      </c>
      <c r="H268" s="71" t="s">
        <v>173</v>
      </c>
      <c r="J268" s="72" t="s">
        <v>1024</v>
      </c>
    </row>
    <row r="269" spans="1:10" ht="15" customHeight="1">
      <c r="A269" s="12"/>
      <c r="G269" s="89"/>
      <c r="H269" s="74"/>
      <c r="J269" s="644"/>
    </row>
    <row r="271" spans="1:10" s="9" customFormat="1" ht="18" customHeight="1">
      <c r="A271" s="9" t="s">
        <v>2026</v>
      </c>
    </row>
    <row r="274" spans="1:12" ht="15.75">
      <c r="A274" s="91"/>
      <c r="B274" s="91"/>
      <c r="C274" s="91"/>
      <c r="D274" s="91"/>
      <c r="E274" s="91"/>
      <c r="F274" s="91" t="s">
        <v>1015</v>
      </c>
      <c r="G274" s="91"/>
      <c r="H274" s="91"/>
      <c r="I274" s="91" t="s">
        <v>1016</v>
      </c>
      <c r="J274" s="91" t="s">
        <v>1017</v>
      </c>
      <c r="K274" s="91" t="s">
        <v>348</v>
      </c>
    </row>
    <row r="275" spans="1:12" ht="15.75">
      <c r="A275" s="643" t="s">
        <v>2287</v>
      </c>
      <c r="B275" s="91"/>
      <c r="C275" s="91"/>
      <c r="D275" s="91"/>
      <c r="E275" s="91"/>
      <c r="F275" s="91"/>
      <c r="G275" s="91"/>
      <c r="H275" s="91"/>
      <c r="I275" s="91"/>
      <c r="J275" s="91"/>
      <c r="K275" s="91"/>
    </row>
    <row r="276" spans="1:12" ht="15.75">
      <c r="A276" s="643"/>
      <c r="B276" s="93" t="s">
        <v>2492</v>
      </c>
      <c r="C276" s="93"/>
      <c r="D276" s="93"/>
      <c r="E276" s="93"/>
      <c r="F276" s="93" t="s">
        <v>1027</v>
      </c>
      <c r="G276" s="93"/>
      <c r="H276" s="93"/>
      <c r="I276" t="s">
        <v>3259</v>
      </c>
      <c r="J276" s="696" t="str">
        <f>I61</f>
        <v>OK</v>
      </c>
      <c r="K276" s="91"/>
    </row>
    <row r="277" spans="1:12" ht="15.75">
      <c r="B277" s="643" t="s">
        <v>2493</v>
      </c>
      <c r="C277" s="91"/>
      <c r="D277" s="91"/>
      <c r="E277" s="91"/>
      <c r="F277" s="93" t="s">
        <v>1027</v>
      </c>
      <c r="G277" s="91"/>
      <c r="H277" s="91"/>
      <c r="I277" t="s">
        <v>2782</v>
      </c>
      <c r="J277" s="696" t="str">
        <f>I92</f>
        <v>OK</v>
      </c>
      <c r="K277" s="91"/>
    </row>
    <row r="278" spans="1:12" ht="15.75">
      <c r="B278" s="643" t="s">
        <v>2494</v>
      </c>
      <c r="C278" s="91"/>
      <c r="D278" s="91"/>
      <c r="E278" s="91"/>
      <c r="F278" s="93" t="s">
        <v>1027</v>
      </c>
      <c r="G278" s="91"/>
      <c r="H278" s="91"/>
      <c r="I278" t="s">
        <v>3260</v>
      </c>
      <c r="J278" s="696" t="str">
        <f t="shared" ref="J278:J280" si="0">I93</f>
        <v>OK</v>
      </c>
      <c r="K278" s="91"/>
    </row>
    <row r="279" spans="1:12" ht="15.75">
      <c r="B279" s="643" t="s">
        <v>2495</v>
      </c>
      <c r="C279" s="91"/>
      <c r="D279" s="91"/>
      <c r="E279" s="91"/>
      <c r="F279" s="93" t="s">
        <v>1027</v>
      </c>
      <c r="G279" s="91"/>
      <c r="H279" s="91"/>
      <c r="I279" t="s">
        <v>3261</v>
      </c>
      <c r="J279" s="696" t="str">
        <f t="shared" si="0"/>
        <v>OK</v>
      </c>
      <c r="K279" s="91"/>
    </row>
    <row r="280" spans="1:12" ht="15.75">
      <c r="B280" s="643" t="s">
        <v>2496</v>
      </c>
      <c r="C280" s="91"/>
      <c r="D280" s="91"/>
      <c r="E280" s="91"/>
      <c r="F280" s="93" t="s">
        <v>1027</v>
      </c>
      <c r="G280" s="91"/>
      <c r="H280" s="91"/>
      <c r="I280" t="s">
        <v>3262</v>
      </c>
      <c r="J280" s="696" t="str">
        <f t="shared" si="0"/>
        <v>OK</v>
      </c>
      <c r="K280" s="91"/>
    </row>
    <row r="281" spans="1:12" ht="15.75">
      <c r="B281" s="643" t="s">
        <v>2497</v>
      </c>
      <c r="C281" s="91"/>
      <c r="D281" s="91"/>
      <c r="E281" s="91"/>
      <c r="F281" s="93" t="s">
        <v>1027</v>
      </c>
      <c r="G281" s="91"/>
      <c r="H281" s="91"/>
      <c r="I281" t="s">
        <v>3263</v>
      </c>
      <c r="J281" s="696" t="str">
        <f>I66</f>
        <v>OK</v>
      </c>
      <c r="K281" s="629" t="str">
        <f>N66</f>
        <v/>
      </c>
    </row>
    <row r="282" spans="1:12" ht="15.75">
      <c r="B282" s="643" t="s">
        <v>2561</v>
      </c>
      <c r="C282" s="91"/>
      <c r="D282" s="91"/>
      <c r="E282" s="91"/>
      <c r="F282" s="93" t="s">
        <v>1027</v>
      </c>
      <c r="G282" s="91"/>
      <c r="H282" s="91"/>
      <c r="I282" t="s">
        <v>3264</v>
      </c>
      <c r="J282" s="696" t="str">
        <f>I109</f>
        <v>OK</v>
      </c>
      <c r="K282" s="629"/>
    </row>
    <row r="283" spans="1:12" ht="15.75">
      <c r="B283" s="643" t="s">
        <v>2562</v>
      </c>
      <c r="F283" s="95" t="s">
        <v>1018</v>
      </c>
      <c r="I283" t="s">
        <v>1794</v>
      </c>
      <c r="J283" s="696" t="str">
        <f>'Drilling &amp; Development'!M43</f>
        <v>OK</v>
      </c>
    </row>
    <row r="284" spans="1:12" ht="15.75">
      <c r="B284" s="643" t="s">
        <v>2563</v>
      </c>
      <c r="F284" s="95" t="s">
        <v>1018</v>
      </c>
      <c r="I284" t="s">
        <v>1795</v>
      </c>
      <c r="J284" s="696" t="str">
        <f>'Drilling &amp; Development'!M48</f>
        <v>OK</v>
      </c>
      <c r="L284" s="96"/>
    </row>
    <row r="285" spans="1:12" ht="15.75">
      <c r="B285" s="643" t="s">
        <v>2564</v>
      </c>
      <c r="F285" s="95" t="s">
        <v>1018</v>
      </c>
      <c r="I285" t="s">
        <v>1796</v>
      </c>
      <c r="J285" s="696" t="str">
        <f>'Drilling &amp; Development'!M53</f>
        <v>OK</v>
      </c>
      <c r="L285" s="96"/>
    </row>
    <row r="286" spans="1:12" ht="15.75">
      <c r="B286" s="643" t="s">
        <v>2565</v>
      </c>
      <c r="F286" s="95" t="s">
        <v>569</v>
      </c>
      <c r="I286" t="s">
        <v>1797</v>
      </c>
      <c r="J286" s="696" t="str">
        <f>IF(AND('Production &amp; Extraction'!M45="OK",'Gas Balance'!J40="OK"),"OK","ERROR")</f>
        <v>OK</v>
      </c>
    </row>
    <row r="287" spans="1:12" ht="15.75">
      <c r="B287" s="643" t="s">
        <v>2566</v>
      </c>
      <c r="F287" s="95" t="s">
        <v>569</v>
      </c>
      <c r="I287" t="s">
        <v>1792</v>
      </c>
      <c r="J287" s="696" t="str">
        <f>'Production &amp; Extraction'!L49</f>
        <v>OK</v>
      </c>
      <c r="K287" s="629" t="str">
        <f>IF(J287="ERROR","In the case of CH4 gas flooding, fraction of gas to reinjection must be 1.0","")</f>
        <v/>
      </c>
    </row>
    <row r="288" spans="1:12" ht="15.75">
      <c r="B288" s="643" t="s">
        <v>2567</v>
      </c>
      <c r="F288" s="95" t="s">
        <v>569</v>
      </c>
      <c r="I288" t="s">
        <v>1793</v>
      </c>
      <c r="J288" s="696" t="str">
        <f>'Production &amp; Extraction'!L56</f>
        <v>OK</v>
      </c>
      <c r="L288" s="87"/>
    </row>
    <row r="289" spans="2:13" ht="15.75">
      <c r="B289" s="643" t="s">
        <v>2568</v>
      </c>
      <c r="F289" s="95" t="s">
        <v>569</v>
      </c>
      <c r="I289" t="s">
        <v>1791</v>
      </c>
      <c r="J289" s="696" t="str">
        <f>'Production &amp; Extraction'!L64</f>
        <v>OK</v>
      </c>
    </row>
    <row r="290" spans="2:13" ht="15.75">
      <c r="B290" s="643" t="s">
        <v>2569</v>
      </c>
      <c r="F290" s="95" t="s">
        <v>569</v>
      </c>
      <c r="I290" t="s">
        <v>2377</v>
      </c>
      <c r="J290" s="696" t="str">
        <f>'Production &amp; Extraction'!L66</f>
        <v>OK</v>
      </c>
      <c r="L290" s="87"/>
    </row>
    <row r="291" spans="2:13" ht="15.75">
      <c r="B291" s="643" t="s">
        <v>2570</v>
      </c>
      <c r="F291" s="95" t="s">
        <v>569</v>
      </c>
      <c r="I291" t="s">
        <v>2727</v>
      </c>
      <c r="J291" s="696" t="str">
        <f>'Production &amp; Extraction'!L203</f>
        <v>OK</v>
      </c>
    </row>
    <row r="292" spans="2:13" ht="15.75">
      <c r="B292" s="643" t="s">
        <v>2571</v>
      </c>
      <c r="F292" s="95" t="s">
        <v>1020</v>
      </c>
      <c r="I292" t="s">
        <v>2728</v>
      </c>
      <c r="J292" s="696" t="str">
        <f>'Surface Processing'!L122</f>
        <v>OK</v>
      </c>
    </row>
    <row r="293" spans="2:13" ht="15.75">
      <c r="B293" s="643" t="s">
        <v>2572</v>
      </c>
      <c r="F293" s="95" t="s">
        <v>1020</v>
      </c>
      <c r="I293" t="s">
        <v>2729</v>
      </c>
      <c r="J293" s="696" t="str">
        <f>IF(AND('Surface Processing'!L131="OK",'Surface Processing'!N131="OK"),"OK","ERROR")</f>
        <v>OK</v>
      </c>
      <c r="M293" s="894"/>
    </row>
    <row r="294" spans="2:13" ht="15.75">
      <c r="B294" s="643" t="s">
        <v>2573</v>
      </c>
      <c r="F294" s="95" t="s">
        <v>1020</v>
      </c>
      <c r="I294" t="s">
        <v>2730</v>
      </c>
      <c r="J294" s="696" t="str">
        <f>IF(AND('Surface Processing'!L134="OK",'Surface Processing'!N134="OK"),"OK","ERROR")</f>
        <v>OK</v>
      </c>
    </row>
    <row r="295" spans="2:13" ht="15.75">
      <c r="B295" s="643" t="s">
        <v>2574</v>
      </c>
      <c r="F295" s="95" t="s">
        <v>1020</v>
      </c>
      <c r="I295" t="s">
        <v>2731</v>
      </c>
      <c r="J295" s="696" t="str">
        <f>IF(AND('Surface Processing'!L143="OK",'Surface Processing'!N143="OK"),"OK","ERROR")</f>
        <v>OK</v>
      </c>
    </row>
    <row r="296" spans="2:13" ht="15.75">
      <c r="B296" s="643" t="s">
        <v>2575</v>
      </c>
      <c r="F296" s="95" t="s">
        <v>1020</v>
      </c>
      <c r="I296" t="s">
        <v>2732</v>
      </c>
      <c r="J296" s="696" t="str">
        <f>IF(AND('Surface Processing'!L151="OK",'Surface Processing'!N151="OK"),"OK","ERROR")</f>
        <v>OK</v>
      </c>
    </row>
    <row r="297" spans="2:13" ht="15.75">
      <c r="B297" s="643" t="s">
        <v>2576</v>
      </c>
      <c r="F297" s="95" t="s">
        <v>1019</v>
      </c>
      <c r="I297" t="s">
        <v>3985</v>
      </c>
      <c r="J297" s="696" t="str">
        <f>'Gas Balance'!AP19</f>
        <v>OK</v>
      </c>
    </row>
    <row r="298" spans="2:13" ht="15.75">
      <c r="B298" s="643" t="s">
        <v>2577</v>
      </c>
      <c r="F298" s="95" t="s">
        <v>1019</v>
      </c>
      <c r="I298" t="s">
        <v>3986</v>
      </c>
      <c r="J298" s="696" t="str">
        <f>'Gas Balance'!AP28</f>
        <v>OK</v>
      </c>
    </row>
    <row r="299" spans="2:13" ht="15.75">
      <c r="B299" s="643" t="s">
        <v>2578</v>
      </c>
      <c r="F299" s="95" t="s">
        <v>1021</v>
      </c>
      <c r="I299" t="s">
        <v>1798</v>
      </c>
      <c r="J299" s="696" t="str">
        <f>'Steam Injection'!M65</f>
        <v>OK</v>
      </c>
    </row>
    <row r="300" spans="2:13" ht="15.75">
      <c r="B300" s="643" t="s">
        <v>2579</v>
      </c>
      <c r="F300" s="95" t="s">
        <v>132</v>
      </c>
      <c r="I300" t="s">
        <v>3873</v>
      </c>
      <c r="J300" s="696" t="str">
        <f>IF(AND(Electricity!D32="OK",Electricity!F32="OK"),"OK","ERROR")</f>
        <v>OK</v>
      </c>
    </row>
    <row r="301" spans="2:13" ht="15.75">
      <c r="B301" s="119" t="s">
        <v>4135</v>
      </c>
      <c r="F301" s="119" t="s">
        <v>1019</v>
      </c>
      <c r="I301" s="890" t="s">
        <v>3990</v>
      </c>
      <c r="J301" s="996" t="str">
        <f>I97</f>
        <v>WARNING</v>
      </c>
    </row>
  </sheetData>
  <mergeCells count="2">
    <mergeCell ref="B8:G8"/>
    <mergeCell ref="B28:G28"/>
  </mergeCells>
  <conditionalFormatting sqref="J140 J276:J300">
    <cfRule type="expression" dxfId="9" priority="5">
      <formula>$J$140="OK"</formula>
    </cfRule>
    <cfRule type="expression" dxfId="8" priority="6">
      <formula>$J$140="ERROR"</formula>
    </cfRule>
  </conditionalFormatting>
  <conditionalFormatting sqref="D5">
    <cfRule type="expression" dxfId="7" priority="3">
      <formula>$D$5="ERROR"</formula>
    </cfRule>
    <cfRule type="expression" dxfId="6" priority="4">
      <formula>$D$5="OK"</formula>
    </cfRule>
  </conditionalFormatting>
  <pageMargins left="0.7" right="0.7" top="0.75" bottom="0.75" header="0.3" footer="0.3"/>
  <pageSetup orientation="portrait" horizontalDpi="4294967292" verticalDpi="429496729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8"/>
  </sheetPr>
  <dimension ref="A1:SR170"/>
  <sheetViews>
    <sheetView workbookViewId="0">
      <selection activeCell="H66" sqref="H66"/>
    </sheetView>
  </sheetViews>
  <sheetFormatPr defaultColWidth="8.5546875" defaultRowHeight="12.75"/>
  <cols>
    <col min="1" max="1" width="8.5546875" style="166"/>
    <col min="2" max="2" width="9.88671875" style="166" customWidth="1"/>
    <col min="3" max="6" width="8.5546875" style="166"/>
    <col min="7" max="20" width="8.88671875" style="166" customWidth="1"/>
    <col min="21" max="16384" width="8.5546875" style="166"/>
  </cols>
  <sheetData>
    <row r="1" spans="1:512" s="336" customFormat="1" ht="24" customHeight="1" thickBot="1">
      <c r="A1" s="336" t="s">
        <v>4129</v>
      </c>
      <c r="C1" s="752"/>
    </row>
    <row r="2" spans="1:512" s="241" customFormat="1" ht="30.6" customHeight="1" thickBot="1">
      <c r="A2" s="998" t="s">
        <v>2557</v>
      </c>
      <c r="B2" s="998"/>
      <c r="C2" s="997">
        <v>1</v>
      </c>
      <c r="G2" s="1025" t="s">
        <v>4141</v>
      </c>
      <c r="H2" s="1026"/>
      <c r="I2" s="1026"/>
      <c r="J2" s="1026"/>
      <c r="K2" s="1026"/>
      <c r="L2" s="1026"/>
      <c r="M2" s="1026"/>
      <c r="N2" s="1026"/>
      <c r="O2" s="1026"/>
      <c r="P2" s="1026"/>
      <c r="Q2" s="1026"/>
      <c r="R2" s="1026"/>
      <c r="S2" s="102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row>
    <row r="3" spans="1:512" s="338" customFormat="1" ht="14.1" customHeight="1">
      <c r="A3" s="338" t="s">
        <v>2150</v>
      </c>
      <c r="C3" s="338" t="s">
        <v>578</v>
      </c>
    </row>
    <row r="4" spans="1:512" s="241" customFormat="1" ht="12.75" customHeight="1"/>
    <row r="5" spans="1:512" ht="12.75" customHeight="1">
      <c r="A5" s="1040" t="s">
        <v>2151</v>
      </c>
      <c r="B5" s="1040"/>
      <c r="C5" s="1040"/>
      <c r="D5" s="1040"/>
      <c r="E5" s="116" t="s">
        <v>239</v>
      </c>
      <c r="G5" s="968" t="s">
        <v>221</v>
      </c>
      <c r="H5" s="968" t="s">
        <v>3783</v>
      </c>
      <c r="I5" s="968" t="s">
        <v>2152</v>
      </c>
      <c r="J5" s="968" t="s">
        <v>2153</v>
      </c>
      <c r="K5" s="968" t="s">
        <v>2154</v>
      </c>
      <c r="L5" s="968" t="s">
        <v>2155</v>
      </c>
      <c r="M5" s="968" t="s">
        <v>2156</v>
      </c>
      <c r="N5" s="968" t="s">
        <v>2157</v>
      </c>
      <c r="O5" s="968" t="s">
        <v>2158</v>
      </c>
      <c r="P5" s="968" t="s">
        <v>2159</v>
      </c>
      <c r="Q5" s="968" t="s">
        <v>2160</v>
      </c>
      <c r="R5" s="968" t="s">
        <v>2161</v>
      </c>
      <c r="S5" s="968" t="s">
        <v>2162</v>
      </c>
      <c r="T5" s="968" t="s">
        <v>2163</v>
      </c>
      <c r="U5" s="968" t="s">
        <v>2164</v>
      </c>
      <c r="V5" s="968" t="s">
        <v>2165</v>
      </c>
      <c r="W5" s="968" t="s">
        <v>2166</v>
      </c>
      <c r="X5" s="968" t="s">
        <v>2167</v>
      </c>
      <c r="Y5" s="968" t="s">
        <v>2168</v>
      </c>
      <c r="Z5" s="968" t="s">
        <v>2169</v>
      </c>
      <c r="AA5" s="968" t="s">
        <v>2170</v>
      </c>
      <c r="AB5" s="968" t="s">
        <v>2171</v>
      </c>
      <c r="AC5" s="968" t="s">
        <v>2172</v>
      </c>
      <c r="AD5" s="968" t="s">
        <v>2173</v>
      </c>
      <c r="AE5" s="968" t="s">
        <v>2174</v>
      </c>
      <c r="AF5" s="968" t="s">
        <v>2175</v>
      </c>
      <c r="AG5" s="968" t="s">
        <v>2176</v>
      </c>
      <c r="AH5" s="968" t="s">
        <v>2177</v>
      </c>
      <c r="AI5" s="968" t="s">
        <v>2178</v>
      </c>
      <c r="AJ5" s="968" t="s">
        <v>2179</v>
      </c>
      <c r="AK5" s="968" t="s">
        <v>2180</v>
      </c>
      <c r="AL5" s="968" t="s">
        <v>2181</v>
      </c>
      <c r="AM5" s="968" t="s">
        <v>2182</v>
      </c>
      <c r="AN5" s="968" t="s">
        <v>2183</v>
      </c>
      <c r="AO5" s="968" t="s">
        <v>2184</v>
      </c>
      <c r="AP5" s="968" t="s">
        <v>2185</v>
      </c>
      <c r="AQ5" s="968" t="s">
        <v>2186</v>
      </c>
      <c r="AR5" s="968" t="s">
        <v>2187</v>
      </c>
      <c r="AS5" s="968" t="s">
        <v>2188</v>
      </c>
      <c r="AT5" s="968" t="s">
        <v>2189</v>
      </c>
      <c r="AU5" s="968" t="s">
        <v>2190</v>
      </c>
      <c r="AV5" s="968" t="s">
        <v>2191</v>
      </c>
      <c r="AW5" s="968" t="s">
        <v>2192</v>
      </c>
      <c r="AX5" s="968" t="s">
        <v>2193</v>
      </c>
      <c r="AY5" s="968" t="s">
        <v>2194</v>
      </c>
      <c r="AZ5" s="968" t="s">
        <v>2195</v>
      </c>
      <c r="BA5" s="968" t="s">
        <v>2196</v>
      </c>
      <c r="BB5" s="968" t="s">
        <v>2197</v>
      </c>
      <c r="BC5" s="968" t="s">
        <v>2198</v>
      </c>
      <c r="BD5" s="968" t="s">
        <v>2199</v>
      </c>
      <c r="BE5" s="968" t="s">
        <v>2200</v>
      </c>
      <c r="BF5" s="968" t="s">
        <v>2790</v>
      </c>
      <c r="BG5" s="968" t="s">
        <v>2791</v>
      </c>
      <c r="BH5" s="968" t="s">
        <v>2792</v>
      </c>
      <c r="BI5" s="968" t="s">
        <v>2793</v>
      </c>
      <c r="BJ5" s="968" t="s">
        <v>2794</v>
      </c>
      <c r="BK5" s="968" t="s">
        <v>2795</v>
      </c>
      <c r="BL5" s="968" t="s">
        <v>2796</v>
      </c>
      <c r="BM5" s="968" t="s">
        <v>2797</v>
      </c>
      <c r="BN5" s="968" t="s">
        <v>2798</v>
      </c>
      <c r="BO5" s="968" t="s">
        <v>2799</v>
      </c>
      <c r="BP5" s="968" t="s">
        <v>2800</v>
      </c>
      <c r="BQ5" s="968" t="s">
        <v>2801</v>
      </c>
      <c r="BR5" s="968" t="s">
        <v>2802</v>
      </c>
      <c r="BS5" s="968" t="s">
        <v>2803</v>
      </c>
      <c r="BT5" s="968" t="s">
        <v>2804</v>
      </c>
      <c r="BU5" s="968" t="s">
        <v>2805</v>
      </c>
      <c r="BV5" s="968" t="s">
        <v>2806</v>
      </c>
      <c r="BW5" s="968" t="s">
        <v>2807</v>
      </c>
      <c r="BX5" s="968" t="s">
        <v>2808</v>
      </c>
      <c r="BY5" s="968" t="s">
        <v>2809</v>
      </c>
      <c r="BZ5" s="968" t="s">
        <v>2810</v>
      </c>
      <c r="CA5" s="968" t="s">
        <v>2811</v>
      </c>
      <c r="CB5" s="968" t="s">
        <v>2812</v>
      </c>
      <c r="CC5" s="968" t="s">
        <v>2813</v>
      </c>
      <c r="CD5" s="968" t="s">
        <v>2814</v>
      </c>
      <c r="CE5" s="968" t="s">
        <v>2815</v>
      </c>
      <c r="CF5" s="968" t="s">
        <v>2816</v>
      </c>
      <c r="CG5" s="968" t="s">
        <v>2817</v>
      </c>
      <c r="CH5" s="968" t="s">
        <v>2818</v>
      </c>
      <c r="CI5" s="968" t="s">
        <v>2819</v>
      </c>
      <c r="CJ5" s="968" t="s">
        <v>2820</v>
      </c>
      <c r="CK5" s="968" t="s">
        <v>2821</v>
      </c>
      <c r="CL5" s="968" t="s">
        <v>2822</v>
      </c>
      <c r="CM5" s="968" t="s">
        <v>2823</v>
      </c>
      <c r="CN5" s="968" t="s">
        <v>2824</v>
      </c>
      <c r="CO5" s="968" t="s">
        <v>2825</v>
      </c>
      <c r="CP5" s="968" t="s">
        <v>2826</v>
      </c>
      <c r="CQ5" s="968" t="s">
        <v>2827</v>
      </c>
      <c r="CR5" s="968" t="s">
        <v>2828</v>
      </c>
      <c r="CS5" s="968" t="s">
        <v>2829</v>
      </c>
      <c r="CT5" s="968" t="s">
        <v>2830</v>
      </c>
      <c r="CU5" s="968" t="s">
        <v>2831</v>
      </c>
      <c r="CV5" s="968" t="s">
        <v>2832</v>
      </c>
      <c r="CW5" s="968" t="s">
        <v>2833</v>
      </c>
      <c r="CX5" s="968" t="s">
        <v>2834</v>
      </c>
      <c r="CY5" s="968" t="s">
        <v>2835</v>
      </c>
      <c r="CZ5" s="968" t="s">
        <v>2836</v>
      </c>
      <c r="DA5" s="968" t="s">
        <v>2837</v>
      </c>
      <c r="DB5" s="968" t="s">
        <v>2838</v>
      </c>
      <c r="DC5" s="968" t="s">
        <v>2839</v>
      </c>
      <c r="DD5" s="968" t="s">
        <v>2840</v>
      </c>
      <c r="DE5" s="968" t="s">
        <v>2841</v>
      </c>
      <c r="DF5" s="968" t="s">
        <v>2842</v>
      </c>
      <c r="DG5" s="968" t="s">
        <v>2843</v>
      </c>
      <c r="DH5" s="968" t="s">
        <v>2844</v>
      </c>
      <c r="DI5" s="968" t="s">
        <v>2845</v>
      </c>
      <c r="DJ5" s="968" t="s">
        <v>2846</v>
      </c>
      <c r="DK5" s="968" t="s">
        <v>2847</v>
      </c>
      <c r="DL5" s="968" t="s">
        <v>2848</v>
      </c>
      <c r="DM5" s="968" t="s">
        <v>2849</v>
      </c>
      <c r="DN5" s="968" t="s">
        <v>2850</v>
      </c>
      <c r="DO5" s="968" t="s">
        <v>2851</v>
      </c>
      <c r="DP5" s="968" t="s">
        <v>2852</v>
      </c>
      <c r="DQ5" s="968" t="s">
        <v>2853</v>
      </c>
      <c r="DR5" s="968" t="s">
        <v>2854</v>
      </c>
      <c r="DS5" s="968" t="s">
        <v>2855</v>
      </c>
      <c r="DT5" s="968" t="s">
        <v>2856</v>
      </c>
      <c r="DU5" s="968" t="s">
        <v>2857</v>
      </c>
      <c r="DV5" s="968" t="s">
        <v>2858</v>
      </c>
      <c r="DW5" s="968" t="s">
        <v>2859</v>
      </c>
      <c r="DX5" s="968" t="s">
        <v>2860</v>
      </c>
      <c r="DY5" s="968" t="s">
        <v>2861</v>
      </c>
      <c r="DZ5" s="968" t="s">
        <v>2862</v>
      </c>
      <c r="EA5" s="968" t="s">
        <v>2863</v>
      </c>
      <c r="EB5" s="968" t="s">
        <v>2864</v>
      </c>
      <c r="EC5" s="968" t="s">
        <v>2865</v>
      </c>
      <c r="ED5" s="968" t="s">
        <v>2866</v>
      </c>
      <c r="EE5" s="968" t="s">
        <v>2867</v>
      </c>
      <c r="EF5" s="968" t="s">
        <v>2868</v>
      </c>
      <c r="EG5" s="968" t="s">
        <v>2869</v>
      </c>
      <c r="EH5" s="968" t="s">
        <v>2870</v>
      </c>
      <c r="EI5" s="968" t="s">
        <v>2871</v>
      </c>
      <c r="EJ5" s="968" t="s">
        <v>2872</v>
      </c>
      <c r="EK5" s="968" t="s">
        <v>2873</v>
      </c>
      <c r="EL5" s="968" t="s">
        <v>2874</v>
      </c>
      <c r="EM5" s="968" t="s">
        <v>2875</v>
      </c>
      <c r="EN5" s="968" t="s">
        <v>2876</v>
      </c>
      <c r="EO5" s="968" t="s">
        <v>2877</v>
      </c>
      <c r="EP5" s="968" t="s">
        <v>2878</v>
      </c>
      <c r="EQ5" s="968" t="s">
        <v>2879</v>
      </c>
      <c r="ER5" s="968" t="s">
        <v>2880</v>
      </c>
      <c r="ES5" s="968" t="s">
        <v>2881</v>
      </c>
      <c r="ET5" s="968" t="s">
        <v>2882</v>
      </c>
      <c r="EU5" s="968" t="s">
        <v>2883</v>
      </c>
      <c r="EV5" s="968" t="s">
        <v>2884</v>
      </c>
      <c r="EW5" s="968" t="s">
        <v>2885</v>
      </c>
      <c r="EX5" s="968" t="s">
        <v>2886</v>
      </c>
      <c r="EY5" s="968" t="s">
        <v>2887</v>
      </c>
      <c r="EZ5" s="968" t="s">
        <v>2888</v>
      </c>
      <c r="FA5" s="968" t="s">
        <v>2889</v>
      </c>
      <c r="FB5" s="968" t="s">
        <v>2890</v>
      </c>
      <c r="FC5" s="968" t="s">
        <v>2891</v>
      </c>
      <c r="FD5" s="968" t="s">
        <v>2892</v>
      </c>
      <c r="FE5" s="968" t="s">
        <v>2893</v>
      </c>
      <c r="FF5" s="968" t="s">
        <v>2894</v>
      </c>
      <c r="FG5" s="968" t="s">
        <v>2895</v>
      </c>
      <c r="FH5" s="968" t="s">
        <v>2896</v>
      </c>
      <c r="FI5" s="968" t="s">
        <v>2897</v>
      </c>
      <c r="FJ5" s="968" t="s">
        <v>2898</v>
      </c>
      <c r="FK5" s="968" t="s">
        <v>2899</v>
      </c>
      <c r="FL5" s="968" t="s">
        <v>2900</v>
      </c>
      <c r="FM5" s="968" t="s">
        <v>2901</v>
      </c>
      <c r="FN5" s="968" t="s">
        <v>2902</v>
      </c>
      <c r="FO5" s="968" t="s">
        <v>2903</v>
      </c>
      <c r="FP5" s="968" t="s">
        <v>2904</v>
      </c>
      <c r="FQ5" s="968" t="s">
        <v>2905</v>
      </c>
      <c r="FR5" s="968" t="s">
        <v>2906</v>
      </c>
      <c r="FS5" s="968" t="s">
        <v>2907</v>
      </c>
      <c r="FT5" s="968" t="s">
        <v>2908</v>
      </c>
      <c r="FU5" s="968" t="s">
        <v>2909</v>
      </c>
      <c r="FV5" s="968" t="s">
        <v>2910</v>
      </c>
      <c r="FW5" s="968" t="s">
        <v>2911</v>
      </c>
      <c r="FX5" s="968" t="s">
        <v>2912</v>
      </c>
      <c r="FY5" s="968" t="s">
        <v>2913</v>
      </c>
      <c r="FZ5" s="968" t="s">
        <v>2914</v>
      </c>
      <c r="GA5" s="968" t="s">
        <v>2915</v>
      </c>
      <c r="GB5" s="968" t="s">
        <v>2916</v>
      </c>
      <c r="GC5" s="968" t="s">
        <v>2917</v>
      </c>
      <c r="GD5" s="968" t="s">
        <v>2918</v>
      </c>
      <c r="GE5" s="968" t="s">
        <v>2919</v>
      </c>
      <c r="GF5" s="968" t="s">
        <v>2920</v>
      </c>
      <c r="GG5" s="968" t="s">
        <v>2921</v>
      </c>
      <c r="GH5" s="968" t="s">
        <v>2922</v>
      </c>
      <c r="GI5" s="968" t="s">
        <v>2923</v>
      </c>
      <c r="GJ5" s="968" t="s">
        <v>2924</v>
      </c>
      <c r="GK5" s="968" t="s">
        <v>2925</v>
      </c>
      <c r="GL5" s="968" t="s">
        <v>2926</v>
      </c>
      <c r="GM5" s="968" t="s">
        <v>2927</v>
      </c>
      <c r="GN5" s="968" t="s">
        <v>2928</v>
      </c>
      <c r="GO5" s="968" t="s">
        <v>2929</v>
      </c>
      <c r="GP5" s="968" t="s">
        <v>2930</v>
      </c>
      <c r="GQ5" s="968" t="s">
        <v>2931</v>
      </c>
      <c r="GR5" s="968" t="s">
        <v>2932</v>
      </c>
      <c r="GS5" s="968" t="s">
        <v>2933</v>
      </c>
      <c r="GT5" s="968" t="s">
        <v>2934</v>
      </c>
      <c r="GU5" s="968" t="s">
        <v>2935</v>
      </c>
      <c r="GV5" s="968" t="s">
        <v>2936</v>
      </c>
      <c r="GW5" s="968" t="s">
        <v>2937</v>
      </c>
      <c r="GX5" s="968" t="s">
        <v>2938</v>
      </c>
      <c r="GY5" s="968" t="s">
        <v>2939</v>
      </c>
      <c r="GZ5" s="968" t="s">
        <v>2940</v>
      </c>
      <c r="HA5" s="968" t="s">
        <v>2941</v>
      </c>
      <c r="HB5" s="968" t="s">
        <v>2942</v>
      </c>
      <c r="HC5" s="968" t="s">
        <v>2943</v>
      </c>
      <c r="HD5" s="968" t="s">
        <v>2944</v>
      </c>
      <c r="HE5" s="968" t="s">
        <v>2945</v>
      </c>
      <c r="HF5" s="968" t="s">
        <v>2946</v>
      </c>
      <c r="HG5" s="968" t="s">
        <v>2947</v>
      </c>
      <c r="HH5" s="968" t="s">
        <v>2948</v>
      </c>
      <c r="HI5" s="968" t="s">
        <v>2949</v>
      </c>
      <c r="HJ5" s="968" t="s">
        <v>2950</v>
      </c>
      <c r="HK5" s="968" t="s">
        <v>2951</v>
      </c>
      <c r="HL5" s="968" t="s">
        <v>2952</v>
      </c>
      <c r="HM5" s="968" t="s">
        <v>2953</v>
      </c>
      <c r="HN5" s="968" t="s">
        <v>2954</v>
      </c>
      <c r="HO5" s="968" t="s">
        <v>2955</v>
      </c>
      <c r="HP5" s="968" t="s">
        <v>2956</v>
      </c>
      <c r="HQ5" s="968" t="s">
        <v>2957</v>
      </c>
      <c r="HR5" s="968" t="s">
        <v>2958</v>
      </c>
      <c r="HS5" s="968" t="s">
        <v>2959</v>
      </c>
      <c r="HT5" s="968" t="s">
        <v>2960</v>
      </c>
      <c r="HU5" s="968" t="s">
        <v>2961</v>
      </c>
      <c r="HV5" s="968" t="s">
        <v>2962</v>
      </c>
      <c r="HW5" s="968" t="s">
        <v>2963</v>
      </c>
      <c r="HX5" s="968" t="s">
        <v>2964</v>
      </c>
      <c r="HY5" s="968" t="s">
        <v>2965</v>
      </c>
      <c r="HZ5" s="968" t="s">
        <v>2966</v>
      </c>
      <c r="IA5" s="968" t="s">
        <v>2967</v>
      </c>
      <c r="IB5" s="968" t="s">
        <v>2968</v>
      </c>
      <c r="IC5" s="968" t="s">
        <v>2969</v>
      </c>
      <c r="ID5" s="968" t="s">
        <v>2970</v>
      </c>
      <c r="IE5" s="968" t="s">
        <v>2971</v>
      </c>
      <c r="IF5" s="968" t="s">
        <v>2972</v>
      </c>
      <c r="IG5" s="968" t="s">
        <v>2973</v>
      </c>
      <c r="IH5" s="968" t="s">
        <v>2974</v>
      </c>
      <c r="II5" s="968" t="s">
        <v>2975</v>
      </c>
      <c r="IJ5" s="968" t="s">
        <v>2976</v>
      </c>
      <c r="IK5" s="968" t="s">
        <v>2977</v>
      </c>
      <c r="IL5" s="968" t="s">
        <v>2978</v>
      </c>
      <c r="IM5" s="968" t="s">
        <v>2979</v>
      </c>
      <c r="IN5" s="968" t="s">
        <v>2980</v>
      </c>
      <c r="IO5" s="968" t="s">
        <v>2981</v>
      </c>
      <c r="IP5" s="968" t="s">
        <v>2982</v>
      </c>
      <c r="IQ5" s="968" t="s">
        <v>2983</v>
      </c>
      <c r="IR5" s="968" t="s">
        <v>2984</v>
      </c>
      <c r="IS5" s="968" t="s">
        <v>2985</v>
      </c>
      <c r="IT5" s="968" t="s">
        <v>2986</v>
      </c>
      <c r="IU5" s="968" t="s">
        <v>2987</v>
      </c>
      <c r="IV5" s="968" t="s">
        <v>2988</v>
      </c>
      <c r="IW5" s="968" t="s">
        <v>2989</v>
      </c>
      <c r="IX5" s="968" t="s">
        <v>2990</v>
      </c>
      <c r="IY5" s="968" t="s">
        <v>2991</v>
      </c>
      <c r="IZ5" s="968" t="s">
        <v>2992</v>
      </c>
      <c r="JA5" s="968" t="s">
        <v>2993</v>
      </c>
      <c r="JB5" s="968" t="s">
        <v>2994</v>
      </c>
      <c r="JC5" s="968" t="s">
        <v>2995</v>
      </c>
      <c r="JD5" s="968" t="s">
        <v>2996</v>
      </c>
      <c r="JE5" s="968" t="s">
        <v>2997</v>
      </c>
      <c r="JF5" s="968" t="s">
        <v>2998</v>
      </c>
      <c r="JG5" s="968" t="s">
        <v>2999</v>
      </c>
      <c r="JH5" s="968" t="s">
        <v>3000</v>
      </c>
      <c r="JI5" s="968" t="s">
        <v>3001</v>
      </c>
      <c r="JJ5" s="968" t="s">
        <v>3002</v>
      </c>
      <c r="JK5" s="968" t="s">
        <v>3003</v>
      </c>
      <c r="JL5" s="968" t="s">
        <v>3004</v>
      </c>
      <c r="JM5" s="968" t="s">
        <v>3005</v>
      </c>
      <c r="JN5" s="968" t="s">
        <v>3006</v>
      </c>
      <c r="JO5" s="968" t="s">
        <v>3007</v>
      </c>
      <c r="JP5" s="968" t="s">
        <v>3008</v>
      </c>
      <c r="JQ5" s="968" t="s">
        <v>3009</v>
      </c>
      <c r="JR5" s="968" t="s">
        <v>3010</v>
      </c>
      <c r="JS5" s="968" t="s">
        <v>3011</v>
      </c>
      <c r="JT5" s="968" t="s">
        <v>3012</v>
      </c>
      <c r="JU5" s="968" t="s">
        <v>3013</v>
      </c>
      <c r="JV5" s="968" t="s">
        <v>3014</v>
      </c>
      <c r="JW5" s="968" t="s">
        <v>3015</v>
      </c>
      <c r="JX5" s="968" t="s">
        <v>3016</v>
      </c>
      <c r="JY5" s="968" t="s">
        <v>3017</v>
      </c>
      <c r="JZ5" s="968" t="s">
        <v>3018</v>
      </c>
      <c r="KA5" s="968" t="s">
        <v>3019</v>
      </c>
      <c r="KB5" s="968" t="s">
        <v>3020</v>
      </c>
      <c r="KC5" s="968" t="s">
        <v>3021</v>
      </c>
      <c r="KD5" s="968" t="s">
        <v>3022</v>
      </c>
      <c r="KE5" s="968" t="s">
        <v>3023</v>
      </c>
      <c r="KF5" s="968" t="s">
        <v>3024</v>
      </c>
      <c r="KG5" s="968" t="s">
        <v>3025</v>
      </c>
      <c r="KH5" s="968" t="s">
        <v>3026</v>
      </c>
      <c r="KI5" s="968" t="s">
        <v>3027</v>
      </c>
      <c r="KJ5" s="968" t="s">
        <v>3028</v>
      </c>
      <c r="KK5" s="968" t="s">
        <v>3029</v>
      </c>
      <c r="KL5" s="968" t="s">
        <v>3030</v>
      </c>
      <c r="KM5" s="968" t="s">
        <v>3031</v>
      </c>
      <c r="KN5" s="968" t="s">
        <v>3032</v>
      </c>
      <c r="KO5" s="968" t="s">
        <v>3033</v>
      </c>
      <c r="KP5" s="968" t="s">
        <v>3034</v>
      </c>
      <c r="KQ5" s="968" t="s">
        <v>3035</v>
      </c>
      <c r="KR5" s="968" t="s">
        <v>3036</v>
      </c>
      <c r="KS5" s="968" t="s">
        <v>3037</v>
      </c>
      <c r="KT5" s="968" t="s">
        <v>3038</v>
      </c>
      <c r="KU5" s="968" t="s">
        <v>3039</v>
      </c>
      <c r="KV5" s="968" t="s">
        <v>3040</v>
      </c>
      <c r="KW5" s="968" t="s">
        <v>3041</v>
      </c>
      <c r="KX5" s="968" t="s">
        <v>3042</v>
      </c>
      <c r="KY5" s="968" t="s">
        <v>3043</v>
      </c>
      <c r="KZ5" s="968" t="s">
        <v>3044</v>
      </c>
      <c r="LA5" s="968" t="s">
        <v>3045</v>
      </c>
      <c r="LB5" s="968" t="s">
        <v>3046</v>
      </c>
      <c r="LC5" s="968" t="s">
        <v>3047</v>
      </c>
      <c r="LD5" s="968" t="s">
        <v>3048</v>
      </c>
      <c r="LE5" s="968" t="s">
        <v>3049</v>
      </c>
      <c r="LF5" s="968" t="s">
        <v>3050</v>
      </c>
      <c r="LG5" s="968" t="s">
        <v>3051</v>
      </c>
      <c r="LH5" s="968" t="s">
        <v>3052</v>
      </c>
      <c r="LI5" s="968" t="s">
        <v>3053</v>
      </c>
      <c r="LJ5" s="968" t="s">
        <v>3054</v>
      </c>
      <c r="LK5" s="968" t="s">
        <v>3055</v>
      </c>
      <c r="LL5" s="968" t="s">
        <v>3056</v>
      </c>
      <c r="LM5" s="968" t="s">
        <v>3057</v>
      </c>
      <c r="LN5" s="968" t="s">
        <v>3058</v>
      </c>
      <c r="LO5" s="968" t="s">
        <v>3059</v>
      </c>
      <c r="LP5" s="968" t="s">
        <v>3060</v>
      </c>
      <c r="LQ5" s="968" t="s">
        <v>3061</v>
      </c>
      <c r="LR5" s="968" t="s">
        <v>3062</v>
      </c>
      <c r="LS5" s="968" t="s">
        <v>3063</v>
      </c>
      <c r="LT5" s="968" t="s">
        <v>3064</v>
      </c>
      <c r="LU5" s="968" t="s">
        <v>3065</v>
      </c>
      <c r="LV5" s="968" t="s">
        <v>3066</v>
      </c>
      <c r="LW5" s="968" t="s">
        <v>3067</v>
      </c>
      <c r="LX5" s="968" t="s">
        <v>3068</v>
      </c>
      <c r="LY5" s="968" t="s">
        <v>3069</v>
      </c>
      <c r="LZ5" s="968" t="s">
        <v>3070</v>
      </c>
      <c r="MA5" s="968" t="s">
        <v>3071</v>
      </c>
      <c r="MB5" s="968" t="s">
        <v>3072</v>
      </c>
      <c r="MC5" s="968" t="s">
        <v>3073</v>
      </c>
      <c r="MD5" s="968" t="s">
        <v>3074</v>
      </c>
      <c r="ME5" s="968" t="s">
        <v>3075</v>
      </c>
      <c r="MF5" s="968" t="s">
        <v>3076</v>
      </c>
      <c r="MG5" s="968" t="s">
        <v>3077</v>
      </c>
      <c r="MH5" s="968" t="s">
        <v>3078</v>
      </c>
      <c r="MI5" s="968" t="s">
        <v>3079</v>
      </c>
      <c r="MJ5" s="968" t="s">
        <v>3080</v>
      </c>
      <c r="MK5" s="968" t="s">
        <v>3081</v>
      </c>
      <c r="ML5" s="968" t="s">
        <v>3082</v>
      </c>
      <c r="MM5" s="968" t="s">
        <v>3083</v>
      </c>
      <c r="MN5" s="968" t="s">
        <v>3084</v>
      </c>
      <c r="MO5" s="968" t="s">
        <v>3085</v>
      </c>
      <c r="MP5" s="968" t="s">
        <v>3086</v>
      </c>
      <c r="MQ5" s="968" t="s">
        <v>3087</v>
      </c>
      <c r="MR5" s="968" t="s">
        <v>3088</v>
      </c>
      <c r="MS5" s="968" t="s">
        <v>3089</v>
      </c>
      <c r="MT5" s="968" t="s">
        <v>3090</v>
      </c>
      <c r="MU5" s="968" t="s">
        <v>3091</v>
      </c>
      <c r="MV5" s="968" t="s">
        <v>3092</v>
      </c>
      <c r="MW5" s="968" t="s">
        <v>3093</v>
      </c>
      <c r="MX5" s="968" t="s">
        <v>3094</v>
      </c>
      <c r="MY5" s="968" t="s">
        <v>3095</v>
      </c>
      <c r="MZ5" s="968" t="s">
        <v>3096</v>
      </c>
      <c r="NA5" s="968" t="s">
        <v>3097</v>
      </c>
      <c r="NB5" s="968" t="s">
        <v>3098</v>
      </c>
      <c r="NC5" s="968" t="s">
        <v>3099</v>
      </c>
      <c r="ND5" s="968" t="s">
        <v>3100</v>
      </c>
      <c r="NE5" s="968" t="s">
        <v>3101</v>
      </c>
      <c r="NF5" s="968" t="s">
        <v>3102</v>
      </c>
      <c r="NG5" s="968" t="s">
        <v>3103</v>
      </c>
      <c r="NH5" s="968" t="s">
        <v>3104</v>
      </c>
      <c r="NI5" s="968" t="s">
        <v>3105</v>
      </c>
      <c r="NJ5" s="968" t="s">
        <v>3106</v>
      </c>
      <c r="NK5" s="968" t="s">
        <v>3107</v>
      </c>
      <c r="NL5" s="968" t="s">
        <v>3108</v>
      </c>
      <c r="NM5" s="968" t="s">
        <v>3109</v>
      </c>
      <c r="NN5" s="968" t="s">
        <v>3110</v>
      </c>
      <c r="NO5" s="968" t="s">
        <v>3111</v>
      </c>
      <c r="NP5" s="968" t="s">
        <v>3112</v>
      </c>
      <c r="NQ5" s="968" t="s">
        <v>3113</v>
      </c>
      <c r="NR5" s="968" t="s">
        <v>3114</v>
      </c>
      <c r="NS5" s="968" t="s">
        <v>3115</v>
      </c>
      <c r="NT5" s="968" t="s">
        <v>3116</v>
      </c>
      <c r="NU5" s="968" t="s">
        <v>3117</v>
      </c>
      <c r="NV5" s="968" t="s">
        <v>3118</v>
      </c>
      <c r="NW5" s="968" t="s">
        <v>3119</v>
      </c>
      <c r="NX5" s="968" t="s">
        <v>3120</v>
      </c>
      <c r="NY5" s="968" t="s">
        <v>3121</v>
      </c>
      <c r="NZ5" s="968" t="s">
        <v>3122</v>
      </c>
      <c r="OA5" s="968" t="s">
        <v>3123</v>
      </c>
      <c r="OB5" s="968" t="s">
        <v>3124</v>
      </c>
      <c r="OC5" s="968" t="s">
        <v>3125</v>
      </c>
      <c r="OD5" s="968" t="s">
        <v>3126</v>
      </c>
      <c r="OE5" s="968" t="s">
        <v>3127</v>
      </c>
      <c r="OF5" s="968" t="s">
        <v>3128</v>
      </c>
      <c r="OG5" s="968" t="s">
        <v>3129</v>
      </c>
      <c r="OH5" s="968" t="s">
        <v>3130</v>
      </c>
      <c r="OI5" s="968" t="s">
        <v>3131</v>
      </c>
      <c r="OJ5" s="968" t="s">
        <v>3132</v>
      </c>
      <c r="OK5" s="968" t="s">
        <v>3133</v>
      </c>
      <c r="OL5" s="968" t="s">
        <v>3134</v>
      </c>
      <c r="OM5" s="968" t="s">
        <v>3135</v>
      </c>
      <c r="ON5" s="968" t="s">
        <v>3136</v>
      </c>
      <c r="OO5" s="968" t="s">
        <v>3137</v>
      </c>
      <c r="OP5" s="968" t="s">
        <v>3138</v>
      </c>
      <c r="OQ5" s="968" t="s">
        <v>3139</v>
      </c>
      <c r="OR5" s="968" t="s">
        <v>3140</v>
      </c>
      <c r="OS5" s="968" t="s">
        <v>3141</v>
      </c>
      <c r="OT5" s="968" t="s">
        <v>3142</v>
      </c>
      <c r="OU5" s="968" t="s">
        <v>3143</v>
      </c>
      <c r="OV5" s="968" t="s">
        <v>3144</v>
      </c>
      <c r="OW5" s="968" t="s">
        <v>3145</v>
      </c>
      <c r="OX5" s="968" t="s">
        <v>3146</v>
      </c>
      <c r="OY5" s="968" t="s">
        <v>3147</v>
      </c>
      <c r="OZ5" s="968" t="s">
        <v>3148</v>
      </c>
      <c r="PA5" s="968" t="s">
        <v>3149</v>
      </c>
      <c r="PB5" s="968" t="s">
        <v>3150</v>
      </c>
      <c r="PC5" s="968" t="s">
        <v>3151</v>
      </c>
      <c r="PD5" s="968" t="s">
        <v>3152</v>
      </c>
      <c r="PE5" s="968" t="s">
        <v>3153</v>
      </c>
      <c r="PF5" s="968" t="s">
        <v>3154</v>
      </c>
      <c r="PG5" s="968" t="s">
        <v>3155</v>
      </c>
      <c r="PH5" s="968" t="s">
        <v>3156</v>
      </c>
      <c r="PI5" s="968" t="s">
        <v>3157</v>
      </c>
      <c r="PJ5" s="968" t="s">
        <v>3158</v>
      </c>
      <c r="PK5" s="968" t="s">
        <v>3159</v>
      </c>
      <c r="PL5" s="968" t="s">
        <v>3160</v>
      </c>
      <c r="PM5" s="968" t="s">
        <v>3161</v>
      </c>
      <c r="PN5" s="968" t="s">
        <v>3162</v>
      </c>
      <c r="PO5" s="968" t="s">
        <v>3163</v>
      </c>
      <c r="PP5" s="968" t="s">
        <v>3164</v>
      </c>
      <c r="PQ5" s="968" t="s">
        <v>3165</v>
      </c>
      <c r="PR5" s="968" t="s">
        <v>3166</v>
      </c>
      <c r="PS5" s="968" t="s">
        <v>3167</v>
      </c>
      <c r="PT5" s="968" t="s">
        <v>3168</v>
      </c>
      <c r="PU5" s="968" t="s">
        <v>3169</v>
      </c>
      <c r="PV5" s="968" t="s">
        <v>3170</v>
      </c>
      <c r="PW5" s="968" t="s">
        <v>3171</v>
      </c>
      <c r="PX5" s="968" t="s">
        <v>3172</v>
      </c>
      <c r="PY5" s="968" t="s">
        <v>3173</v>
      </c>
      <c r="PZ5" s="968" t="s">
        <v>3174</v>
      </c>
      <c r="QA5" s="968" t="s">
        <v>3175</v>
      </c>
      <c r="QB5" s="968" t="s">
        <v>3176</v>
      </c>
      <c r="QC5" s="968" t="s">
        <v>3177</v>
      </c>
      <c r="QD5" s="968" t="s">
        <v>3178</v>
      </c>
      <c r="QE5" s="968" t="s">
        <v>3179</v>
      </c>
      <c r="QF5" s="968" t="s">
        <v>3180</v>
      </c>
      <c r="QG5" s="968" t="s">
        <v>3181</v>
      </c>
      <c r="QH5" s="968" t="s">
        <v>3182</v>
      </c>
      <c r="QI5" s="968" t="s">
        <v>3183</v>
      </c>
      <c r="QJ5" s="968" t="s">
        <v>3184</v>
      </c>
      <c r="QK5" s="968" t="s">
        <v>3185</v>
      </c>
      <c r="QL5" s="968" t="s">
        <v>3186</v>
      </c>
      <c r="QM5" s="968" t="s">
        <v>3187</v>
      </c>
      <c r="QN5" s="968" t="s">
        <v>3188</v>
      </c>
      <c r="QO5" s="968" t="s">
        <v>3189</v>
      </c>
      <c r="QP5" s="968" t="s">
        <v>3190</v>
      </c>
      <c r="QQ5" s="968" t="s">
        <v>3191</v>
      </c>
      <c r="QR5" s="968" t="s">
        <v>3192</v>
      </c>
      <c r="QS5" s="968" t="s">
        <v>3193</v>
      </c>
      <c r="QT5" s="968" t="s">
        <v>3194</v>
      </c>
      <c r="QU5" s="968" t="s">
        <v>3195</v>
      </c>
      <c r="QV5" s="968" t="s">
        <v>3196</v>
      </c>
      <c r="QW5" s="968" t="s">
        <v>3197</v>
      </c>
      <c r="QX5" s="968" t="s">
        <v>3198</v>
      </c>
      <c r="QY5" s="968" t="s">
        <v>3199</v>
      </c>
      <c r="QZ5" s="968" t="s">
        <v>3200</v>
      </c>
      <c r="RA5" s="968" t="s">
        <v>3201</v>
      </c>
      <c r="RB5" s="968" t="s">
        <v>3202</v>
      </c>
      <c r="RC5" s="968" t="s">
        <v>3203</v>
      </c>
      <c r="RD5" s="968" t="s">
        <v>3204</v>
      </c>
      <c r="RE5" s="968" t="s">
        <v>3205</v>
      </c>
      <c r="RF5" s="968" t="s">
        <v>3206</v>
      </c>
      <c r="RG5" s="968" t="s">
        <v>3207</v>
      </c>
      <c r="RH5" s="968" t="s">
        <v>3208</v>
      </c>
      <c r="RI5" s="968" t="s">
        <v>3209</v>
      </c>
      <c r="RJ5" s="968" t="s">
        <v>3210</v>
      </c>
      <c r="RK5" s="968" t="s">
        <v>3211</v>
      </c>
      <c r="RL5" s="968" t="s">
        <v>3212</v>
      </c>
      <c r="RM5" s="968" t="s">
        <v>3213</v>
      </c>
      <c r="RN5" s="968" t="s">
        <v>3214</v>
      </c>
      <c r="RO5" s="968" t="s">
        <v>3215</v>
      </c>
      <c r="RP5" s="968" t="s">
        <v>3216</v>
      </c>
      <c r="RQ5" s="968" t="s">
        <v>3217</v>
      </c>
      <c r="RR5" s="968" t="s">
        <v>3218</v>
      </c>
      <c r="RS5" s="968" t="s">
        <v>3219</v>
      </c>
      <c r="RT5" s="968" t="s">
        <v>3220</v>
      </c>
      <c r="RU5" s="968" t="s">
        <v>3221</v>
      </c>
      <c r="RV5" s="968" t="s">
        <v>3222</v>
      </c>
      <c r="RW5" s="968" t="s">
        <v>3223</v>
      </c>
      <c r="RX5" s="968" t="s">
        <v>3224</v>
      </c>
      <c r="RY5" s="968" t="s">
        <v>3225</v>
      </c>
      <c r="RZ5" s="968" t="s">
        <v>3226</v>
      </c>
      <c r="SA5" s="968" t="s">
        <v>3227</v>
      </c>
      <c r="SB5" s="968" t="s">
        <v>3228</v>
      </c>
      <c r="SC5" s="968" t="s">
        <v>3229</v>
      </c>
      <c r="SD5" s="968" t="s">
        <v>3230</v>
      </c>
      <c r="SE5" s="968" t="s">
        <v>3231</v>
      </c>
      <c r="SF5" s="968" t="s">
        <v>3232</v>
      </c>
      <c r="SG5" s="968" t="s">
        <v>3233</v>
      </c>
      <c r="SH5" s="968" t="s">
        <v>3234</v>
      </c>
      <c r="SI5" s="968" t="s">
        <v>3235</v>
      </c>
      <c r="SJ5" s="968" t="s">
        <v>3236</v>
      </c>
      <c r="SK5" s="968" t="s">
        <v>3237</v>
      </c>
      <c r="SL5" s="968" t="s">
        <v>3238</v>
      </c>
      <c r="SM5" s="968" t="s">
        <v>3239</v>
      </c>
      <c r="SN5" s="968" t="s">
        <v>3240</v>
      </c>
      <c r="SO5" s="968" t="s">
        <v>3241</v>
      </c>
      <c r="SP5" s="968" t="s">
        <v>3242</v>
      </c>
      <c r="SQ5" s="968" t="s">
        <v>3243</v>
      </c>
      <c r="SR5" s="968" t="s">
        <v>3244</v>
      </c>
    </row>
    <row r="6" spans="1:512" ht="12.75" customHeight="1">
      <c r="A6" s="968"/>
      <c r="B6" s="968"/>
      <c r="C6" s="968"/>
      <c r="D6" s="968"/>
      <c r="F6" s="969"/>
      <c r="G6" s="754"/>
      <c r="H6" s="754"/>
      <c r="I6" s="754"/>
      <c r="J6" s="754"/>
      <c r="K6" s="754"/>
      <c r="L6" s="754"/>
      <c r="M6" s="754"/>
      <c r="N6" s="754"/>
      <c r="O6" s="754"/>
      <c r="P6" s="754"/>
      <c r="Q6" s="754"/>
      <c r="R6" s="754"/>
      <c r="S6" s="754"/>
      <c r="T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row>
    <row r="7" spans="1:512" ht="15" customHeight="1">
      <c r="A7" s="969" t="s">
        <v>1390</v>
      </c>
      <c r="B7" s="969"/>
      <c r="C7" s="969"/>
      <c r="D7" s="969"/>
      <c r="E7" s="969"/>
      <c r="F7" s="969"/>
    </row>
    <row r="8" spans="1:512" ht="15" customHeight="1">
      <c r="A8" s="969" t="s">
        <v>918</v>
      </c>
      <c r="B8" s="969"/>
      <c r="C8" s="969"/>
      <c r="D8" s="969"/>
      <c r="E8" s="969"/>
      <c r="F8" s="969"/>
    </row>
    <row r="9" spans="1:512" ht="15" customHeight="1">
      <c r="A9" s="969"/>
      <c r="B9" s="969" t="s">
        <v>1391</v>
      </c>
      <c r="C9" s="969"/>
      <c r="D9" s="969"/>
      <c r="E9" s="969" t="s">
        <v>237</v>
      </c>
      <c r="F9" s="969"/>
      <c r="G9" s="756">
        <v>1</v>
      </c>
      <c r="H9" s="1027">
        <v>0</v>
      </c>
      <c r="I9" s="756"/>
      <c r="J9" s="756"/>
      <c r="K9" s="756"/>
      <c r="L9" s="756"/>
      <c r="M9" s="756"/>
      <c r="N9" s="756"/>
      <c r="O9" s="756"/>
      <c r="P9" s="756"/>
      <c r="Q9" s="756"/>
      <c r="R9" s="756"/>
      <c r="S9" s="756"/>
      <c r="T9" s="756"/>
      <c r="U9" s="756"/>
      <c r="V9" s="756"/>
      <c r="W9" s="756"/>
      <c r="X9" s="756"/>
      <c r="Y9" s="756"/>
      <c r="Z9" s="756"/>
      <c r="AA9" s="756"/>
      <c r="AB9" s="756"/>
      <c r="AC9" s="756"/>
      <c r="AD9" s="756"/>
      <c r="AE9" s="756"/>
      <c r="AF9" s="756"/>
      <c r="AG9" s="756"/>
      <c r="AH9" s="756"/>
      <c r="AI9" s="756"/>
      <c r="AJ9" s="756"/>
      <c r="AK9" s="756"/>
      <c r="AL9" s="756"/>
      <c r="AM9" s="756"/>
      <c r="AN9" s="756"/>
      <c r="AO9" s="756"/>
      <c r="AP9" s="756"/>
      <c r="AQ9" s="756"/>
      <c r="AR9" s="756"/>
      <c r="AS9" s="756"/>
      <c r="AT9" s="756"/>
      <c r="AU9" s="756"/>
      <c r="AV9" s="756"/>
      <c r="AW9" s="756"/>
      <c r="AX9" s="756"/>
      <c r="AY9" s="756"/>
      <c r="AZ9" s="756"/>
      <c r="BA9" s="756"/>
      <c r="BB9" s="756"/>
      <c r="BC9" s="756"/>
      <c r="BD9" s="756"/>
      <c r="BE9" s="756"/>
      <c r="BF9" s="756"/>
      <c r="BG9" s="756"/>
      <c r="BH9" s="756"/>
      <c r="BI9" s="756"/>
      <c r="BJ9" s="756"/>
      <c r="BK9" s="756"/>
      <c r="BL9" s="756"/>
      <c r="BM9" s="756"/>
      <c r="BN9" s="756"/>
      <c r="BO9" s="756"/>
      <c r="BP9" s="756"/>
      <c r="BQ9" s="756"/>
      <c r="BR9" s="756"/>
      <c r="BS9" s="756"/>
      <c r="BT9" s="756"/>
      <c r="BU9" s="756"/>
      <c r="BV9" s="756"/>
      <c r="BW9" s="756"/>
      <c r="BX9" s="756"/>
      <c r="BY9" s="756"/>
      <c r="BZ9" s="756"/>
      <c r="CA9" s="756"/>
      <c r="CB9" s="756"/>
      <c r="CC9" s="756"/>
      <c r="CD9" s="756"/>
      <c r="CE9" s="756"/>
      <c r="CF9" s="756"/>
      <c r="CG9" s="756"/>
      <c r="CH9" s="756"/>
      <c r="CI9" s="756"/>
      <c r="CJ9" s="756"/>
      <c r="CK9" s="756"/>
      <c r="CL9" s="756"/>
      <c r="CM9" s="756"/>
      <c r="CN9" s="756"/>
      <c r="CO9" s="756"/>
      <c r="CP9" s="756"/>
      <c r="CQ9" s="756"/>
      <c r="CR9" s="756"/>
      <c r="CS9" s="756"/>
      <c r="CT9" s="756"/>
      <c r="CU9" s="756"/>
      <c r="CV9" s="756"/>
      <c r="CW9" s="756"/>
      <c r="CX9" s="756"/>
      <c r="CY9" s="756"/>
      <c r="CZ9" s="756"/>
      <c r="DA9" s="756"/>
      <c r="DB9" s="756"/>
      <c r="DC9" s="756"/>
      <c r="DD9" s="756"/>
      <c r="DE9" s="756"/>
      <c r="DF9" s="756"/>
      <c r="DG9" s="756"/>
      <c r="DH9" s="756"/>
      <c r="DI9" s="756"/>
      <c r="DJ9" s="756"/>
      <c r="DK9" s="756"/>
      <c r="DL9" s="756"/>
      <c r="DM9" s="756"/>
      <c r="DN9" s="756"/>
      <c r="DO9" s="756"/>
      <c r="DP9" s="756"/>
      <c r="DQ9" s="756"/>
      <c r="DR9" s="756"/>
      <c r="DS9" s="756"/>
      <c r="DT9" s="756"/>
      <c r="DU9" s="756"/>
      <c r="DV9" s="756"/>
      <c r="DW9" s="756"/>
      <c r="DX9" s="756"/>
      <c r="DY9" s="756"/>
      <c r="DZ9" s="756"/>
      <c r="EA9" s="756"/>
      <c r="EB9" s="756"/>
      <c r="EC9" s="756"/>
      <c r="ED9" s="756"/>
      <c r="EE9" s="756"/>
      <c r="EF9" s="756"/>
      <c r="EG9" s="756"/>
      <c r="EH9" s="756"/>
      <c r="EI9" s="756"/>
      <c r="EJ9" s="756"/>
      <c r="EK9" s="756"/>
      <c r="EL9" s="756"/>
      <c r="EM9" s="756"/>
      <c r="EN9" s="756"/>
      <c r="EO9" s="756"/>
      <c r="EP9" s="756"/>
      <c r="EQ9" s="756"/>
      <c r="ER9" s="756"/>
      <c r="ES9" s="756"/>
      <c r="ET9" s="756"/>
      <c r="EU9" s="756"/>
      <c r="EV9" s="756"/>
      <c r="EW9" s="756"/>
      <c r="EX9" s="756"/>
      <c r="EY9" s="756"/>
      <c r="EZ9" s="756"/>
      <c r="FA9" s="756"/>
      <c r="FB9" s="756"/>
      <c r="FC9" s="756"/>
      <c r="FD9" s="756"/>
      <c r="FE9" s="756"/>
      <c r="FF9" s="756"/>
      <c r="FG9" s="756"/>
      <c r="FH9" s="756"/>
      <c r="FI9" s="756"/>
      <c r="FJ9" s="756"/>
      <c r="FK9" s="756"/>
      <c r="FL9" s="756"/>
      <c r="FM9" s="756"/>
      <c r="FN9" s="756"/>
      <c r="FO9" s="756"/>
      <c r="FP9" s="756"/>
      <c r="FQ9" s="756"/>
      <c r="FR9" s="756"/>
      <c r="FS9" s="756"/>
      <c r="FT9" s="756"/>
      <c r="FU9" s="756"/>
      <c r="FV9" s="756"/>
      <c r="FW9" s="756"/>
      <c r="FX9" s="756"/>
      <c r="FY9" s="756"/>
      <c r="FZ9" s="756"/>
      <c r="GA9" s="756"/>
      <c r="GB9" s="756"/>
      <c r="GC9" s="756"/>
      <c r="GD9" s="756"/>
      <c r="GE9" s="756"/>
      <c r="GF9" s="756"/>
      <c r="GG9" s="756"/>
      <c r="GH9" s="756"/>
      <c r="GI9" s="756"/>
      <c r="GJ9" s="756"/>
      <c r="GK9" s="756"/>
      <c r="GL9" s="756"/>
      <c r="GM9" s="756"/>
      <c r="GN9" s="756"/>
      <c r="GO9" s="756"/>
      <c r="GP9" s="756"/>
      <c r="GQ9" s="756"/>
      <c r="GR9" s="756"/>
      <c r="GS9" s="756"/>
      <c r="GT9" s="756"/>
      <c r="GU9" s="756"/>
      <c r="GV9" s="756"/>
      <c r="GW9" s="756"/>
      <c r="GX9" s="756"/>
      <c r="GY9" s="756"/>
      <c r="GZ9" s="756"/>
      <c r="HA9" s="756"/>
      <c r="HB9" s="756"/>
      <c r="HC9" s="756"/>
      <c r="HD9" s="756"/>
      <c r="HE9" s="756"/>
      <c r="HF9" s="756"/>
      <c r="HG9" s="756"/>
      <c r="HH9" s="756"/>
      <c r="HI9" s="756"/>
      <c r="HJ9" s="756"/>
      <c r="HK9" s="756"/>
      <c r="HL9" s="756"/>
      <c r="HM9" s="756"/>
      <c r="HN9" s="756"/>
      <c r="HO9" s="756"/>
      <c r="HP9" s="756"/>
      <c r="HQ9" s="756"/>
      <c r="HR9" s="756"/>
      <c r="HS9" s="756"/>
      <c r="HT9" s="756"/>
      <c r="HU9" s="756"/>
      <c r="HV9" s="756"/>
      <c r="HW9" s="756"/>
      <c r="HX9" s="756"/>
      <c r="HY9" s="756"/>
      <c r="HZ9" s="756"/>
      <c r="IA9" s="756"/>
      <c r="IB9" s="756"/>
      <c r="IC9" s="756"/>
      <c r="ID9" s="756"/>
      <c r="IE9" s="756"/>
      <c r="IF9" s="756"/>
      <c r="IG9" s="756"/>
      <c r="IH9" s="756"/>
      <c r="II9" s="756"/>
      <c r="IJ9" s="756"/>
      <c r="IK9" s="756"/>
      <c r="IL9" s="756"/>
      <c r="IM9" s="756"/>
      <c r="IN9" s="756"/>
      <c r="IO9" s="756"/>
      <c r="IP9" s="756"/>
      <c r="IQ9" s="756"/>
      <c r="IR9" s="756"/>
      <c r="IS9" s="756"/>
      <c r="IT9" s="756"/>
      <c r="IU9" s="756"/>
      <c r="IV9" s="756"/>
      <c r="IW9" s="756"/>
      <c r="IX9" s="756"/>
      <c r="IY9" s="756"/>
      <c r="IZ9" s="756"/>
      <c r="JA9" s="756"/>
      <c r="JB9" s="756"/>
      <c r="JC9" s="756"/>
      <c r="JD9" s="756"/>
      <c r="JE9" s="756"/>
      <c r="JF9" s="756"/>
      <c r="JG9" s="756"/>
      <c r="JH9" s="756"/>
      <c r="JI9" s="756"/>
      <c r="JJ9" s="756"/>
      <c r="JK9" s="756"/>
      <c r="JL9" s="756"/>
      <c r="JM9" s="756"/>
      <c r="JN9" s="756"/>
      <c r="JO9" s="756"/>
      <c r="JP9" s="756"/>
      <c r="JQ9" s="756"/>
      <c r="JR9" s="756"/>
      <c r="JS9" s="756"/>
      <c r="JT9" s="756"/>
      <c r="JU9" s="756"/>
      <c r="JV9" s="756"/>
      <c r="JW9" s="756"/>
      <c r="JX9" s="756"/>
      <c r="JY9" s="756"/>
      <c r="JZ9" s="756"/>
      <c r="KA9" s="756"/>
      <c r="KB9" s="756"/>
      <c r="KC9" s="756"/>
      <c r="KD9" s="756"/>
      <c r="KE9" s="756"/>
      <c r="KF9" s="756"/>
      <c r="KG9" s="756"/>
      <c r="KH9" s="756"/>
      <c r="KI9" s="756"/>
      <c r="KJ9" s="756"/>
      <c r="KK9" s="756"/>
      <c r="KL9" s="756"/>
      <c r="KM9" s="756"/>
      <c r="KN9" s="756"/>
      <c r="KO9" s="756"/>
      <c r="KP9" s="756"/>
      <c r="KQ9" s="756"/>
      <c r="KR9" s="756"/>
      <c r="KS9" s="756"/>
      <c r="KT9" s="756"/>
      <c r="KU9" s="756"/>
      <c r="KV9" s="756"/>
      <c r="KW9" s="756"/>
      <c r="KX9" s="756"/>
      <c r="KY9" s="756"/>
      <c r="KZ9" s="756"/>
      <c r="LA9" s="756"/>
      <c r="LB9" s="756"/>
      <c r="LC9" s="756"/>
      <c r="LD9" s="756"/>
      <c r="LE9" s="756"/>
      <c r="LF9" s="756"/>
      <c r="LG9" s="756"/>
      <c r="LH9" s="756"/>
      <c r="LI9" s="756"/>
      <c r="LJ9" s="756"/>
      <c r="LK9" s="756"/>
      <c r="LL9" s="756"/>
      <c r="LM9" s="756"/>
      <c r="LN9" s="756"/>
      <c r="LO9" s="756"/>
      <c r="LP9" s="756"/>
      <c r="LQ9" s="756"/>
      <c r="LR9" s="756"/>
      <c r="LS9" s="756"/>
      <c r="LT9" s="756"/>
      <c r="LU9" s="756"/>
      <c r="LV9" s="756"/>
      <c r="LW9" s="756"/>
      <c r="LX9" s="756"/>
      <c r="LY9" s="756"/>
      <c r="LZ9" s="756"/>
      <c r="MA9" s="756"/>
      <c r="MB9" s="756"/>
      <c r="MC9" s="756"/>
      <c r="MD9" s="756"/>
      <c r="ME9" s="756"/>
      <c r="MF9" s="756"/>
      <c r="MG9" s="756"/>
      <c r="MH9" s="756"/>
      <c r="MI9" s="756"/>
      <c r="MJ9" s="756"/>
      <c r="MK9" s="756"/>
      <c r="ML9" s="756"/>
      <c r="MM9" s="756"/>
      <c r="MN9" s="756"/>
      <c r="MO9" s="756"/>
      <c r="MP9" s="756"/>
      <c r="MQ9" s="756"/>
      <c r="MR9" s="756"/>
      <c r="MS9" s="756"/>
      <c r="MT9" s="756"/>
      <c r="MU9" s="756"/>
      <c r="MV9" s="756"/>
      <c r="MW9" s="756"/>
      <c r="MX9" s="756"/>
      <c r="MY9" s="756"/>
      <c r="MZ9" s="756"/>
      <c r="NA9" s="756"/>
      <c r="NB9" s="756"/>
      <c r="NC9" s="756"/>
      <c r="ND9" s="756"/>
      <c r="NE9" s="756"/>
      <c r="NF9" s="756"/>
      <c r="NG9" s="756"/>
      <c r="NH9" s="756"/>
      <c r="NI9" s="756"/>
      <c r="NJ9" s="756"/>
      <c r="NK9" s="756"/>
      <c r="NL9" s="756"/>
      <c r="NM9" s="756"/>
      <c r="NN9" s="756"/>
      <c r="NO9" s="756"/>
      <c r="NP9" s="756"/>
      <c r="NQ9" s="756"/>
      <c r="NR9" s="756"/>
      <c r="NS9" s="756"/>
      <c r="NT9" s="756"/>
      <c r="NU9" s="756"/>
      <c r="NV9" s="756"/>
      <c r="NW9" s="756"/>
      <c r="NX9" s="756"/>
      <c r="NY9" s="756"/>
      <c r="NZ9" s="756"/>
      <c r="OA9" s="756"/>
      <c r="OB9" s="756"/>
      <c r="OC9" s="756"/>
      <c r="OD9" s="756"/>
      <c r="OE9" s="756"/>
      <c r="OF9" s="756"/>
      <c r="OG9" s="756"/>
      <c r="OH9" s="756"/>
      <c r="OI9" s="756"/>
      <c r="OJ9" s="756"/>
      <c r="OK9" s="756"/>
      <c r="OL9" s="756"/>
      <c r="OM9" s="756"/>
      <c r="ON9" s="756"/>
      <c r="OO9" s="756"/>
      <c r="OP9" s="756"/>
      <c r="OQ9" s="756"/>
      <c r="OR9" s="756"/>
      <c r="OS9" s="756"/>
      <c r="OT9" s="756"/>
      <c r="OU9" s="756"/>
      <c r="OV9" s="756"/>
      <c r="OW9" s="756"/>
      <c r="OX9" s="756"/>
      <c r="OY9" s="756"/>
      <c r="OZ9" s="756"/>
      <c r="PA9" s="756"/>
      <c r="PB9" s="756"/>
      <c r="PC9" s="756"/>
      <c r="PD9" s="756"/>
      <c r="PE9" s="756"/>
      <c r="PF9" s="756"/>
      <c r="PG9" s="756"/>
      <c r="PH9" s="756"/>
      <c r="PI9" s="756"/>
      <c r="PJ9" s="756"/>
      <c r="PK9" s="756"/>
      <c r="PL9" s="756"/>
      <c r="PM9" s="756"/>
      <c r="PN9" s="756"/>
      <c r="PO9" s="756"/>
      <c r="PP9" s="756"/>
      <c r="PQ9" s="756"/>
      <c r="PR9" s="756"/>
      <c r="PS9" s="756"/>
      <c r="PT9" s="756"/>
      <c r="PU9" s="756"/>
      <c r="PV9" s="756"/>
      <c r="PW9" s="756"/>
      <c r="PX9" s="756"/>
      <c r="PY9" s="756"/>
      <c r="PZ9" s="756"/>
      <c r="QA9" s="756"/>
      <c r="QB9" s="756"/>
      <c r="QC9" s="756"/>
      <c r="QD9" s="756"/>
      <c r="QE9" s="756"/>
      <c r="QF9" s="756"/>
      <c r="QG9" s="756"/>
      <c r="QH9" s="756"/>
      <c r="QI9" s="756"/>
      <c r="QJ9" s="756"/>
      <c r="QK9" s="756"/>
      <c r="QL9" s="756"/>
      <c r="QM9" s="756"/>
      <c r="QN9" s="756"/>
      <c r="QO9" s="756"/>
      <c r="QP9" s="756"/>
      <c r="QQ9" s="756"/>
      <c r="QR9" s="756"/>
      <c r="QS9" s="756"/>
      <c r="QT9" s="756"/>
      <c r="QU9" s="756"/>
      <c r="QV9" s="756"/>
      <c r="QW9" s="756"/>
      <c r="QX9" s="756"/>
      <c r="QY9" s="756"/>
      <c r="QZ9" s="756"/>
      <c r="RA9" s="756"/>
      <c r="RB9" s="756"/>
      <c r="RC9" s="756"/>
      <c r="RD9" s="756"/>
      <c r="RE9" s="756"/>
      <c r="RF9" s="756"/>
      <c r="RG9" s="756"/>
      <c r="RH9" s="756"/>
      <c r="RI9" s="756"/>
      <c r="RJ9" s="756"/>
      <c r="RK9" s="756"/>
      <c r="RL9" s="756"/>
      <c r="RM9" s="756"/>
      <c r="RN9" s="756"/>
      <c r="RO9" s="756"/>
      <c r="RP9" s="756"/>
      <c r="RQ9" s="756"/>
      <c r="RR9" s="756"/>
      <c r="RS9" s="756"/>
      <c r="RT9" s="756"/>
      <c r="RU9" s="756"/>
      <c r="RV9" s="756"/>
      <c r="RW9" s="756"/>
      <c r="RX9" s="756"/>
      <c r="RY9" s="756"/>
      <c r="RZ9" s="756"/>
      <c r="SA9" s="756"/>
      <c r="SB9" s="756"/>
      <c r="SC9" s="756"/>
      <c r="SD9" s="756"/>
      <c r="SE9" s="756"/>
      <c r="SF9" s="756"/>
      <c r="SG9" s="756"/>
      <c r="SH9" s="756"/>
      <c r="SI9" s="756"/>
      <c r="SJ9" s="756"/>
      <c r="SK9" s="756"/>
      <c r="SL9" s="756"/>
      <c r="SM9" s="756"/>
      <c r="SN9" s="756"/>
      <c r="SO9" s="756"/>
      <c r="SP9" s="756"/>
      <c r="SQ9" s="756"/>
      <c r="SR9" s="756"/>
    </row>
    <row r="10" spans="1:512" ht="15" customHeight="1">
      <c r="A10" s="969"/>
      <c r="B10" s="969" t="s">
        <v>2201</v>
      </c>
      <c r="C10" s="969"/>
      <c r="D10" s="969"/>
      <c r="E10" s="969" t="s">
        <v>237</v>
      </c>
      <c r="F10" s="969"/>
      <c r="G10" s="756">
        <v>1</v>
      </c>
      <c r="H10" s="1027">
        <v>1</v>
      </c>
      <c r="I10" s="756"/>
      <c r="J10" s="756"/>
      <c r="K10" s="756"/>
      <c r="L10" s="756"/>
      <c r="M10" s="756"/>
      <c r="N10" s="756"/>
      <c r="O10" s="756"/>
      <c r="P10" s="756"/>
      <c r="Q10" s="756"/>
      <c r="R10" s="756"/>
      <c r="S10" s="756"/>
      <c r="T10" s="756"/>
      <c r="U10" s="756"/>
      <c r="V10" s="756"/>
      <c r="W10" s="756"/>
      <c r="X10" s="756"/>
      <c r="Y10" s="756"/>
      <c r="Z10" s="756"/>
      <c r="AA10" s="756"/>
      <c r="AB10" s="756"/>
      <c r="AC10" s="756"/>
      <c r="AD10" s="756"/>
      <c r="AE10" s="756"/>
      <c r="AF10" s="756"/>
      <c r="AG10" s="756"/>
      <c r="AH10" s="756"/>
      <c r="AI10" s="756"/>
      <c r="AJ10" s="756"/>
      <c r="AK10" s="756"/>
      <c r="AL10" s="756"/>
      <c r="AM10" s="756"/>
      <c r="AN10" s="756"/>
      <c r="AO10" s="756"/>
      <c r="AP10" s="756"/>
      <c r="AQ10" s="756"/>
      <c r="AR10" s="756"/>
      <c r="AS10" s="756"/>
      <c r="AT10" s="756"/>
      <c r="AU10" s="756"/>
      <c r="AV10" s="756"/>
      <c r="AW10" s="756"/>
      <c r="AX10" s="756"/>
      <c r="AY10" s="756"/>
      <c r="AZ10" s="756"/>
      <c r="BA10" s="756"/>
      <c r="BB10" s="756"/>
      <c r="BC10" s="756"/>
      <c r="BD10" s="756"/>
      <c r="BE10" s="756"/>
      <c r="BF10" s="756"/>
      <c r="BG10" s="756"/>
      <c r="BH10" s="756"/>
      <c r="BI10" s="756"/>
      <c r="BJ10" s="756"/>
      <c r="BK10" s="756"/>
      <c r="BL10" s="756"/>
      <c r="BM10" s="756"/>
      <c r="BN10" s="756"/>
      <c r="BO10" s="756"/>
      <c r="BP10" s="756"/>
      <c r="BQ10" s="756"/>
      <c r="BR10" s="756"/>
      <c r="BS10" s="756"/>
      <c r="BT10" s="756"/>
      <c r="BU10" s="756"/>
      <c r="BV10" s="756"/>
      <c r="BW10" s="756"/>
      <c r="BX10" s="756"/>
      <c r="BY10" s="756"/>
      <c r="BZ10" s="756"/>
      <c r="CA10" s="756"/>
      <c r="CB10" s="756"/>
      <c r="CC10" s="756"/>
      <c r="CD10" s="756"/>
      <c r="CE10" s="756"/>
      <c r="CF10" s="756"/>
      <c r="CG10" s="756"/>
      <c r="CH10" s="756"/>
      <c r="CI10" s="756"/>
      <c r="CJ10" s="756"/>
      <c r="CK10" s="756"/>
      <c r="CL10" s="756"/>
      <c r="CM10" s="756"/>
      <c r="CN10" s="756"/>
      <c r="CO10" s="756"/>
      <c r="CP10" s="756"/>
      <c r="CQ10" s="756"/>
      <c r="CR10" s="756"/>
      <c r="CS10" s="756"/>
      <c r="CT10" s="756"/>
      <c r="CU10" s="756"/>
      <c r="CV10" s="756"/>
      <c r="CW10" s="756"/>
      <c r="CX10" s="756"/>
      <c r="CY10" s="756"/>
      <c r="CZ10" s="756"/>
      <c r="DA10" s="756"/>
      <c r="DB10" s="756"/>
      <c r="DC10" s="756"/>
      <c r="DD10" s="756"/>
      <c r="DE10" s="756"/>
      <c r="DF10" s="756"/>
      <c r="DG10" s="756"/>
      <c r="DH10" s="756"/>
      <c r="DI10" s="756"/>
      <c r="DJ10" s="756"/>
      <c r="DK10" s="756"/>
      <c r="DL10" s="756"/>
      <c r="DM10" s="756"/>
      <c r="DN10" s="756"/>
      <c r="DO10" s="756"/>
      <c r="DP10" s="756"/>
      <c r="DQ10" s="756"/>
      <c r="DR10" s="756"/>
      <c r="DS10" s="756"/>
      <c r="DT10" s="756"/>
      <c r="DU10" s="756"/>
      <c r="DV10" s="756"/>
      <c r="DW10" s="756"/>
      <c r="DX10" s="756"/>
      <c r="DY10" s="756"/>
      <c r="DZ10" s="756"/>
      <c r="EA10" s="756"/>
      <c r="EB10" s="756"/>
      <c r="EC10" s="756"/>
      <c r="ED10" s="756"/>
      <c r="EE10" s="756"/>
      <c r="EF10" s="756"/>
      <c r="EG10" s="756"/>
      <c r="EH10" s="756"/>
      <c r="EI10" s="756"/>
      <c r="EJ10" s="756"/>
      <c r="EK10" s="756"/>
      <c r="EL10" s="756"/>
      <c r="EM10" s="756"/>
      <c r="EN10" s="756"/>
      <c r="EO10" s="756"/>
      <c r="EP10" s="756"/>
      <c r="EQ10" s="756"/>
      <c r="ER10" s="756"/>
      <c r="ES10" s="756"/>
      <c r="ET10" s="756"/>
      <c r="EU10" s="756"/>
      <c r="EV10" s="756"/>
      <c r="EW10" s="756"/>
      <c r="EX10" s="756"/>
      <c r="EY10" s="756"/>
      <c r="EZ10" s="756"/>
      <c r="FA10" s="756"/>
      <c r="FB10" s="756"/>
      <c r="FC10" s="756"/>
      <c r="FD10" s="756"/>
      <c r="FE10" s="756"/>
      <c r="FF10" s="756"/>
      <c r="FG10" s="756"/>
      <c r="FH10" s="756"/>
      <c r="FI10" s="756"/>
      <c r="FJ10" s="756"/>
      <c r="FK10" s="756"/>
      <c r="FL10" s="756"/>
      <c r="FM10" s="756"/>
      <c r="FN10" s="756"/>
      <c r="FO10" s="756"/>
      <c r="FP10" s="756"/>
      <c r="FQ10" s="756"/>
      <c r="FR10" s="756"/>
      <c r="FS10" s="756"/>
      <c r="FT10" s="756"/>
      <c r="FU10" s="756"/>
      <c r="FV10" s="756"/>
      <c r="FW10" s="756"/>
      <c r="FX10" s="756"/>
      <c r="FY10" s="756"/>
      <c r="FZ10" s="756"/>
      <c r="GA10" s="756"/>
      <c r="GB10" s="756"/>
      <c r="GC10" s="756"/>
      <c r="GD10" s="756"/>
      <c r="GE10" s="756"/>
      <c r="GF10" s="756"/>
      <c r="GG10" s="756"/>
      <c r="GH10" s="756"/>
      <c r="GI10" s="756"/>
      <c r="GJ10" s="756"/>
      <c r="GK10" s="756"/>
      <c r="GL10" s="756"/>
      <c r="GM10" s="756"/>
      <c r="GN10" s="756"/>
      <c r="GO10" s="756"/>
      <c r="GP10" s="756"/>
      <c r="GQ10" s="756"/>
      <c r="GR10" s="756"/>
      <c r="GS10" s="756"/>
      <c r="GT10" s="756"/>
      <c r="GU10" s="756"/>
      <c r="GV10" s="756"/>
      <c r="GW10" s="756"/>
      <c r="GX10" s="756"/>
      <c r="GY10" s="756"/>
      <c r="GZ10" s="756"/>
      <c r="HA10" s="756"/>
      <c r="HB10" s="756"/>
      <c r="HC10" s="756"/>
      <c r="HD10" s="756"/>
      <c r="HE10" s="756"/>
      <c r="HF10" s="756"/>
      <c r="HG10" s="756"/>
      <c r="HH10" s="756"/>
      <c r="HI10" s="756"/>
      <c r="HJ10" s="756"/>
      <c r="HK10" s="756"/>
      <c r="HL10" s="756"/>
      <c r="HM10" s="756"/>
      <c r="HN10" s="756"/>
      <c r="HO10" s="756"/>
      <c r="HP10" s="756"/>
      <c r="HQ10" s="756"/>
      <c r="HR10" s="756"/>
      <c r="HS10" s="756"/>
      <c r="HT10" s="756"/>
      <c r="HU10" s="756"/>
      <c r="HV10" s="756"/>
      <c r="HW10" s="756"/>
      <c r="HX10" s="756"/>
      <c r="HY10" s="756"/>
      <c r="HZ10" s="756"/>
      <c r="IA10" s="756"/>
      <c r="IB10" s="756"/>
      <c r="IC10" s="756"/>
      <c r="ID10" s="756"/>
      <c r="IE10" s="756"/>
      <c r="IF10" s="756"/>
      <c r="IG10" s="756"/>
      <c r="IH10" s="756"/>
      <c r="II10" s="756"/>
      <c r="IJ10" s="756"/>
      <c r="IK10" s="756"/>
      <c r="IL10" s="756"/>
      <c r="IM10" s="756"/>
      <c r="IN10" s="756"/>
      <c r="IO10" s="756"/>
      <c r="IP10" s="756"/>
      <c r="IQ10" s="756"/>
      <c r="IR10" s="756"/>
      <c r="IS10" s="756"/>
      <c r="IT10" s="756"/>
      <c r="IU10" s="756"/>
      <c r="IV10" s="756"/>
      <c r="IW10" s="756"/>
      <c r="IX10" s="756"/>
      <c r="IY10" s="756"/>
      <c r="IZ10" s="756"/>
      <c r="JA10" s="756"/>
      <c r="JB10" s="756"/>
      <c r="JC10" s="756"/>
      <c r="JD10" s="756"/>
      <c r="JE10" s="756"/>
      <c r="JF10" s="756"/>
      <c r="JG10" s="756"/>
      <c r="JH10" s="756"/>
      <c r="JI10" s="756"/>
      <c r="JJ10" s="756"/>
      <c r="JK10" s="756"/>
      <c r="JL10" s="756"/>
      <c r="JM10" s="756"/>
      <c r="JN10" s="756"/>
      <c r="JO10" s="756"/>
      <c r="JP10" s="756"/>
      <c r="JQ10" s="756"/>
      <c r="JR10" s="756"/>
      <c r="JS10" s="756"/>
      <c r="JT10" s="756"/>
      <c r="JU10" s="756"/>
      <c r="JV10" s="756"/>
      <c r="JW10" s="756"/>
      <c r="JX10" s="756"/>
      <c r="JY10" s="756"/>
      <c r="JZ10" s="756"/>
      <c r="KA10" s="756"/>
      <c r="KB10" s="756"/>
      <c r="KC10" s="756"/>
      <c r="KD10" s="756"/>
      <c r="KE10" s="756"/>
      <c r="KF10" s="756"/>
      <c r="KG10" s="756"/>
      <c r="KH10" s="756"/>
      <c r="KI10" s="756"/>
      <c r="KJ10" s="756"/>
      <c r="KK10" s="756"/>
      <c r="KL10" s="756"/>
      <c r="KM10" s="756"/>
      <c r="KN10" s="756"/>
      <c r="KO10" s="756"/>
      <c r="KP10" s="756"/>
      <c r="KQ10" s="756"/>
      <c r="KR10" s="756"/>
      <c r="KS10" s="756"/>
      <c r="KT10" s="756"/>
      <c r="KU10" s="756"/>
      <c r="KV10" s="756"/>
      <c r="KW10" s="756"/>
      <c r="KX10" s="756"/>
      <c r="KY10" s="756"/>
      <c r="KZ10" s="756"/>
      <c r="LA10" s="756"/>
      <c r="LB10" s="756"/>
      <c r="LC10" s="756"/>
      <c r="LD10" s="756"/>
      <c r="LE10" s="756"/>
      <c r="LF10" s="756"/>
      <c r="LG10" s="756"/>
      <c r="LH10" s="756"/>
      <c r="LI10" s="756"/>
      <c r="LJ10" s="756"/>
      <c r="LK10" s="756"/>
      <c r="LL10" s="756"/>
      <c r="LM10" s="756"/>
      <c r="LN10" s="756"/>
      <c r="LO10" s="756"/>
      <c r="LP10" s="756"/>
      <c r="LQ10" s="756"/>
      <c r="LR10" s="756"/>
      <c r="LS10" s="756"/>
      <c r="LT10" s="756"/>
      <c r="LU10" s="756"/>
      <c r="LV10" s="756"/>
      <c r="LW10" s="756"/>
      <c r="LX10" s="756"/>
      <c r="LY10" s="756"/>
      <c r="LZ10" s="756"/>
      <c r="MA10" s="756"/>
      <c r="MB10" s="756"/>
      <c r="MC10" s="756"/>
      <c r="MD10" s="756"/>
      <c r="ME10" s="756"/>
      <c r="MF10" s="756"/>
      <c r="MG10" s="756"/>
      <c r="MH10" s="756"/>
      <c r="MI10" s="756"/>
      <c r="MJ10" s="756"/>
      <c r="MK10" s="756"/>
      <c r="ML10" s="756"/>
      <c r="MM10" s="756"/>
      <c r="MN10" s="756"/>
      <c r="MO10" s="756"/>
      <c r="MP10" s="756"/>
      <c r="MQ10" s="756"/>
      <c r="MR10" s="756"/>
      <c r="MS10" s="756"/>
      <c r="MT10" s="756"/>
      <c r="MU10" s="756"/>
      <c r="MV10" s="756"/>
      <c r="MW10" s="756"/>
      <c r="MX10" s="756"/>
      <c r="MY10" s="756"/>
      <c r="MZ10" s="756"/>
      <c r="NA10" s="756"/>
      <c r="NB10" s="756"/>
      <c r="NC10" s="756"/>
      <c r="ND10" s="756"/>
      <c r="NE10" s="756"/>
      <c r="NF10" s="756"/>
      <c r="NG10" s="756"/>
      <c r="NH10" s="756"/>
      <c r="NI10" s="756"/>
      <c r="NJ10" s="756"/>
      <c r="NK10" s="756"/>
      <c r="NL10" s="756"/>
      <c r="NM10" s="756"/>
      <c r="NN10" s="756"/>
      <c r="NO10" s="756"/>
      <c r="NP10" s="756"/>
      <c r="NQ10" s="756"/>
      <c r="NR10" s="756"/>
      <c r="NS10" s="756"/>
      <c r="NT10" s="756"/>
      <c r="NU10" s="756"/>
      <c r="NV10" s="756"/>
      <c r="NW10" s="756"/>
      <c r="NX10" s="756"/>
      <c r="NY10" s="756"/>
      <c r="NZ10" s="756"/>
      <c r="OA10" s="756"/>
      <c r="OB10" s="756"/>
      <c r="OC10" s="756"/>
      <c r="OD10" s="756"/>
      <c r="OE10" s="756"/>
      <c r="OF10" s="756"/>
      <c r="OG10" s="756"/>
      <c r="OH10" s="756"/>
      <c r="OI10" s="756"/>
      <c r="OJ10" s="756"/>
      <c r="OK10" s="756"/>
      <c r="OL10" s="756"/>
      <c r="OM10" s="756"/>
      <c r="ON10" s="756"/>
      <c r="OO10" s="756"/>
      <c r="OP10" s="756"/>
      <c r="OQ10" s="756"/>
      <c r="OR10" s="756"/>
      <c r="OS10" s="756"/>
      <c r="OT10" s="756"/>
      <c r="OU10" s="756"/>
      <c r="OV10" s="756"/>
      <c r="OW10" s="756"/>
      <c r="OX10" s="756"/>
      <c r="OY10" s="756"/>
      <c r="OZ10" s="756"/>
      <c r="PA10" s="756"/>
      <c r="PB10" s="756"/>
      <c r="PC10" s="756"/>
      <c r="PD10" s="756"/>
      <c r="PE10" s="756"/>
      <c r="PF10" s="756"/>
      <c r="PG10" s="756"/>
      <c r="PH10" s="756"/>
      <c r="PI10" s="756"/>
      <c r="PJ10" s="756"/>
      <c r="PK10" s="756"/>
      <c r="PL10" s="756"/>
      <c r="PM10" s="756"/>
      <c r="PN10" s="756"/>
      <c r="PO10" s="756"/>
      <c r="PP10" s="756"/>
      <c r="PQ10" s="756"/>
      <c r="PR10" s="756"/>
      <c r="PS10" s="756"/>
      <c r="PT10" s="756"/>
      <c r="PU10" s="756"/>
      <c r="PV10" s="756"/>
      <c r="PW10" s="756"/>
      <c r="PX10" s="756"/>
      <c r="PY10" s="756"/>
      <c r="PZ10" s="756"/>
      <c r="QA10" s="756"/>
      <c r="QB10" s="756"/>
      <c r="QC10" s="756"/>
      <c r="QD10" s="756"/>
      <c r="QE10" s="756"/>
      <c r="QF10" s="756"/>
      <c r="QG10" s="756"/>
      <c r="QH10" s="756"/>
      <c r="QI10" s="756"/>
      <c r="QJ10" s="756"/>
      <c r="QK10" s="756"/>
      <c r="QL10" s="756"/>
      <c r="QM10" s="756"/>
      <c r="QN10" s="756"/>
      <c r="QO10" s="756"/>
      <c r="QP10" s="756"/>
      <c r="QQ10" s="756"/>
      <c r="QR10" s="756"/>
      <c r="QS10" s="756"/>
      <c r="QT10" s="756"/>
      <c r="QU10" s="756"/>
      <c r="QV10" s="756"/>
      <c r="QW10" s="756"/>
      <c r="QX10" s="756"/>
      <c r="QY10" s="756"/>
      <c r="QZ10" s="756"/>
      <c r="RA10" s="756"/>
      <c r="RB10" s="756"/>
      <c r="RC10" s="756"/>
      <c r="RD10" s="756"/>
      <c r="RE10" s="756"/>
      <c r="RF10" s="756"/>
      <c r="RG10" s="756"/>
      <c r="RH10" s="756"/>
      <c r="RI10" s="756"/>
      <c r="RJ10" s="756"/>
      <c r="RK10" s="756"/>
      <c r="RL10" s="756"/>
      <c r="RM10" s="756"/>
      <c r="RN10" s="756"/>
      <c r="RO10" s="756"/>
      <c r="RP10" s="756"/>
      <c r="RQ10" s="756"/>
      <c r="RR10" s="756"/>
      <c r="RS10" s="756"/>
      <c r="RT10" s="756"/>
      <c r="RU10" s="756"/>
      <c r="RV10" s="756"/>
      <c r="RW10" s="756"/>
      <c r="RX10" s="756"/>
      <c r="RY10" s="756"/>
      <c r="RZ10" s="756"/>
      <c r="SA10" s="756"/>
      <c r="SB10" s="756"/>
      <c r="SC10" s="756"/>
      <c r="SD10" s="756"/>
      <c r="SE10" s="756"/>
      <c r="SF10" s="756"/>
      <c r="SG10" s="756"/>
      <c r="SH10" s="756"/>
      <c r="SI10" s="756"/>
      <c r="SJ10" s="756"/>
      <c r="SK10" s="756"/>
      <c r="SL10" s="756"/>
      <c r="SM10" s="756"/>
      <c r="SN10" s="756"/>
      <c r="SO10" s="756"/>
      <c r="SP10" s="756"/>
      <c r="SQ10" s="756"/>
      <c r="SR10" s="756"/>
    </row>
    <row r="11" spans="1:512" ht="15" customHeight="1">
      <c r="A11" s="969"/>
      <c r="B11" s="969" t="s">
        <v>1594</v>
      </c>
      <c r="C11" s="969"/>
      <c r="D11" s="969"/>
      <c r="E11" s="969" t="s">
        <v>237</v>
      </c>
      <c r="F11" s="969"/>
      <c r="G11" s="756">
        <v>1</v>
      </c>
      <c r="H11" s="1027">
        <v>0</v>
      </c>
      <c r="I11" s="756"/>
      <c r="J11" s="756"/>
      <c r="K11" s="756"/>
      <c r="L11" s="756"/>
      <c r="M11" s="756"/>
      <c r="N11" s="756"/>
      <c r="O11" s="756"/>
      <c r="P11" s="756"/>
      <c r="Q11" s="756"/>
      <c r="R11" s="756"/>
      <c r="S11" s="756"/>
      <c r="T11" s="756"/>
      <c r="U11" s="756"/>
      <c r="V11" s="756"/>
      <c r="W11" s="756"/>
      <c r="X11" s="756"/>
      <c r="Y11" s="756"/>
      <c r="Z11" s="756"/>
      <c r="AA11" s="756"/>
      <c r="AB11" s="756"/>
      <c r="AC11" s="756"/>
      <c r="AD11" s="756"/>
      <c r="AE11" s="756"/>
      <c r="AF11" s="756"/>
      <c r="AG11" s="756"/>
      <c r="AH11" s="756"/>
      <c r="AI11" s="756"/>
      <c r="AJ11" s="756"/>
      <c r="AK11" s="756"/>
      <c r="AL11" s="756"/>
      <c r="AM11" s="756"/>
      <c r="AN11" s="756"/>
      <c r="AO11" s="756"/>
      <c r="AP11" s="756"/>
      <c r="AQ11" s="756"/>
      <c r="AR11" s="756"/>
      <c r="AS11" s="756"/>
      <c r="AT11" s="756"/>
      <c r="AU11" s="756"/>
      <c r="AV11" s="756"/>
      <c r="AW11" s="756"/>
      <c r="AX11" s="756"/>
      <c r="AY11" s="756"/>
      <c r="AZ11" s="756"/>
      <c r="BA11" s="756"/>
      <c r="BB11" s="756"/>
      <c r="BC11" s="756"/>
      <c r="BD11" s="756"/>
      <c r="BE11" s="756"/>
      <c r="BF11" s="756"/>
      <c r="BG11" s="756"/>
      <c r="BH11" s="756"/>
      <c r="BI11" s="756"/>
      <c r="BJ11" s="756"/>
      <c r="BK11" s="756"/>
      <c r="BL11" s="756"/>
      <c r="BM11" s="756"/>
      <c r="BN11" s="756"/>
      <c r="BO11" s="756"/>
      <c r="BP11" s="756"/>
      <c r="BQ11" s="756"/>
      <c r="BR11" s="756"/>
      <c r="BS11" s="756"/>
      <c r="BT11" s="756"/>
      <c r="BU11" s="756"/>
      <c r="BV11" s="756"/>
      <c r="BW11" s="756"/>
      <c r="BX11" s="756"/>
      <c r="BY11" s="756"/>
      <c r="BZ11" s="756"/>
      <c r="CA11" s="756"/>
      <c r="CB11" s="756"/>
      <c r="CC11" s="756"/>
      <c r="CD11" s="756"/>
      <c r="CE11" s="756"/>
      <c r="CF11" s="756"/>
      <c r="CG11" s="756"/>
      <c r="CH11" s="756"/>
      <c r="CI11" s="756"/>
      <c r="CJ11" s="756"/>
      <c r="CK11" s="756"/>
      <c r="CL11" s="756"/>
      <c r="CM11" s="756"/>
      <c r="CN11" s="756"/>
      <c r="CO11" s="756"/>
      <c r="CP11" s="756"/>
      <c r="CQ11" s="756"/>
      <c r="CR11" s="756"/>
      <c r="CS11" s="756"/>
      <c r="CT11" s="756"/>
      <c r="CU11" s="756"/>
      <c r="CV11" s="756"/>
      <c r="CW11" s="756"/>
      <c r="CX11" s="756"/>
      <c r="CY11" s="756"/>
      <c r="CZ11" s="756"/>
      <c r="DA11" s="756"/>
      <c r="DB11" s="756"/>
      <c r="DC11" s="756"/>
      <c r="DD11" s="756"/>
      <c r="DE11" s="756"/>
      <c r="DF11" s="756"/>
      <c r="DG11" s="756"/>
      <c r="DH11" s="756"/>
      <c r="DI11" s="756"/>
      <c r="DJ11" s="756"/>
      <c r="DK11" s="756"/>
      <c r="DL11" s="756"/>
      <c r="DM11" s="756"/>
      <c r="DN11" s="756"/>
      <c r="DO11" s="756"/>
      <c r="DP11" s="756"/>
      <c r="DQ11" s="756"/>
      <c r="DR11" s="756"/>
      <c r="DS11" s="756"/>
      <c r="DT11" s="756"/>
      <c r="DU11" s="756"/>
      <c r="DV11" s="756"/>
      <c r="DW11" s="756"/>
      <c r="DX11" s="756"/>
      <c r="DY11" s="756"/>
      <c r="DZ11" s="756"/>
      <c r="EA11" s="756"/>
      <c r="EB11" s="756"/>
      <c r="EC11" s="756"/>
      <c r="ED11" s="756"/>
      <c r="EE11" s="756"/>
      <c r="EF11" s="756"/>
      <c r="EG11" s="756"/>
      <c r="EH11" s="756"/>
      <c r="EI11" s="756"/>
      <c r="EJ11" s="756"/>
      <c r="EK11" s="756"/>
      <c r="EL11" s="756"/>
      <c r="EM11" s="756"/>
      <c r="EN11" s="756"/>
      <c r="EO11" s="756"/>
      <c r="EP11" s="756"/>
      <c r="EQ11" s="756"/>
      <c r="ER11" s="756"/>
      <c r="ES11" s="756"/>
      <c r="ET11" s="756"/>
      <c r="EU11" s="756"/>
      <c r="EV11" s="756"/>
      <c r="EW11" s="756"/>
      <c r="EX11" s="756"/>
      <c r="EY11" s="756"/>
      <c r="EZ11" s="756"/>
      <c r="FA11" s="756"/>
      <c r="FB11" s="756"/>
      <c r="FC11" s="756"/>
      <c r="FD11" s="756"/>
      <c r="FE11" s="756"/>
      <c r="FF11" s="756"/>
      <c r="FG11" s="756"/>
      <c r="FH11" s="756"/>
      <c r="FI11" s="756"/>
      <c r="FJ11" s="756"/>
      <c r="FK11" s="756"/>
      <c r="FL11" s="756"/>
      <c r="FM11" s="756"/>
      <c r="FN11" s="756"/>
      <c r="FO11" s="756"/>
      <c r="FP11" s="756"/>
      <c r="FQ11" s="756"/>
      <c r="FR11" s="756"/>
      <c r="FS11" s="756"/>
      <c r="FT11" s="756"/>
      <c r="FU11" s="756"/>
      <c r="FV11" s="756"/>
      <c r="FW11" s="756"/>
      <c r="FX11" s="756"/>
      <c r="FY11" s="756"/>
      <c r="FZ11" s="756"/>
      <c r="GA11" s="756"/>
      <c r="GB11" s="756"/>
      <c r="GC11" s="756"/>
      <c r="GD11" s="756"/>
      <c r="GE11" s="756"/>
      <c r="GF11" s="756"/>
      <c r="GG11" s="756"/>
      <c r="GH11" s="756"/>
      <c r="GI11" s="756"/>
      <c r="GJ11" s="756"/>
      <c r="GK11" s="756"/>
      <c r="GL11" s="756"/>
      <c r="GM11" s="756"/>
      <c r="GN11" s="756"/>
      <c r="GO11" s="756"/>
      <c r="GP11" s="756"/>
      <c r="GQ11" s="756"/>
      <c r="GR11" s="756"/>
      <c r="GS11" s="756"/>
      <c r="GT11" s="756"/>
      <c r="GU11" s="756"/>
      <c r="GV11" s="756"/>
      <c r="GW11" s="756"/>
      <c r="GX11" s="756"/>
      <c r="GY11" s="756"/>
      <c r="GZ11" s="756"/>
      <c r="HA11" s="756"/>
      <c r="HB11" s="756"/>
      <c r="HC11" s="756"/>
      <c r="HD11" s="756"/>
      <c r="HE11" s="756"/>
      <c r="HF11" s="756"/>
      <c r="HG11" s="756"/>
      <c r="HH11" s="756"/>
      <c r="HI11" s="756"/>
      <c r="HJ11" s="756"/>
      <c r="HK11" s="756"/>
      <c r="HL11" s="756"/>
      <c r="HM11" s="756"/>
      <c r="HN11" s="756"/>
      <c r="HO11" s="756"/>
      <c r="HP11" s="756"/>
      <c r="HQ11" s="756"/>
      <c r="HR11" s="756"/>
      <c r="HS11" s="756"/>
      <c r="HT11" s="756"/>
      <c r="HU11" s="756"/>
      <c r="HV11" s="756"/>
      <c r="HW11" s="756"/>
      <c r="HX11" s="756"/>
      <c r="HY11" s="756"/>
      <c r="HZ11" s="756"/>
      <c r="IA11" s="756"/>
      <c r="IB11" s="756"/>
      <c r="IC11" s="756"/>
      <c r="ID11" s="756"/>
      <c r="IE11" s="756"/>
      <c r="IF11" s="756"/>
      <c r="IG11" s="756"/>
      <c r="IH11" s="756"/>
      <c r="II11" s="756"/>
      <c r="IJ11" s="756"/>
      <c r="IK11" s="756"/>
      <c r="IL11" s="756"/>
      <c r="IM11" s="756"/>
      <c r="IN11" s="756"/>
      <c r="IO11" s="756"/>
      <c r="IP11" s="756"/>
      <c r="IQ11" s="756"/>
      <c r="IR11" s="756"/>
      <c r="IS11" s="756"/>
      <c r="IT11" s="756"/>
      <c r="IU11" s="756"/>
      <c r="IV11" s="756"/>
      <c r="IW11" s="756"/>
      <c r="IX11" s="756"/>
      <c r="IY11" s="756"/>
      <c r="IZ11" s="756"/>
      <c r="JA11" s="756"/>
      <c r="JB11" s="756"/>
      <c r="JC11" s="756"/>
      <c r="JD11" s="756"/>
      <c r="JE11" s="756"/>
      <c r="JF11" s="756"/>
      <c r="JG11" s="756"/>
      <c r="JH11" s="756"/>
      <c r="JI11" s="756"/>
      <c r="JJ11" s="756"/>
      <c r="JK11" s="756"/>
      <c r="JL11" s="756"/>
      <c r="JM11" s="756"/>
      <c r="JN11" s="756"/>
      <c r="JO11" s="756"/>
      <c r="JP11" s="756"/>
      <c r="JQ11" s="756"/>
      <c r="JR11" s="756"/>
      <c r="JS11" s="756"/>
      <c r="JT11" s="756"/>
      <c r="JU11" s="756"/>
      <c r="JV11" s="756"/>
      <c r="JW11" s="756"/>
      <c r="JX11" s="756"/>
      <c r="JY11" s="756"/>
      <c r="JZ11" s="756"/>
      <c r="KA11" s="756"/>
      <c r="KB11" s="756"/>
      <c r="KC11" s="756"/>
      <c r="KD11" s="756"/>
      <c r="KE11" s="756"/>
      <c r="KF11" s="756"/>
      <c r="KG11" s="756"/>
      <c r="KH11" s="756"/>
      <c r="KI11" s="756"/>
      <c r="KJ11" s="756"/>
      <c r="KK11" s="756"/>
      <c r="KL11" s="756"/>
      <c r="KM11" s="756"/>
      <c r="KN11" s="756"/>
      <c r="KO11" s="756"/>
      <c r="KP11" s="756"/>
      <c r="KQ11" s="756"/>
      <c r="KR11" s="756"/>
      <c r="KS11" s="756"/>
      <c r="KT11" s="756"/>
      <c r="KU11" s="756"/>
      <c r="KV11" s="756"/>
      <c r="KW11" s="756"/>
      <c r="KX11" s="756"/>
      <c r="KY11" s="756"/>
      <c r="KZ11" s="756"/>
      <c r="LA11" s="756"/>
      <c r="LB11" s="756"/>
      <c r="LC11" s="756"/>
      <c r="LD11" s="756"/>
      <c r="LE11" s="756"/>
      <c r="LF11" s="756"/>
      <c r="LG11" s="756"/>
      <c r="LH11" s="756"/>
      <c r="LI11" s="756"/>
      <c r="LJ11" s="756"/>
      <c r="LK11" s="756"/>
      <c r="LL11" s="756"/>
      <c r="LM11" s="756"/>
      <c r="LN11" s="756"/>
      <c r="LO11" s="756"/>
      <c r="LP11" s="756"/>
      <c r="LQ11" s="756"/>
      <c r="LR11" s="756"/>
      <c r="LS11" s="756"/>
      <c r="LT11" s="756"/>
      <c r="LU11" s="756"/>
      <c r="LV11" s="756"/>
      <c r="LW11" s="756"/>
      <c r="LX11" s="756"/>
      <c r="LY11" s="756"/>
      <c r="LZ11" s="756"/>
      <c r="MA11" s="756"/>
      <c r="MB11" s="756"/>
      <c r="MC11" s="756"/>
      <c r="MD11" s="756"/>
      <c r="ME11" s="756"/>
      <c r="MF11" s="756"/>
      <c r="MG11" s="756"/>
      <c r="MH11" s="756"/>
      <c r="MI11" s="756"/>
      <c r="MJ11" s="756"/>
      <c r="MK11" s="756"/>
      <c r="ML11" s="756"/>
      <c r="MM11" s="756"/>
      <c r="MN11" s="756"/>
      <c r="MO11" s="756"/>
      <c r="MP11" s="756"/>
      <c r="MQ11" s="756"/>
      <c r="MR11" s="756"/>
      <c r="MS11" s="756"/>
      <c r="MT11" s="756"/>
      <c r="MU11" s="756"/>
      <c r="MV11" s="756"/>
      <c r="MW11" s="756"/>
      <c r="MX11" s="756"/>
      <c r="MY11" s="756"/>
      <c r="MZ11" s="756"/>
      <c r="NA11" s="756"/>
      <c r="NB11" s="756"/>
      <c r="NC11" s="756"/>
      <c r="ND11" s="756"/>
      <c r="NE11" s="756"/>
      <c r="NF11" s="756"/>
      <c r="NG11" s="756"/>
      <c r="NH11" s="756"/>
      <c r="NI11" s="756"/>
      <c r="NJ11" s="756"/>
      <c r="NK11" s="756"/>
      <c r="NL11" s="756"/>
      <c r="NM11" s="756"/>
      <c r="NN11" s="756"/>
      <c r="NO11" s="756"/>
      <c r="NP11" s="756"/>
      <c r="NQ11" s="756"/>
      <c r="NR11" s="756"/>
      <c r="NS11" s="756"/>
      <c r="NT11" s="756"/>
      <c r="NU11" s="756"/>
      <c r="NV11" s="756"/>
      <c r="NW11" s="756"/>
      <c r="NX11" s="756"/>
      <c r="NY11" s="756"/>
      <c r="NZ11" s="756"/>
      <c r="OA11" s="756"/>
      <c r="OB11" s="756"/>
      <c r="OC11" s="756"/>
      <c r="OD11" s="756"/>
      <c r="OE11" s="756"/>
      <c r="OF11" s="756"/>
      <c r="OG11" s="756"/>
      <c r="OH11" s="756"/>
      <c r="OI11" s="756"/>
      <c r="OJ11" s="756"/>
      <c r="OK11" s="756"/>
      <c r="OL11" s="756"/>
      <c r="OM11" s="756"/>
      <c r="ON11" s="756"/>
      <c r="OO11" s="756"/>
      <c r="OP11" s="756"/>
      <c r="OQ11" s="756"/>
      <c r="OR11" s="756"/>
      <c r="OS11" s="756"/>
      <c r="OT11" s="756"/>
      <c r="OU11" s="756"/>
      <c r="OV11" s="756"/>
      <c r="OW11" s="756"/>
      <c r="OX11" s="756"/>
      <c r="OY11" s="756"/>
      <c r="OZ11" s="756"/>
      <c r="PA11" s="756"/>
      <c r="PB11" s="756"/>
      <c r="PC11" s="756"/>
      <c r="PD11" s="756"/>
      <c r="PE11" s="756"/>
      <c r="PF11" s="756"/>
      <c r="PG11" s="756"/>
      <c r="PH11" s="756"/>
      <c r="PI11" s="756"/>
      <c r="PJ11" s="756"/>
      <c r="PK11" s="756"/>
      <c r="PL11" s="756"/>
      <c r="PM11" s="756"/>
      <c r="PN11" s="756"/>
      <c r="PO11" s="756"/>
      <c r="PP11" s="756"/>
      <c r="PQ11" s="756"/>
      <c r="PR11" s="756"/>
      <c r="PS11" s="756"/>
      <c r="PT11" s="756"/>
      <c r="PU11" s="756"/>
      <c r="PV11" s="756"/>
      <c r="PW11" s="756"/>
      <c r="PX11" s="756"/>
      <c r="PY11" s="756"/>
      <c r="PZ11" s="756"/>
      <c r="QA11" s="756"/>
      <c r="QB11" s="756"/>
      <c r="QC11" s="756"/>
      <c r="QD11" s="756"/>
      <c r="QE11" s="756"/>
      <c r="QF11" s="756"/>
      <c r="QG11" s="756"/>
      <c r="QH11" s="756"/>
      <c r="QI11" s="756"/>
      <c r="QJ11" s="756"/>
      <c r="QK11" s="756"/>
      <c r="QL11" s="756"/>
      <c r="QM11" s="756"/>
      <c r="QN11" s="756"/>
      <c r="QO11" s="756"/>
      <c r="QP11" s="756"/>
      <c r="QQ11" s="756"/>
      <c r="QR11" s="756"/>
      <c r="QS11" s="756"/>
      <c r="QT11" s="756"/>
      <c r="QU11" s="756"/>
      <c r="QV11" s="756"/>
      <c r="QW11" s="756"/>
      <c r="QX11" s="756"/>
      <c r="QY11" s="756"/>
      <c r="QZ11" s="756"/>
      <c r="RA11" s="756"/>
      <c r="RB11" s="756"/>
      <c r="RC11" s="756"/>
      <c r="RD11" s="756"/>
      <c r="RE11" s="756"/>
      <c r="RF11" s="756"/>
      <c r="RG11" s="756"/>
      <c r="RH11" s="756"/>
      <c r="RI11" s="756"/>
      <c r="RJ11" s="756"/>
      <c r="RK11" s="756"/>
      <c r="RL11" s="756"/>
      <c r="RM11" s="756"/>
      <c r="RN11" s="756"/>
      <c r="RO11" s="756"/>
      <c r="RP11" s="756"/>
      <c r="RQ11" s="756"/>
      <c r="RR11" s="756"/>
      <c r="RS11" s="756"/>
      <c r="RT11" s="756"/>
      <c r="RU11" s="756"/>
      <c r="RV11" s="756"/>
      <c r="RW11" s="756"/>
      <c r="RX11" s="756"/>
      <c r="RY11" s="756"/>
      <c r="RZ11" s="756"/>
      <c r="SA11" s="756"/>
      <c r="SB11" s="756"/>
      <c r="SC11" s="756"/>
      <c r="SD11" s="756"/>
      <c r="SE11" s="756"/>
      <c r="SF11" s="756"/>
      <c r="SG11" s="756"/>
      <c r="SH11" s="756"/>
      <c r="SI11" s="756"/>
      <c r="SJ11" s="756"/>
      <c r="SK11" s="756"/>
      <c r="SL11" s="756"/>
      <c r="SM11" s="756"/>
      <c r="SN11" s="756"/>
      <c r="SO11" s="756"/>
      <c r="SP11" s="756"/>
      <c r="SQ11" s="756"/>
      <c r="SR11" s="756"/>
    </row>
    <row r="12" spans="1:512" ht="15" customHeight="1">
      <c r="A12" s="969"/>
      <c r="B12" s="969" t="s">
        <v>1656</v>
      </c>
      <c r="C12" s="969"/>
      <c r="D12" s="969"/>
      <c r="E12" s="969" t="s">
        <v>237</v>
      </c>
      <c r="F12" s="969"/>
      <c r="G12" s="756">
        <v>0</v>
      </c>
      <c r="H12" s="1027">
        <v>0</v>
      </c>
      <c r="I12" s="756"/>
      <c r="J12" s="756"/>
      <c r="K12" s="756"/>
      <c r="L12" s="756"/>
      <c r="M12" s="756"/>
      <c r="N12" s="756"/>
      <c r="O12" s="756"/>
      <c r="P12" s="756"/>
      <c r="Q12" s="756"/>
      <c r="R12" s="756"/>
      <c r="S12" s="756"/>
      <c r="T12" s="756"/>
      <c r="U12" s="756"/>
      <c r="V12" s="756"/>
      <c r="W12" s="756"/>
      <c r="X12" s="756"/>
      <c r="Y12" s="756"/>
      <c r="Z12" s="756"/>
      <c r="AA12" s="756"/>
      <c r="AB12" s="756"/>
      <c r="AC12" s="756"/>
      <c r="AD12" s="756"/>
      <c r="AE12" s="756"/>
      <c r="AF12" s="756"/>
      <c r="AG12" s="756"/>
      <c r="AH12" s="756"/>
      <c r="AI12" s="756"/>
      <c r="AJ12" s="756"/>
      <c r="AK12" s="756"/>
      <c r="AL12" s="756"/>
      <c r="AM12" s="756"/>
      <c r="AN12" s="756"/>
      <c r="AO12" s="756"/>
      <c r="AP12" s="756"/>
      <c r="AQ12" s="756"/>
      <c r="AR12" s="756"/>
      <c r="AS12" s="756"/>
      <c r="AT12" s="756"/>
      <c r="AU12" s="756"/>
      <c r="AV12" s="756"/>
      <c r="AW12" s="756"/>
      <c r="AX12" s="756"/>
      <c r="AY12" s="756"/>
      <c r="AZ12" s="756"/>
      <c r="BA12" s="756"/>
      <c r="BB12" s="756"/>
      <c r="BC12" s="756"/>
      <c r="BD12" s="756"/>
      <c r="BE12" s="756"/>
      <c r="BF12" s="756"/>
      <c r="BG12" s="756"/>
      <c r="BH12" s="756"/>
      <c r="BI12" s="756"/>
      <c r="BJ12" s="756"/>
      <c r="BK12" s="756"/>
      <c r="BL12" s="756"/>
      <c r="BM12" s="756"/>
      <c r="BN12" s="756"/>
      <c r="BO12" s="756"/>
      <c r="BP12" s="756"/>
      <c r="BQ12" s="756"/>
      <c r="BR12" s="756"/>
      <c r="BS12" s="756"/>
      <c r="BT12" s="756"/>
      <c r="BU12" s="756"/>
      <c r="BV12" s="756"/>
      <c r="BW12" s="756"/>
      <c r="BX12" s="756"/>
      <c r="BY12" s="756"/>
      <c r="BZ12" s="756"/>
      <c r="CA12" s="756"/>
      <c r="CB12" s="756"/>
      <c r="CC12" s="756"/>
      <c r="CD12" s="756"/>
      <c r="CE12" s="756"/>
      <c r="CF12" s="756"/>
      <c r="CG12" s="756"/>
      <c r="CH12" s="756"/>
      <c r="CI12" s="756"/>
      <c r="CJ12" s="756"/>
      <c r="CK12" s="756"/>
      <c r="CL12" s="756"/>
      <c r="CM12" s="756"/>
      <c r="CN12" s="756"/>
      <c r="CO12" s="756"/>
      <c r="CP12" s="756"/>
      <c r="CQ12" s="756"/>
      <c r="CR12" s="756"/>
      <c r="CS12" s="756"/>
      <c r="CT12" s="756"/>
      <c r="CU12" s="756"/>
      <c r="CV12" s="756"/>
      <c r="CW12" s="756"/>
      <c r="CX12" s="756"/>
      <c r="CY12" s="756"/>
      <c r="CZ12" s="756"/>
      <c r="DA12" s="756"/>
      <c r="DB12" s="756"/>
      <c r="DC12" s="756"/>
      <c r="DD12" s="756"/>
      <c r="DE12" s="756"/>
      <c r="DF12" s="756"/>
      <c r="DG12" s="756"/>
      <c r="DH12" s="756"/>
      <c r="DI12" s="756"/>
      <c r="DJ12" s="756"/>
      <c r="DK12" s="756"/>
      <c r="DL12" s="756"/>
      <c r="DM12" s="756"/>
      <c r="DN12" s="756"/>
      <c r="DO12" s="756"/>
      <c r="DP12" s="756"/>
      <c r="DQ12" s="756"/>
      <c r="DR12" s="756"/>
      <c r="DS12" s="756"/>
      <c r="DT12" s="756"/>
      <c r="DU12" s="756"/>
      <c r="DV12" s="756"/>
      <c r="DW12" s="756"/>
      <c r="DX12" s="756"/>
      <c r="DY12" s="756"/>
      <c r="DZ12" s="756"/>
      <c r="EA12" s="756"/>
      <c r="EB12" s="756"/>
      <c r="EC12" s="756"/>
      <c r="ED12" s="756"/>
      <c r="EE12" s="756"/>
      <c r="EF12" s="756"/>
      <c r="EG12" s="756"/>
      <c r="EH12" s="756"/>
      <c r="EI12" s="756"/>
      <c r="EJ12" s="756"/>
      <c r="EK12" s="756"/>
      <c r="EL12" s="756"/>
      <c r="EM12" s="756"/>
      <c r="EN12" s="756"/>
      <c r="EO12" s="756"/>
      <c r="EP12" s="756"/>
      <c r="EQ12" s="756"/>
      <c r="ER12" s="756"/>
      <c r="ES12" s="756"/>
      <c r="ET12" s="756"/>
      <c r="EU12" s="756"/>
      <c r="EV12" s="756"/>
      <c r="EW12" s="756"/>
      <c r="EX12" s="756"/>
      <c r="EY12" s="756"/>
      <c r="EZ12" s="756"/>
      <c r="FA12" s="756"/>
      <c r="FB12" s="756"/>
      <c r="FC12" s="756"/>
      <c r="FD12" s="756"/>
      <c r="FE12" s="756"/>
      <c r="FF12" s="756"/>
      <c r="FG12" s="756"/>
      <c r="FH12" s="756"/>
      <c r="FI12" s="756"/>
      <c r="FJ12" s="756"/>
      <c r="FK12" s="756"/>
      <c r="FL12" s="756"/>
      <c r="FM12" s="756"/>
      <c r="FN12" s="756"/>
      <c r="FO12" s="756"/>
      <c r="FP12" s="756"/>
      <c r="FQ12" s="756"/>
      <c r="FR12" s="756"/>
      <c r="FS12" s="756"/>
      <c r="FT12" s="756"/>
      <c r="FU12" s="756"/>
      <c r="FV12" s="756"/>
      <c r="FW12" s="756"/>
      <c r="FX12" s="756"/>
      <c r="FY12" s="756"/>
      <c r="FZ12" s="756"/>
      <c r="GA12" s="756"/>
      <c r="GB12" s="756"/>
      <c r="GC12" s="756"/>
      <c r="GD12" s="756"/>
      <c r="GE12" s="756"/>
      <c r="GF12" s="756"/>
      <c r="GG12" s="756"/>
      <c r="GH12" s="756"/>
      <c r="GI12" s="756"/>
      <c r="GJ12" s="756"/>
      <c r="GK12" s="756"/>
      <c r="GL12" s="756"/>
      <c r="GM12" s="756"/>
      <c r="GN12" s="756"/>
      <c r="GO12" s="756"/>
      <c r="GP12" s="756"/>
      <c r="GQ12" s="756"/>
      <c r="GR12" s="756"/>
      <c r="GS12" s="756"/>
      <c r="GT12" s="756"/>
      <c r="GU12" s="756"/>
      <c r="GV12" s="756"/>
      <c r="GW12" s="756"/>
      <c r="GX12" s="756"/>
      <c r="GY12" s="756"/>
      <c r="GZ12" s="756"/>
      <c r="HA12" s="756"/>
      <c r="HB12" s="756"/>
      <c r="HC12" s="756"/>
      <c r="HD12" s="756"/>
      <c r="HE12" s="756"/>
      <c r="HF12" s="756"/>
      <c r="HG12" s="756"/>
      <c r="HH12" s="756"/>
      <c r="HI12" s="756"/>
      <c r="HJ12" s="756"/>
      <c r="HK12" s="756"/>
      <c r="HL12" s="756"/>
      <c r="HM12" s="756"/>
      <c r="HN12" s="756"/>
      <c r="HO12" s="756"/>
      <c r="HP12" s="756"/>
      <c r="HQ12" s="756"/>
      <c r="HR12" s="756"/>
      <c r="HS12" s="756"/>
      <c r="HT12" s="756"/>
      <c r="HU12" s="756"/>
      <c r="HV12" s="756"/>
      <c r="HW12" s="756"/>
      <c r="HX12" s="756"/>
      <c r="HY12" s="756"/>
      <c r="HZ12" s="756"/>
      <c r="IA12" s="756"/>
      <c r="IB12" s="756"/>
      <c r="IC12" s="756"/>
      <c r="ID12" s="756"/>
      <c r="IE12" s="756"/>
      <c r="IF12" s="756"/>
      <c r="IG12" s="756"/>
      <c r="IH12" s="756"/>
      <c r="II12" s="756"/>
      <c r="IJ12" s="756"/>
      <c r="IK12" s="756"/>
      <c r="IL12" s="756"/>
      <c r="IM12" s="756"/>
      <c r="IN12" s="756"/>
      <c r="IO12" s="756"/>
      <c r="IP12" s="756"/>
      <c r="IQ12" s="756"/>
      <c r="IR12" s="756"/>
      <c r="IS12" s="756"/>
      <c r="IT12" s="756"/>
      <c r="IU12" s="756"/>
      <c r="IV12" s="756"/>
      <c r="IW12" s="756"/>
      <c r="IX12" s="756"/>
      <c r="IY12" s="756"/>
      <c r="IZ12" s="756"/>
      <c r="JA12" s="756"/>
      <c r="JB12" s="756"/>
      <c r="JC12" s="756"/>
      <c r="JD12" s="756"/>
      <c r="JE12" s="756"/>
      <c r="JF12" s="756"/>
      <c r="JG12" s="756"/>
      <c r="JH12" s="756"/>
      <c r="JI12" s="756"/>
      <c r="JJ12" s="756"/>
      <c r="JK12" s="756"/>
      <c r="JL12" s="756"/>
      <c r="JM12" s="756"/>
      <c r="JN12" s="756"/>
      <c r="JO12" s="756"/>
      <c r="JP12" s="756"/>
      <c r="JQ12" s="756"/>
      <c r="JR12" s="756"/>
      <c r="JS12" s="756"/>
      <c r="JT12" s="756"/>
      <c r="JU12" s="756"/>
      <c r="JV12" s="756"/>
      <c r="JW12" s="756"/>
      <c r="JX12" s="756"/>
      <c r="JY12" s="756"/>
      <c r="JZ12" s="756"/>
      <c r="KA12" s="756"/>
      <c r="KB12" s="756"/>
      <c r="KC12" s="756"/>
      <c r="KD12" s="756"/>
      <c r="KE12" s="756"/>
      <c r="KF12" s="756"/>
      <c r="KG12" s="756"/>
      <c r="KH12" s="756"/>
      <c r="KI12" s="756"/>
      <c r="KJ12" s="756"/>
      <c r="KK12" s="756"/>
      <c r="KL12" s="756"/>
      <c r="KM12" s="756"/>
      <c r="KN12" s="756"/>
      <c r="KO12" s="756"/>
      <c r="KP12" s="756"/>
      <c r="KQ12" s="756"/>
      <c r="KR12" s="756"/>
      <c r="KS12" s="756"/>
      <c r="KT12" s="756"/>
      <c r="KU12" s="756"/>
      <c r="KV12" s="756"/>
      <c r="KW12" s="756"/>
      <c r="KX12" s="756"/>
      <c r="KY12" s="756"/>
      <c r="KZ12" s="756"/>
      <c r="LA12" s="756"/>
      <c r="LB12" s="756"/>
      <c r="LC12" s="756"/>
      <c r="LD12" s="756"/>
      <c r="LE12" s="756"/>
      <c r="LF12" s="756"/>
      <c r="LG12" s="756"/>
      <c r="LH12" s="756"/>
      <c r="LI12" s="756"/>
      <c r="LJ12" s="756"/>
      <c r="LK12" s="756"/>
      <c r="LL12" s="756"/>
      <c r="LM12" s="756"/>
      <c r="LN12" s="756"/>
      <c r="LO12" s="756"/>
      <c r="LP12" s="756"/>
      <c r="LQ12" s="756"/>
      <c r="LR12" s="756"/>
      <c r="LS12" s="756"/>
      <c r="LT12" s="756"/>
      <c r="LU12" s="756"/>
      <c r="LV12" s="756"/>
      <c r="LW12" s="756"/>
      <c r="LX12" s="756"/>
      <c r="LY12" s="756"/>
      <c r="LZ12" s="756"/>
      <c r="MA12" s="756"/>
      <c r="MB12" s="756"/>
      <c r="MC12" s="756"/>
      <c r="MD12" s="756"/>
      <c r="ME12" s="756"/>
      <c r="MF12" s="756"/>
      <c r="MG12" s="756"/>
      <c r="MH12" s="756"/>
      <c r="MI12" s="756"/>
      <c r="MJ12" s="756"/>
      <c r="MK12" s="756"/>
      <c r="ML12" s="756"/>
      <c r="MM12" s="756"/>
      <c r="MN12" s="756"/>
      <c r="MO12" s="756"/>
      <c r="MP12" s="756"/>
      <c r="MQ12" s="756"/>
      <c r="MR12" s="756"/>
      <c r="MS12" s="756"/>
      <c r="MT12" s="756"/>
      <c r="MU12" s="756"/>
      <c r="MV12" s="756"/>
      <c r="MW12" s="756"/>
      <c r="MX12" s="756"/>
      <c r="MY12" s="756"/>
      <c r="MZ12" s="756"/>
      <c r="NA12" s="756"/>
      <c r="NB12" s="756"/>
      <c r="NC12" s="756"/>
      <c r="ND12" s="756"/>
      <c r="NE12" s="756"/>
      <c r="NF12" s="756"/>
      <c r="NG12" s="756"/>
      <c r="NH12" s="756"/>
      <c r="NI12" s="756"/>
      <c r="NJ12" s="756"/>
      <c r="NK12" s="756"/>
      <c r="NL12" s="756"/>
      <c r="NM12" s="756"/>
      <c r="NN12" s="756"/>
      <c r="NO12" s="756"/>
      <c r="NP12" s="756"/>
      <c r="NQ12" s="756"/>
      <c r="NR12" s="756"/>
      <c r="NS12" s="756"/>
      <c r="NT12" s="756"/>
      <c r="NU12" s="756"/>
      <c r="NV12" s="756"/>
      <c r="NW12" s="756"/>
      <c r="NX12" s="756"/>
      <c r="NY12" s="756"/>
      <c r="NZ12" s="756"/>
      <c r="OA12" s="756"/>
      <c r="OB12" s="756"/>
      <c r="OC12" s="756"/>
      <c r="OD12" s="756"/>
      <c r="OE12" s="756"/>
      <c r="OF12" s="756"/>
      <c r="OG12" s="756"/>
      <c r="OH12" s="756"/>
      <c r="OI12" s="756"/>
      <c r="OJ12" s="756"/>
      <c r="OK12" s="756"/>
      <c r="OL12" s="756"/>
      <c r="OM12" s="756"/>
      <c r="ON12" s="756"/>
      <c r="OO12" s="756"/>
      <c r="OP12" s="756"/>
      <c r="OQ12" s="756"/>
      <c r="OR12" s="756"/>
      <c r="OS12" s="756"/>
      <c r="OT12" s="756"/>
      <c r="OU12" s="756"/>
      <c r="OV12" s="756"/>
      <c r="OW12" s="756"/>
      <c r="OX12" s="756"/>
      <c r="OY12" s="756"/>
      <c r="OZ12" s="756"/>
      <c r="PA12" s="756"/>
      <c r="PB12" s="756"/>
      <c r="PC12" s="756"/>
      <c r="PD12" s="756"/>
      <c r="PE12" s="756"/>
      <c r="PF12" s="756"/>
      <c r="PG12" s="756"/>
      <c r="PH12" s="756"/>
      <c r="PI12" s="756"/>
      <c r="PJ12" s="756"/>
      <c r="PK12" s="756"/>
      <c r="PL12" s="756"/>
      <c r="PM12" s="756"/>
      <c r="PN12" s="756"/>
      <c r="PO12" s="756"/>
      <c r="PP12" s="756"/>
      <c r="PQ12" s="756"/>
      <c r="PR12" s="756"/>
      <c r="PS12" s="756"/>
      <c r="PT12" s="756"/>
      <c r="PU12" s="756"/>
      <c r="PV12" s="756"/>
      <c r="PW12" s="756"/>
      <c r="PX12" s="756"/>
      <c r="PY12" s="756"/>
      <c r="PZ12" s="756"/>
      <c r="QA12" s="756"/>
      <c r="QB12" s="756"/>
      <c r="QC12" s="756"/>
      <c r="QD12" s="756"/>
      <c r="QE12" s="756"/>
      <c r="QF12" s="756"/>
      <c r="QG12" s="756"/>
      <c r="QH12" s="756"/>
      <c r="QI12" s="756"/>
      <c r="QJ12" s="756"/>
      <c r="QK12" s="756"/>
      <c r="QL12" s="756"/>
      <c r="QM12" s="756"/>
      <c r="QN12" s="756"/>
      <c r="QO12" s="756"/>
      <c r="QP12" s="756"/>
      <c r="QQ12" s="756"/>
      <c r="QR12" s="756"/>
      <c r="QS12" s="756"/>
      <c r="QT12" s="756"/>
      <c r="QU12" s="756"/>
      <c r="QV12" s="756"/>
      <c r="QW12" s="756"/>
      <c r="QX12" s="756"/>
      <c r="QY12" s="756"/>
      <c r="QZ12" s="756"/>
      <c r="RA12" s="756"/>
      <c r="RB12" s="756"/>
      <c r="RC12" s="756"/>
      <c r="RD12" s="756"/>
      <c r="RE12" s="756"/>
      <c r="RF12" s="756"/>
      <c r="RG12" s="756"/>
      <c r="RH12" s="756"/>
      <c r="RI12" s="756"/>
      <c r="RJ12" s="756"/>
      <c r="RK12" s="756"/>
      <c r="RL12" s="756"/>
      <c r="RM12" s="756"/>
      <c r="RN12" s="756"/>
      <c r="RO12" s="756"/>
      <c r="RP12" s="756"/>
      <c r="RQ12" s="756"/>
      <c r="RR12" s="756"/>
      <c r="RS12" s="756"/>
      <c r="RT12" s="756"/>
      <c r="RU12" s="756"/>
      <c r="RV12" s="756"/>
      <c r="RW12" s="756"/>
      <c r="RX12" s="756"/>
      <c r="RY12" s="756"/>
      <c r="RZ12" s="756"/>
      <c r="SA12" s="756"/>
      <c r="SB12" s="756"/>
      <c r="SC12" s="756"/>
      <c r="SD12" s="756"/>
      <c r="SE12" s="756"/>
      <c r="SF12" s="756"/>
      <c r="SG12" s="756"/>
      <c r="SH12" s="756"/>
      <c r="SI12" s="756"/>
      <c r="SJ12" s="756"/>
      <c r="SK12" s="756"/>
      <c r="SL12" s="756"/>
      <c r="SM12" s="756"/>
      <c r="SN12" s="756"/>
      <c r="SO12" s="756"/>
      <c r="SP12" s="756"/>
      <c r="SQ12" s="756"/>
      <c r="SR12" s="756"/>
    </row>
    <row r="13" spans="1:512" ht="15" customHeight="1">
      <c r="A13" s="969"/>
      <c r="B13" s="969" t="s">
        <v>1698</v>
      </c>
      <c r="C13" s="969"/>
      <c r="D13" s="969"/>
      <c r="E13" s="969" t="s">
        <v>237</v>
      </c>
      <c r="F13" s="969"/>
      <c r="G13" s="756">
        <v>0</v>
      </c>
      <c r="H13" s="1027">
        <v>1</v>
      </c>
      <c r="I13" s="756"/>
      <c r="J13" s="756"/>
      <c r="K13" s="756"/>
      <c r="L13" s="756"/>
      <c r="M13" s="756"/>
      <c r="N13" s="756"/>
      <c r="O13" s="756"/>
      <c r="P13" s="756"/>
      <c r="Q13" s="756"/>
      <c r="R13" s="756"/>
      <c r="S13" s="756"/>
      <c r="T13" s="756"/>
      <c r="U13" s="756"/>
      <c r="V13" s="756"/>
      <c r="W13" s="756"/>
      <c r="X13" s="756"/>
      <c r="Y13" s="756"/>
      <c r="Z13" s="756"/>
      <c r="AA13" s="756"/>
      <c r="AB13" s="756"/>
      <c r="AC13" s="756"/>
      <c r="AD13" s="756"/>
      <c r="AE13" s="756"/>
      <c r="AF13" s="756"/>
      <c r="AG13" s="756"/>
      <c r="AH13" s="756"/>
      <c r="AI13" s="756"/>
      <c r="AJ13" s="756"/>
      <c r="AK13" s="756"/>
      <c r="AL13" s="756"/>
      <c r="AM13" s="756"/>
      <c r="AN13" s="756"/>
      <c r="AO13" s="756"/>
      <c r="AP13" s="756"/>
      <c r="AQ13" s="756"/>
      <c r="AR13" s="756"/>
      <c r="AS13" s="756"/>
      <c r="AT13" s="756"/>
      <c r="AU13" s="756"/>
      <c r="AV13" s="756"/>
      <c r="AW13" s="756"/>
      <c r="AX13" s="756"/>
      <c r="AY13" s="756"/>
      <c r="AZ13" s="756"/>
      <c r="BA13" s="756"/>
      <c r="BB13" s="756"/>
      <c r="BC13" s="756"/>
      <c r="BD13" s="756"/>
      <c r="BE13" s="756"/>
      <c r="BF13" s="756"/>
      <c r="BG13" s="756"/>
      <c r="BH13" s="756"/>
      <c r="BI13" s="756"/>
      <c r="BJ13" s="756"/>
      <c r="BK13" s="756"/>
      <c r="BL13" s="756"/>
      <c r="BM13" s="756"/>
      <c r="BN13" s="756"/>
      <c r="BO13" s="756"/>
      <c r="BP13" s="756"/>
      <c r="BQ13" s="756"/>
      <c r="BR13" s="756"/>
      <c r="BS13" s="756"/>
      <c r="BT13" s="756"/>
      <c r="BU13" s="756"/>
      <c r="BV13" s="756"/>
      <c r="BW13" s="756"/>
      <c r="BX13" s="756"/>
      <c r="BY13" s="756"/>
      <c r="BZ13" s="756"/>
      <c r="CA13" s="756"/>
      <c r="CB13" s="756"/>
      <c r="CC13" s="756"/>
      <c r="CD13" s="756"/>
      <c r="CE13" s="756"/>
      <c r="CF13" s="756"/>
      <c r="CG13" s="756"/>
      <c r="CH13" s="756"/>
      <c r="CI13" s="756"/>
      <c r="CJ13" s="756"/>
      <c r="CK13" s="756"/>
      <c r="CL13" s="756"/>
      <c r="CM13" s="756"/>
      <c r="CN13" s="756"/>
      <c r="CO13" s="756"/>
      <c r="CP13" s="756"/>
      <c r="CQ13" s="756"/>
      <c r="CR13" s="756"/>
      <c r="CS13" s="756"/>
      <c r="CT13" s="756"/>
      <c r="CU13" s="756"/>
      <c r="CV13" s="756"/>
      <c r="CW13" s="756"/>
      <c r="CX13" s="756"/>
      <c r="CY13" s="756"/>
      <c r="CZ13" s="756"/>
      <c r="DA13" s="756"/>
      <c r="DB13" s="756"/>
      <c r="DC13" s="756"/>
      <c r="DD13" s="756"/>
      <c r="DE13" s="756"/>
      <c r="DF13" s="756"/>
      <c r="DG13" s="756"/>
      <c r="DH13" s="756"/>
      <c r="DI13" s="756"/>
      <c r="DJ13" s="756"/>
      <c r="DK13" s="756"/>
      <c r="DL13" s="756"/>
      <c r="DM13" s="756"/>
      <c r="DN13" s="756"/>
      <c r="DO13" s="756"/>
      <c r="DP13" s="756"/>
      <c r="DQ13" s="756"/>
      <c r="DR13" s="756"/>
      <c r="DS13" s="756"/>
      <c r="DT13" s="756"/>
      <c r="DU13" s="756"/>
      <c r="DV13" s="756"/>
      <c r="DW13" s="756"/>
      <c r="DX13" s="756"/>
      <c r="DY13" s="756"/>
      <c r="DZ13" s="756"/>
      <c r="EA13" s="756"/>
      <c r="EB13" s="756"/>
      <c r="EC13" s="756"/>
      <c r="ED13" s="756"/>
      <c r="EE13" s="756"/>
      <c r="EF13" s="756"/>
      <c r="EG13" s="756"/>
      <c r="EH13" s="756"/>
      <c r="EI13" s="756"/>
      <c r="EJ13" s="756"/>
      <c r="EK13" s="756"/>
      <c r="EL13" s="756"/>
      <c r="EM13" s="756"/>
      <c r="EN13" s="756"/>
      <c r="EO13" s="756"/>
      <c r="EP13" s="756"/>
      <c r="EQ13" s="756"/>
      <c r="ER13" s="756"/>
      <c r="ES13" s="756"/>
      <c r="ET13" s="756"/>
      <c r="EU13" s="756"/>
      <c r="EV13" s="756"/>
      <c r="EW13" s="756"/>
      <c r="EX13" s="756"/>
      <c r="EY13" s="756"/>
      <c r="EZ13" s="756"/>
      <c r="FA13" s="756"/>
      <c r="FB13" s="756"/>
      <c r="FC13" s="756"/>
      <c r="FD13" s="756"/>
      <c r="FE13" s="756"/>
      <c r="FF13" s="756"/>
      <c r="FG13" s="756"/>
      <c r="FH13" s="756"/>
      <c r="FI13" s="756"/>
      <c r="FJ13" s="756"/>
      <c r="FK13" s="756"/>
      <c r="FL13" s="756"/>
      <c r="FM13" s="756"/>
      <c r="FN13" s="756"/>
      <c r="FO13" s="756"/>
      <c r="FP13" s="756"/>
      <c r="FQ13" s="756"/>
      <c r="FR13" s="756"/>
      <c r="FS13" s="756"/>
      <c r="FT13" s="756"/>
      <c r="FU13" s="756"/>
      <c r="FV13" s="756"/>
      <c r="FW13" s="756"/>
      <c r="FX13" s="756"/>
      <c r="FY13" s="756"/>
      <c r="FZ13" s="756"/>
      <c r="GA13" s="756"/>
      <c r="GB13" s="756"/>
      <c r="GC13" s="756"/>
      <c r="GD13" s="756"/>
      <c r="GE13" s="756"/>
      <c r="GF13" s="756"/>
      <c r="GG13" s="756"/>
      <c r="GH13" s="756"/>
      <c r="GI13" s="756"/>
      <c r="GJ13" s="756"/>
      <c r="GK13" s="756"/>
      <c r="GL13" s="756"/>
      <c r="GM13" s="756"/>
      <c r="GN13" s="756"/>
      <c r="GO13" s="756"/>
      <c r="GP13" s="756"/>
      <c r="GQ13" s="756"/>
      <c r="GR13" s="756"/>
      <c r="GS13" s="756"/>
      <c r="GT13" s="756"/>
      <c r="GU13" s="756"/>
      <c r="GV13" s="756"/>
      <c r="GW13" s="756"/>
      <c r="GX13" s="756"/>
      <c r="GY13" s="756"/>
      <c r="GZ13" s="756"/>
      <c r="HA13" s="756"/>
      <c r="HB13" s="756"/>
      <c r="HC13" s="756"/>
      <c r="HD13" s="756"/>
      <c r="HE13" s="756"/>
      <c r="HF13" s="756"/>
      <c r="HG13" s="756"/>
      <c r="HH13" s="756"/>
      <c r="HI13" s="756"/>
      <c r="HJ13" s="756"/>
      <c r="HK13" s="756"/>
      <c r="HL13" s="756"/>
      <c r="HM13" s="756"/>
      <c r="HN13" s="756"/>
      <c r="HO13" s="756"/>
      <c r="HP13" s="756"/>
      <c r="HQ13" s="756"/>
      <c r="HR13" s="756"/>
      <c r="HS13" s="756"/>
      <c r="HT13" s="756"/>
      <c r="HU13" s="756"/>
      <c r="HV13" s="756"/>
      <c r="HW13" s="756"/>
      <c r="HX13" s="756"/>
      <c r="HY13" s="756"/>
      <c r="HZ13" s="756"/>
      <c r="IA13" s="756"/>
      <c r="IB13" s="756"/>
      <c r="IC13" s="756"/>
      <c r="ID13" s="756"/>
      <c r="IE13" s="756"/>
      <c r="IF13" s="756"/>
      <c r="IG13" s="756"/>
      <c r="IH13" s="756"/>
      <c r="II13" s="756"/>
      <c r="IJ13" s="756"/>
      <c r="IK13" s="756"/>
      <c r="IL13" s="756"/>
      <c r="IM13" s="756"/>
      <c r="IN13" s="756"/>
      <c r="IO13" s="756"/>
      <c r="IP13" s="756"/>
      <c r="IQ13" s="756"/>
      <c r="IR13" s="756"/>
      <c r="IS13" s="756"/>
      <c r="IT13" s="756"/>
      <c r="IU13" s="756"/>
      <c r="IV13" s="756"/>
      <c r="IW13" s="756"/>
      <c r="IX13" s="756"/>
      <c r="IY13" s="756"/>
      <c r="IZ13" s="756"/>
      <c r="JA13" s="756"/>
      <c r="JB13" s="756"/>
      <c r="JC13" s="756"/>
      <c r="JD13" s="756"/>
      <c r="JE13" s="756"/>
      <c r="JF13" s="756"/>
      <c r="JG13" s="756"/>
      <c r="JH13" s="756"/>
      <c r="JI13" s="756"/>
      <c r="JJ13" s="756"/>
      <c r="JK13" s="756"/>
      <c r="JL13" s="756"/>
      <c r="JM13" s="756"/>
      <c r="JN13" s="756"/>
      <c r="JO13" s="756"/>
      <c r="JP13" s="756"/>
      <c r="JQ13" s="756"/>
      <c r="JR13" s="756"/>
      <c r="JS13" s="756"/>
      <c r="JT13" s="756"/>
      <c r="JU13" s="756"/>
      <c r="JV13" s="756"/>
      <c r="JW13" s="756"/>
      <c r="JX13" s="756"/>
      <c r="JY13" s="756"/>
      <c r="JZ13" s="756"/>
      <c r="KA13" s="756"/>
      <c r="KB13" s="756"/>
      <c r="KC13" s="756"/>
      <c r="KD13" s="756"/>
      <c r="KE13" s="756"/>
      <c r="KF13" s="756"/>
      <c r="KG13" s="756"/>
      <c r="KH13" s="756"/>
      <c r="KI13" s="756"/>
      <c r="KJ13" s="756"/>
      <c r="KK13" s="756"/>
      <c r="KL13" s="756"/>
      <c r="KM13" s="756"/>
      <c r="KN13" s="756"/>
      <c r="KO13" s="756"/>
      <c r="KP13" s="756"/>
      <c r="KQ13" s="756"/>
      <c r="KR13" s="756"/>
      <c r="KS13" s="756"/>
      <c r="KT13" s="756"/>
      <c r="KU13" s="756"/>
      <c r="KV13" s="756"/>
      <c r="KW13" s="756"/>
      <c r="KX13" s="756"/>
      <c r="KY13" s="756"/>
      <c r="KZ13" s="756"/>
      <c r="LA13" s="756"/>
      <c r="LB13" s="756"/>
      <c r="LC13" s="756"/>
      <c r="LD13" s="756"/>
      <c r="LE13" s="756"/>
      <c r="LF13" s="756"/>
      <c r="LG13" s="756"/>
      <c r="LH13" s="756"/>
      <c r="LI13" s="756"/>
      <c r="LJ13" s="756"/>
      <c r="LK13" s="756"/>
      <c r="LL13" s="756"/>
      <c r="LM13" s="756"/>
      <c r="LN13" s="756"/>
      <c r="LO13" s="756"/>
      <c r="LP13" s="756"/>
      <c r="LQ13" s="756"/>
      <c r="LR13" s="756"/>
      <c r="LS13" s="756"/>
      <c r="LT13" s="756"/>
      <c r="LU13" s="756"/>
      <c r="LV13" s="756"/>
      <c r="LW13" s="756"/>
      <c r="LX13" s="756"/>
      <c r="LY13" s="756"/>
      <c r="LZ13" s="756"/>
      <c r="MA13" s="756"/>
      <c r="MB13" s="756"/>
      <c r="MC13" s="756"/>
      <c r="MD13" s="756"/>
      <c r="ME13" s="756"/>
      <c r="MF13" s="756"/>
      <c r="MG13" s="756"/>
      <c r="MH13" s="756"/>
      <c r="MI13" s="756"/>
      <c r="MJ13" s="756"/>
      <c r="MK13" s="756"/>
      <c r="ML13" s="756"/>
      <c r="MM13" s="756"/>
      <c r="MN13" s="756"/>
      <c r="MO13" s="756"/>
      <c r="MP13" s="756"/>
      <c r="MQ13" s="756"/>
      <c r="MR13" s="756"/>
      <c r="MS13" s="756"/>
      <c r="MT13" s="756"/>
      <c r="MU13" s="756"/>
      <c r="MV13" s="756"/>
      <c r="MW13" s="756"/>
      <c r="MX13" s="756"/>
      <c r="MY13" s="756"/>
      <c r="MZ13" s="756"/>
      <c r="NA13" s="756"/>
      <c r="NB13" s="756"/>
      <c r="NC13" s="756"/>
      <c r="ND13" s="756"/>
      <c r="NE13" s="756"/>
      <c r="NF13" s="756"/>
      <c r="NG13" s="756"/>
      <c r="NH13" s="756"/>
      <c r="NI13" s="756"/>
      <c r="NJ13" s="756"/>
      <c r="NK13" s="756"/>
      <c r="NL13" s="756"/>
      <c r="NM13" s="756"/>
      <c r="NN13" s="756"/>
      <c r="NO13" s="756"/>
      <c r="NP13" s="756"/>
      <c r="NQ13" s="756"/>
      <c r="NR13" s="756"/>
      <c r="NS13" s="756"/>
      <c r="NT13" s="756"/>
      <c r="NU13" s="756"/>
      <c r="NV13" s="756"/>
      <c r="NW13" s="756"/>
      <c r="NX13" s="756"/>
      <c r="NY13" s="756"/>
      <c r="NZ13" s="756"/>
      <c r="OA13" s="756"/>
      <c r="OB13" s="756"/>
      <c r="OC13" s="756"/>
      <c r="OD13" s="756"/>
      <c r="OE13" s="756"/>
      <c r="OF13" s="756"/>
      <c r="OG13" s="756"/>
      <c r="OH13" s="756"/>
      <c r="OI13" s="756"/>
      <c r="OJ13" s="756"/>
      <c r="OK13" s="756"/>
      <c r="OL13" s="756"/>
      <c r="OM13" s="756"/>
      <c r="ON13" s="756"/>
      <c r="OO13" s="756"/>
      <c r="OP13" s="756"/>
      <c r="OQ13" s="756"/>
      <c r="OR13" s="756"/>
      <c r="OS13" s="756"/>
      <c r="OT13" s="756"/>
      <c r="OU13" s="756"/>
      <c r="OV13" s="756"/>
      <c r="OW13" s="756"/>
      <c r="OX13" s="756"/>
      <c r="OY13" s="756"/>
      <c r="OZ13" s="756"/>
      <c r="PA13" s="756"/>
      <c r="PB13" s="756"/>
      <c r="PC13" s="756"/>
      <c r="PD13" s="756"/>
      <c r="PE13" s="756"/>
      <c r="PF13" s="756"/>
      <c r="PG13" s="756"/>
      <c r="PH13" s="756"/>
      <c r="PI13" s="756"/>
      <c r="PJ13" s="756"/>
      <c r="PK13" s="756"/>
      <c r="PL13" s="756"/>
      <c r="PM13" s="756"/>
      <c r="PN13" s="756"/>
      <c r="PO13" s="756"/>
      <c r="PP13" s="756"/>
      <c r="PQ13" s="756"/>
      <c r="PR13" s="756"/>
      <c r="PS13" s="756"/>
      <c r="PT13" s="756"/>
      <c r="PU13" s="756"/>
      <c r="PV13" s="756"/>
      <c r="PW13" s="756"/>
      <c r="PX13" s="756"/>
      <c r="PY13" s="756"/>
      <c r="PZ13" s="756"/>
      <c r="QA13" s="756"/>
      <c r="QB13" s="756"/>
      <c r="QC13" s="756"/>
      <c r="QD13" s="756"/>
      <c r="QE13" s="756"/>
      <c r="QF13" s="756"/>
      <c r="QG13" s="756"/>
      <c r="QH13" s="756"/>
      <c r="QI13" s="756"/>
      <c r="QJ13" s="756"/>
      <c r="QK13" s="756"/>
      <c r="QL13" s="756"/>
      <c r="QM13" s="756"/>
      <c r="QN13" s="756"/>
      <c r="QO13" s="756"/>
      <c r="QP13" s="756"/>
      <c r="QQ13" s="756"/>
      <c r="QR13" s="756"/>
      <c r="QS13" s="756"/>
      <c r="QT13" s="756"/>
      <c r="QU13" s="756"/>
      <c r="QV13" s="756"/>
      <c r="QW13" s="756"/>
      <c r="QX13" s="756"/>
      <c r="QY13" s="756"/>
      <c r="QZ13" s="756"/>
      <c r="RA13" s="756"/>
      <c r="RB13" s="756"/>
      <c r="RC13" s="756"/>
      <c r="RD13" s="756"/>
      <c r="RE13" s="756"/>
      <c r="RF13" s="756"/>
      <c r="RG13" s="756"/>
      <c r="RH13" s="756"/>
      <c r="RI13" s="756"/>
      <c r="RJ13" s="756"/>
      <c r="RK13" s="756"/>
      <c r="RL13" s="756"/>
      <c r="RM13" s="756"/>
      <c r="RN13" s="756"/>
      <c r="RO13" s="756"/>
      <c r="RP13" s="756"/>
      <c r="RQ13" s="756"/>
      <c r="RR13" s="756"/>
      <c r="RS13" s="756"/>
      <c r="RT13" s="756"/>
      <c r="RU13" s="756"/>
      <c r="RV13" s="756"/>
      <c r="RW13" s="756"/>
      <c r="RX13" s="756"/>
      <c r="RY13" s="756"/>
      <c r="RZ13" s="756"/>
      <c r="SA13" s="756"/>
      <c r="SB13" s="756"/>
      <c r="SC13" s="756"/>
      <c r="SD13" s="756"/>
      <c r="SE13" s="756"/>
      <c r="SF13" s="756"/>
      <c r="SG13" s="756"/>
      <c r="SH13" s="756"/>
      <c r="SI13" s="756"/>
      <c r="SJ13" s="756"/>
      <c r="SK13" s="756"/>
      <c r="SL13" s="756"/>
      <c r="SM13" s="756"/>
      <c r="SN13" s="756"/>
      <c r="SO13" s="756"/>
      <c r="SP13" s="756"/>
      <c r="SQ13" s="756"/>
      <c r="SR13" s="756"/>
    </row>
    <row r="14" spans="1:512" ht="15" customHeight="1">
      <c r="A14" s="969"/>
      <c r="B14" s="969" t="s">
        <v>1720</v>
      </c>
      <c r="C14" s="969"/>
      <c r="D14" s="969"/>
      <c r="E14" s="969" t="s">
        <v>237</v>
      </c>
      <c r="F14" s="969"/>
      <c r="G14" s="756">
        <v>0</v>
      </c>
      <c r="H14" s="1027">
        <v>1</v>
      </c>
      <c r="I14" s="756"/>
      <c r="J14" s="756"/>
      <c r="K14" s="756"/>
      <c r="L14" s="756"/>
      <c r="M14" s="756"/>
      <c r="N14" s="756"/>
      <c r="O14" s="756"/>
      <c r="P14" s="756"/>
      <c r="Q14" s="756"/>
      <c r="R14" s="756"/>
      <c r="S14" s="756"/>
      <c r="T14" s="756"/>
      <c r="U14" s="756"/>
      <c r="V14" s="756"/>
      <c r="W14" s="756"/>
      <c r="X14" s="756"/>
      <c r="Y14" s="756"/>
      <c r="Z14" s="756"/>
      <c r="AA14" s="756"/>
      <c r="AB14" s="756"/>
      <c r="AC14" s="756"/>
      <c r="AD14" s="756"/>
      <c r="AE14" s="756"/>
      <c r="AF14" s="756"/>
      <c r="AG14" s="756"/>
      <c r="AH14" s="756"/>
      <c r="AI14" s="756"/>
      <c r="AJ14" s="756"/>
      <c r="AK14" s="756"/>
      <c r="AL14" s="756"/>
      <c r="AM14" s="756"/>
      <c r="AN14" s="756"/>
      <c r="AO14" s="756"/>
      <c r="AP14" s="756"/>
      <c r="AQ14" s="756"/>
      <c r="AR14" s="756"/>
      <c r="AS14" s="756"/>
      <c r="AT14" s="756"/>
      <c r="AU14" s="756"/>
      <c r="AV14" s="756"/>
      <c r="AW14" s="756"/>
      <c r="AX14" s="756"/>
      <c r="AY14" s="756"/>
      <c r="AZ14" s="756"/>
      <c r="BA14" s="756"/>
      <c r="BB14" s="756"/>
      <c r="BC14" s="756"/>
      <c r="BD14" s="756"/>
      <c r="BE14" s="756"/>
      <c r="BF14" s="756"/>
      <c r="BG14" s="756"/>
      <c r="BH14" s="756"/>
      <c r="BI14" s="756"/>
      <c r="BJ14" s="756"/>
      <c r="BK14" s="756"/>
      <c r="BL14" s="756"/>
      <c r="BM14" s="756"/>
      <c r="BN14" s="756"/>
      <c r="BO14" s="756"/>
      <c r="BP14" s="756"/>
      <c r="BQ14" s="756"/>
      <c r="BR14" s="756"/>
      <c r="BS14" s="756"/>
      <c r="BT14" s="756"/>
      <c r="BU14" s="756"/>
      <c r="BV14" s="756"/>
      <c r="BW14" s="756"/>
      <c r="BX14" s="756"/>
      <c r="BY14" s="756"/>
      <c r="BZ14" s="756"/>
      <c r="CA14" s="756"/>
      <c r="CB14" s="756"/>
      <c r="CC14" s="756"/>
      <c r="CD14" s="756"/>
      <c r="CE14" s="756"/>
      <c r="CF14" s="756"/>
      <c r="CG14" s="756"/>
      <c r="CH14" s="756"/>
      <c r="CI14" s="756"/>
      <c r="CJ14" s="756"/>
      <c r="CK14" s="756"/>
      <c r="CL14" s="756"/>
      <c r="CM14" s="756"/>
      <c r="CN14" s="756"/>
      <c r="CO14" s="756"/>
      <c r="CP14" s="756"/>
      <c r="CQ14" s="756"/>
      <c r="CR14" s="756"/>
      <c r="CS14" s="756"/>
      <c r="CT14" s="756"/>
      <c r="CU14" s="756"/>
      <c r="CV14" s="756"/>
      <c r="CW14" s="756"/>
      <c r="CX14" s="756"/>
      <c r="CY14" s="756"/>
      <c r="CZ14" s="756"/>
      <c r="DA14" s="756"/>
      <c r="DB14" s="756"/>
      <c r="DC14" s="756"/>
      <c r="DD14" s="756"/>
      <c r="DE14" s="756"/>
      <c r="DF14" s="756"/>
      <c r="DG14" s="756"/>
      <c r="DH14" s="756"/>
      <c r="DI14" s="756"/>
      <c r="DJ14" s="756"/>
      <c r="DK14" s="756"/>
      <c r="DL14" s="756"/>
      <c r="DM14" s="756"/>
      <c r="DN14" s="756"/>
      <c r="DO14" s="756"/>
      <c r="DP14" s="756"/>
      <c r="DQ14" s="756"/>
      <c r="DR14" s="756"/>
      <c r="DS14" s="756"/>
      <c r="DT14" s="756"/>
      <c r="DU14" s="756"/>
      <c r="DV14" s="756"/>
      <c r="DW14" s="756"/>
      <c r="DX14" s="756"/>
      <c r="DY14" s="756"/>
      <c r="DZ14" s="756"/>
      <c r="EA14" s="756"/>
      <c r="EB14" s="756"/>
      <c r="EC14" s="756"/>
      <c r="ED14" s="756"/>
      <c r="EE14" s="756"/>
      <c r="EF14" s="756"/>
      <c r="EG14" s="756"/>
      <c r="EH14" s="756"/>
      <c r="EI14" s="756"/>
      <c r="EJ14" s="756"/>
      <c r="EK14" s="756"/>
      <c r="EL14" s="756"/>
      <c r="EM14" s="756"/>
      <c r="EN14" s="756"/>
      <c r="EO14" s="756"/>
      <c r="EP14" s="756"/>
      <c r="EQ14" s="756"/>
      <c r="ER14" s="756"/>
      <c r="ES14" s="756"/>
      <c r="ET14" s="756"/>
      <c r="EU14" s="756"/>
      <c r="EV14" s="756"/>
      <c r="EW14" s="756"/>
      <c r="EX14" s="756"/>
      <c r="EY14" s="756"/>
      <c r="EZ14" s="756"/>
      <c r="FA14" s="756"/>
      <c r="FB14" s="756"/>
      <c r="FC14" s="756"/>
      <c r="FD14" s="756"/>
      <c r="FE14" s="756"/>
      <c r="FF14" s="756"/>
      <c r="FG14" s="756"/>
      <c r="FH14" s="756"/>
      <c r="FI14" s="756"/>
      <c r="FJ14" s="756"/>
      <c r="FK14" s="756"/>
      <c r="FL14" s="756"/>
      <c r="FM14" s="756"/>
      <c r="FN14" s="756"/>
      <c r="FO14" s="756"/>
      <c r="FP14" s="756"/>
      <c r="FQ14" s="756"/>
      <c r="FR14" s="756"/>
      <c r="FS14" s="756"/>
      <c r="FT14" s="756"/>
      <c r="FU14" s="756"/>
      <c r="FV14" s="756"/>
      <c r="FW14" s="756"/>
      <c r="FX14" s="756"/>
      <c r="FY14" s="756"/>
      <c r="FZ14" s="756"/>
      <c r="GA14" s="756"/>
      <c r="GB14" s="756"/>
      <c r="GC14" s="756"/>
      <c r="GD14" s="756"/>
      <c r="GE14" s="756"/>
      <c r="GF14" s="756"/>
      <c r="GG14" s="756"/>
      <c r="GH14" s="756"/>
      <c r="GI14" s="756"/>
      <c r="GJ14" s="756"/>
      <c r="GK14" s="756"/>
      <c r="GL14" s="756"/>
      <c r="GM14" s="756"/>
      <c r="GN14" s="756"/>
      <c r="GO14" s="756"/>
      <c r="GP14" s="756"/>
      <c r="GQ14" s="756"/>
      <c r="GR14" s="756"/>
      <c r="GS14" s="756"/>
      <c r="GT14" s="756"/>
      <c r="GU14" s="756"/>
      <c r="GV14" s="756"/>
      <c r="GW14" s="756"/>
      <c r="GX14" s="756"/>
      <c r="GY14" s="756"/>
      <c r="GZ14" s="756"/>
      <c r="HA14" s="756"/>
      <c r="HB14" s="756"/>
      <c r="HC14" s="756"/>
      <c r="HD14" s="756"/>
      <c r="HE14" s="756"/>
      <c r="HF14" s="756"/>
      <c r="HG14" s="756"/>
      <c r="HH14" s="756"/>
      <c r="HI14" s="756"/>
      <c r="HJ14" s="756"/>
      <c r="HK14" s="756"/>
      <c r="HL14" s="756"/>
      <c r="HM14" s="756"/>
      <c r="HN14" s="756"/>
      <c r="HO14" s="756"/>
      <c r="HP14" s="756"/>
      <c r="HQ14" s="756"/>
      <c r="HR14" s="756"/>
      <c r="HS14" s="756"/>
      <c r="HT14" s="756"/>
      <c r="HU14" s="756"/>
      <c r="HV14" s="756"/>
      <c r="HW14" s="756"/>
      <c r="HX14" s="756"/>
      <c r="HY14" s="756"/>
      <c r="HZ14" s="756"/>
      <c r="IA14" s="756"/>
      <c r="IB14" s="756"/>
      <c r="IC14" s="756"/>
      <c r="ID14" s="756"/>
      <c r="IE14" s="756"/>
      <c r="IF14" s="756"/>
      <c r="IG14" s="756"/>
      <c r="IH14" s="756"/>
      <c r="II14" s="756"/>
      <c r="IJ14" s="756"/>
      <c r="IK14" s="756"/>
      <c r="IL14" s="756"/>
      <c r="IM14" s="756"/>
      <c r="IN14" s="756"/>
      <c r="IO14" s="756"/>
      <c r="IP14" s="756"/>
      <c r="IQ14" s="756"/>
      <c r="IR14" s="756"/>
      <c r="IS14" s="756"/>
      <c r="IT14" s="756"/>
      <c r="IU14" s="756"/>
      <c r="IV14" s="756"/>
      <c r="IW14" s="756"/>
      <c r="IX14" s="756"/>
      <c r="IY14" s="756"/>
      <c r="IZ14" s="756"/>
      <c r="JA14" s="756"/>
      <c r="JB14" s="756"/>
      <c r="JC14" s="756"/>
      <c r="JD14" s="756"/>
      <c r="JE14" s="756"/>
      <c r="JF14" s="756"/>
      <c r="JG14" s="756"/>
      <c r="JH14" s="756"/>
      <c r="JI14" s="756"/>
      <c r="JJ14" s="756"/>
      <c r="JK14" s="756"/>
      <c r="JL14" s="756"/>
      <c r="JM14" s="756"/>
      <c r="JN14" s="756"/>
      <c r="JO14" s="756"/>
      <c r="JP14" s="756"/>
      <c r="JQ14" s="756"/>
      <c r="JR14" s="756"/>
      <c r="JS14" s="756"/>
      <c r="JT14" s="756"/>
      <c r="JU14" s="756"/>
      <c r="JV14" s="756"/>
      <c r="JW14" s="756"/>
      <c r="JX14" s="756"/>
      <c r="JY14" s="756"/>
      <c r="JZ14" s="756"/>
      <c r="KA14" s="756"/>
      <c r="KB14" s="756"/>
      <c r="KC14" s="756"/>
      <c r="KD14" s="756"/>
      <c r="KE14" s="756"/>
      <c r="KF14" s="756"/>
      <c r="KG14" s="756"/>
      <c r="KH14" s="756"/>
      <c r="KI14" s="756"/>
      <c r="KJ14" s="756"/>
      <c r="KK14" s="756"/>
      <c r="KL14" s="756"/>
      <c r="KM14" s="756"/>
      <c r="KN14" s="756"/>
      <c r="KO14" s="756"/>
      <c r="KP14" s="756"/>
      <c r="KQ14" s="756"/>
      <c r="KR14" s="756"/>
      <c r="KS14" s="756"/>
      <c r="KT14" s="756"/>
      <c r="KU14" s="756"/>
      <c r="KV14" s="756"/>
      <c r="KW14" s="756"/>
      <c r="KX14" s="756"/>
      <c r="KY14" s="756"/>
      <c r="KZ14" s="756"/>
      <c r="LA14" s="756"/>
      <c r="LB14" s="756"/>
      <c r="LC14" s="756"/>
      <c r="LD14" s="756"/>
      <c r="LE14" s="756"/>
      <c r="LF14" s="756"/>
      <c r="LG14" s="756"/>
      <c r="LH14" s="756"/>
      <c r="LI14" s="756"/>
      <c r="LJ14" s="756"/>
      <c r="LK14" s="756"/>
      <c r="LL14" s="756"/>
      <c r="LM14" s="756"/>
      <c r="LN14" s="756"/>
      <c r="LO14" s="756"/>
      <c r="LP14" s="756"/>
      <c r="LQ14" s="756"/>
      <c r="LR14" s="756"/>
      <c r="LS14" s="756"/>
      <c r="LT14" s="756"/>
      <c r="LU14" s="756"/>
      <c r="LV14" s="756"/>
      <c r="LW14" s="756"/>
      <c r="LX14" s="756"/>
      <c r="LY14" s="756"/>
      <c r="LZ14" s="756"/>
      <c r="MA14" s="756"/>
      <c r="MB14" s="756"/>
      <c r="MC14" s="756"/>
      <c r="MD14" s="756"/>
      <c r="ME14" s="756"/>
      <c r="MF14" s="756"/>
      <c r="MG14" s="756"/>
      <c r="MH14" s="756"/>
      <c r="MI14" s="756"/>
      <c r="MJ14" s="756"/>
      <c r="MK14" s="756"/>
      <c r="ML14" s="756"/>
      <c r="MM14" s="756"/>
      <c r="MN14" s="756"/>
      <c r="MO14" s="756"/>
      <c r="MP14" s="756"/>
      <c r="MQ14" s="756"/>
      <c r="MR14" s="756"/>
      <c r="MS14" s="756"/>
      <c r="MT14" s="756"/>
      <c r="MU14" s="756"/>
      <c r="MV14" s="756"/>
      <c r="MW14" s="756"/>
      <c r="MX14" s="756"/>
      <c r="MY14" s="756"/>
      <c r="MZ14" s="756"/>
      <c r="NA14" s="756"/>
      <c r="NB14" s="756"/>
      <c r="NC14" s="756"/>
      <c r="ND14" s="756"/>
      <c r="NE14" s="756"/>
      <c r="NF14" s="756"/>
      <c r="NG14" s="756"/>
      <c r="NH14" s="756"/>
      <c r="NI14" s="756"/>
      <c r="NJ14" s="756"/>
      <c r="NK14" s="756"/>
      <c r="NL14" s="756"/>
      <c r="NM14" s="756"/>
      <c r="NN14" s="756"/>
      <c r="NO14" s="756"/>
      <c r="NP14" s="756"/>
      <c r="NQ14" s="756"/>
      <c r="NR14" s="756"/>
      <c r="NS14" s="756"/>
      <c r="NT14" s="756"/>
      <c r="NU14" s="756"/>
      <c r="NV14" s="756"/>
      <c r="NW14" s="756"/>
      <c r="NX14" s="756"/>
      <c r="NY14" s="756"/>
      <c r="NZ14" s="756"/>
      <c r="OA14" s="756"/>
      <c r="OB14" s="756"/>
      <c r="OC14" s="756"/>
      <c r="OD14" s="756"/>
      <c r="OE14" s="756"/>
      <c r="OF14" s="756"/>
      <c r="OG14" s="756"/>
      <c r="OH14" s="756"/>
      <c r="OI14" s="756"/>
      <c r="OJ14" s="756"/>
      <c r="OK14" s="756"/>
      <c r="OL14" s="756"/>
      <c r="OM14" s="756"/>
      <c r="ON14" s="756"/>
      <c r="OO14" s="756"/>
      <c r="OP14" s="756"/>
      <c r="OQ14" s="756"/>
      <c r="OR14" s="756"/>
      <c r="OS14" s="756"/>
      <c r="OT14" s="756"/>
      <c r="OU14" s="756"/>
      <c r="OV14" s="756"/>
      <c r="OW14" s="756"/>
      <c r="OX14" s="756"/>
      <c r="OY14" s="756"/>
      <c r="OZ14" s="756"/>
      <c r="PA14" s="756"/>
      <c r="PB14" s="756"/>
      <c r="PC14" s="756"/>
      <c r="PD14" s="756"/>
      <c r="PE14" s="756"/>
      <c r="PF14" s="756"/>
      <c r="PG14" s="756"/>
      <c r="PH14" s="756"/>
      <c r="PI14" s="756"/>
      <c r="PJ14" s="756"/>
      <c r="PK14" s="756"/>
      <c r="PL14" s="756"/>
      <c r="PM14" s="756"/>
      <c r="PN14" s="756"/>
      <c r="PO14" s="756"/>
      <c r="PP14" s="756"/>
      <c r="PQ14" s="756"/>
      <c r="PR14" s="756"/>
      <c r="PS14" s="756"/>
      <c r="PT14" s="756"/>
      <c r="PU14" s="756"/>
      <c r="PV14" s="756"/>
      <c r="PW14" s="756"/>
      <c r="PX14" s="756"/>
      <c r="PY14" s="756"/>
      <c r="PZ14" s="756"/>
      <c r="QA14" s="756"/>
      <c r="QB14" s="756"/>
      <c r="QC14" s="756"/>
      <c r="QD14" s="756"/>
      <c r="QE14" s="756"/>
      <c r="QF14" s="756"/>
      <c r="QG14" s="756"/>
      <c r="QH14" s="756"/>
      <c r="QI14" s="756"/>
      <c r="QJ14" s="756"/>
      <c r="QK14" s="756"/>
      <c r="QL14" s="756"/>
      <c r="QM14" s="756"/>
      <c r="QN14" s="756"/>
      <c r="QO14" s="756"/>
      <c r="QP14" s="756"/>
      <c r="QQ14" s="756"/>
      <c r="QR14" s="756"/>
      <c r="QS14" s="756"/>
      <c r="QT14" s="756"/>
      <c r="QU14" s="756"/>
      <c r="QV14" s="756"/>
      <c r="QW14" s="756"/>
      <c r="QX14" s="756"/>
      <c r="QY14" s="756"/>
      <c r="QZ14" s="756"/>
      <c r="RA14" s="756"/>
      <c r="RB14" s="756"/>
      <c r="RC14" s="756"/>
      <c r="RD14" s="756"/>
      <c r="RE14" s="756"/>
      <c r="RF14" s="756"/>
      <c r="RG14" s="756"/>
      <c r="RH14" s="756"/>
      <c r="RI14" s="756"/>
      <c r="RJ14" s="756"/>
      <c r="RK14" s="756"/>
      <c r="RL14" s="756"/>
      <c r="RM14" s="756"/>
      <c r="RN14" s="756"/>
      <c r="RO14" s="756"/>
      <c r="RP14" s="756"/>
      <c r="RQ14" s="756"/>
      <c r="RR14" s="756"/>
      <c r="RS14" s="756"/>
      <c r="RT14" s="756"/>
      <c r="RU14" s="756"/>
      <c r="RV14" s="756"/>
      <c r="RW14" s="756"/>
      <c r="RX14" s="756"/>
      <c r="RY14" s="756"/>
      <c r="RZ14" s="756"/>
      <c r="SA14" s="756"/>
      <c r="SB14" s="756"/>
      <c r="SC14" s="756"/>
      <c r="SD14" s="756"/>
      <c r="SE14" s="756"/>
      <c r="SF14" s="756"/>
      <c r="SG14" s="756"/>
      <c r="SH14" s="756"/>
      <c r="SI14" s="756"/>
      <c r="SJ14" s="756"/>
      <c r="SK14" s="756"/>
      <c r="SL14" s="756"/>
      <c r="SM14" s="756"/>
      <c r="SN14" s="756"/>
      <c r="SO14" s="756"/>
      <c r="SP14" s="756"/>
      <c r="SQ14" s="756"/>
      <c r="SR14" s="756"/>
    </row>
    <row r="15" spans="1:512" ht="15" customHeight="1">
      <c r="A15" s="969"/>
      <c r="B15" s="969" t="s">
        <v>1731</v>
      </c>
      <c r="C15" s="969"/>
      <c r="D15" s="969"/>
      <c r="E15" s="969" t="s">
        <v>237</v>
      </c>
      <c r="F15" s="969"/>
      <c r="G15" s="756">
        <v>0</v>
      </c>
      <c r="H15" s="1027">
        <v>0</v>
      </c>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756"/>
      <c r="AH15" s="756"/>
      <c r="AI15" s="756"/>
      <c r="AJ15" s="756"/>
      <c r="AK15" s="756"/>
      <c r="AL15" s="756"/>
      <c r="AM15" s="756"/>
      <c r="AN15" s="756"/>
      <c r="AO15" s="756"/>
      <c r="AP15" s="756"/>
      <c r="AQ15" s="756"/>
      <c r="AR15" s="756"/>
      <c r="AS15" s="756"/>
      <c r="AT15" s="756"/>
      <c r="AU15" s="756"/>
      <c r="AV15" s="756"/>
      <c r="AW15" s="756"/>
      <c r="AX15" s="756"/>
      <c r="AY15" s="756"/>
      <c r="AZ15" s="756"/>
      <c r="BA15" s="756"/>
      <c r="BB15" s="756"/>
      <c r="BC15" s="756"/>
      <c r="BD15" s="756"/>
      <c r="BE15" s="756"/>
      <c r="BF15" s="756"/>
      <c r="BG15" s="756"/>
      <c r="BH15" s="756"/>
      <c r="BI15" s="756"/>
      <c r="BJ15" s="756"/>
      <c r="BK15" s="756"/>
      <c r="BL15" s="756"/>
      <c r="BM15" s="756"/>
      <c r="BN15" s="756"/>
      <c r="BO15" s="756"/>
      <c r="BP15" s="756"/>
      <c r="BQ15" s="756"/>
      <c r="BR15" s="756"/>
      <c r="BS15" s="756"/>
      <c r="BT15" s="756"/>
      <c r="BU15" s="756"/>
      <c r="BV15" s="756"/>
      <c r="BW15" s="756"/>
      <c r="BX15" s="756"/>
      <c r="BY15" s="756"/>
      <c r="BZ15" s="756"/>
      <c r="CA15" s="756"/>
      <c r="CB15" s="756"/>
      <c r="CC15" s="756"/>
      <c r="CD15" s="756"/>
      <c r="CE15" s="756"/>
      <c r="CF15" s="756"/>
      <c r="CG15" s="756"/>
      <c r="CH15" s="756"/>
      <c r="CI15" s="756"/>
      <c r="CJ15" s="756"/>
      <c r="CK15" s="756"/>
      <c r="CL15" s="756"/>
      <c r="CM15" s="756"/>
      <c r="CN15" s="756"/>
      <c r="CO15" s="756"/>
      <c r="CP15" s="756"/>
      <c r="CQ15" s="756"/>
      <c r="CR15" s="756"/>
      <c r="CS15" s="756"/>
      <c r="CT15" s="756"/>
      <c r="CU15" s="756"/>
      <c r="CV15" s="756"/>
      <c r="CW15" s="756"/>
      <c r="CX15" s="756"/>
      <c r="CY15" s="756"/>
      <c r="CZ15" s="756"/>
      <c r="DA15" s="756"/>
      <c r="DB15" s="756"/>
      <c r="DC15" s="756"/>
      <c r="DD15" s="756"/>
      <c r="DE15" s="756"/>
      <c r="DF15" s="756"/>
      <c r="DG15" s="756"/>
      <c r="DH15" s="756"/>
      <c r="DI15" s="756"/>
      <c r="DJ15" s="756"/>
      <c r="DK15" s="756"/>
      <c r="DL15" s="756"/>
      <c r="DM15" s="756"/>
      <c r="DN15" s="756"/>
      <c r="DO15" s="756"/>
      <c r="DP15" s="756"/>
      <c r="DQ15" s="756"/>
      <c r="DR15" s="756"/>
      <c r="DS15" s="756"/>
      <c r="DT15" s="756"/>
      <c r="DU15" s="756"/>
      <c r="DV15" s="756"/>
      <c r="DW15" s="756"/>
      <c r="DX15" s="756"/>
      <c r="DY15" s="756"/>
      <c r="DZ15" s="756"/>
      <c r="EA15" s="756"/>
      <c r="EB15" s="756"/>
      <c r="EC15" s="756"/>
      <c r="ED15" s="756"/>
      <c r="EE15" s="756"/>
      <c r="EF15" s="756"/>
      <c r="EG15" s="756"/>
      <c r="EH15" s="756"/>
      <c r="EI15" s="756"/>
      <c r="EJ15" s="756"/>
      <c r="EK15" s="756"/>
      <c r="EL15" s="756"/>
      <c r="EM15" s="756"/>
      <c r="EN15" s="756"/>
      <c r="EO15" s="756"/>
      <c r="EP15" s="756"/>
      <c r="EQ15" s="756"/>
      <c r="ER15" s="756"/>
      <c r="ES15" s="756"/>
      <c r="ET15" s="756"/>
      <c r="EU15" s="756"/>
      <c r="EV15" s="756"/>
      <c r="EW15" s="756"/>
      <c r="EX15" s="756"/>
      <c r="EY15" s="756"/>
      <c r="EZ15" s="756"/>
      <c r="FA15" s="756"/>
      <c r="FB15" s="756"/>
      <c r="FC15" s="756"/>
      <c r="FD15" s="756"/>
      <c r="FE15" s="756"/>
      <c r="FF15" s="756"/>
      <c r="FG15" s="756"/>
      <c r="FH15" s="756"/>
      <c r="FI15" s="756"/>
      <c r="FJ15" s="756"/>
      <c r="FK15" s="756"/>
      <c r="FL15" s="756"/>
      <c r="FM15" s="756"/>
      <c r="FN15" s="756"/>
      <c r="FO15" s="756"/>
      <c r="FP15" s="756"/>
      <c r="FQ15" s="756"/>
      <c r="FR15" s="756"/>
      <c r="FS15" s="756"/>
      <c r="FT15" s="756"/>
      <c r="FU15" s="756"/>
      <c r="FV15" s="756"/>
      <c r="FW15" s="756"/>
      <c r="FX15" s="756"/>
      <c r="FY15" s="756"/>
      <c r="FZ15" s="756"/>
      <c r="GA15" s="756"/>
      <c r="GB15" s="756"/>
      <c r="GC15" s="756"/>
      <c r="GD15" s="756"/>
      <c r="GE15" s="756"/>
      <c r="GF15" s="756"/>
      <c r="GG15" s="756"/>
      <c r="GH15" s="756"/>
      <c r="GI15" s="756"/>
      <c r="GJ15" s="756"/>
      <c r="GK15" s="756"/>
      <c r="GL15" s="756"/>
      <c r="GM15" s="756"/>
      <c r="GN15" s="756"/>
      <c r="GO15" s="756"/>
      <c r="GP15" s="756"/>
      <c r="GQ15" s="756"/>
      <c r="GR15" s="756"/>
      <c r="GS15" s="756"/>
      <c r="GT15" s="756"/>
      <c r="GU15" s="756"/>
      <c r="GV15" s="756"/>
      <c r="GW15" s="756"/>
      <c r="GX15" s="756"/>
      <c r="GY15" s="756"/>
      <c r="GZ15" s="756"/>
      <c r="HA15" s="756"/>
      <c r="HB15" s="756"/>
      <c r="HC15" s="756"/>
      <c r="HD15" s="756"/>
      <c r="HE15" s="756"/>
      <c r="HF15" s="756"/>
      <c r="HG15" s="756"/>
      <c r="HH15" s="756"/>
      <c r="HI15" s="756"/>
      <c r="HJ15" s="756"/>
      <c r="HK15" s="756"/>
      <c r="HL15" s="756"/>
      <c r="HM15" s="756"/>
      <c r="HN15" s="756"/>
      <c r="HO15" s="756"/>
      <c r="HP15" s="756"/>
      <c r="HQ15" s="756"/>
      <c r="HR15" s="756"/>
      <c r="HS15" s="756"/>
      <c r="HT15" s="756"/>
      <c r="HU15" s="756"/>
      <c r="HV15" s="756"/>
      <c r="HW15" s="756"/>
      <c r="HX15" s="756"/>
      <c r="HY15" s="756"/>
      <c r="HZ15" s="756"/>
      <c r="IA15" s="756"/>
      <c r="IB15" s="756"/>
      <c r="IC15" s="756"/>
      <c r="ID15" s="756"/>
      <c r="IE15" s="756"/>
      <c r="IF15" s="756"/>
      <c r="IG15" s="756"/>
      <c r="IH15" s="756"/>
      <c r="II15" s="756"/>
      <c r="IJ15" s="756"/>
      <c r="IK15" s="756"/>
      <c r="IL15" s="756"/>
      <c r="IM15" s="756"/>
      <c r="IN15" s="756"/>
      <c r="IO15" s="756"/>
      <c r="IP15" s="756"/>
      <c r="IQ15" s="756"/>
      <c r="IR15" s="756"/>
      <c r="IS15" s="756"/>
      <c r="IT15" s="756"/>
      <c r="IU15" s="756"/>
      <c r="IV15" s="756"/>
      <c r="IW15" s="756"/>
      <c r="IX15" s="756"/>
      <c r="IY15" s="756"/>
      <c r="IZ15" s="756"/>
      <c r="JA15" s="756"/>
      <c r="JB15" s="756"/>
      <c r="JC15" s="756"/>
      <c r="JD15" s="756"/>
      <c r="JE15" s="756"/>
      <c r="JF15" s="756"/>
      <c r="JG15" s="756"/>
      <c r="JH15" s="756"/>
      <c r="JI15" s="756"/>
      <c r="JJ15" s="756"/>
      <c r="JK15" s="756"/>
      <c r="JL15" s="756"/>
      <c r="JM15" s="756"/>
      <c r="JN15" s="756"/>
      <c r="JO15" s="756"/>
      <c r="JP15" s="756"/>
      <c r="JQ15" s="756"/>
      <c r="JR15" s="756"/>
      <c r="JS15" s="756"/>
      <c r="JT15" s="756"/>
      <c r="JU15" s="756"/>
      <c r="JV15" s="756"/>
      <c r="JW15" s="756"/>
      <c r="JX15" s="756"/>
      <c r="JY15" s="756"/>
      <c r="JZ15" s="756"/>
      <c r="KA15" s="756"/>
      <c r="KB15" s="756"/>
      <c r="KC15" s="756"/>
      <c r="KD15" s="756"/>
      <c r="KE15" s="756"/>
      <c r="KF15" s="756"/>
      <c r="KG15" s="756"/>
      <c r="KH15" s="756"/>
      <c r="KI15" s="756"/>
      <c r="KJ15" s="756"/>
      <c r="KK15" s="756"/>
      <c r="KL15" s="756"/>
      <c r="KM15" s="756"/>
      <c r="KN15" s="756"/>
      <c r="KO15" s="756"/>
      <c r="KP15" s="756"/>
      <c r="KQ15" s="756"/>
      <c r="KR15" s="756"/>
      <c r="KS15" s="756"/>
      <c r="KT15" s="756"/>
      <c r="KU15" s="756"/>
      <c r="KV15" s="756"/>
      <c r="KW15" s="756"/>
      <c r="KX15" s="756"/>
      <c r="KY15" s="756"/>
      <c r="KZ15" s="756"/>
      <c r="LA15" s="756"/>
      <c r="LB15" s="756"/>
      <c r="LC15" s="756"/>
      <c r="LD15" s="756"/>
      <c r="LE15" s="756"/>
      <c r="LF15" s="756"/>
      <c r="LG15" s="756"/>
      <c r="LH15" s="756"/>
      <c r="LI15" s="756"/>
      <c r="LJ15" s="756"/>
      <c r="LK15" s="756"/>
      <c r="LL15" s="756"/>
      <c r="LM15" s="756"/>
      <c r="LN15" s="756"/>
      <c r="LO15" s="756"/>
      <c r="LP15" s="756"/>
      <c r="LQ15" s="756"/>
      <c r="LR15" s="756"/>
      <c r="LS15" s="756"/>
      <c r="LT15" s="756"/>
      <c r="LU15" s="756"/>
      <c r="LV15" s="756"/>
      <c r="LW15" s="756"/>
      <c r="LX15" s="756"/>
      <c r="LY15" s="756"/>
      <c r="LZ15" s="756"/>
      <c r="MA15" s="756"/>
      <c r="MB15" s="756"/>
      <c r="MC15" s="756"/>
      <c r="MD15" s="756"/>
      <c r="ME15" s="756"/>
      <c r="MF15" s="756"/>
      <c r="MG15" s="756"/>
      <c r="MH15" s="756"/>
      <c r="MI15" s="756"/>
      <c r="MJ15" s="756"/>
      <c r="MK15" s="756"/>
      <c r="ML15" s="756"/>
      <c r="MM15" s="756"/>
      <c r="MN15" s="756"/>
      <c r="MO15" s="756"/>
      <c r="MP15" s="756"/>
      <c r="MQ15" s="756"/>
      <c r="MR15" s="756"/>
      <c r="MS15" s="756"/>
      <c r="MT15" s="756"/>
      <c r="MU15" s="756"/>
      <c r="MV15" s="756"/>
      <c r="MW15" s="756"/>
      <c r="MX15" s="756"/>
      <c r="MY15" s="756"/>
      <c r="MZ15" s="756"/>
      <c r="NA15" s="756"/>
      <c r="NB15" s="756"/>
      <c r="NC15" s="756"/>
      <c r="ND15" s="756"/>
      <c r="NE15" s="756"/>
      <c r="NF15" s="756"/>
      <c r="NG15" s="756"/>
      <c r="NH15" s="756"/>
      <c r="NI15" s="756"/>
      <c r="NJ15" s="756"/>
      <c r="NK15" s="756"/>
      <c r="NL15" s="756"/>
      <c r="NM15" s="756"/>
      <c r="NN15" s="756"/>
      <c r="NO15" s="756"/>
      <c r="NP15" s="756"/>
      <c r="NQ15" s="756"/>
      <c r="NR15" s="756"/>
      <c r="NS15" s="756"/>
      <c r="NT15" s="756"/>
      <c r="NU15" s="756"/>
      <c r="NV15" s="756"/>
      <c r="NW15" s="756"/>
      <c r="NX15" s="756"/>
      <c r="NY15" s="756"/>
      <c r="NZ15" s="756"/>
      <c r="OA15" s="756"/>
      <c r="OB15" s="756"/>
      <c r="OC15" s="756"/>
      <c r="OD15" s="756"/>
      <c r="OE15" s="756"/>
      <c r="OF15" s="756"/>
      <c r="OG15" s="756"/>
      <c r="OH15" s="756"/>
      <c r="OI15" s="756"/>
      <c r="OJ15" s="756"/>
      <c r="OK15" s="756"/>
      <c r="OL15" s="756"/>
      <c r="OM15" s="756"/>
      <c r="ON15" s="756"/>
      <c r="OO15" s="756"/>
      <c r="OP15" s="756"/>
      <c r="OQ15" s="756"/>
      <c r="OR15" s="756"/>
      <c r="OS15" s="756"/>
      <c r="OT15" s="756"/>
      <c r="OU15" s="756"/>
      <c r="OV15" s="756"/>
      <c r="OW15" s="756"/>
      <c r="OX15" s="756"/>
      <c r="OY15" s="756"/>
      <c r="OZ15" s="756"/>
      <c r="PA15" s="756"/>
      <c r="PB15" s="756"/>
      <c r="PC15" s="756"/>
      <c r="PD15" s="756"/>
      <c r="PE15" s="756"/>
      <c r="PF15" s="756"/>
      <c r="PG15" s="756"/>
      <c r="PH15" s="756"/>
      <c r="PI15" s="756"/>
      <c r="PJ15" s="756"/>
      <c r="PK15" s="756"/>
      <c r="PL15" s="756"/>
      <c r="PM15" s="756"/>
      <c r="PN15" s="756"/>
      <c r="PO15" s="756"/>
      <c r="PP15" s="756"/>
      <c r="PQ15" s="756"/>
      <c r="PR15" s="756"/>
      <c r="PS15" s="756"/>
      <c r="PT15" s="756"/>
      <c r="PU15" s="756"/>
      <c r="PV15" s="756"/>
      <c r="PW15" s="756"/>
      <c r="PX15" s="756"/>
      <c r="PY15" s="756"/>
      <c r="PZ15" s="756"/>
      <c r="QA15" s="756"/>
      <c r="QB15" s="756"/>
      <c r="QC15" s="756"/>
      <c r="QD15" s="756"/>
      <c r="QE15" s="756"/>
      <c r="QF15" s="756"/>
      <c r="QG15" s="756"/>
      <c r="QH15" s="756"/>
      <c r="QI15" s="756"/>
      <c r="QJ15" s="756"/>
      <c r="QK15" s="756"/>
      <c r="QL15" s="756"/>
      <c r="QM15" s="756"/>
      <c r="QN15" s="756"/>
      <c r="QO15" s="756"/>
      <c r="QP15" s="756"/>
      <c r="QQ15" s="756"/>
      <c r="QR15" s="756"/>
      <c r="QS15" s="756"/>
      <c r="QT15" s="756"/>
      <c r="QU15" s="756"/>
      <c r="QV15" s="756"/>
      <c r="QW15" s="756"/>
      <c r="QX15" s="756"/>
      <c r="QY15" s="756"/>
      <c r="QZ15" s="756"/>
      <c r="RA15" s="756"/>
      <c r="RB15" s="756"/>
      <c r="RC15" s="756"/>
      <c r="RD15" s="756"/>
      <c r="RE15" s="756"/>
      <c r="RF15" s="756"/>
      <c r="RG15" s="756"/>
      <c r="RH15" s="756"/>
      <c r="RI15" s="756"/>
      <c r="RJ15" s="756"/>
      <c r="RK15" s="756"/>
      <c r="RL15" s="756"/>
      <c r="RM15" s="756"/>
      <c r="RN15" s="756"/>
      <c r="RO15" s="756"/>
      <c r="RP15" s="756"/>
      <c r="RQ15" s="756"/>
      <c r="RR15" s="756"/>
      <c r="RS15" s="756"/>
      <c r="RT15" s="756"/>
      <c r="RU15" s="756"/>
      <c r="RV15" s="756"/>
      <c r="RW15" s="756"/>
      <c r="RX15" s="756"/>
      <c r="RY15" s="756"/>
      <c r="RZ15" s="756"/>
      <c r="SA15" s="756"/>
      <c r="SB15" s="756"/>
      <c r="SC15" s="756"/>
      <c r="SD15" s="756"/>
      <c r="SE15" s="756"/>
      <c r="SF15" s="756"/>
      <c r="SG15" s="756"/>
      <c r="SH15" s="756"/>
      <c r="SI15" s="756"/>
      <c r="SJ15" s="756"/>
      <c r="SK15" s="756"/>
      <c r="SL15" s="756"/>
      <c r="SM15" s="756"/>
      <c r="SN15" s="756"/>
      <c r="SO15" s="756"/>
      <c r="SP15" s="756"/>
      <c r="SQ15" s="756"/>
      <c r="SR15" s="756"/>
    </row>
    <row r="16" spans="1:512" ht="15" customHeight="1">
      <c r="A16" s="969"/>
      <c r="B16" s="969"/>
      <c r="C16" s="969"/>
      <c r="D16" s="969"/>
      <c r="E16" s="969"/>
      <c r="F16" s="969"/>
      <c r="H16" s="1027"/>
      <c r="U16" s="643"/>
      <c r="V16" s="643"/>
      <c r="W16" s="643"/>
      <c r="X16" s="643"/>
      <c r="Y16" s="643"/>
      <c r="Z16" s="643"/>
      <c r="AA16" s="643"/>
      <c r="AB16" s="643"/>
      <c r="AC16" s="643"/>
      <c r="AD16" s="643"/>
      <c r="AE16" s="643"/>
      <c r="AF16" s="643"/>
      <c r="AG16" s="643"/>
      <c r="AH16" s="643"/>
      <c r="AI16" s="643"/>
      <c r="AJ16" s="643"/>
      <c r="AK16" s="643"/>
      <c r="AL16" s="643"/>
      <c r="AM16" s="643"/>
      <c r="AN16" s="643"/>
      <c r="AO16" s="643"/>
      <c r="AP16" s="643"/>
      <c r="AQ16" s="643"/>
      <c r="AR16" s="643"/>
      <c r="AS16" s="643"/>
      <c r="AT16" s="643"/>
      <c r="AU16" s="643"/>
      <c r="AV16" s="643"/>
      <c r="AW16" s="643"/>
      <c r="AX16" s="643"/>
      <c r="AY16" s="643"/>
      <c r="AZ16" s="643"/>
      <c r="BA16" s="643"/>
      <c r="BB16" s="643"/>
      <c r="BC16" s="643"/>
      <c r="BD16" s="643"/>
      <c r="BE16" s="643"/>
    </row>
    <row r="17" spans="1:512" ht="15" customHeight="1">
      <c r="A17" s="969" t="s">
        <v>2202</v>
      </c>
      <c r="B17" s="969"/>
      <c r="C17" s="969"/>
      <c r="D17" s="969"/>
      <c r="E17" s="969"/>
      <c r="F17" s="969"/>
      <c r="G17" s="755"/>
      <c r="H17" s="1027"/>
      <c r="I17" s="755"/>
      <c r="J17" s="755"/>
      <c r="K17" s="755"/>
      <c r="L17" s="755"/>
      <c r="M17" s="755"/>
      <c r="N17" s="755"/>
      <c r="O17" s="755"/>
      <c r="P17" s="755"/>
      <c r="Q17" s="755"/>
      <c r="R17" s="755"/>
      <c r="S17" s="755"/>
      <c r="T17" s="755"/>
      <c r="U17" s="661"/>
      <c r="V17" s="661"/>
      <c r="W17" s="661"/>
      <c r="X17" s="661"/>
      <c r="Y17" s="661"/>
      <c r="Z17" s="661"/>
      <c r="AA17" s="661"/>
      <c r="AB17" s="661"/>
      <c r="AC17" s="661"/>
      <c r="AD17" s="661"/>
      <c r="AE17" s="661"/>
      <c r="AF17" s="661"/>
      <c r="AG17" s="661"/>
      <c r="AH17" s="661"/>
      <c r="AI17" s="661"/>
      <c r="AJ17" s="661"/>
      <c r="AK17" s="661"/>
      <c r="AL17" s="661"/>
      <c r="AM17" s="661"/>
      <c r="AN17" s="661"/>
      <c r="AO17" s="661"/>
      <c r="AP17" s="661"/>
      <c r="AQ17" s="661"/>
      <c r="AR17" s="661"/>
      <c r="AS17" s="661"/>
      <c r="AT17" s="661"/>
      <c r="AU17" s="661"/>
      <c r="AV17" s="661"/>
      <c r="AW17" s="661"/>
      <c r="AX17" s="661"/>
      <c r="AY17" s="661"/>
      <c r="AZ17" s="661"/>
      <c r="BA17" s="661"/>
      <c r="BB17" s="661"/>
      <c r="BC17" s="661"/>
      <c r="BD17" s="661"/>
      <c r="BE17" s="661"/>
    </row>
    <row r="18" spans="1:512" ht="15" customHeight="1">
      <c r="A18" s="969"/>
      <c r="B18" s="969" t="s">
        <v>2203</v>
      </c>
      <c r="C18" s="969"/>
      <c r="D18" s="969"/>
      <c r="E18" s="969" t="s">
        <v>237</v>
      </c>
      <c r="F18" s="969"/>
      <c r="G18" s="756" t="s">
        <v>208</v>
      </c>
      <c r="H18" s="1027" t="s">
        <v>1852</v>
      </c>
      <c r="I18" s="756"/>
      <c r="J18" s="756"/>
      <c r="K18" s="756"/>
      <c r="L18" s="756"/>
      <c r="M18" s="756"/>
      <c r="N18" s="756"/>
      <c r="O18" s="756"/>
      <c r="P18" s="756"/>
      <c r="Q18" s="756"/>
      <c r="R18" s="756"/>
      <c r="S18" s="756"/>
      <c r="T18" s="756"/>
      <c r="U18" s="756"/>
      <c r="V18" s="756"/>
      <c r="W18" s="756"/>
      <c r="X18" s="756"/>
      <c r="Y18" s="756"/>
      <c r="Z18" s="756"/>
      <c r="AA18" s="756"/>
      <c r="AB18" s="756"/>
      <c r="AC18" s="756"/>
      <c r="AD18" s="756"/>
      <c r="AE18" s="756"/>
      <c r="AF18" s="756"/>
      <c r="AG18" s="756"/>
      <c r="AH18" s="756"/>
      <c r="AI18" s="756"/>
      <c r="AJ18" s="756"/>
      <c r="AK18" s="756"/>
      <c r="AL18" s="756"/>
      <c r="AM18" s="756"/>
      <c r="AN18" s="756"/>
      <c r="AO18" s="756"/>
      <c r="AP18" s="756"/>
      <c r="AQ18" s="756"/>
      <c r="AR18" s="756"/>
      <c r="AS18" s="756"/>
      <c r="AT18" s="756"/>
      <c r="AU18" s="756"/>
      <c r="AV18" s="756"/>
      <c r="AW18" s="756"/>
      <c r="AX18" s="756"/>
      <c r="AY18" s="756"/>
      <c r="AZ18" s="756"/>
      <c r="BA18" s="756"/>
      <c r="BB18" s="756"/>
      <c r="BC18" s="756"/>
      <c r="BD18" s="756"/>
      <c r="BE18" s="756"/>
      <c r="BF18" s="756"/>
      <c r="BG18" s="756"/>
      <c r="BH18" s="756"/>
      <c r="BI18" s="756"/>
      <c r="BJ18" s="756"/>
      <c r="BK18" s="756"/>
      <c r="BL18" s="756"/>
      <c r="BM18" s="756"/>
      <c r="BN18" s="756"/>
      <c r="BO18" s="756"/>
      <c r="BP18" s="756"/>
      <c r="BQ18" s="756"/>
      <c r="BR18" s="756"/>
      <c r="BS18" s="756"/>
      <c r="BT18" s="756"/>
      <c r="BU18" s="756"/>
      <c r="BV18" s="756"/>
      <c r="BW18" s="756"/>
      <c r="BX18" s="756"/>
      <c r="BY18" s="756"/>
      <c r="BZ18" s="756"/>
      <c r="CA18" s="756"/>
      <c r="CB18" s="756"/>
      <c r="CC18" s="756"/>
      <c r="CD18" s="756"/>
      <c r="CE18" s="756"/>
      <c r="CF18" s="756"/>
      <c r="CG18" s="756"/>
      <c r="CH18" s="756"/>
      <c r="CI18" s="756"/>
      <c r="CJ18" s="756"/>
      <c r="CK18" s="756"/>
      <c r="CL18" s="756"/>
      <c r="CM18" s="756"/>
      <c r="CN18" s="756"/>
      <c r="CO18" s="756"/>
      <c r="CP18" s="756"/>
      <c r="CQ18" s="756"/>
      <c r="CR18" s="756"/>
      <c r="CS18" s="756"/>
      <c r="CT18" s="756"/>
      <c r="CU18" s="756"/>
      <c r="CV18" s="756"/>
      <c r="CW18" s="756"/>
      <c r="CX18" s="756"/>
      <c r="CY18" s="756"/>
      <c r="CZ18" s="756"/>
      <c r="DA18" s="756"/>
      <c r="DB18" s="756"/>
      <c r="DC18" s="756"/>
      <c r="DD18" s="756"/>
      <c r="DE18" s="756"/>
      <c r="DF18" s="756"/>
      <c r="DG18" s="756"/>
      <c r="DH18" s="756"/>
      <c r="DI18" s="756"/>
      <c r="DJ18" s="756"/>
      <c r="DK18" s="756"/>
      <c r="DL18" s="756"/>
      <c r="DM18" s="756"/>
      <c r="DN18" s="756"/>
      <c r="DO18" s="756"/>
      <c r="DP18" s="756"/>
      <c r="DQ18" s="756"/>
      <c r="DR18" s="756"/>
      <c r="DS18" s="756"/>
      <c r="DT18" s="756"/>
      <c r="DU18" s="756"/>
      <c r="DV18" s="756"/>
      <c r="DW18" s="756"/>
      <c r="DX18" s="756"/>
      <c r="DY18" s="756"/>
      <c r="DZ18" s="756"/>
      <c r="EA18" s="756"/>
      <c r="EB18" s="756"/>
      <c r="EC18" s="756"/>
      <c r="ED18" s="756"/>
      <c r="EE18" s="756"/>
      <c r="EF18" s="756"/>
      <c r="EG18" s="756"/>
      <c r="EH18" s="756"/>
      <c r="EI18" s="756"/>
      <c r="EJ18" s="756"/>
      <c r="EK18" s="756"/>
      <c r="EL18" s="756"/>
      <c r="EM18" s="756"/>
      <c r="EN18" s="756"/>
      <c r="EO18" s="756"/>
      <c r="EP18" s="756"/>
      <c r="EQ18" s="756"/>
      <c r="ER18" s="756"/>
      <c r="ES18" s="756"/>
      <c r="ET18" s="756"/>
      <c r="EU18" s="756"/>
      <c r="EV18" s="756"/>
      <c r="EW18" s="756"/>
      <c r="EX18" s="756"/>
      <c r="EY18" s="756"/>
      <c r="EZ18" s="756"/>
      <c r="FA18" s="756"/>
      <c r="FB18" s="756"/>
      <c r="FC18" s="756"/>
      <c r="FD18" s="756"/>
      <c r="FE18" s="756"/>
      <c r="FF18" s="756"/>
      <c r="FG18" s="756"/>
      <c r="FH18" s="756"/>
      <c r="FI18" s="756"/>
      <c r="FJ18" s="756"/>
      <c r="FK18" s="756"/>
      <c r="FL18" s="756"/>
      <c r="FM18" s="756"/>
      <c r="FN18" s="756"/>
      <c r="FO18" s="756"/>
      <c r="FP18" s="756"/>
      <c r="FQ18" s="756"/>
      <c r="FR18" s="756"/>
      <c r="FS18" s="756"/>
      <c r="FT18" s="756"/>
      <c r="FU18" s="756"/>
      <c r="FV18" s="756"/>
      <c r="FW18" s="756"/>
      <c r="FX18" s="756"/>
      <c r="FY18" s="756"/>
      <c r="FZ18" s="756"/>
      <c r="GA18" s="756"/>
      <c r="GB18" s="756"/>
      <c r="GC18" s="756"/>
      <c r="GD18" s="756"/>
      <c r="GE18" s="756"/>
      <c r="GF18" s="756"/>
      <c r="GG18" s="756"/>
      <c r="GH18" s="756"/>
      <c r="GI18" s="756"/>
      <c r="GJ18" s="756"/>
      <c r="GK18" s="756"/>
      <c r="GL18" s="756"/>
      <c r="GM18" s="756"/>
      <c r="GN18" s="756"/>
      <c r="GO18" s="756"/>
      <c r="GP18" s="756"/>
      <c r="GQ18" s="756"/>
      <c r="GR18" s="756"/>
      <c r="GS18" s="756"/>
      <c r="GT18" s="756"/>
      <c r="GU18" s="756"/>
      <c r="GV18" s="756"/>
      <c r="GW18" s="756"/>
      <c r="GX18" s="756"/>
      <c r="GY18" s="756"/>
      <c r="GZ18" s="756"/>
      <c r="HA18" s="756"/>
      <c r="HB18" s="756"/>
      <c r="HC18" s="756"/>
      <c r="HD18" s="756"/>
      <c r="HE18" s="756"/>
      <c r="HF18" s="756"/>
      <c r="HG18" s="756"/>
      <c r="HH18" s="756"/>
      <c r="HI18" s="756"/>
      <c r="HJ18" s="756"/>
      <c r="HK18" s="756"/>
      <c r="HL18" s="756"/>
      <c r="HM18" s="756"/>
      <c r="HN18" s="756"/>
      <c r="HO18" s="756"/>
      <c r="HP18" s="756"/>
      <c r="HQ18" s="756"/>
      <c r="HR18" s="756"/>
      <c r="HS18" s="756"/>
      <c r="HT18" s="756"/>
      <c r="HU18" s="756"/>
      <c r="HV18" s="756"/>
      <c r="HW18" s="756"/>
      <c r="HX18" s="756"/>
      <c r="HY18" s="756"/>
      <c r="HZ18" s="756"/>
      <c r="IA18" s="756"/>
      <c r="IB18" s="756"/>
      <c r="IC18" s="756"/>
      <c r="ID18" s="756"/>
      <c r="IE18" s="756"/>
      <c r="IF18" s="756"/>
      <c r="IG18" s="756"/>
      <c r="IH18" s="756"/>
      <c r="II18" s="756"/>
      <c r="IJ18" s="756"/>
      <c r="IK18" s="756"/>
      <c r="IL18" s="756"/>
      <c r="IM18" s="756"/>
      <c r="IN18" s="756"/>
      <c r="IO18" s="756"/>
      <c r="IP18" s="756"/>
      <c r="IQ18" s="756"/>
      <c r="IR18" s="756"/>
      <c r="IS18" s="756"/>
      <c r="IT18" s="756"/>
      <c r="IU18" s="756"/>
      <c r="IV18" s="756"/>
      <c r="IW18" s="756"/>
      <c r="IX18" s="756"/>
      <c r="IY18" s="756"/>
      <c r="IZ18" s="756"/>
      <c r="JA18" s="756"/>
      <c r="JB18" s="756"/>
      <c r="JC18" s="756"/>
      <c r="JD18" s="756"/>
      <c r="JE18" s="756"/>
      <c r="JF18" s="756"/>
      <c r="JG18" s="756"/>
      <c r="JH18" s="756"/>
      <c r="JI18" s="756"/>
      <c r="JJ18" s="756"/>
      <c r="JK18" s="756"/>
      <c r="JL18" s="756"/>
      <c r="JM18" s="756"/>
      <c r="JN18" s="756"/>
      <c r="JO18" s="756"/>
      <c r="JP18" s="756"/>
      <c r="JQ18" s="756"/>
      <c r="JR18" s="756"/>
      <c r="JS18" s="756"/>
      <c r="JT18" s="756"/>
      <c r="JU18" s="756"/>
      <c r="JV18" s="756"/>
      <c r="JW18" s="756"/>
      <c r="JX18" s="756"/>
      <c r="JY18" s="756"/>
      <c r="JZ18" s="756"/>
      <c r="KA18" s="756"/>
      <c r="KB18" s="756"/>
      <c r="KC18" s="756"/>
      <c r="KD18" s="756"/>
      <c r="KE18" s="756"/>
      <c r="KF18" s="756"/>
      <c r="KG18" s="756"/>
      <c r="KH18" s="756"/>
      <c r="KI18" s="756"/>
      <c r="KJ18" s="756"/>
      <c r="KK18" s="756"/>
      <c r="KL18" s="756"/>
      <c r="KM18" s="756"/>
      <c r="KN18" s="756"/>
      <c r="KO18" s="756"/>
      <c r="KP18" s="756"/>
      <c r="KQ18" s="756"/>
      <c r="KR18" s="756"/>
      <c r="KS18" s="756"/>
      <c r="KT18" s="756"/>
      <c r="KU18" s="756"/>
      <c r="KV18" s="756"/>
      <c r="KW18" s="756"/>
      <c r="KX18" s="756"/>
      <c r="KY18" s="756"/>
      <c r="KZ18" s="756"/>
      <c r="LA18" s="756"/>
      <c r="LB18" s="756"/>
      <c r="LC18" s="756"/>
      <c r="LD18" s="756"/>
      <c r="LE18" s="756"/>
      <c r="LF18" s="756"/>
      <c r="LG18" s="756"/>
      <c r="LH18" s="756"/>
      <c r="LI18" s="756"/>
      <c r="LJ18" s="756"/>
      <c r="LK18" s="756"/>
      <c r="LL18" s="756"/>
      <c r="LM18" s="756"/>
      <c r="LN18" s="756"/>
      <c r="LO18" s="756"/>
      <c r="LP18" s="756"/>
      <c r="LQ18" s="756"/>
      <c r="LR18" s="756"/>
      <c r="LS18" s="756"/>
      <c r="LT18" s="756"/>
      <c r="LU18" s="756"/>
      <c r="LV18" s="756"/>
      <c r="LW18" s="756"/>
      <c r="LX18" s="756"/>
      <c r="LY18" s="756"/>
      <c r="LZ18" s="756"/>
      <c r="MA18" s="756"/>
      <c r="MB18" s="756"/>
      <c r="MC18" s="756"/>
      <c r="MD18" s="756"/>
      <c r="ME18" s="756"/>
      <c r="MF18" s="756"/>
      <c r="MG18" s="756"/>
      <c r="MH18" s="756"/>
      <c r="MI18" s="756"/>
      <c r="MJ18" s="756"/>
      <c r="MK18" s="756"/>
      <c r="ML18" s="756"/>
      <c r="MM18" s="756"/>
      <c r="MN18" s="756"/>
      <c r="MO18" s="756"/>
      <c r="MP18" s="756"/>
      <c r="MQ18" s="756"/>
      <c r="MR18" s="756"/>
      <c r="MS18" s="756"/>
      <c r="MT18" s="756"/>
      <c r="MU18" s="756"/>
      <c r="MV18" s="756"/>
      <c r="MW18" s="756"/>
      <c r="MX18" s="756"/>
      <c r="MY18" s="756"/>
      <c r="MZ18" s="756"/>
      <c r="NA18" s="756"/>
      <c r="NB18" s="756"/>
      <c r="NC18" s="756"/>
      <c r="ND18" s="756"/>
      <c r="NE18" s="756"/>
      <c r="NF18" s="756"/>
      <c r="NG18" s="756"/>
      <c r="NH18" s="756"/>
      <c r="NI18" s="756"/>
      <c r="NJ18" s="756"/>
      <c r="NK18" s="756"/>
      <c r="NL18" s="756"/>
      <c r="NM18" s="756"/>
      <c r="NN18" s="756"/>
      <c r="NO18" s="756"/>
      <c r="NP18" s="756"/>
      <c r="NQ18" s="756"/>
      <c r="NR18" s="756"/>
      <c r="NS18" s="756"/>
      <c r="NT18" s="756"/>
      <c r="NU18" s="756"/>
      <c r="NV18" s="756"/>
      <c r="NW18" s="756"/>
      <c r="NX18" s="756"/>
      <c r="NY18" s="756"/>
      <c r="NZ18" s="756"/>
      <c r="OA18" s="756"/>
      <c r="OB18" s="756"/>
      <c r="OC18" s="756"/>
      <c r="OD18" s="756"/>
      <c r="OE18" s="756"/>
      <c r="OF18" s="756"/>
      <c r="OG18" s="756"/>
      <c r="OH18" s="756"/>
      <c r="OI18" s="756"/>
      <c r="OJ18" s="756"/>
      <c r="OK18" s="756"/>
      <c r="OL18" s="756"/>
      <c r="OM18" s="756"/>
      <c r="ON18" s="756"/>
      <c r="OO18" s="756"/>
      <c r="OP18" s="756"/>
      <c r="OQ18" s="756"/>
      <c r="OR18" s="756"/>
      <c r="OS18" s="756"/>
      <c r="OT18" s="756"/>
      <c r="OU18" s="756"/>
      <c r="OV18" s="756"/>
      <c r="OW18" s="756"/>
      <c r="OX18" s="756"/>
      <c r="OY18" s="756"/>
      <c r="OZ18" s="756"/>
      <c r="PA18" s="756"/>
      <c r="PB18" s="756"/>
      <c r="PC18" s="756"/>
      <c r="PD18" s="756"/>
      <c r="PE18" s="756"/>
      <c r="PF18" s="756"/>
      <c r="PG18" s="756"/>
      <c r="PH18" s="756"/>
      <c r="PI18" s="756"/>
      <c r="PJ18" s="756"/>
      <c r="PK18" s="756"/>
      <c r="PL18" s="756"/>
      <c r="PM18" s="756"/>
      <c r="PN18" s="756"/>
      <c r="PO18" s="756"/>
      <c r="PP18" s="756"/>
      <c r="PQ18" s="756"/>
      <c r="PR18" s="756"/>
      <c r="PS18" s="756"/>
      <c r="PT18" s="756"/>
      <c r="PU18" s="756"/>
      <c r="PV18" s="756"/>
      <c r="PW18" s="756"/>
      <c r="PX18" s="756"/>
      <c r="PY18" s="756"/>
      <c r="PZ18" s="756"/>
      <c r="QA18" s="756"/>
      <c r="QB18" s="756"/>
      <c r="QC18" s="756"/>
      <c r="QD18" s="756"/>
      <c r="QE18" s="756"/>
      <c r="QF18" s="756"/>
      <c r="QG18" s="756"/>
      <c r="QH18" s="756"/>
      <c r="QI18" s="756"/>
      <c r="QJ18" s="756"/>
      <c r="QK18" s="756"/>
      <c r="QL18" s="756"/>
      <c r="QM18" s="756"/>
      <c r="QN18" s="756"/>
      <c r="QO18" s="756"/>
      <c r="QP18" s="756"/>
      <c r="QQ18" s="756"/>
      <c r="QR18" s="756"/>
      <c r="QS18" s="756"/>
      <c r="QT18" s="756"/>
      <c r="QU18" s="756"/>
      <c r="QV18" s="756"/>
      <c r="QW18" s="756"/>
      <c r="QX18" s="756"/>
      <c r="QY18" s="756"/>
      <c r="QZ18" s="756"/>
      <c r="RA18" s="756"/>
      <c r="RB18" s="756"/>
      <c r="RC18" s="756"/>
      <c r="RD18" s="756"/>
      <c r="RE18" s="756"/>
      <c r="RF18" s="756"/>
      <c r="RG18" s="756"/>
      <c r="RH18" s="756"/>
      <c r="RI18" s="756"/>
      <c r="RJ18" s="756"/>
      <c r="RK18" s="756"/>
      <c r="RL18" s="756"/>
      <c r="RM18" s="756"/>
      <c r="RN18" s="756"/>
      <c r="RO18" s="756"/>
      <c r="RP18" s="756"/>
      <c r="RQ18" s="756"/>
      <c r="RR18" s="756"/>
      <c r="RS18" s="756"/>
      <c r="RT18" s="756"/>
      <c r="RU18" s="756"/>
      <c r="RV18" s="756"/>
      <c r="RW18" s="756"/>
      <c r="RX18" s="756"/>
      <c r="RY18" s="756"/>
      <c r="RZ18" s="756"/>
      <c r="SA18" s="756"/>
      <c r="SB18" s="756"/>
      <c r="SC18" s="756"/>
      <c r="SD18" s="756"/>
      <c r="SE18" s="756"/>
      <c r="SF18" s="756"/>
      <c r="SG18" s="756"/>
      <c r="SH18" s="756"/>
      <c r="SI18" s="756"/>
      <c r="SJ18" s="756"/>
      <c r="SK18" s="756"/>
      <c r="SL18" s="756"/>
      <c r="SM18" s="756"/>
      <c r="SN18" s="756"/>
      <c r="SO18" s="756"/>
      <c r="SP18" s="756"/>
      <c r="SQ18" s="756"/>
      <c r="SR18" s="756"/>
    </row>
    <row r="19" spans="1:512" ht="15" customHeight="1">
      <c r="A19" s="969"/>
      <c r="B19" s="969" t="s">
        <v>2204</v>
      </c>
      <c r="C19" s="969"/>
      <c r="D19" s="969"/>
      <c r="E19" s="969" t="s">
        <v>237</v>
      </c>
      <c r="F19" s="969"/>
      <c r="G19" s="756" t="s">
        <v>208</v>
      </c>
      <c r="H19" s="1027" t="s">
        <v>4142</v>
      </c>
      <c r="I19" s="756"/>
      <c r="J19" s="756"/>
      <c r="K19" s="756"/>
      <c r="L19" s="756"/>
      <c r="M19" s="756"/>
      <c r="N19" s="756"/>
      <c r="O19" s="756"/>
      <c r="P19" s="756"/>
      <c r="Q19" s="756"/>
      <c r="R19" s="756"/>
      <c r="S19" s="756"/>
      <c r="T19" s="756"/>
      <c r="U19" s="756"/>
      <c r="V19" s="756"/>
      <c r="W19" s="756"/>
      <c r="X19" s="756"/>
      <c r="Y19" s="756"/>
      <c r="Z19" s="756"/>
      <c r="AA19" s="756"/>
      <c r="AB19" s="756"/>
      <c r="AC19" s="756"/>
      <c r="AD19" s="756"/>
      <c r="AE19" s="756"/>
      <c r="AF19" s="756"/>
      <c r="AG19" s="756"/>
      <c r="AH19" s="756"/>
      <c r="AI19" s="756"/>
      <c r="AJ19" s="756"/>
      <c r="AK19" s="756"/>
      <c r="AL19" s="756"/>
      <c r="AM19" s="756"/>
      <c r="AN19" s="756"/>
      <c r="AO19" s="756"/>
      <c r="AP19" s="756"/>
      <c r="AQ19" s="756"/>
      <c r="AR19" s="756"/>
      <c r="AS19" s="756"/>
      <c r="AT19" s="756"/>
      <c r="AU19" s="756"/>
      <c r="AV19" s="756"/>
      <c r="AW19" s="756"/>
      <c r="AX19" s="756"/>
      <c r="AY19" s="756"/>
      <c r="AZ19" s="756"/>
      <c r="BA19" s="756"/>
      <c r="BB19" s="756"/>
      <c r="BC19" s="756"/>
      <c r="BD19" s="756"/>
      <c r="BE19" s="756"/>
      <c r="BF19" s="756"/>
      <c r="BG19" s="756"/>
      <c r="BH19" s="756"/>
      <c r="BI19" s="756"/>
      <c r="BJ19" s="756"/>
      <c r="BK19" s="756"/>
      <c r="BL19" s="756"/>
      <c r="BM19" s="756"/>
      <c r="BN19" s="756"/>
      <c r="BO19" s="756"/>
      <c r="BP19" s="756"/>
      <c r="BQ19" s="756"/>
      <c r="BR19" s="756"/>
      <c r="BS19" s="756"/>
      <c r="BT19" s="756"/>
      <c r="BU19" s="756"/>
      <c r="BV19" s="756"/>
      <c r="BW19" s="756"/>
      <c r="BX19" s="756"/>
      <c r="BY19" s="756"/>
      <c r="BZ19" s="756"/>
      <c r="CA19" s="756"/>
      <c r="CB19" s="756"/>
      <c r="CC19" s="756"/>
      <c r="CD19" s="756"/>
      <c r="CE19" s="756"/>
      <c r="CF19" s="756"/>
      <c r="CG19" s="756"/>
      <c r="CH19" s="756"/>
      <c r="CI19" s="756"/>
      <c r="CJ19" s="756"/>
      <c r="CK19" s="756"/>
      <c r="CL19" s="756"/>
      <c r="CM19" s="756"/>
      <c r="CN19" s="756"/>
      <c r="CO19" s="756"/>
      <c r="CP19" s="756"/>
      <c r="CQ19" s="756"/>
      <c r="CR19" s="756"/>
      <c r="CS19" s="756"/>
      <c r="CT19" s="756"/>
      <c r="CU19" s="756"/>
      <c r="CV19" s="756"/>
      <c r="CW19" s="756"/>
      <c r="CX19" s="756"/>
      <c r="CY19" s="756"/>
      <c r="CZ19" s="756"/>
      <c r="DA19" s="756"/>
      <c r="DB19" s="756"/>
      <c r="DC19" s="756"/>
      <c r="DD19" s="756"/>
      <c r="DE19" s="756"/>
      <c r="DF19" s="756"/>
      <c r="DG19" s="756"/>
      <c r="DH19" s="756"/>
      <c r="DI19" s="756"/>
      <c r="DJ19" s="756"/>
      <c r="DK19" s="756"/>
      <c r="DL19" s="756"/>
      <c r="DM19" s="756"/>
      <c r="DN19" s="756"/>
      <c r="DO19" s="756"/>
      <c r="DP19" s="756"/>
      <c r="DQ19" s="756"/>
      <c r="DR19" s="756"/>
      <c r="DS19" s="756"/>
      <c r="DT19" s="756"/>
      <c r="DU19" s="756"/>
      <c r="DV19" s="756"/>
      <c r="DW19" s="756"/>
      <c r="DX19" s="756"/>
      <c r="DY19" s="756"/>
      <c r="DZ19" s="756"/>
      <c r="EA19" s="756"/>
      <c r="EB19" s="756"/>
      <c r="EC19" s="756"/>
      <c r="ED19" s="756"/>
      <c r="EE19" s="756"/>
      <c r="EF19" s="756"/>
      <c r="EG19" s="756"/>
      <c r="EH19" s="756"/>
      <c r="EI19" s="756"/>
      <c r="EJ19" s="756"/>
      <c r="EK19" s="756"/>
      <c r="EL19" s="756"/>
      <c r="EM19" s="756"/>
      <c r="EN19" s="756"/>
      <c r="EO19" s="756"/>
      <c r="EP19" s="756"/>
      <c r="EQ19" s="756"/>
      <c r="ER19" s="756"/>
      <c r="ES19" s="756"/>
      <c r="ET19" s="756"/>
      <c r="EU19" s="756"/>
      <c r="EV19" s="756"/>
      <c r="EW19" s="756"/>
      <c r="EX19" s="756"/>
      <c r="EY19" s="756"/>
      <c r="EZ19" s="756"/>
      <c r="FA19" s="756"/>
      <c r="FB19" s="756"/>
      <c r="FC19" s="756"/>
      <c r="FD19" s="756"/>
      <c r="FE19" s="756"/>
      <c r="FF19" s="756"/>
      <c r="FG19" s="756"/>
      <c r="FH19" s="756"/>
      <c r="FI19" s="756"/>
      <c r="FJ19" s="756"/>
      <c r="FK19" s="756"/>
      <c r="FL19" s="756"/>
      <c r="FM19" s="756"/>
      <c r="FN19" s="756"/>
      <c r="FO19" s="756"/>
      <c r="FP19" s="756"/>
      <c r="FQ19" s="756"/>
      <c r="FR19" s="756"/>
      <c r="FS19" s="756"/>
      <c r="FT19" s="756"/>
      <c r="FU19" s="756"/>
      <c r="FV19" s="756"/>
      <c r="FW19" s="756"/>
      <c r="FX19" s="756"/>
      <c r="FY19" s="756"/>
      <c r="FZ19" s="756"/>
      <c r="GA19" s="756"/>
      <c r="GB19" s="756"/>
      <c r="GC19" s="756"/>
      <c r="GD19" s="756"/>
      <c r="GE19" s="756"/>
      <c r="GF19" s="756"/>
      <c r="GG19" s="756"/>
      <c r="GH19" s="756"/>
      <c r="GI19" s="756"/>
      <c r="GJ19" s="756"/>
      <c r="GK19" s="756"/>
      <c r="GL19" s="756"/>
      <c r="GM19" s="756"/>
      <c r="GN19" s="756"/>
      <c r="GO19" s="756"/>
      <c r="GP19" s="756"/>
      <c r="GQ19" s="756"/>
      <c r="GR19" s="756"/>
      <c r="GS19" s="756"/>
      <c r="GT19" s="756"/>
      <c r="GU19" s="756"/>
      <c r="GV19" s="756"/>
      <c r="GW19" s="756"/>
      <c r="GX19" s="756"/>
      <c r="GY19" s="756"/>
      <c r="GZ19" s="756"/>
      <c r="HA19" s="756"/>
      <c r="HB19" s="756"/>
      <c r="HC19" s="756"/>
      <c r="HD19" s="756"/>
      <c r="HE19" s="756"/>
      <c r="HF19" s="756"/>
      <c r="HG19" s="756"/>
      <c r="HH19" s="756"/>
      <c r="HI19" s="756"/>
      <c r="HJ19" s="756"/>
      <c r="HK19" s="756"/>
      <c r="HL19" s="756"/>
      <c r="HM19" s="756"/>
      <c r="HN19" s="756"/>
      <c r="HO19" s="756"/>
      <c r="HP19" s="756"/>
      <c r="HQ19" s="756"/>
      <c r="HR19" s="756"/>
      <c r="HS19" s="756"/>
      <c r="HT19" s="756"/>
      <c r="HU19" s="756"/>
      <c r="HV19" s="756"/>
      <c r="HW19" s="756"/>
      <c r="HX19" s="756"/>
      <c r="HY19" s="756"/>
      <c r="HZ19" s="756"/>
      <c r="IA19" s="756"/>
      <c r="IB19" s="756"/>
      <c r="IC19" s="756"/>
      <c r="ID19" s="756"/>
      <c r="IE19" s="756"/>
      <c r="IF19" s="756"/>
      <c r="IG19" s="756"/>
      <c r="IH19" s="756"/>
      <c r="II19" s="756"/>
      <c r="IJ19" s="756"/>
      <c r="IK19" s="756"/>
      <c r="IL19" s="756"/>
      <c r="IM19" s="756"/>
      <c r="IN19" s="756"/>
      <c r="IO19" s="756"/>
      <c r="IP19" s="756"/>
      <c r="IQ19" s="756"/>
      <c r="IR19" s="756"/>
      <c r="IS19" s="756"/>
      <c r="IT19" s="756"/>
      <c r="IU19" s="756"/>
      <c r="IV19" s="756"/>
      <c r="IW19" s="756"/>
      <c r="IX19" s="756"/>
      <c r="IY19" s="756"/>
      <c r="IZ19" s="756"/>
      <c r="JA19" s="756"/>
      <c r="JB19" s="756"/>
      <c r="JC19" s="756"/>
      <c r="JD19" s="756"/>
      <c r="JE19" s="756"/>
      <c r="JF19" s="756"/>
      <c r="JG19" s="756"/>
      <c r="JH19" s="756"/>
      <c r="JI19" s="756"/>
      <c r="JJ19" s="756"/>
      <c r="JK19" s="756"/>
      <c r="JL19" s="756"/>
      <c r="JM19" s="756"/>
      <c r="JN19" s="756"/>
      <c r="JO19" s="756"/>
      <c r="JP19" s="756"/>
      <c r="JQ19" s="756"/>
      <c r="JR19" s="756"/>
      <c r="JS19" s="756"/>
      <c r="JT19" s="756"/>
      <c r="JU19" s="756"/>
      <c r="JV19" s="756"/>
      <c r="JW19" s="756"/>
      <c r="JX19" s="756"/>
      <c r="JY19" s="756"/>
      <c r="JZ19" s="756"/>
      <c r="KA19" s="756"/>
      <c r="KB19" s="756"/>
      <c r="KC19" s="756"/>
      <c r="KD19" s="756"/>
      <c r="KE19" s="756"/>
      <c r="KF19" s="756"/>
      <c r="KG19" s="756"/>
      <c r="KH19" s="756"/>
      <c r="KI19" s="756"/>
      <c r="KJ19" s="756"/>
      <c r="KK19" s="756"/>
      <c r="KL19" s="756"/>
      <c r="KM19" s="756"/>
      <c r="KN19" s="756"/>
      <c r="KO19" s="756"/>
      <c r="KP19" s="756"/>
      <c r="KQ19" s="756"/>
      <c r="KR19" s="756"/>
      <c r="KS19" s="756"/>
      <c r="KT19" s="756"/>
      <c r="KU19" s="756"/>
      <c r="KV19" s="756"/>
      <c r="KW19" s="756"/>
      <c r="KX19" s="756"/>
      <c r="KY19" s="756"/>
      <c r="KZ19" s="756"/>
      <c r="LA19" s="756"/>
      <c r="LB19" s="756"/>
      <c r="LC19" s="756"/>
      <c r="LD19" s="756"/>
      <c r="LE19" s="756"/>
      <c r="LF19" s="756"/>
      <c r="LG19" s="756"/>
      <c r="LH19" s="756"/>
      <c r="LI19" s="756"/>
      <c r="LJ19" s="756"/>
      <c r="LK19" s="756"/>
      <c r="LL19" s="756"/>
      <c r="LM19" s="756"/>
      <c r="LN19" s="756"/>
      <c r="LO19" s="756"/>
      <c r="LP19" s="756"/>
      <c r="LQ19" s="756"/>
      <c r="LR19" s="756"/>
      <c r="LS19" s="756"/>
      <c r="LT19" s="756"/>
      <c r="LU19" s="756"/>
      <c r="LV19" s="756"/>
      <c r="LW19" s="756"/>
      <c r="LX19" s="756"/>
      <c r="LY19" s="756"/>
      <c r="LZ19" s="756"/>
      <c r="MA19" s="756"/>
      <c r="MB19" s="756"/>
      <c r="MC19" s="756"/>
      <c r="MD19" s="756"/>
      <c r="ME19" s="756"/>
      <c r="MF19" s="756"/>
      <c r="MG19" s="756"/>
      <c r="MH19" s="756"/>
      <c r="MI19" s="756"/>
      <c r="MJ19" s="756"/>
      <c r="MK19" s="756"/>
      <c r="ML19" s="756"/>
      <c r="MM19" s="756"/>
      <c r="MN19" s="756"/>
      <c r="MO19" s="756"/>
      <c r="MP19" s="756"/>
      <c r="MQ19" s="756"/>
      <c r="MR19" s="756"/>
      <c r="MS19" s="756"/>
      <c r="MT19" s="756"/>
      <c r="MU19" s="756"/>
      <c r="MV19" s="756"/>
      <c r="MW19" s="756"/>
      <c r="MX19" s="756"/>
      <c r="MY19" s="756"/>
      <c r="MZ19" s="756"/>
      <c r="NA19" s="756"/>
      <c r="NB19" s="756"/>
      <c r="NC19" s="756"/>
      <c r="ND19" s="756"/>
      <c r="NE19" s="756"/>
      <c r="NF19" s="756"/>
      <c r="NG19" s="756"/>
      <c r="NH19" s="756"/>
      <c r="NI19" s="756"/>
      <c r="NJ19" s="756"/>
      <c r="NK19" s="756"/>
      <c r="NL19" s="756"/>
      <c r="NM19" s="756"/>
      <c r="NN19" s="756"/>
      <c r="NO19" s="756"/>
      <c r="NP19" s="756"/>
      <c r="NQ19" s="756"/>
      <c r="NR19" s="756"/>
      <c r="NS19" s="756"/>
      <c r="NT19" s="756"/>
      <c r="NU19" s="756"/>
      <c r="NV19" s="756"/>
      <c r="NW19" s="756"/>
      <c r="NX19" s="756"/>
      <c r="NY19" s="756"/>
      <c r="NZ19" s="756"/>
      <c r="OA19" s="756"/>
      <c r="OB19" s="756"/>
      <c r="OC19" s="756"/>
      <c r="OD19" s="756"/>
      <c r="OE19" s="756"/>
      <c r="OF19" s="756"/>
      <c r="OG19" s="756"/>
      <c r="OH19" s="756"/>
      <c r="OI19" s="756"/>
      <c r="OJ19" s="756"/>
      <c r="OK19" s="756"/>
      <c r="OL19" s="756"/>
      <c r="OM19" s="756"/>
      <c r="ON19" s="756"/>
      <c r="OO19" s="756"/>
      <c r="OP19" s="756"/>
      <c r="OQ19" s="756"/>
      <c r="OR19" s="756"/>
      <c r="OS19" s="756"/>
      <c r="OT19" s="756"/>
      <c r="OU19" s="756"/>
      <c r="OV19" s="756"/>
      <c r="OW19" s="756"/>
      <c r="OX19" s="756"/>
      <c r="OY19" s="756"/>
      <c r="OZ19" s="756"/>
      <c r="PA19" s="756"/>
      <c r="PB19" s="756"/>
      <c r="PC19" s="756"/>
      <c r="PD19" s="756"/>
      <c r="PE19" s="756"/>
      <c r="PF19" s="756"/>
      <c r="PG19" s="756"/>
      <c r="PH19" s="756"/>
      <c r="PI19" s="756"/>
      <c r="PJ19" s="756"/>
      <c r="PK19" s="756"/>
      <c r="PL19" s="756"/>
      <c r="PM19" s="756"/>
      <c r="PN19" s="756"/>
      <c r="PO19" s="756"/>
      <c r="PP19" s="756"/>
      <c r="PQ19" s="756"/>
      <c r="PR19" s="756"/>
      <c r="PS19" s="756"/>
      <c r="PT19" s="756"/>
      <c r="PU19" s="756"/>
      <c r="PV19" s="756"/>
      <c r="PW19" s="756"/>
      <c r="PX19" s="756"/>
      <c r="PY19" s="756"/>
      <c r="PZ19" s="756"/>
      <c r="QA19" s="756"/>
      <c r="QB19" s="756"/>
      <c r="QC19" s="756"/>
      <c r="QD19" s="756"/>
      <c r="QE19" s="756"/>
      <c r="QF19" s="756"/>
      <c r="QG19" s="756"/>
      <c r="QH19" s="756"/>
      <c r="QI19" s="756"/>
      <c r="QJ19" s="756"/>
      <c r="QK19" s="756"/>
      <c r="QL19" s="756"/>
      <c r="QM19" s="756"/>
      <c r="QN19" s="756"/>
      <c r="QO19" s="756"/>
      <c r="QP19" s="756"/>
      <c r="QQ19" s="756"/>
      <c r="QR19" s="756"/>
      <c r="QS19" s="756"/>
      <c r="QT19" s="756"/>
      <c r="QU19" s="756"/>
      <c r="QV19" s="756"/>
      <c r="QW19" s="756"/>
      <c r="QX19" s="756"/>
      <c r="QY19" s="756"/>
      <c r="QZ19" s="756"/>
      <c r="RA19" s="756"/>
      <c r="RB19" s="756"/>
      <c r="RC19" s="756"/>
      <c r="RD19" s="756"/>
      <c r="RE19" s="756"/>
      <c r="RF19" s="756"/>
      <c r="RG19" s="756"/>
      <c r="RH19" s="756"/>
      <c r="RI19" s="756"/>
      <c r="RJ19" s="756"/>
      <c r="RK19" s="756"/>
      <c r="RL19" s="756"/>
      <c r="RM19" s="756"/>
      <c r="RN19" s="756"/>
      <c r="RO19" s="756"/>
      <c r="RP19" s="756"/>
      <c r="RQ19" s="756"/>
      <c r="RR19" s="756"/>
      <c r="RS19" s="756"/>
      <c r="RT19" s="756"/>
      <c r="RU19" s="756"/>
      <c r="RV19" s="756"/>
      <c r="RW19" s="756"/>
      <c r="RX19" s="756"/>
      <c r="RY19" s="756"/>
      <c r="RZ19" s="756"/>
      <c r="SA19" s="756"/>
      <c r="SB19" s="756"/>
      <c r="SC19" s="756"/>
      <c r="SD19" s="756"/>
      <c r="SE19" s="756"/>
      <c r="SF19" s="756"/>
      <c r="SG19" s="756"/>
      <c r="SH19" s="756"/>
      <c r="SI19" s="756"/>
      <c r="SJ19" s="756"/>
      <c r="SK19" s="756"/>
      <c r="SL19" s="756"/>
      <c r="SM19" s="756"/>
      <c r="SN19" s="756"/>
      <c r="SO19" s="756"/>
      <c r="SP19" s="756"/>
      <c r="SQ19" s="756"/>
      <c r="SR19" s="756"/>
    </row>
    <row r="20" spans="1:512" ht="15" customHeight="1">
      <c r="A20" s="969"/>
      <c r="B20" s="969" t="s">
        <v>2205</v>
      </c>
      <c r="C20" s="969"/>
      <c r="D20" s="969"/>
      <c r="E20" s="969" t="s">
        <v>2206</v>
      </c>
      <c r="F20" s="969"/>
      <c r="G20" s="756">
        <v>35</v>
      </c>
      <c r="H20" s="1027">
        <v>35</v>
      </c>
      <c r="I20" s="756"/>
      <c r="J20" s="756"/>
      <c r="K20" s="756"/>
      <c r="L20" s="756"/>
      <c r="M20" s="756"/>
      <c r="N20" s="756"/>
      <c r="O20" s="756"/>
      <c r="P20" s="756"/>
      <c r="Q20" s="756"/>
      <c r="R20" s="756"/>
      <c r="S20" s="756"/>
      <c r="T20" s="756"/>
      <c r="U20" s="756"/>
      <c r="V20" s="756"/>
      <c r="W20" s="756"/>
      <c r="X20" s="756"/>
      <c r="Y20" s="756"/>
      <c r="Z20" s="756"/>
      <c r="AA20" s="756"/>
      <c r="AB20" s="756"/>
      <c r="AC20" s="756"/>
      <c r="AD20" s="756"/>
      <c r="AE20" s="756"/>
      <c r="AF20" s="756"/>
      <c r="AG20" s="756"/>
      <c r="AH20" s="756"/>
      <c r="AI20" s="756"/>
      <c r="AJ20" s="756"/>
      <c r="AK20" s="756"/>
      <c r="AL20" s="756"/>
      <c r="AM20" s="756"/>
      <c r="AN20" s="756"/>
      <c r="AO20" s="756"/>
      <c r="AP20" s="756"/>
      <c r="AQ20" s="756"/>
      <c r="AR20" s="756"/>
      <c r="AS20" s="756"/>
      <c r="AT20" s="756"/>
      <c r="AU20" s="756"/>
      <c r="AV20" s="756"/>
      <c r="AW20" s="756"/>
      <c r="AX20" s="756"/>
      <c r="AY20" s="756"/>
      <c r="AZ20" s="756"/>
      <c r="BA20" s="756"/>
      <c r="BB20" s="756"/>
      <c r="BC20" s="756"/>
      <c r="BD20" s="756"/>
      <c r="BE20" s="756"/>
      <c r="BF20" s="756"/>
      <c r="BG20" s="756"/>
      <c r="BH20" s="756"/>
      <c r="BI20" s="756"/>
      <c r="BJ20" s="756"/>
      <c r="BK20" s="756"/>
      <c r="BL20" s="756"/>
      <c r="BM20" s="756"/>
      <c r="BN20" s="756"/>
      <c r="BO20" s="756"/>
      <c r="BP20" s="756"/>
      <c r="BQ20" s="756"/>
      <c r="BR20" s="756"/>
      <c r="BS20" s="756"/>
      <c r="BT20" s="756"/>
      <c r="BU20" s="756"/>
      <c r="BV20" s="756"/>
      <c r="BW20" s="756"/>
      <c r="BX20" s="756"/>
      <c r="BY20" s="756"/>
      <c r="BZ20" s="756"/>
      <c r="CA20" s="756"/>
      <c r="CB20" s="756"/>
      <c r="CC20" s="756"/>
      <c r="CD20" s="756"/>
      <c r="CE20" s="756"/>
      <c r="CF20" s="756"/>
      <c r="CG20" s="756"/>
      <c r="CH20" s="756"/>
      <c r="CI20" s="756"/>
      <c r="CJ20" s="756"/>
      <c r="CK20" s="756"/>
      <c r="CL20" s="756"/>
      <c r="CM20" s="756"/>
      <c r="CN20" s="756"/>
      <c r="CO20" s="756"/>
      <c r="CP20" s="756"/>
      <c r="CQ20" s="756"/>
      <c r="CR20" s="756"/>
      <c r="CS20" s="756"/>
      <c r="CT20" s="756"/>
      <c r="CU20" s="756"/>
      <c r="CV20" s="756"/>
      <c r="CW20" s="756"/>
      <c r="CX20" s="756"/>
      <c r="CY20" s="756"/>
      <c r="CZ20" s="756"/>
      <c r="DA20" s="756"/>
      <c r="DB20" s="756"/>
      <c r="DC20" s="756"/>
      <c r="DD20" s="756"/>
      <c r="DE20" s="756"/>
      <c r="DF20" s="756"/>
      <c r="DG20" s="756"/>
      <c r="DH20" s="756"/>
      <c r="DI20" s="756"/>
      <c r="DJ20" s="756"/>
      <c r="DK20" s="756"/>
      <c r="DL20" s="756"/>
      <c r="DM20" s="756"/>
      <c r="DN20" s="756"/>
      <c r="DO20" s="756"/>
      <c r="DP20" s="756"/>
      <c r="DQ20" s="756"/>
      <c r="DR20" s="756"/>
      <c r="DS20" s="756"/>
      <c r="DT20" s="756"/>
      <c r="DU20" s="756"/>
      <c r="DV20" s="756"/>
      <c r="DW20" s="756"/>
      <c r="DX20" s="756"/>
      <c r="DY20" s="756"/>
      <c r="DZ20" s="756"/>
      <c r="EA20" s="756"/>
      <c r="EB20" s="756"/>
      <c r="EC20" s="756"/>
      <c r="ED20" s="756"/>
      <c r="EE20" s="756"/>
      <c r="EF20" s="756"/>
      <c r="EG20" s="756"/>
      <c r="EH20" s="756"/>
      <c r="EI20" s="756"/>
      <c r="EJ20" s="756"/>
      <c r="EK20" s="756"/>
      <c r="EL20" s="756"/>
      <c r="EM20" s="756"/>
      <c r="EN20" s="756"/>
      <c r="EO20" s="756"/>
      <c r="EP20" s="756"/>
      <c r="EQ20" s="756"/>
      <c r="ER20" s="756"/>
      <c r="ES20" s="756"/>
      <c r="ET20" s="756"/>
      <c r="EU20" s="756"/>
      <c r="EV20" s="756"/>
      <c r="EW20" s="756"/>
      <c r="EX20" s="756"/>
      <c r="EY20" s="756"/>
      <c r="EZ20" s="756"/>
      <c r="FA20" s="756"/>
      <c r="FB20" s="756"/>
      <c r="FC20" s="756"/>
      <c r="FD20" s="756"/>
      <c r="FE20" s="756"/>
      <c r="FF20" s="756"/>
      <c r="FG20" s="756"/>
      <c r="FH20" s="756"/>
      <c r="FI20" s="756"/>
      <c r="FJ20" s="756"/>
      <c r="FK20" s="756"/>
      <c r="FL20" s="756"/>
      <c r="FM20" s="756"/>
      <c r="FN20" s="756"/>
      <c r="FO20" s="756"/>
      <c r="FP20" s="756"/>
      <c r="FQ20" s="756"/>
      <c r="FR20" s="756"/>
      <c r="FS20" s="756"/>
      <c r="FT20" s="756"/>
      <c r="FU20" s="756"/>
      <c r="FV20" s="756"/>
      <c r="FW20" s="756"/>
      <c r="FX20" s="756"/>
      <c r="FY20" s="756"/>
      <c r="FZ20" s="756"/>
      <c r="GA20" s="756"/>
      <c r="GB20" s="756"/>
      <c r="GC20" s="756"/>
      <c r="GD20" s="756"/>
      <c r="GE20" s="756"/>
      <c r="GF20" s="756"/>
      <c r="GG20" s="756"/>
      <c r="GH20" s="756"/>
      <c r="GI20" s="756"/>
      <c r="GJ20" s="756"/>
      <c r="GK20" s="756"/>
      <c r="GL20" s="756"/>
      <c r="GM20" s="756"/>
      <c r="GN20" s="756"/>
      <c r="GO20" s="756"/>
      <c r="GP20" s="756"/>
      <c r="GQ20" s="756"/>
      <c r="GR20" s="756"/>
      <c r="GS20" s="756"/>
      <c r="GT20" s="756"/>
      <c r="GU20" s="756"/>
      <c r="GV20" s="756"/>
      <c r="GW20" s="756"/>
      <c r="GX20" s="756"/>
      <c r="GY20" s="756"/>
      <c r="GZ20" s="756"/>
      <c r="HA20" s="756"/>
      <c r="HB20" s="756"/>
      <c r="HC20" s="756"/>
      <c r="HD20" s="756"/>
      <c r="HE20" s="756"/>
      <c r="HF20" s="756"/>
      <c r="HG20" s="756"/>
      <c r="HH20" s="756"/>
      <c r="HI20" s="756"/>
      <c r="HJ20" s="756"/>
      <c r="HK20" s="756"/>
      <c r="HL20" s="756"/>
      <c r="HM20" s="756"/>
      <c r="HN20" s="756"/>
      <c r="HO20" s="756"/>
      <c r="HP20" s="756"/>
      <c r="HQ20" s="756"/>
      <c r="HR20" s="756"/>
      <c r="HS20" s="756"/>
      <c r="HT20" s="756"/>
      <c r="HU20" s="756"/>
      <c r="HV20" s="756"/>
      <c r="HW20" s="756"/>
      <c r="HX20" s="756"/>
      <c r="HY20" s="756"/>
      <c r="HZ20" s="756"/>
      <c r="IA20" s="756"/>
      <c r="IB20" s="756"/>
      <c r="IC20" s="756"/>
      <c r="ID20" s="756"/>
      <c r="IE20" s="756"/>
      <c r="IF20" s="756"/>
      <c r="IG20" s="756"/>
      <c r="IH20" s="756"/>
      <c r="II20" s="756"/>
      <c r="IJ20" s="756"/>
      <c r="IK20" s="756"/>
      <c r="IL20" s="756"/>
      <c r="IM20" s="756"/>
      <c r="IN20" s="756"/>
      <c r="IO20" s="756"/>
      <c r="IP20" s="756"/>
      <c r="IQ20" s="756"/>
      <c r="IR20" s="756"/>
      <c r="IS20" s="756"/>
      <c r="IT20" s="756"/>
      <c r="IU20" s="756"/>
      <c r="IV20" s="756"/>
      <c r="IW20" s="756"/>
      <c r="IX20" s="756"/>
      <c r="IY20" s="756"/>
      <c r="IZ20" s="756"/>
      <c r="JA20" s="756"/>
      <c r="JB20" s="756"/>
      <c r="JC20" s="756"/>
      <c r="JD20" s="756"/>
      <c r="JE20" s="756"/>
      <c r="JF20" s="756"/>
      <c r="JG20" s="756"/>
      <c r="JH20" s="756"/>
      <c r="JI20" s="756"/>
      <c r="JJ20" s="756"/>
      <c r="JK20" s="756"/>
      <c r="JL20" s="756"/>
      <c r="JM20" s="756"/>
      <c r="JN20" s="756"/>
      <c r="JO20" s="756"/>
      <c r="JP20" s="756"/>
      <c r="JQ20" s="756"/>
      <c r="JR20" s="756"/>
      <c r="JS20" s="756"/>
      <c r="JT20" s="756"/>
      <c r="JU20" s="756"/>
      <c r="JV20" s="756"/>
      <c r="JW20" s="756"/>
      <c r="JX20" s="756"/>
      <c r="JY20" s="756"/>
      <c r="JZ20" s="756"/>
      <c r="KA20" s="756"/>
      <c r="KB20" s="756"/>
      <c r="KC20" s="756"/>
      <c r="KD20" s="756"/>
      <c r="KE20" s="756"/>
      <c r="KF20" s="756"/>
      <c r="KG20" s="756"/>
      <c r="KH20" s="756"/>
      <c r="KI20" s="756"/>
      <c r="KJ20" s="756"/>
      <c r="KK20" s="756"/>
      <c r="KL20" s="756"/>
      <c r="KM20" s="756"/>
      <c r="KN20" s="756"/>
      <c r="KO20" s="756"/>
      <c r="KP20" s="756"/>
      <c r="KQ20" s="756"/>
      <c r="KR20" s="756"/>
      <c r="KS20" s="756"/>
      <c r="KT20" s="756"/>
      <c r="KU20" s="756"/>
      <c r="KV20" s="756"/>
      <c r="KW20" s="756"/>
      <c r="KX20" s="756"/>
      <c r="KY20" s="756"/>
      <c r="KZ20" s="756"/>
      <c r="LA20" s="756"/>
      <c r="LB20" s="756"/>
      <c r="LC20" s="756"/>
      <c r="LD20" s="756"/>
      <c r="LE20" s="756"/>
      <c r="LF20" s="756"/>
      <c r="LG20" s="756"/>
      <c r="LH20" s="756"/>
      <c r="LI20" s="756"/>
      <c r="LJ20" s="756"/>
      <c r="LK20" s="756"/>
      <c r="LL20" s="756"/>
      <c r="LM20" s="756"/>
      <c r="LN20" s="756"/>
      <c r="LO20" s="756"/>
      <c r="LP20" s="756"/>
      <c r="LQ20" s="756"/>
      <c r="LR20" s="756"/>
      <c r="LS20" s="756"/>
      <c r="LT20" s="756"/>
      <c r="LU20" s="756"/>
      <c r="LV20" s="756"/>
      <c r="LW20" s="756"/>
      <c r="LX20" s="756"/>
      <c r="LY20" s="756"/>
      <c r="LZ20" s="756"/>
      <c r="MA20" s="756"/>
      <c r="MB20" s="756"/>
      <c r="MC20" s="756"/>
      <c r="MD20" s="756"/>
      <c r="ME20" s="756"/>
      <c r="MF20" s="756"/>
      <c r="MG20" s="756"/>
      <c r="MH20" s="756"/>
      <c r="MI20" s="756"/>
      <c r="MJ20" s="756"/>
      <c r="MK20" s="756"/>
      <c r="ML20" s="756"/>
      <c r="MM20" s="756"/>
      <c r="MN20" s="756"/>
      <c r="MO20" s="756"/>
      <c r="MP20" s="756"/>
      <c r="MQ20" s="756"/>
      <c r="MR20" s="756"/>
      <c r="MS20" s="756"/>
      <c r="MT20" s="756"/>
      <c r="MU20" s="756"/>
      <c r="MV20" s="756"/>
      <c r="MW20" s="756"/>
      <c r="MX20" s="756"/>
      <c r="MY20" s="756"/>
      <c r="MZ20" s="756"/>
      <c r="NA20" s="756"/>
      <c r="NB20" s="756"/>
      <c r="NC20" s="756"/>
      <c r="ND20" s="756"/>
      <c r="NE20" s="756"/>
      <c r="NF20" s="756"/>
      <c r="NG20" s="756"/>
      <c r="NH20" s="756"/>
      <c r="NI20" s="756"/>
      <c r="NJ20" s="756"/>
      <c r="NK20" s="756"/>
      <c r="NL20" s="756"/>
      <c r="NM20" s="756"/>
      <c r="NN20" s="756"/>
      <c r="NO20" s="756"/>
      <c r="NP20" s="756"/>
      <c r="NQ20" s="756"/>
      <c r="NR20" s="756"/>
      <c r="NS20" s="756"/>
      <c r="NT20" s="756"/>
      <c r="NU20" s="756"/>
      <c r="NV20" s="756"/>
      <c r="NW20" s="756"/>
      <c r="NX20" s="756"/>
      <c r="NY20" s="756"/>
      <c r="NZ20" s="756"/>
      <c r="OA20" s="756"/>
      <c r="OB20" s="756"/>
      <c r="OC20" s="756"/>
      <c r="OD20" s="756"/>
      <c r="OE20" s="756"/>
      <c r="OF20" s="756"/>
      <c r="OG20" s="756"/>
      <c r="OH20" s="756"/>
      <c r="OI20" s="756"/>
      <c r="OJ20" s="756"/>
      <c r="OK20" s="756"/>
      <c r="OL20" s="756"/>
      <c r="OM20" s="756"/>
      <c r="ON20" s="756"/>
      <c r="OO20" s="756"/>
      <c r="OP20" s="756"/>
      <c r="OQ20" s="756"/>
      <c r="OR20" s="756"/>
      <c r="OS20" s="756"/>
      <c r="OT20" s="756"/>
      <c r="OU20" s="756"/>
      <c r="OV20" s="756"/>
      <c r="OW20" s="756"/>
      <c r="OX20" s="756"/>
      <c r="OY20" s="756"/>
      <c r="OZ20" s="756"/>
      <c r="PA20" s="756"/>
      <c r="PB20" s="756"/>
      <c r="PC20" s="756"/>
      <c r="PD20" s="756"/>
      <c r="PE20" s="756"/>
      <c r="PF20" s="756"/>
      <c r="PG20" s="756"/>
      <c r="PH20" s="756"/>
      <c r="PI20" s="756"/>
      <c r="PJ20" s="756"/>
      <c r="PK20" s="756"/>
      <c r="PL20" s="756"/>
      <c r="PM20" s="756"/>
      <c r="PN20" s="756"/>
      <c r="PO20" s="756"/>
      <c r="PP20" s="756"/>
      <c r="PQ20" s="756"/>
      <c r="PR20" s="756"/>
      <c r="PS20" s="756"/>
      <c r="PT20" s="756"/>
      <c r="PU20" s="756"/>
      <c r="PV20" s="756"/>
      <c r="PW20" s="756"/>
      <c r="PX20" s="756"/>
      <c r="PY20" s="756"/>
      <c r="PZ20" s="756"/>
      <c r="QA20" s="756"/>
      <c r="QB20" s="756"/>
      <c r="QC20" s="756"/>
      <c r="QD20" s="756"/>
      <c r="QE20" s="756"/>
      <c r="QF20" s="756"/>
      <c r="QG20" s="756"/>
      <c r="QH20" s="756"/>
      <c r="QI20" s="756"/>
      <c r="QJ20" s="756"/>
      <c r="QK20" s="756"/>
      <c r="QL20" s="756"/>
      <c r="QM20" s="756"/>
      <c r="QN20" s="756"/>
      <c r="QO20" s="756"/>
      <c r="QP20" s="756"/>
      <c r="QQ20" s="756"/>
      <c r="QR20" s="756"/>
      <c r="QS20" s="756"/>
      <c r="QT20" s="756"/>
      <c r="QU20" s="756"/>
      <c r="QV20" s="756"/>
      <c r="QW20" s="756"/>
      <c r="QX20" s="756"/>
      <c r="QY20" s="756"/>
      <c r="QZ20" s="756"/>
      <c r="RA20" s="756"/>
      <c r="RB20" s="756"/>
      <c r="RC20" s="756"/>
      <c r="RD20" s="756"/>
      <c r="RE20" s="756"/>
      <c r="RF20" s="756"/>
      <c r="RG20" s="756"/>
      <c r="RH20" s="756"/>
      <c r="RI20" s="756"/>
      <c r="RJ20" s="756"/>
      <c r="RK20" s="756"/>
      <c r="RL20" s="756"/>
      <c r="RM20" s="756"/>
      <c r="RN20" s="756"/>
      <c r="RO20" s="756"/>
      <c r="RP20" s="756"/>
      <c r="RQ20" s="756"/>
      <c r="RR20" s="756"/>
      <c r="RS20" s="756"/>
      <c r="RT20" s="756"/>
      <c r="RU20" s="756"/>
      <c r="RV20" s="756"/>
      <c r="RW20" s="756"/>
      <c r="RX20" s="756"/>
      <c r="RY20" s="756"/>
      <c r="RZ20" s="756"/>
      <c r="SA20" s="756"/>
      <c r="SB20" s="756"/>
      <c r="SC20" s="756"/>
      <c r="SD20" s="756"/>
      <c r="SE20" s="756"/>
      <c r="SF20" s="756"/>
      <c r="SG20" s="756"/>
      <c r="SH20" s="756"/>
      <c r="SI20" s="756"/>
      <c r="SJ20" s="756"/>
      <c r="SK20" s="756"/>
      <c r="SL20" s="756"/>
      <c r="SM20" s="756"/>
      <c r="SN20" s="756"/>
      <c r="SO20" s="756"/>
      <c r="SP20" s="756"/>
      <c r="SQ20" s="756"/>
      <c r="SR20" s="756"/>
    </row>
    <row r="21" spans="1:512" ht="15" customHeight="1">
      <c r="A21" s="969"/>
      <c r="B21" s="969" t="s">
        <v>2207</v>
      </c>
      <c r="C21" s="969"/>
      <c r="D21" s="969"/>
      <c r="E21" s="969" t="s">
        <v>220</v>
      </c>
      <c r="F21" s="969"/>
      <c r="G21" s="756">
        <v>7240</v>
      </c>
      <c r="H21" s="1027">
        <v>8100</v>
      </c>
      <c r="I21" s="756"/>
      <c r="J21" s="756"/>
      <c r="K21" s="756"/>
      <c r="L21" s="756"/>
      <c r="M21" s="756"/>
      <c r="N21" s="756"/>
      <c r="O21" s="756"/>
      <c r="P21" s="756"/>
      <c r="Q21" s="756"/>
      <c r="R21" s="756"/>
      <c r="S21" s="756"/>
      <c r="T21" s="756"/>
      <c r="U21" s="756"/>
      <c r="V21" s="756"/>
      <c r="W21" s="756"/>
      <c r="X21" s="756"/>
      <c r="Y21" s="756"/>
      <c r="Z21" s="756"/>
      <c r="AA21" s="756"/>
      <c r="AB21" s="756"/>
      <c r="AC21" s="756"/>
      <c r="AD21" s="756"/>
      <c r="AE21" s="756"/>
      <c r="AF21" s="756"/>
      <c r="AG21" s="756"/>
      <c r="AH21" s="756"/>
      <c r="AI21" s="756"/>
      <c r="AJ21" s="756"/>
      <c r="AK21" s="756"/>
      <c r="AL21" s="756"/>
      <c r="AM21" s="756"/>
      <c r="AN21" s="756"/>
      <c r="AO21" s="756"/>
      <c r="AP21" s="756"/>
      <c r="AQ21" s="756"/>
      <c r="AR21" s="756"/>
      <c r="AS21" s="756"/>
      <c r="AT21" s="756"/>
      <c r="AU21" s="756"/>
      <c r="AV21" s="756"/>
      <c r="AW21" s="756"/>
      <c r="AX21" s="756"/>
      <c r="AY21" s="756"/>
      <c r="AZ21" s="756"/>
      <c r="BA21" s="756"/>
      <c r="BB21" s="756"/>
      <c r="BC21" s="756"/>
      <c r="BD21" s="756"/>
      <c r="BE21" s="756"/>
      <c r="BF21" s="756"/>
      <c r="BG21" s="756"/>
      <c r="BH21" s="756"/>
      <c r="BI21" s="756"/>
      <c r="BJ21" s="756"/>
      <c r="BK21" s="756"/>
      <c r="BL21" s="756"/>
      <c r="BM21" s="756"/>
      <c r="BN21" s="756"/>
      <c r="BO21" s="756"/>
      <c r="BP21" s="756"/>
      <c r="BQ21" s="756"/>
      <c r="BR21" s="756"/>
      <c r="BS21" s="756"/>
      <c r="BT21" s="756"/>
      <c r="BU21" s="756"/>
      <c r="BV21" s="756"/>
      <c r="BW21" s="756"/>
      <c r="BX21" s="756"/>
      <c r="BY21" s="756"/>
      <c r="BZ21" s="756"/>
      <c r="CA21" s="756"/>
      <c r="CB21" s="756"/>
      <c r="CC21" s="756"/>
      <c r="CD21" s="756"/>
      <c r="CE21" s="756"/>
      <c r="CF21" s="756"/>
      <c r="CG21" s="756"/>
      <c r="CH21" s="756"/>
      <c r="CI21" s="756"/>
      <c r="CJ21" s="756"/>
      <c r="CK21" s="756"/>
      <c r="CL21" s="756"/>
      <c r="CM21" s="756"/>
      <c r="CN21" s="756"/>
      <c r="CO21" s="756"/>
      <c r="CP21" s="756"/>
      <c r="CQ21" s="756"/>
      <c r="CR21" s="756"/>
      <c r="CS21" s="756"/>
      <c r="CT21" s="756"/>
      <c r="CU21" s="756"/>
      <c r="CV21" s="756"/>
      <c r="CW21" s="756"/>
      <c r="CX21" s="756"/>
      <c r="CY21" s="756"/>
      <c r="CZ21" s="756"/>
      <c r="DA21" s="756"/>
      <c r="DB21" s="756"/>
      <c r="DC21" s="756"/>
      <c r="DD21" s="756"/>
      <c r="DE21" s="756"/>
      <c r="DF21" s="756"/>
      <c r="DG21" s="756"/>
      <c r="DH21" s="756"/>
      <c r="DI21" s="756"/>
      <c r="DJ21" s="756"/>
      <c r="DK21" s="756"/>
      <c r="DL21" s="756"/>
      <c r="DM21" s="756"/>
      <c r="DN21" s="756"/>
      <c r="DO21" s="756"/>
      <c r="DP21" s="756"/>
      <c r="DQ21" s="756"/>
      <c r="DR21" s="756"/>
      <c r="DS21" s="756"/>
      <c r="DT21" s="756"/>
      <c r="DU21" s="756"/>
      <c r="DV21" s="756"/>
      <c r="DW21" s="756"/>
      <c r="DX21" s="756"/>
      <c r="DY21" s="756"/>
      <c r="DZ21" s="756"/>
      <c r="EA21" s="756"/>
      <c r="EB21" s="756"/>
      <c r="EC21" s="756"/>
      <c r="ED21" s="756"/>
      <c r="EE21" s="756"/>
      <c r="EF21" s="756"/>
      <c r="EG21" s="756"/>
      <c r="EH21" s="756"/>
      <c r="EI21" s="756"/>
      <c r="EJ21" s="756"/>
      <c r="EK21" s="756"/>
      <c r="EL21" s="756"/>
      <c r="EM21" s="756"/>
      <c r="EN21" s="756"/>
      <c r="EO21" s="756"/>
      <c r="EP21" s="756"/>
      <c r="EQ21" s="756"/>
      <c r="ER21" s="756"/>
      <c r="ES21" s="756"/>
      <c r="ET21" s="756"/>
      <c r="EU21" s="756"/>
      <c r="EV21" s="756"/>
      <c r="EW21" s="756"/>
      <c r="EX21" s="756"/>
      <c r="EY21" s="756"/>
      <c r="EZ21" s="756"/>
      <c r="FA21" s="756"/>
      <c r="FB21" s="756"/>
      <c r="FC21" s="756"/>
      <c r="FD21" s="756"/>
      <c r="FE21" s="756"/>
      <c r="FF21" s="756"/>
      <c r="FG21" s="756"/>
      <c r="FH21" s="756"/>
      <c r="FI21" s="756"/>
      <c r="FJ21" s="756"/>
      <c r="FK21" s="756"/>
      <c r="FL21" s="756"/>
      <c r="FM21" s="756"/>
      <c r="FN21" s="756"/>
      <c r="FO21" s="756"/>
      <c r="FP21" s="756"/>
      <c r="FQ21" s="756"/>
      <c r="FR21" s="756"/>
      <c r="FS21" s="756"/>
      <c r="FT21" s="756"/>
      <c r="FU21" s="756"/>
      <c r="FV21" s="756"/>
      <c r="FW21" s="756"/>
      <c r="FX21" s="756"/>
      <c r="FY21" s="756"/>
      <c r="FZ21" s="756"/>
      <c r="GA21" s="756"/>
      <c r="GB21" s="756"/>
      <c r="GC21" s="756"/>
      <c r="GD21" s="756"/>
      <c r="GE21" s="756"/>
      <c r="GF21" s="756"/>
      <c r="GG21" s="756"/>
      <c r="GH21" s="756"/>
      <c r="GI21" s="756"/>
      <c r="GJ21" s="756"/>
      <c r="GK21" s="756"/>
      <c r="GL21" s="756"/>
      <c r="GM21" s="756"/>
      <c r="GN21" s="756"/>
      <c r="GO21" s="756"/>
      <c r="GP21" s="756"/>
      <c r="GQ21" s="756"/>
      <c r="GR21" s="756"/>
      <c r="GS21" s="756"/>
      <c r="GT21" s="756"/>
      <c r="GU21" s="756"/>
      <c r="GV21" s="756"/>
      <c r="GW21" s="756"/>
      <c r="GX21" s="756"/>
      <c r="GY21" s="756"/>
      <c r="GZ21" s="756"/>
      <c r="HA21" s="756"/>
      <c r="HB21" s="756"/>
      <c r="HC21" s="756"/>
      <c r="HD21" s="756"/>
      <c r="HE21" s="756"/>
      <c r="HF21" s="756"/>
      <c r="HG21" s="756"/>
      <c r="HH21" s="756"/>
      <c r="HI21" s="756"/>
      <c r="HJ21" s="756"/>
      <c r="HK21" s="756"/>
      <c r="HL21" s="756"/>
      <c r="HM21" s="756"/>
      <c r="HN21" s="756"/>
      <c r="HO21" s="756"/>
      <c r="HP21" s="756"/>
      <c r="HQ21" s="756"/>
      <c r="HR21" s="756"/>
      <c r="HS21" s="756"/>
      <c r="HT21" s="756"/>
      <c r="HU21" s="756"/>
      <c r="HV21" s="756"/>
      <c r="HW21" s="756"/>
      <c r="HX21" s="756"/>
      <c r="HY21" s="756"/>
      <c r="HZ21" s="756"/>
      <c r="IA21" s="756"/>
      <c r="IB21" s="756"/>
      <c r="IC21" s="756"/>
      <c r="ID21" s="756"/>
      <c r="IE21" s="756"/>
      <c r="IF21" s="756"/>
      <c r="IG21" s="756"/>
      <c r="IH21" s="756"/>
      <c r="II21" s="756"/>
      <c r="IJ21" s="756"/>
      <c r="IK21" s="756"/>
      <c r="IL21" s="756"/>
      <c r="IM21" s="756"/>
      <c r="IN21" s="756"/>
      <c r="IO21" s="756"/>
      <c r="IP21" s="756"/>
      <c r="IQ21" s="756"/>
      <c r="IR21" s="756"/>
      <c r="IS21" s="756"/>
      <c r="IT21" s="756"/>
      <c r="IU21" s="756"/>
      <c r="IV21" s="756"/>
      <c r="IW21" s="756"/>
      <c r="IX21" s="756"/>
      <c r="IY21" s="756"/>
      <c r="IZ21" s="756"/>
      <c r="JA21" s="756"/>
      <c r="JB21" s="756"/>
      <c r="JC21" s="756"/>
      <c r="JD21" s="756"/>
      <c r="JE21" s="756"/>
      <c r="JF21" s="756"/>
      <c r="JG21" s="756"/>
      <c r="JH21" s="756"/>
      <c r="JI21" s="756"/>
      <c r="JJ21" s="756"/>
      <c r="JK21" s="756"/>
      <c r="JL21" s="756"/>
      <c r="JM21" s="756"/>
      <c r="JN21" s="756"/>
      <c r="JO21" s="756"/>
      <c r="JP21" s="756"/>
      <c r="JQ21" s="756"/>
      <c r="JR21" s="756"/>
      <c r="JS21" s="756"/>
      <c r="JT21" s="756"/>
      <c r="JU21" s="756"/>
      <c r="JV21" s="756"/>
      <c r="JW21" s="756"/>
      <c r="JX21" s="756"/>
      <c r="JY21" s="756"/>
      <c r="JZ21" s="756"/>
      <c r="KA21" s="756"/>
      <c r="KB21" s="756"/>
      <c r="KC21" s="756"/>
      <c r="KD21" s="756"/>
      <c r="KE21" s="756"/>
      <c r="KF21" s="756"/>
      <c r="KG21" s="756"/>
      <c r="KH21" s="756"/>
      <c r="KI21" s="756"/>
      <c r="KJ21" s="756"/>
      <c r="KK21" s="756"/>
      <c r="KL21" s="756"/>
      <c r="KM21" s="756"/>
      <c r="KN21" s="756"/>
      <c r="KO21" s="756"/>
      <c r="KP21" s="756"/>
      <c r="KQ21" s="756"/>
      <c r="KR21" s="756"/>
      <c r="KS21" s="756"/>
      <c r="KT21" s="756"/>
      <c r="KU21" s="756"/>
      <c r="KV21" s="756"/>
      <c r="KW21" s="756"/>
      <c r="KX21" s="756"/>
      <c r="KY21" s="756"/>
      <c r="KZ21" s="756"/>
      <c r="LA21" s="756"/>
      <c r="LB21" s="756"/>
      <c r="LC21" s="756"/>
      <c r="LD21" s="756"/>
      <c r="LE21" s="756"/>
      <c r="LF21" s="756"/>
      <c r="LG21" s="756"/>
      <c r="LH21" s="756"/>
      <c r="LI21" s="756"/>
      <c r="LJ21" s="756"/>
      <c r="LK21" s="756"/>
      <c r="LL21" s="756"/>
      <c r="LM21" s="756"/>
      <c r="LN21" s="756"/>
      <c r="LO21" s="756"/>
      <c r="LP21" s="756"/>
      <c r="LQ21" s="756"/>
      <c r="LR21" s="756"/>
      <c r="LS21" s="756"/>
      <c r="LT21" s="756"/>
      <c r="LU21" s="756"/>
      <c r="LV21" s="756"/>
      <c r="LW21" s="756"/>
      <c r="LX21" s="756"/>
      <c r="LY21" s="756"/>
      <c r="LZ21" s="756"/>
      <c r="MA21" s="756"/>
      <c r="MB21" s="756"/>
      <c r="MC21" s="756"/>
      <c r="MD21" s="756"/>
      <c r="ME21" s="756"/>
      <c r="MF21" s="756"/>
      <c r="MG21" s="756"/>
      <c r="MH21" s="756"/>
      <c r="MI21" s="756"/>
      <c r="MJ21" s="756"/>
      <c r="MK21" s="756"/>
      <c r="ML21" s="756"/>
      <c r="MM21" s="756"/>
      <c r="MN21" s="756"/>
      <c r="MO21" s="756"/>
      <c r="MP21" s="756"/>
      <c r="MQ21" s="756"/>
      <c r="MR21" s="756"/>
      <c r="MS21" s="756"/>
      <c r="MT21" s="756"/>
      <c r="MU21" s="756"/>
      <c r="MV21" s="756"/>
      <c r="MW21" s="756"/>
      <c r="MX21" s="756"/>
      <c r="MY21" s="756"/>
      <c r="MZ21" s="756"/>
      <c r="NA21" s="756"/>
      <c r="NB21" s="756"/>
      <c r="NC21" s="756"/>
      <c r="ND21" s="756"/>
      <c r="NE21" s="756"/>
      <c r="NF21" s="756"/>
      <c r="NG21" s="756"/>
      <c r="NH21" s="756"/>
      <c r="NI21" s="756"/>
      <c r="NJ21" s="756"/>
      <c r="NK21" s="756"/>
      <c r="NL21" s="756"/>
      <c r="NM21" s="756"/>
      <c r="NN21" s="756"/>
      <c r="NO21" s="756"/>
      <c r="NP21" s="756"/>
      <c r="NQ21" s="756"/>
      <c r="NR21" s="756"/>
      <c r="NS21" s="756"/>
      <c r="NT21" s="756"/>
      <c r="NU21" s="756"/>
      <c r="NV21" s="756"/>
      <c r="NW21" s="756"/>
      <c r="NX21" s="756"/>
      <c r="NY21" s="756"/>
      <c r="NZ21" s="756"/>
      <c r="OA21" s="756"/>
      <c r="OB21" s="756"/>
      <c r="OC21" s="756"/>
      <c r="OD21" s="756"/>
      <c r="OE21" s="756"/>
      <c r="OF21" s="756"/>
      <c r="OG21" s="756"/>
      <c r="OH21" s="756"/>
      <c r="OI21" s="756"/>
      <c r="OJ21" s="756"/>
      <c r="OK21" s="756"/>
      <c r="OL21" s="756"/>
      <c r="OM21" s="756"/>
      <c r="ON21" s="756"/>
      <c r="OO21" s="756"/>
      <c r="OP21" s="756"/>
      <c r="OQ21" s="756"/>
      <c r="OR21" s="756"/>
      <c r="OS21" s="756"/>
      <c r="OT21" s="756"/>
      <c r="OU21" s="756"/>
      <c r="OV21" s="756"/>
      <c r="OW21" s="756"/>
      <c r="OX21" s="756"/>
      <c r="OY21" s="756"/>
      <c r="OZ21" s="756"/>
      <c r="PA21" s="756"/>
      <c r="PB21" s="756"/>
      <c r="PC21" s="756"/>
      <c r="PD21" s="756"/>
      <c r="PE21" s="756"/>
      <c r="PF21" s="756"/>
      <c r="PG21" s="756"/>
      <c r="PH21" s="756"/>
      <c r="PI21" s="756"/>
      <c r="PJ21" s="756"/>
      <c r="PK21" s="756"/>
      <c r="PL21" s="756"/>
      <c r="PM21" s="756"/>
      <c r="PN21" s="756"/>
      <c r="PO21" s="756"/>
      <c r="PP21" s="756"/>
      <c r="PQ21" s="756"/>
      <c r="PR21" s="756"/>
      <c r="PS21" s="756"/>
      <c r="PT21" s="756"/>
      <c r="PU21" s="756"/>
      <c r="PV21" s="756"/>
      <c r="PW21" s="756"/>
      <c r="PX21" s="756"/>
      <c r="PY21" s="756"/>
      <c r="PZ21" s="756"/>
      <c r="QA21" s="756"/>
      <c r="QB21" s="756"/>
      <c r="QC21" s="756"/>
      <c r="QD21" s="756"/>
      <c r="QE21" s="756"/>
      <c r="QF21" s="756"/>
      <c r="QG21" s="756"/>
      <c r="QH21" s="756"/>
      <c r="QI21" s="756"/>
      <c r="QJ21" s="756"/>
      <c r="QK21" s="756"/>
      <c r="QL21" s="756"/>
      <c r="QM21" s="756"/>
      <c r="QN21" s="756"/>
      <c r="QO21" s="756"/>
      <c r="QP21" s="756"/>
      <c r="QQ21" s="756"/>
      <c r="QR21" s="756"/>
      <c r="QS21" s="756"/>
      <c r="QT21" s="756"/>
      <c r="QU21" s="756"/>
      <c r="QV21" s="756"/>
      <c r="QW21" s="756"/>
      <c r="QX21" s="756"/>
      <c r="QY21" s="756"/>
      <c r="QZ21" s="756"/>
      <c r="RA21" s="756"/>
      <c r="RB21" s="756"/>
      <c r="RC21" s="756"/>
      <c r="RD21" s="756"/>
      <c r="RE21" s="756"/>
      <c r="RF21" s="756"/>
      <c r="RG21" s="756"/>
      <c r="RH21" s="756"/>
      <c r="RI21" s="756"/>
      <c r="RJ21" s="756"/>
      <c r="RK21" s="756"/>
      <c r="RL21" s="756"/>
      <c r="RM21" s="756"/>
      <c r="RN21" s="756"/>
      <c r="RO21" s="756"/>
      <c r="RP21" s="756"/>
      <c r="RQ21" s="756"/>
      <c r="RR21" s="756"/>
      <c r="RS21" s="756"/>
      <c r="RT21" s="756"/>
      <c r="RU21" s="756"/>
      <c r="RV21" s="756"/>
      <c r="RW21" s="756"/>
      <c r="RX21" s="756"/>
      <c r="RY21" s="756"/>
      <c r="RZ21" s="756"/>
      <c r="SA21" s="756"/>
      <c r="SB21" s="756"/>
      <c r="SC21" s="756"/>
      <c r="SD21" s="756"/>
      <c r="SE21" s="756"/>
      <c r="SF21" s="756"/>
      <c r="SG21" s="756"/>
      <c r="SH21" s="756"/>
      <c r="SI21" s="756"/>
      <c r="SJ21" s="756"/>
      <c r="SK21" s="756"/>
      <c r="SL21" s="756"/>
      <c r="SM21" s="756"/>
      <c r="SN21" s="756"/>
      <c r="SO21" s="756"/>
      <c r="SP21" s="756"/>
      <c r="SQ21" s="756"/>
      <c r="SR21" s="756"/>
    </row>
    <row r="22" spans="1:512" ht="15" customHeight="1">
      <c r="A22" s="969"/>
      <c r="B22" s="969" t="s">
        <v>2267</v>
      </c>
      <c r="C22" s="969"/>
      <c r="D22" s="969"/>
      <c r="E22" s="969" t="s">
        <v>1075</v>
      </c>
      <c r="F22" s="969"/>
      <c r="G22" s="756">
        <v>1500</v>
      </c>
      <c r="H22" s="1027">
        <v>750000</v>
      </c>
      <c r="I22" s="756"/>
      <c r="J22" s="756"/>
      <c r="K22" s="756"/>
      <c r="L22" s="756"/>
      <c r="M22" s="756"/>
      <c r="N22" s="756"/>
      <c r="O22" s="756"/>
      <c r="P22" s="756"/>
      <c r="Q22" s="756"/>
      <c r="R22" s="756"/>
      <c r="S22" s="756"/>
      <c r="T22" s="756"/>
      <c r="U22" s="756"/>
      <c r="V22" s="756"/>
      <c r="W22" s="756"/>
      <c r="X22" s="756"/>
      <c r="Y22" s="756"/>
      <c r="Z22" s="756"/>
      <c r="AA22" s="756"/>
      <c r="AB22" s="756"/>
      <c r="AC22" s="756"/>
      <c r="AD22" s="756"/>
      <c r="AE22" s="756"/>
      <c r="AF22" s="756"/>
      <c r="AG22" s="756"/>
      <c r="AH22" s="756"/>
      <c r="AI22" s="756"/>
      <c r="AJ22" s="756"/>
      <c r="AK22" s="756"/>
      <c r="AL22" s="756"/>
      <c r="AM22" s="756"/>
      <c r="AN22" s="756"/>
      <c r="AO22" s="756"/>
      <c r="AP22" s="756"/>
      <c r="AQ22" s="756"/>
      <c r="AR22" s="756"/>
      <c r="AS22" s="756"/>
      <c r="AT22" s="756"/>
      <c r="AU22" s="756"/>
      <c r="AV22" s="756"/>
      <c r="AW22" s="756"/>
      <c r="AX22" s="756"/>
      <c r="AY22" s="756"/>
      <c r="AZ22" s="756"/>
      <c r="BA22" s="756"/>
      <c r="BB22" s="756"/>
      <c r="BC22" s="756"/>
      <c r="BD22" s="756"/>
      <c r="BE22" s="756"/>
      <c r="BF22" s="756"/>
      <c r="BG22" s="756"/>
      <c r="BH22" s="756"/>
      <c r="BI22" s="756"/>
      <c r="BJ22" s="756"/>
      <c r="BK22" s="756"/>
      <c r="BL22" s="756"/>
      <c r="BM22" s="756"/>
      <c r="BN22" s="756"/>
      <c r="BO22" s="756"/>
      <c r="BP22" s="756"/>
      <c r="BQ22" s="756"/>
      <c r="BR22" s="756"/>
      <c r="BS22" s="756"/>
      <c r="BT22" s="756"/>
      <c r="BU22" s="756"/>
      <c r="BV22" s="756"/>
      <c r="BW22" s="756"/>
      <c r="BX22" s="756"/>
      <c r="BY22" s="756"/>
      <c r="BZ22" s="756"/>
      <c r="CA22" s="756"/>
      <c r="CB22" s="756"/>
      <c r="CC22" s="756"/>
      <c r="CD22" s="756"/>
      <c r="CE22" s="756"/>
      <c r="CF22" s="756"/>
      <c r="CG22" s="756"/>
      <c r="CH22" s="756"/>
      <c r="CI22" s="756"/>
      <c r="CJ22" s="756"/>
      <c r="CK22" s="756"/>
      <c r="CL22" s="756"/>
      <c r="CM22" s="756"/>
      <c r="CN22" s="756"/>
      <c r="CO22" s="756"/>
      <c r="CP22" s="756"/>
      <c r="CQ22" s="756"/>
      <c r="CR22" s="756"/>
      <c r="CS22" s="756"/>
      <c r="CT22" s="756"/>
      <c r="CU22" s="756"/>
      <c r="CV22" s="756"/>
      <c r="CW22" s="756"/>
      <c r="CX22" s="756"/>
      <c r="CY22" s="756"/>
      <c r="CZ22" s="756"/>
      <c r="DA22" s="756"/>
      <c r="DB22" s="756"/>
      <c r="DC22" s="756"/>
      <c r="DD22" s="756"/>
      <c r="DE22" s="756"/>
      <c r="DF22" s="756"/>
      <c r="DG22" s="756"/>
      <c r="DH22" s="756"/>
      <c r="DI22" s="756"/>
      <c r="DJ22" s="756"/>
      <c r="DK22" s="756"/>
      <c r="DL22" s="756"/>
      <c r="DM22" s="756"/>
      <c r="DN22" s="756"/>
      <c r="DO22" s="756"/>
      <c r="DP22" s="756"/>
      <c r="DQ22" s="756"/>
      <c r="DR22" s="756"/>
      <c r="DS22" s="756"/>
      <c r="DT22" s="756"/>
      <c r="DU22" s="756"/>
      <c r="DV22" s="756"/>
      <c r="DW22" s="756"/>
      <c r="DX22" s="756"/>
      <c r="DY22" s="756"/>
      <c r="DZ22" s="756"/>
      <c r="EA22" s="756"/>
      <c r="EB22" s="756"/>
      <c r="EC22" s="756"/>
      <c r="ED22" s="756"/>
      <c r="EE22" s="756"/>
      <c r="EF22" s="756"/>
      <c r="EG22" s="756"/>
      <c r="EH22" s="756"/>
      <c r="EI22" s="756"/>
      <c r="EJ22" s="756"/>
      <c r="EK22" s="756"/>
      <c r="EL22" s="756"/>
      <c r="EM22" s="756"/>
      <c r="EN22" s="756"/>
      <c r="EO22" s="756"/>
      <c r="EP22" s="756"/>
      <c r="EQ22" s="756"/>
      <c r="ER22" s="756"/>
      <c r="ES22" s="756"/>
      <c r="ET22" s="756"/>
      <c r="EU22" s="756"/>
      <c r="EV22" s="756"/>
      <c r="EW22" s="756"/>
      <c r="EX22" s="756"/>
      <c r="EY22" s="756"/>
      <c r="EZ22" s="756"/>
      <c r="FA22" s="756"/>
      <c r="FB22" s="756"/>
      <c r="FC22" s="756"/>
      <c r="FD22" s="756"/>
      <c r="FE22" s="756"/>
      <c r="FF22" s="756"/>
      <c r="FG22" s="756"/>
      <c r="FH22" s="756"/>
      <c r="FI22" s="756"/>
      <c r="FJ22" s="756"/>
      <c r="FK22" s="756"/>
      <c r="FL22" s="756"/>
      <c r="FM22" s="756"/>
      <c r="FN22" s="756"/>
      <c r="FO22" s="756"/>
      <c r="FP22" s="756"/>
      <c r="FQ22" s="756"/>
      <c r="FR22" s="756"/>
      <c r="FS22" s="756"/>
      <c r="FT22" s="756"/>
      <c r="FU22" s="756"/>
      <c r="FV22" s="756"/>
      <c r="FW22" s="756"/>
      <c r="FX22" s="756"/>
      <c r="FY22" s="756"/>
      <c r="FZ22" s="756"/>
      <c r="GA22" s="756"/>
      <c r="GB22" s="756"/>
      <c r="GC22" s="756"/>
      <c r="GD22" s="756"/>
      <c r="GE22" s="756"/>
      <c r="GF22" s="756"/>
      <c r="GG22" s="756"/>
      <c r="GH22" s="756"/>
      <c r="GI22" s="756"/>
      <c r="GJ22" s="756"/>
      <c r="GK22" s="756"/>
      <c r="GL22" s="756"/>
      <c r="GM22" s="756"/>
      <c r="GN22" s="756"/>
      <c r="GO22" s="756"/>
      <c r="GP22" s="756"/>
      <c r="GQ22" s="756"/>
      <c r="GR22" s="756"/>
      <c r="GS22" s="756"/>
      <c r="GT22" s="756"/>
      <c r="GU22" s="756"/>
      <c r="GV22" s="756"/>
      <c r="GW22" s="756"/>
      <c r="GX22" s="756"/>
      <c r="GY22" s="756"/>
      <c r="GZ22" s="756"/>
      <c r="HA22" s="756"/>
      <c r="HB22" s="756"/>
      <c r="HC22" s="756"/>
      <c r="HD22" s="756"/>
      <c r="HE22" s="756"/>
      <c r="HF22" s="756"/>
      <c r="HG22" s="756"/>
      <c r="HH22" s="756"/>
      <c r="HI22" s="756"/>
      <c r="HJ22" s="756"/>
      <c r="HK22" s="756"/>
      <c r="HL22" s="756"/>
      <c r="HM22" s="756"/>
      <c r="HN22" s="756"/>
      <c r="HO22" s="756"/>
      <c r="HP22" s="756"/>
      <c r="HQ22" s="756"/>
      <c r="HR22" s="756"/>
      <c r="HS22" s="756"/>
      <c r="HT22" s="756"/>
      <c r="HU22" s="756"/>
      <c r="HV22" s="756"/>
      <c r="HW22" s="756"/>
      <c r="HX22" s="756"/>
      <c r="HY22" s="756"/>
      <c r="HZ22" s="756"/>
      <c r="IA22" s="756"/>
      <c r="IB22" s="756"/>
      <c r="IC22" s="756"/>
      <c r="ID22" s="756"/>
      <c r="IE22" s="756"/>
      <c r="IF22" s="756"/>
      <c r="IG22" s="756"/>
      <c r="IH22" s="756"/>
      <c r="II22" s="756"/>
      <c r="IJ22" s="756"/>
      <c r="IK22" s="756"/>
      <c r="IL22" s="756"/>
      <c r="IM22" s="756"/>
      <c r="IN22" s="756"/>
      <c r="IO22" s="756"/>
      <c r="IP22" s="756"/>
      <c r="IQ22" s="756"/>
      <c r="IR22" s="756"/>
      <c r="IS22" s="756"/>
      <c r="IT22" s="756"/>
      <c r="IU22" s="756"/>
      <c r="IV22" s="756"/>
      <c r="IW22" s="756"/>
      <c r="IX22" s="756"/>
      <c r="IY22" s="756"/>
      <c r="IZ22" s="756"/>
      <c r="JA22" s="756"/>
      <c r="JB22" s="756"/>
      <c r="JC22" s="756"/>
      <c r="JD22" s="756"/>
      <c r="JE22" s="756"/>
      <c r="JF22" s="756"/>
      <c r="JG22" s="756"/>
      <c r="JH22" s="756"/>
      <c r="JI22" s="756"/>
      <c r="JJ22" s="756"/>
      <c r="JK22" s="756"/>
      <c r="JL22" s="756"/>
      <c r="JM22" s="756"/>
      <c r="JN22" s="756"/>
      <c r="JO22" s="756"/>
      <c r="JP22" s="756"/>
      <c r="JQ22" s="756"/>
      <c r="JR22" s="756"/>
      <c r="JS22" s="756"/>
      <c r="JT22" s="756"/>
      <c r="JU22" s="756"/>
      <c r="JV22" s="756"/>
      <c r="JW22" s="756"/>
      <c r="JX22" s="756"/>
      <c r="JY22" s="756"/>
      <c r="JZ22" s="756"/>
      <c r="KA22" s="756"/>
      <c r="KB22" s="756"/>
      <c r="KC22" s="756"/>
      <c r="KD22" s="756"/>
      <c r="KE22" s="756"/>
      <c r="KF22" s="756"/>
      <c r="KG22" s="756"/>
      <c r="KH22" s="756"/>
      <c r="KI22" s="756"/>
      <c r="KJ22" s="756"/>
      <c r="KK22" s="756"/>
      <c r="KL22" s="756"/>
      <c r="KM22" s="756"/>
      <c r="KN22" s="756"/>
      <c r="KO22" s="756"/>
      <c r="KP22" s="756"/>
      <c r="KQ22" s="756"/>
      <c r="KR22" s="756"/>
      <c r="KS22" s="756"/>
      <c r="KT22" s="756"/>
      <c r="KU22" s="756"/>
      <c r="KV22" s="756"/>
      <c r="KW22" s="756"/>
      <c r="KX22" s="756"/>
      <c r="KY22" s="756"/>
      <c r="KZ22" s="756"/>
      <c r="LA22" s="756"/>
      <c r="LB22" s="756"/>
      <c r="LC22" s="756"/>
      <c r="LD22" s="756"/>
      <c r="LE22" s="756"/>
      <c r="LF22" s="756"/>
      <c r="LG22" s="756"/>
      <c r="LH22" s="756"/>
      <c r="LI22" s="756"/>
      <c r="LJ22" s="756"/>
      <c r="LK22" s="756"/>
      <c r="LL22" s="756"/>
      <c r="LM22" s="756"/>
      <c r="LN22" s="756"/>
      <c r="LO22" s="756"/>
      <c r="LP22" s="756"/>
      <c r="LQ22" s="756"/>
      <c r="LR22" s="756"/>
      <c r="LS22" s="756"/>
      <c r="LT22" s="756"/>
      <c r="LU22" s="756"/>
      <c r="LV22" s="756"/>
      <c r="LW22" s="756"/>
      <c r="LX22" s="756"/>
      <c r="LY22" s="756"/>
      <c r="LZ22" s="756"/>
      <c r="MA22" s="756"/>
      <c r="MB22" s="756"/>
      <c r="MC22" s="756"/>
      <c r="MD22" s="756"/>
      <c r="ME22" s="756"/>
      <c r="MF22" s="756"/>
      <c r="MG22" s="756"/>
      <c r="MH22" s="756"/>
      <c r="MI22" s="756"/>
      <c r="MJ22" s="756"/>
      <c r="MK22" s="756"/>
      <c r="ML22" s="756"/>
      <c r="MM22" s="756"/>
      <c r="MN22" s="756"/>
      <c r="MO22" s="756"/>
      <c r="MP22" s="756"/>
      <c r="MQ22" s="756"/>
      <c r="MR22" s="756"/>
      <c r="MS22" s="756"/>
      <c r="MT22" s="756"/>
      <c r="MU22" s="756"/>
      <c r="MV22" s="756"/>
      <c r="MW22" s="756"/>
      <c r="MX22" s="756"/>
      <c r="MY22" s="756"/>
      <c r="MZ22" s="756"/>
      <c r="NA22" s="756"/>
      <c r="NB22" s="756"/>
      <c r="NC22" s="756"/>
      <c r="ND22" s="756"/>
      <c r="NE22" s="756"/>
      <c r="NF22" s="756"/>
      <c r="NG22" s="756"/>
      <c r="NH22" s="756"/>
      <c r="NI22" s="756"/>
      <c r="NJ22" s="756"/>
      <c r="NK22" s="756"/>
      <c r="NL22" s="756"/>
      <c r="NM22" s="756"/>
      <c r="NN22" s="756"/>
      <c r="NO22" s="756"/>
      <c r="NP22" s="756"/>
      <c r="NQ22" s="756"/>
      <c r="NR22" s="756"/>
      <c r="NS22" s="756"/>
      <c r="NT22" s="756"/>
      <c r="NU22" s="756"/>
      <c r="NV22" s="756"/>
      <c r="NW22" s="756"/>
      <c r="NX22" s="756"/>
      <c r="NY22" s="756"/>
      <c r="NZ22" s="756"/>
      <c r="OA22" s="756"/>
      <c r="OB22" s="756"/>
      <c r="OC22" s="756"/>
      <c r="OD22" s="756"/>
      <c r="OE22" s="756"/>
      <c r="OF22" s="756"/>
      <c r="OG22" s="756"/>
      <c r="OH22" s="756"/>
      <c r="OI22" s="756"/>
      <c r="OJ22" s="756"/>
      <c r="OK22" s="756"/>
      <c r="OL22" s="756"/>
      <c r="OM22" s="756"/>
      <c r="ON22" s="756"/>
      <c r="OO22" s="756"/>
      <c r="OP22" s="756"/>
      <c r="OQ22" s="756"/>
      <c r="OR22" s="756"/>
      <c r="OS22" s="756"/>
      <c r="OT22" s="756"/>
      <c r="OU22" s="756"/>
      <c r="OV22" s="756"/>
      <c r="OW22" s="756"/>
      <c r="OX22" s="756"/>
      <c r="OY22" s="756"/>
      <c r="OZ22" s="756"/>
      <c r="PA22" s="756"/>
      <c r="PB22" s="756"/>
      <c r="PC22" s="756"/>
      <c r="PD22" s="756"/>
      <c r="PE22" s="756"/>
      <c r="PF22" s="756"/>
      <c r="PG22" s="756"/>
      <c r="PH22" s="756"/>
      <c r="PI22" s="756"/>
      <c r="PJ22" s="756"/>
      <c r="PK22" s="756"/>
      <c r="PL22" s="756"/>
      <c r="PM22" s="756"/>
      <c r="PN22" s="756"/>
      <c r="PO22" s="756"/>
      <c r="PP22" s="756"/>
      <c r="PQ22" s="756"/>
      <c r="PR22" s="756"/>
      <c r="PS22" s="756"/>
      <c r="PT22" s="756"/>
      <c r="PU22" s="756"/>
      <c r="PV22" s="756"/>
      <c r="PW22" s="756"/>
      <c r="PX22" s="756"/>
      <c r="PY22" s="756"/>
      <c r="PZ22" s="756"/>
      <c r="QA22" s="756"/>
      <c r="QB22" s="756"/>
      <c r="QC22" s="756"/>
      <c r="QD22" s="756"/>
      <c r="QE22" s="756"/>
      <c r="QF22" s="756"/>
      <c r="QG22" s="756"/>
      <c r="QH22" s="756"/>
      <c r="QI22" s="756"/>
      <c r="QJ22" s="756"/>
      <c r="QK22" s="756"/>
      <c r="QL22" s="756"/>
      <c r="QM22" s="756"/>
      <c r="QN22" s="756"/>
      <c r="QO22" s="756"/>
      <c r="QP22" s="756"/>
      <c r="QQ22" s="756"/>
      <c r="QR22" s="756"/>
      <c r="QS22" s="756"/>
      <c r="QT22" s="756"/>
      <c r="QU22" s="756"/>
      <c r="QV22" s="756"/>
      <c r="QW22" s="756"/>
      <c r="QX22" s="756"/>
      <c r="QY22" s="756"/>
      <c r="QZ22" s="756"/>
      <c r="RA22" s="756"/>
      <c r="RB22" s="756"/>
      <c r="RC22" s="756"/>
      <c r="RD22" s="756"/>
      <c r="RE22" s="756"/>
      <c r="RF22" s="756"/>
      <c r="RG22" s="756"/>
      <c r="RH22" s="756"/>
      <c r="RI22" s="756"/>
      <c r="RJ22" s="756"/>
      <c r="RK22" s="756"/>
      <c r="RL22" s="756"/>
      <c r="RM22" s="756"/>
      <c r="RN22" s="756"/>
      <c r="RO22" s="756"/>
      <c r="RP22" s="756"/>
      <c r="RQ22" s="756"/>
      <c r="RR22" s="756"/>
      <c r="RS22" s="756"/>
      <c r="RT22" s="756"/>
      <c r="RU22" s="756"/>
      <c r="RV22" s="756"/>
      <c r="RW22" s="756"/>
      <c r="RX22" s="756"/>
      <c r="RY22" s="756"/>
      <c r="RZ22" s="756"/>
      <c r="SA22" s="756"/>
      <c r="SB22" s="756"/>
      <c r="SC22" s="756"/>
      <c r="SD22" s="756"/>
      <c r="SE22" s="756"/>
      <c r="SF22" s="756"/>
      <c r="SG22" s="756"/>
      <c r="SH22" s="756"/>
      <c r="SI22" s="756"/>
      <c r="SJ22" s="756"/>
      <c r="SK22" s="756"/>
      <c r="SL22" s="756"/>
      <c r="SM22" s="756"/>
      <c r="SN22" s="756"/>
      <c r="SO22" s="756"/>
      <c r="SP22" s="756"/>
      <c r="SQ22" s="756"/>
      <c r="SR22" s="756"/>
    </row>
    <row r="23" spans="1:512" ht="15" customHeight="1">
      <c r="A23" s="969"/>
      <c r="B23" s="969" t="s">
        <v>2268</v>
      </c>
      <c r="C23" s="969"/>
      <c r="D23" s="969"/>
      <c r="E23" s="969" t="s">
        <v>2119</v>
      </c>
      <c r="F23" s="969"/>
      <c r="G23" s="756">
        <v>8</v>
      </c>
      <c r="H23" s="1027">
        <v>210</v>
      </c>
      <c r="I23" s="756"/>
      <c r="J23" s="756"/>
      <c r="K23" s="756"/>
      <c r="L23" s="756"/>
      <c r="M23" s="756"/>
      <c r="N23" s="756"/>
      <c r="O23" s="756"/>
      <c r="P23" s="756"/>
      <c r="Q23" s="756"/>
      <c r="R23" s="756"/>
      <c r="S23" s="756"/>
      <c r="T23" s="756"/>
      <c r="U23" s="756"/>
      <c r="V23" s="756"/>
      <c r="W23" s="756"/>
      <c r="X23" s="756"/>
      <c r="Y23" s="756"/>
      <c r="Z23" s="756"/>
      <c r="AA23" s="756"/>
      <c r="AB23" s="756"/>
      <c r="AC23" s="756"/>
      <c r="AD23" s="756"/>
      <c r="AE23" s="756"/>
      <c r="AF23" s="756"/>
      <c r="AG23" s="756"/>
      <c r="AH23" s="756"/>
      <c r="AI23" s="756"/>
      <c r="AJ23" s="756"/>
      <c r="AK23" s="756"/>
      <c r="AL23" s="756"/>
      <c r="AM23" s="756"/>
      <c r="AN23" s="756"/>
      <c r="AO23" s="756"/>
      <c r="AP23" s="756"/>
      <c r="AQ23" s="756"/>
      <c r="AR23" s="756"/>
      <c r="AS23" s="756"/>
      <c r="AT23" s="756"/>
      <c r="AU23" s="756"/>
      <c r="AV23" s="756"/>
      <c r="AW23" s="756"/>
      <c r="AX23" s="756"/>
      <c r="AY23" s="756"/>
      <c r="AZ23" s="756"/>
      <c r="BA23" s="756"/>
      <c r="BB23" s="756"/>
      <c r="BC23" s="756"/>
      <c r="BD23" s="756"/>
      <c r="BE23" s="756"/>
      <c r="BF23" s="756"/>
      <c r="BG23" s="756"/>
      <c r="BH23" s="756"/>
      <c r="BI23" s="756"/>
      <c r="BJ23" s="756"/>
      <c r="BK23" s="756"/>
      <c r="BL23" s="756"/>
      <c r="BM23" s="756"/>
      <c r="BN23" s="756"/>
      <c r="BO23" s="756"/>
      <c r="BP23" s="756"/>
      <c r="BQ23" s="756"/>
      <c r="BR23" s="756"/>
      <c r="BS23" s="756"/>
      <c r="BT23" s="756"/>
      <c r="BU23" s="756"/>
      <c r="BV23" s="756"/>
      <c r="BW23" s="756"/>
      <c r="BX23" s="756"/>
      <c r="BY23" s="756"/>
      <c r="BZ23" s="756"/>
      <c r="CA23" s="756"/>
      <c r="CB23" s="756"/>
      <c r="CC23" s="756"/>
      <c r="CD23" s="756"/>
      <c r="CE23" s="756"/>
      <c r="CF23" s="756"/>
      <c r="CG23" s="756"/>
      <c r="CH23" s="756"/>
      <c r="CI23" s="756"/>
      <c r="CJ23" s="756"/>
      <c r="CK23" s="756"/>
      <c r="CL23" s="756"/>
      <c r="CM23" s="756"/>
      <c r="CN23" s="756"/>
      <c r="CO23" s="756"/>
      <c r="CP23" s="756"/>
      <c r="CQ23" s="756"/>
      <c r="CR23" s="756"/>
      <c r="CS23" s="756"/>
      <c r="CT23" s="756"/>
      <c r="CU23" s="756"/>
      <c r="CV23" s="756"/>
      <c r="CW23" s="756"/>
      <c r="CX23" s="756"/>
      <c r="CY23" s="756"/>
      <c r="CZ23" s="756"/>
      <c r="DA23" s="756"/>
      <c r="DB23" s="756"/>
      <c r="DC23" s="756"/>
      <c r="DD23" s="756"/>
      <c r="DE23" s="756"/>
      <c r="DF23" s="756"/>
      <c r="DG23" s="756"/>
      <c r="DH23" s="756"/>
      <c r="DI23" s="756"/>
      <c r="DJ23" s="756"/>
      <c r="DK23" s="756"/>
      <c r="DL23" s="756"/>
      <c r="DM23" s="756"/>
      <c r="DN23" s="756"/>
      <c r="DO23" s="756"/>
      <c r="DP23" s="756"/>
      <c r="DQ23" s="756"/>
      <c r="DR23" s="756"/>
      <c r="DS23" s="756"/>
      <c r="DT23" s="756"/>
      <c r="DU23" s="756"/>
      <c r="DV23" s="756"/>
      <c r="DW23" s="756"/>
      <c r="DX23" s="756"/>
      <c r="DY23" s="756"/>
      <c r="DZ23" s="756"/>
      <c r="EA23" s="756"/>
      <c r="EB23" s="756"/>
      <c r="EC23" s="756"/>
      <c r="ED23" s="756"/>
      <c r="EE23" s="756"/>
      <c r="EF23" s="756"/>
      <c r="EG23" s="756"/>
      <c r="EH23" s="756"/>
      <c r="EI23" s="756"/>
      <c r="EJ23" s="756"/>
      <c r="EK23" s="756"/>
      <c r="EL23" s="756"/>
      <c r="EM23" s="756"/>
      <c r="EN23" s="756"/>
      <c r="EO23" s="756"/>
      <c r="EP23" s="756"/>
      <c r="EQ23" s="756"/>
      <c r="ER23" s="756"/>
      <c r="ES23" s="756"/>
      <c r="ET23" s="756"/>
      <c r="EU23" s="756"/>
      <c r="EV23" s="756"/>
      <c r="EW23" s="756"/>
      <c r="EX23" s="756"/>
      <c r="EY23" s="756"/>
      <c r="EZ23" s="756"/>
      <c r="FA23" s="756"/>
      <c r="FB23" s="756"/>
      <c r="FC23" s="756"/>
      <c r="FD23" s="756"/>
      <c r="FE23" s="756"/>
      <c r="FF23" s="756"/>
      <c r="FG23" s="756"/>
      <c r="FH23" s="756"/>
      <c r="FI23" s="756"/>
      <c r="FJ23" s="756"/>
      <c r="FK23" s="756"/>
      <c r="FL23" s="756"/>
      <c r="FM23" s="756"/>
      <c r="FN23" s="756"/>
      <c r="FO23" s="756"/>
      <c r="FP23" s="756"/>
      <c r="FQ23" s="756"/>
      <c r="FR23" s="756"/>
      <c r="FS23" s="756"/>
      <c r="FT23" s="756"/>
      <c r="FU23" s="756"/>
      <c r="FV23" s="756"/>
      <c r="FW23" s="756"/>
      <c r="FX23" s="756"/>
      <c r="FY23" s="756"/>
      <c r="FZ23" s="756"/>
      <c r="GA23" s="756"/>
      <c r="GB23" s="756"/>
      <c r="GC23" s="756"/>
      <c r="GD23" s="756"/>
      <c r="GE23" s="756"/>
      <c r="GF23" s="756"/>
      <c r="GG23" s="756"/>
      <c r="GH23" s="756"/>
      <c r="GI23" s="756"/>
      <c r="GJ23" s="756"/>
      <c r="GK23" s="756"/>
      <c r="GL23" s="756"/>
      <c r="GM23" s="756"/>
      <c r="GN23" s="756"/>
      <c r="GO23" s="756"/>
      <c r="GP23" s="756"/>
      <c r="GQ23" s="756"/>
      <c r="GR23" s="756"/>
      <c r="GS23" s="756"/>
      <c r="GT23" s="756"/>
      <c r="GU23" s="756"/>
      <c r="GV23" s="756"/>
      <c r="GW23" s="756"/>
      <c r="GX23" s="756"/>
      <c r="GY23" s="756"/>
      <c r="GZ23" s="756"/>
      <c r="HA23" s="756"/>
      <c r="HB23" s="756"/>
      <c r="HC23" s="756"/>
      <c r="HD23" s="756"/>
      <c r="HE23" s="756"/>
      <c r="HF23" s="756"/>
      <c r="HG23" s="756"/>
      <c r="HH23" s="756"/>
      <c r="HI23" s="756"/>
      <c r="HJ23" s="756"/>
      <c r="HK23" s="756"/>
      <c r="HL23" s="756"/>
      <c r="HM23" s="756"/>
      <c r="HN23" s="756"/>
      <c r="HO23" s="756"/>
      <c r="HP23" s="756"/>
      <c r="HQ23" s="756"/>
      <c r="HR23" s="756"/>
      <c r="HS23" s="756"/>
      <c r="HT23" s="756"/>
      <c r="HU23" s="756"/>
      <c r="HV23" s="756"/>
      <c r="HW23" s="756"/>
      <c r="HX23" s="756"/>
      <c r="HY23" s="756"/>
      <c r="HZ23" s="756"/>
      <c r="IA23" s="756"/>
      <c r="IB23" s="756"/>
      <c r="IC23" s="756"/>
      <c r="ID23" s="756"/>
      <c r="IE23" s="756"/>
      <c r="IF23" s="756"/>
      <c r="IG23" s="756"/>
      <c r="IH23" s="756"/>
      <c r="II23" s="756"/>
      <c r="IJ23" s="756"/>
      <c r="IK23" s="756"/>
      <c r="IL23" s="756"/>
      <c r="IM23" s="756"/>
      <c r="IN23" s="756"/>
      <c r="IO23" s="756"/>
      <c r="IP23" s="756"/>
      <c r="IQ23" s="756"/>
      <c r="IR23" s="756"/>
      <c r="IS23" s="756"/>
      <c r="IT23" s="756"/>
      <c r="IU23" s="756"/>
      <c r="IV23" s="756"/>
      <c r="IW23" s="756"/>
      <c r="IX23" s="756"/>
      <c r="IY23" s="756"/>
      <c r="IZ23" s="756"/>
      <c r="JA23" s="756"/>
      <c r="JB23" s="756"/>
      <c r="JC23" s="756"/>
      <c r="JD23" s="756"/>
      <c r="JE23" s="756"/>
      <c r="JF23" s="756"/>
      <c r="JG23" s="756"/>
      <c r="JH23" s="756"/>
      <c r="JI23" s="756"/>
      <c r="JJ23" s="756"/>
      <c r="JK23" s="756"/>
      <c r="JL23" s="756"/>
      <c r="JM23" s="756"/>
      <c r="JN23" s="756"/>
      <c r="JO23" s="756"/>
      <c r="JP23" s="756"/>
      <c r="JQ23" s="756"/>
      <c r="JR23" s="756"/>
      <c r="JS23" s="756"/>
      <c r="JT23" s="756"/>
      <c r="JU23" s="756"/>
      <c r="JV23" s="756"/>
      <c r="JW23" s="756"/>
      <c r="JX23" s="756"/>
      <c r="JY23" s="756"/>
      <c r="JZ23" s="756"/>
      <c r="KA23" s="756"/>
      <c r="KB23" s="756"/>
      <c r="KC23" s="756"/>
      <c r="KD23" s="756"/>
      <c r="KE23" s="756"/>
      <c r="KF23" s="756"/>
      <c r="KG23" s="756"/>
      <c r="KH23" s="756"/>
      <c r="KI23" s="756"/>
      <c r="KJ23" s="756"/>
      <c r="KK23" s="756"/>
      <c r="KL23" s="756"/>
      <c r="KM23" s="756"/>
      <c r="KN23" s="756"/>
      <c r="KO23" s="756"/>
      <c r="KP23" s="756"/>
      <c r="KQ23" s="756"/>
      <c r="KR23" s="756"/>
      <c r="KS23" s="756"/>
      <c r="KT23" s="756"/>
      <c r="KU23" s="756"/>
      <c r="KV23" s="756"/>
      <c r="KW23" s="756"/>
      <c r="KX23" s="756"/>
      <c r="KY23" s="756"/>
      <c r="KZ23" s="756"/>
      <c r="LA23" s="756"/>
      <c r="LB23" s="756"/>
      <c r="LC23" s="756"/>
      <c r="LD23" s="756"/>
      <c r="LE23" s="756"/>
      <c r="LF23" s="756"/>
      <c r="LG23" s="756"/>
      <c r="LH23" s="756"/>
      <c r="LI23" s="756"/>
      <c r="LJ23" s="756"/>
      <c r="LK23" s="756"/>
      <c r="LL23" s="756"/>
      <c r="LM23" s="756"/>
      <c r="LN23" s="756"/>
      <c r="LO23" s="756"/>
      <c r="LP23" s="756"/>
      <c r="LQ23" s="756"/>
      <c r="LR23" s="756"/>
      <c r="LS23" s="756"/>
      <c r="LT23" s="756"/>
      <c r="LU23" s="756"/>
      <c r="LV23" s="756"/>
      <c r="LW23" s="756"/>
      <c r="LX23" s="756"/>
      <c r="LY23" s="756"/>
      <c r="LZ23" s="756"/>
      <c r="MA23" s="756"/>
      <c r="MB23" s="756"/>
      <c r="MC23" s="756"/>
      <c r="MD23" s="756"/>
      <c r="ME23" s="756"/>
      <c r="MF23" s="756"/>
      <c r="MG23" s="756"/>
      <c r="MH23" s="756"/>
      <c r="MI23" s="756"/>
      <c r="MJ23" s="756"/>
      <c r="MK23" s="756"/>
      <c r="ML23" s="756"/>
      <c r="MM23" s="756"/>
      <c r="MN23" s="756"/>
      <c r="MO23" s="756"/>
      <c r="MP23" s="756"/>
      <c r="MQ23" s="756"/>
      <c r="MR23" s="756"/>
      <c r="MS23" s="756"/>
      <c r="MT23" s="756"/>
      <c r="MU23" s="756"/>
      <c r="MV23" s="756"/>
      <c r="MW23" s="756"/>
      <c r="MX23" s="756"/>
      <c r="MY23" s="756"/>
      <c r="MZ23" s="756"/>
      <c r="NA23" s="756"/>
      <c r="NB23" s="756"/>
      <c r="NC23" s="756"/>
      <c r="ND23" s="756"/>
      <c r="NE23" s="756"/>
      <c r="NF23" s="756"/>
      <c r="NG23" s="756"/>
      <c r="NH23" s="756"/>
      <c r="NI23" s="756"/>
      <c r="NJ23" s="756"/>
      <c r="NK23" s="756"/>
      <c r="NL23" s="756"/>
      <c r="NM23" s="756"/>
      <c r="NN23" s="756"/>
      <c r="NO23" s="756"/>
      <c r="NP23" s="756"/>
      <c r="NQ23" s="756"/>
      <c r="NR23" s="756"/>
      <c r="NS23" s="756"/>
      <c r="NT23" s="756"/>
      <c r="NU23" s="756"/>
      <c r="NV23" s="756"/>
      <c r="NW23" s="756"/>
      <c r="NX23" s="756"/>
      <c r="NY23" s="756"/>
      <c r="NZ23" s="756"/>
      <c r="OA23" s="756"/>
      <c r="OB23" s="756"/>
      <c r="OC23" s="756"/>
      <c r="OD23" s="756"/>
      <c r="OE23" s="756"/>
      <c r="OF23" s="756"/>
      <c r="OG23" s="756"/>
      <c r="OH23" s="756"/>
      <c r="OI23" s="756"/>
      <c r="OJ23" s="756"/>
      <c r="OK23" s="756"/>
      <c r="OL23" s="756"/>
      <c r="OM23" s="756"/>
      <c r="ON23" s="756"/>
      <c r="OO23" s="756"/>
      <c r="OP23" s="756"/>
      <c r="OQ23" s="756"/>
      <c r="OR23" s="756"/>
      <c r="OS23" s="756"/>
      <c r="OT23" s="756"/>
      <c r="OU23" s="756"/>
      <c r="OV23" s="756"/>
      <c r="OW23" s="756"/>
      <c r="OX23" s="756"/>
      <c r="OY23" s="756"/>
      <c r="OZ23" s="756"/>
      <c r="PA23" s="756"/>
      <c r="PB23" s="756"/>
      <c r="PC23" s="756"/>
      <c r="PD23" s="756"/>
      <c r="PE23" s="756"/>
      <c r="PF23" s="756"/>
      <c r="PG23" s="756"/>
      <c r="PH23" s="756"/>
      <c r="PI23" s="756"/>
      <c r="PJ23" s="756"/>
      <c r="PK23" s="756"/>
      <c r="PL23" s="756"/>
      <c r="PM23" s="756"/>
      <c r="PN23" s="756"/>
      <c r="PO23" s="756"/>
      <c r="PP23" s="756"/>
      <c r="PQ23" s="756"/>
      <c r="PR23" s="756"/>
      <c r="PS23" s="756"/>
      <c r="PT23" s="756"/>
      <c r="PU23" s="756"/>
      <c r="PV23" s="756"/>
      <c r="PW23" s="756"/>
      <c r="PX23" s="756"/>
      <c r="PY23" s="756"/>
      <c r="PZ23" s="756"/>
      <c r="QA23" s="756"/>
      <c r="QB23" s="756"/>
      <c r="QC23" s="756"/>
      <c r="QD23" s="756"/>
      <c r="QE23" s="756"/>
      <c r="QF23" s="756"/>
      <c r="QG23" s="756"/>
      <c r="QH23" s="756"/>
      <c r="QI23" s="756"/>
      <c r="QJ23" s="756"/>
      <c r="QK23" s="756"/>
      <c r="QL23" s="756"/>
      <c r="QM23" s="756"/>
      <c r="QN23" s="756"/>
      <c r="QO23" s="756"/>
      <c r="QP23" s="756"/>
      <c r="QQ23" s="756"/>
      <c r="QR23" s="756"/>
      <c r="QS23" s="756"/>
      <c r="QT23" s="756"/>
      <c r="QU23" s="756"/>
      <c r="QV23" s="756"/>
      <c r="QW23" s="756"/>
      <c r="QX23" s="756"/>
      <c r="QY23" s="756"/>
      <c r="QZ23" s="756"/>
      <c r="RA23" s="756"/>
      <c r="RB23" s="756"/>
      <c r="RC23" s="756"/>
      <c r="RD23" s="756"/>
      <c r="RE23" s="756"/>
      <c r="RF23" s="756"/>
      <c r="RG23" s="756"/>
      <c r="RH23" s="756"/>
      <c r="RI23" s="756"/>
      <c r="RJ23" s="756"/>
      <c r="RK23" s="756"/>
      <c r="RL23" s="756"/>
      <c r="RM23" s="756"/>
      <c r="RN23" s="756"/>
      <c r="RO23" s="756"/>
      <c r="RP23" s="756"/>
      <c r="RQ23" s="756"/>
      <c r="RR23" s="756"/>
      <c r="RS23" s="756"/>
      <c r="RT23" s="756"/>
      <c r="RU23" s="756"/>
      <c r="RV23" s="756"/>
      <c r="RW23" s="756"/>
      <c r="RX23" s="756"/>
      <c r="RY23" s="756"/>
      <c r="RZ23" s="756"/>
      <c r="SA23" s="756"/>
      <c r="SB23" s="756"/>
      <c r="SC23" s="756"/>
      <c r="SD23" s="756"/>
      <c r="SE23" s="756"/>
      <c r="SF23" s="756"/>
      <c r="SG23" s="756"/>
      <c r="SH23" s="756"/>
      <c r="SI23" s="756"/>
      <c r="SJ23" s="756"/>
      <c r="SK23" s="756"/>
      <c r="SL23" s="756"/>
      <c r="SM23" s="756"/>
      <c r="SN23" s="756"/>
      <c r="SO23" s="756"/>
      <c r="SP23" s="756"/>
      <c r="SQ23" s="756"/>
      <c r="SR23" s="756"/>
    </row>
    <row r="24" spans="1:512" ht="15" customHeight="1">
      <c r="A24" s="969"/>
      <c r="B24" s="969" t="s">
        <v>2426</v>
      </c>
      <c r="C24" s="969"/>
      <c r="D24" s="969"/>
      <c r="E24" s="969" t="s">
        <v>2119</v>
      </c>
      <c r="F24" s="969"/>
      <c r="G24" s="756">
        <v>5</v>
      </c>
      <c r="H24" s="1027">
        <v>9</v>
      </c>
      <c r="I24" s="756"/>
      <c r="J24" s="756"/>
      <c r="K24" s="756"/>
      <c r="L24" s="756"/>
      <c r="M24" s="756"/>
      <c r="N24" s="756"/>
      <c r="O24" s="756"/>
      <c r="P24" s="756"/>
      <c r="Q24" s="756"/>
      <c r="R24" s="756"/>
      <c r="S24" s="756"/>
      <c r="T24" s="756"/>
      <c r="U24" s="756"/>
      <c r="V24" s="756"/>
      <c r="W24" s="756"/>
      <c r="X24" s="756"/>
      <c r="Y24" s="756"/>
      <c r="Z24" s="756"/>
      <c r="AA24" s="756"/>
      <c r="AB24" s="756"/>
      <c r="AC24" s="756"/>
      <c r="AD24" s="756"/>
      <c r="AE24" s="756"/>
      <c r="AF24" s="756"/>
      <c r="AG24" s="756"/>
      <c r="AH24" s="756"/>
      <c r="AI24" s="756"/>
      <c r="AJ24" s="756"/>
      <c r="AK24" s="756"/>
      <c r="AL24" s="756"/>
      <c r="AM24" s="756"/>
      <c r="AN24" s="756"/>
      <c r="AO24" s="756"/>
      <c r="AP24" s="756"/>
      <c r="AQ24" s="756"/>
      <c r="AR24" s="756"/>
      <c r="AS24" s="756"/>
      <c r="AT24" s="756"/>
      <c r="AU24" s="756"/>
      <c r="AV24" s="756"/>
      <c r="AW24" s="756"/>
      <c r="AX24" s="756"/>
      <c r="AY24" s="756"/>
      <c r="AZ24" s="756"/>
      <c r="BA24" s="756"/>
      <c r="BB24" s="756"/>
      <c r="BC24" s="756"/>
      <c r="BD24" s="756"/>
      <c r="BE24" s="756"/>
      <c r="BF24" s="756"/>
      <c r="BG24" s="756"/>
      <c r="BH24" s="756"/>
      <c r="BI24" s="756"/>
      <c r="BJ24" s="756"/>
      <c r="BK24" s="756"/>
      <c r="BL24" s="756"/>
      <c r="BM24" s="756"/>
      <c r="BN24" s="756"/>
      <c r="BO24" s="756"/>
      <c r="BP24" s="756"/>
      <c r="BQ24" s="756"/>
      <c r="BR24" s="756"/>
      <c r="BS24" s="756"/>
      <c r="BT24" s="756"/>
      <c r="BU24" s="756"/>
      <c r="BV24" s="756"/>
      <c r="BW24" s="756"/>
      <c r="BX24" s="756"/>
      <c r="BY24" s="756"/>
      <c r="BZ24" s="756"/>
      <c r="CA24" s="756"/>
      <c r="CB24" s="756"/>
      <c r="CC24" s="756"/>
      <c r="CD24" s="756"/>
      <c r="CE24" s="756"/>
      <c r="CF24" s="756"/>
      <c r="CG24" s="756"/>
      <c r="CH24" s="756"/>
      <c r="CI24" s="756"/>
      <c r="CJ24" s="756"/>
      <c r="CK24" s="756"/>
      <c r="CL24" s="756"/>
      <c r="CM24" s="756"/>
      <c r="CN24" s="756"/>
      <c r="CO24" s="756"/>
      <c r="CP24" s="756"/>
      <c r="CQ24" s="756"/>
      <c r="CR24" s="756"/>
      <c r="CS24" s="756"/>
      <c r="CT24" s="756"/>
      <c r="CU24" s="756"/>
      <c r="CV24" s="756"/>
      <c r="CW24" s="756"/>
      <c r="CX24" s="756"/>
      <c r="CY24" s="756"/>
      <c r="CZ24" s="756"/>
      <c r="DA24" s="756"/>
      <c r="DB24" s="756"/>
      <c r="DC24" s="756"/>
      <c r="DD24" s="756"/>
      <c r="DE24" s="756"/>
      <c r="DF24" s="756"/>
      <c r="DG24" s="756"/>
      <c r="DH24" s="756"/>
      <c r="DI24" s="756"/>
      <c r="DJ24" s="756"/>
      <c r="DK24" s="756"/>
      <c r="DL24" s="756"/>
      <c r="DM24" s="756"/>
      <c r="DN24" s="756"/>
      <c r="DO24" s="756"/>
      <c r="DP24" s="756"/>
      <c r="DQ24" s="756"/>
      <c r="DR24" s="756"/>
      <c r="DS24" s="756"/>
      <c r="DT24" s="756"/>
      <c r="DU24" s="756"/>
      <c r="DV24" s="756"/>
      <c r="DW24" s="756"/>
      <c r="DX24" s="756"/>
      <c r="DY24" s="756"/>
      <c r="DZ24" s="756"/>
      <c r="EA24" s="756"/>
      <c r="EB24" s="756"/>
      <c r="EC24" s="756"/>
      <c r="ED24" s="756"/>
      <c r="EE24" s="756"/>
      <c r="EF24" s="756"/>
      <c r="EG24" s="756"/>
      <c r="EH24" s="756"/>
      <c r="EI24" s="756"/>
      <c r="EJ24" s="756"/>
      <c r="EK24" s="756"/>
      <c r="EL24" s="756"/>
      <c r="EM24" s="756"/>
      <c r="EN24" s="756"/>
      <c r="EO24" s="756"/>
      <c r="EP24" s="756"/>
      <c r="EQ24" s="756"/>
      <c r="ER24" s="756"/>
      <c r="ES24" s="756"/>
      <c r="ET24" s="756"/>
      <c r="EU24" s="756"/>
      <c r="EV24" s="756"/>
      <c r="EW24" s="756"/>
      <c r="EX24" s="756"/>
      <c r="EY24" s="756"/>
      <c r="EZ24" s="756"/>
      <c r="FA24" s="756"/>
      <c r="FB24" s="756"/>
      <c r="FC24" s="756"/>
      <c r="FD24" s="756"/>
      <c r="FE24" s="756"/>
      <c r="FF24" s="756"/>
      <c r="FG24" s="756"/>
      <c r="FH24" s="756"/>
      <c r="FI24" s="756"/>
      <c r="FJ24" s="756"/>
      <c r="FK24" s="756"/>
      <c r="FL24" s="756"/>
      <c r="FM24" s="756"/>
      <c r="FN24" s="756"/>
      <c r="FO24" s="756"/>
      <c r="FP24" s="756"/>
      <c r="FQ24" s="756"/>
      <c r="FR24" s="756"/>
      <c r="FS24" s="756"/>
      <c r="FT24" s="756"/>
      <c r="FU24" s="756"/>
      <c r="FV24" s="756"/>
      <c r="FW24" s="756"/>
      <c r="FX24" s="756"/>
      <c r="FY24" s="756"/>
      <c r="FZ24" s="756"/>
      <c r="GA24" s="756"/>
      <c r="GB24" s="756"/>
      <c r="GC24" s="756"/>
      <c r="GD24" s="756"/>
      <c r="GE24" s="756"/>
      <c r="GF24" s="756"/>
      <c r="GG24" s="756"/>
      <c r="GH24" s="756"/>
      <c r="GI24" s="756"/>
      <c r="GJ24" s="756"/>
      <c r="GK24" s="756"/>
      <c r="GL24" s="756"/>
      <c r="GM24" s="756"/>
      <c r="GN24" s="756"/>
      <c r="GO24" s="756"/>
      <c r="GP24" s="756"/>
      <c r="GQ24" s="756"/>
      <c r="GR24" s="756"/>
      <c r="GS24" s="756"/>
      <c r="GT24" s="756"/>
      <c r="GU24" s="756"/>
      <c r="GV24" s="756"/>
      <c r="GW24" s="756"/>
      <c r="GX24" s="756"/>
      <c r="GY24" s="756"/>
      <c r="GZ24" s="756"/>
      <c r="HA24" s="756"/>
      <c r="HB24" s="756"/>
      <c r="HC24" s="756"/>
      <c r="HD24" s="756"/>
      <c r="HE24" s="756"/>
      <c r="HF24" s="756"/>
      <c r="HG24" s="756"/>
      <c r="HH24" s="756"/>
      <c r="HI24" s="756"/>
      <c r="HJ24" s="756"/>
      <c r="HK24" s="756"/>
      <c r="HL24" s="756"/>
      <c r="HM24" s="756"/>
      <c r="HN24" s="756"/>
      <c r="HO24" s="756"/>
      <c r="HP24" s="756"/>
      <c r="HQ24" s="756"/>
      <c r="HR24" s="756"/>
      <c r="HS24" s="756"/>
      <c r="HT24" s="756"/>
      <c r="HU24" s="756"/>
      <c r="HV24" s="756"/>
      <c r="HW24" s="756"/>
      <c r="HX24" s="756"/>
      <c r="HY24" s="756"/>
      <c r="HZ24" s="756"/>
      <c r="IA24" s="756"/>
      <c r="IB24" s="756"/>
      <c r="IC24" s="756"/>
      <c r="ID24" s="756"/>
      <c r="IE24" s="756"/>
      <c r="IF24" s="756"/>
      <c r="IG24" s="756"/>
      <c r="IH24" s="756"/>
      <c r="II24" s="756"/>
      <c r="IJ24" s="756"/>
      <c r="IK24" s="756"/>
      <c r="IL24" s="756"/>
      <c r="IM24" s="756"/>
      <c r="IN24" s="756"/>
      <c r="IO24" s="756"/>
      <c r="IP24" s="756"/>
      <c r="IQ24" s="756"/>
      <c r="IR24" s="756"/>
      <c r="IS24" s="756"/>
      <c r="IT24" s="756"/>
      <c r="IU24" s="756"/>
      <c r="IV24" s="756"/>
      <c r="IW24" s="756"/>
      <c r="IX24" s="756"/>
      <c r="IY24" s="756"/>
      <c r="IZ24" s="756"/>
      <c r="JA24" s="756"/>
      <c r="JB24" s="756"/>
      <c r="JC24" s="756"/>
      <c r="JD24" s="756"/>
      <c r="JE24" s="756"/>
      <c r="JF24" s="756"/>
      <c r="JG24" s="756"/>
      <c r="JH24" s="756"/>
      <c r="JI24" s="756"/>
      <c r="JJ24" s="756"/>
      <c r="JK24" s="756"/>
      <c r="JL24" s="756"/>
      <c r="JM24" s="756"/>
      <c r="JN24" s="756"/>
      <c r="JO24" s="756"/>
      <c r="JP24" s="756"/>
      <c r="JQ24" s="756"/>
      <c r="JR24" s="756"/>
      <c r="JS24" s="756"/>
      <c r="JT24" s="756"/>
      <c r="JU24" s="756"/>
      <c r="JV24" s="756"/>
      <c r="JW24" s="756"/>
      <c r="JX24" s="756"/>
      <c r="JY24" s="756"/>
      <c r="JZ24" s="756"/>
      <c r="KA24" s="756"/>
      <c r="KB24" s="756"/>
      <c r="KC24" s="756"/>
      <c r="KD24" s="756"/>
      <c r="KE24" s="756"/>
      <c r="KF24" s="756"/>
      <c r="KG24" s="756"/>
      <c r="KH24" s="756"/>
      <c r="KI24" s="756"/>
      <c r="KJ24" s="756"/>
      <c r="KK24" s="756"/>
      <c r="KL24" s="756"/>
      <c r="KM24" s="756"/>
      <c r="KN24" s="756"/>
      <c r="KO24" s="756"/>
      <c r="KP24" s="756"/>
      <c r="KQ24" s="756"/>
      <c r="KR24" s="756"/>
      <c r="KS24" s="756"/>
      <c r="KT24" s="756"/>
      <c r="KU24" s="756"/>
      <c r="KV24" s="756"/>
      <c r="KW24" s="756"/>
      <c r="KX24" s="756"/>
      <c r="KY24" s="756"/>
      <c r="KZ24" s="756"/>
      <c r="LA24" s="756"/>
      <c r="LB24" s="756"/>
      <c r="LC24" s="756"/>
      <c r="LD24" s="756"/>
      <c r="LE24" s="756"/>
      <c r="LF24" s="756"/>
      <c r="LG24" s="756"/>
      <c r="LH24" s="756"/>
      <c r="LI24" s="756"/>
      <c r="LJ24" s="756"/>
      <c r="LK24" s="756"/>
      <c r="LL24" s="756"/>
      <c r="LM24" s="756"/>
      <c r="LN24" s="756"/>
      <c r="LO24" s="756"/>
      <c r="LP24" s="756"/>
      <c r="LQ24" s="756"/>
      <c r="LR24" s="756"/>
      <c r="LS24" s="756"/>
      <c r="LT24" s="756"/>
      <c r="LU24" s="756"/>
      <c r="LV24" s="756"/>
      <c r="LW24" s="756"/>
      <c r="LX24" s="756"/>
      <c r="LY24" s="756"/>
      <c r="LZ24" s="756"/>
      <c r="MA24" s="756"/>
      <c r="MB24" s="756"/>
      <c r="MC24" s="756"/>
      <c r="MD24" s="756"/>
      <c r="ME24" s="756"/>
      <c r="MF24" s="756"/>
      <c r="MG24" s="756"/>
      <c r="MH24" s="756"/>
      <c r="MI24" s="756"/>
      <c r="MJ24" s="756"/>
      <c r="MK24" s="756"/>
      <c r="ML24" s="756"/>
      <c r="MM24" s="756"/>
      <c r="MN24" s="756"/>
      <c r="MO24" s="756"/>
      <c r="MP24" s="756"/>
      <c r="MQ24" s="756"/>
      <c r="MR24" s="756"/>
      <c r="MS24" s="756"/>
      <c r="MT24" s="756"/>
      <c r="MU24" s="756"/>
      <c r="MV24" s="756"/>
      <c r="MW24" s="756"/>
      <c r="MX24" s="756"/>
      <c r="MY24" s="756"/>
      <c r="MZ24" s="756"/>
      <c r="NA24" s="756"/>
      <c r="NB24" s="756"/>
      <c r="NC24" s="756"/>
      <c r="ND24" s="756"/>
      <c r="NE24" s="756"/>
      <c r="NF24" s="756"/>
      <c r="NG24" s="756"/>
      <c r="NH24" s="756"/>
      <c r="NI24" s="756"/>
      <c r="NJ24" s="756"/>
      <c r="NK24" s="756"/>
      <c r="NL24" s="756"/>
      <c r="NM24" s="756"/>
      <c r="NN24" s="756"/>
      <c r="NO24" s="756"/>
      <c r="NP24" s="756"/>
      <c r="NQ24" s="756"/>
      <c r="NR24" s="756"/>
      <c r="NS24" s="756"/>
      <c r="NT24" s="756"/>
      <c r="NU24" s="756"/>
      <c r="NV24" s="756"/>
      <c r="NW24" s="756"/>
      <c r="NX24" s="756"/>
      <c r="NY24" s="756"/>
      <c r="NZ24" s="756"/>
      <c r="OA24" s="756"/>
      <c r="OB24" s="756"/>
      <c r="OC24" s="756"/>
      <c r="OD24" s="756"/>
      <c r="OE24" s="756"/>
      <c r="OF24" s="756"/>
      <c r="OG24" s="756"/>
      <c r="OH24" s="756"/>
      <c r="OI24" s="756"/>
      <c r="OJ24" s="756"/>
      <c r="OK24" s="756"/>
      <c r="OL24" s="756"/>
      <c r="OM24" s="756"/>
      <c r="ON24" s="756"/>
      <c r="OO24" s="756"/>
      <c r="OP24" s="756"/>
      <c r="OQ24" s="756"/>
      <c r="OR24" s="756"/>
      <c r="OS24" s="756"/>
      <c r="OT24" s="756"/>
      <c r="OU24" s="756"/>
      <c r="OV24" s="756"/>
      <c r="OW24" s="756"/>
      <c r="OX24" s="756"/>
      <c r="OY24" s="756"/>
      <c r="OZ24" s="756"/>
      <c r="PA24" s="756"/>
      <c r="PB24" s="756"/>
      <c r="PC24" s="756"/>
      <c r="PD24" s="756"/>
      <c r="PE24" s="756"/>
      <c r="PF24" s="756"/>
      <c r="PG24" s="756"/>
      <c r="PH24" s="756"/>
      <c r="PI24" s="756"/>
      <c r="PJ24" s="756"/>
      <c r="PK24" s="756"/>
      <c r="PL24" s="756"/>
      <c r="PM24" s="756"/>
      <c r="PN24" s="756"/>
      <c r="PO24" s="756"/>
      <c r="PP24" s="756"/>
      <c r="PQ24" s="756"/>
      <c r="PR24" s="756"/>
      <c r="PS24" s="756"/>
      <c r="PT24" s="756"/>
      <c r="PU24" s="756"/>
      <c r="PV24" s="756"/>
      <c r="PW24" s="756"/>
      <c r="PX24" s="756"/>
      <c r="PY24" s="756"/>
      <c r="PZ24" s="756"/>
      <c r="QA24" s="756"/>
      <c r="QB24" s="756"/>
      <c r="QC24" s="756"/>
      <c r="QD24" s="756"/>
      <c r="QE24" s="756"/>
      <c r="QF24" s="756"/>
      <c r="QG24" s="756"/>
      <c r="QH24" s="756"/>
      <c r="QI24" s="756"/>
      <c r="QJ24" s="756"/>
      <c r="QK24" s="756"/>
      <c r="QL24" s="756"/>
      <c r="QM24" s="756"/>
      <c r="QN24" s="756"/>
      <c r="QO24" s="756"/>
      <c r="QP24" s="756"/>
      <c r="QQ24" s="756"/>
      <c r="QR24" s="756"/>
      <c r="QS24" s="756"/>
      <c r="QT24" s="756"/>
      <c r="QU24" s="756"/>
      <c r="QV24" s="756"/>
      <c r="QW24" s="756"/>
      <c r="QX24" s="756"/>
      <c r="QY24" s="756"/>
      <c r="QZ24" s="756"/>
      <c r="RA24" s="756"/>
      <c r="RB24" s="756"/>
      <c r="RC24" s="756"/>
      <c r="RD24" s="756"/>
      <c r="RE24" s="756"/>
      <c r="RF24" s="756"/>
      <c r="RG24" s="756"/>
      <c r="RH24" s="756"/>
      <c r="RI24" s="756"/>
      <c r="RJ24" s="756"/>
      <c r="RK24" s="756"/>
      <c r="RL24" s="756"/>
      <c r="RM24" s="756"/>
      <c r="RN24" s="756"/>
      <c r="RO24" s="756"/>
      <c r="RP24" s="756"/>
      <c r="RQ24" s="756"/>
      <c r="RR24" s="756"/>
      <c r="RS24" s="756"/>
      <c r="RT24" s="756"/>
      <c r="RU24" s="756"/>
      <c r="RV24" s="756"/>
      <c r="RW24" s="756"/>
      <c r="RX24" s="756"/>
      <c r="RY24" s="756"/>
      <c r="RZ24" s="756"/>
      <c r="SA24" s="756"/>
      <c r="SB24" s="756"/>
      <c r="SC24" s="756"/>
      <c r="SD24" s="756"/>
      <c r="SE24" s="756"/>
      <c r="SF24" s="756"/>
      <c r="SG24" s="756"/>
      <c r="SH24" s="756"/>
      <c r="SI24" s="756"/>
      <c r="SJ24" s="756"/>
      <c r="SK24" s="756"/>
      <c r="SL24" s="756"/>
      <c r="SM24" s="756"/>
      <c r="SN24" s="756"/>
      <c r="SO24" s="756"/>
      <c r="SP24" s="756"/>
      <c r="SQ24" s="756"/>
      <c r="SR24" s="756"/>
    </row>
    <row r="25" spans="1:512" ht="15" customHeight="1">
      <c r="A25" s="969"/>
      <c r="B25" s="969" t="s">
        <v>2427</v>
      </c>
      <c r="C25" s="969"/>
      <c r="D25" s="969"/>
      <c r="E25" s="969" t="s">
        <v>241</v>
      </c>
      <c r="F25" s="969"/>
      <c r="G25" s="756">
        <v>2.7749999999999999</v>
      </c>
      <c r="H25" s="1027">
        <v>9.625</v>
      </c>
      <c r="I25" s="756"/>
      <c r="J25" s="756"/>
      <c r="K25" s="756"/>
      <c r="L25" s="756"/>
      <c r="M25" s="756"/>
      <c r="N25" s="756"/>
      <c r="O25" s="756"/>
      <c r="P25" s="756"/>
      <c r="Q25" s="756"/>
      <c r="R25" s="756"/>
      <c r="S25" s="756"/>
      <c r="T25" s="756"/>
      <c r="U25" s="756"/>
      <c r="V25" s="756"/>
      <c r="W25" s="756"/>
      <c r="X25" s="756"/>
      <c r="Y25" s="756"/>
      <c r="Z25" s="756"/>
      <c r="AA25" s="756"/>
      <c r="AB25" s="756"/>
      <c r="AC25" s="756"/>
      <c r="AD25" s="756"/>
      <c r="AE25" s="756"/>
      <c r="AF25" s="756"/>
      <c r="AG25" s="756"/>
      <c r="AH25" s="756"/>
      <c r="AI25" s="756"/>
      <c r="AJ25" s="756"/>
      <c r="AK25" s="756"/>
      <c r="AL25" s="756"/>
      <c r="AM25" s="756"/>
      <c r="AN25" s="756"/>
      <c r="AO25" s="756"/>
      <c r="AP25" s="756"/>
      <c r="AQ25" s="756"/>
      <c r="AR25" s="756"/>
      <c r="AS25" s="756"/>
      <c r="AT25" s="756"/>
      <c r="AU25" s="756"/>
      <c r="AV25" s="756"/>
      <c r="AW25" s="756"/>
      <c r="AX25" s="756"/>
      <c r="AY25" s="756"/>
      <c r="AZ25" s="756"/>
      <c r="BA25" s="756"/>
      <c r="BB25" s="756"/>
      <c r="BC25" s="756"/>
      <c r="BD25" s="756"/>
      <c r="BE25" s="756"/>
      <c r="BF25" s="756"/>
      <c r="BG25" s="756"/>
      <c r="BH25" s="756"/>
      <c r="BI25" s="756"/>
      <c r="BJ25" s="756"/>
      <c r="BK25" s="756"/>
      <c r="BL25" s="756"/>
      <c r="BM25" s="756"/>
      <c r="BN25" s="756"/>
      <c r="BO25" s="756"/>
      <c r="BP25" s="756"/>
      <c r="BQ25" s="756"/>
      <c r="BR25" s="756"/>
      <c r="BS25" s="756"/>
      <c r="BT25" s="756"/>
      <c r="BU25" s="756"/>
      <c r="BV25" s="756"/>
      <c r="BW25" s="756"/>
      <c r="BX25" s="756"/>
      <c r="BY25" s="756"/>
      <c r="BZ25" s="756"/>
      <c r="CA25" s="756"/>
      <c r="CB25" s="756"/>
      <c r="CC25" s="756"/>
      <c r="CD25" s="756"/>
      <c r="CE25" s="756"/>
      <c r="CF25" s="756"/>
      <c r="CG25" s="756"/>
      <c r="CH25" s="756"/>
      <c r="CI25" s="756"/>
      <c r="CJ25" s="756"/>
      <c r="CK25" s="756"/>
      <c r="CL25" s="756"/>
      <c r="CM25" s="756"/>
      <c r="CN25" s="756"/>
      <c r="CO25" s="756"/>
      <c r="CP25" s="756"/>
      <c r="CQ25" s="756"/>
      <c r="CR25" s="756"/>
      <c r="CS25" s="756"/>
      <c r="CT25" s="756"/>
      <c r="CU25" s="756"/>
      <c r="CV25" s="756"/>
      <c r="CW25" s="756"/>
      <c r="CX25" s="756"/>
      <c r="CY25" s="756"/>
      <c r="CZ25" s="756"/>
      <c r="DA25" s="756"/>
      <c r="DB25" s="756"/>
      <c r="DC25" s="756"/>
      <c r="DD25" s="756"/>
      <c r="DE25" s="756"/>
      <c r="DF25" s="756"/>
      <c r="DG25" s="756"/>
      <c r="DH25" s="756"/>
      <c r="DI25" s="756"/>
      <c r="DJ25" s="756"/>
      <c r="DK25" s="756"/>
      <c r="DL25" s="756"/>
      <c r="DM25" s="756"/>
      <c r="DN25" s="756"/>
      <c r="DO25" s="756"/>
      <c r="DP25" s="756"/>
      <c r="DQ25" s="756"/>
      <c r="DR25" s="756"/>
      <c r="DS25" s="756"/>
      <c r="DT25" s="756"/>
      <c r="DU25" s="756"/>
      <c r="DV25" s="756"/>
      <c r="DW25" s="756"/>
      <c r="DX25" s="756"/>
      <c r="DY25" s="756"/>
      <c r="DZ25" s="756"/>
      <c r="EA25" s="756"/>
      <c r="EB25" s="756"/>
      <c r="EC25" s="756"/>
      <c r="ED25" s="756"/>
      <c r="EE25" s="756"/>
      <c r="EF25" s="756"/>
      <c r="EG25" s="756"/>
      <c r="EH25" s="756"/>
      <c r="EI25" s="756"/>
      <c r="EJ25" s="756"/>
      <c r="EK25" s="756"/>
      <c r="EL25" s="756"/>
      <c r="EM25" s="756"/>
      <c r="EN25" s="756"/>
      <c r="EO25" s="756"/>
      <c r="EP25" s="756"/>
      <c r="EQ25" s="756"/>
      <c r="ER25" s="756"/>
      <c r="ES25" s="756"/>
      <c r="ET25" s="756"/>
      <c r="EU25" s="756"/>
      <c r="EV25" s="756"/>
      <c r="EW25" s="756"/>
      <c r="EX25" s="756"/>
      <c r="EY25" s="756"/>
      <c r="EZ25" s="756"/>
      <c r="FA25" s="756"/>
      <c r="FB25" s="756"/>
      <c r="FC25" s="756"/>
      <c r="FD25" s="756"/>
      <c r="FE25" s="756"/>
      <c r="FF25" s="756"/>
      <c r="FG25" s="756"/>
      <c r="FH25" s="756"/>
      <c r="FI25" s="756"/>
      <c r="FJ25" s="756"/>
      <c r="FK25" s="756"/>
      <c r="FL25" s="756"/>
      <c r="FM25" s="756"/>
      <c r="FN25" s="756"/>
      <c r="FO25" s="756"/>
      <c r="FP25" s="756"/>
      <c r="FQ25" s="756"/>
      <c r="FR25" s="756"/>
      <c r="FS25" s="756"/>
      <c r="FT25" s="756"/>
      <c r="FU25" s="756"/>
      <c r="FV25" s="756"/>
      <c r="FW25" s="756"/>
      <c r="FX25" s="756"/>
      <c r="FY25" s="756"/>
      <c r="FZ25" s="756"/>
      <c r="GA25" s="756"/>
      <c r="GB25" s="756"/>
      <c r="GC25" s="756"/>
      <c r="GD25" s="756"/>
      <c r="GE25" s="756"/>
      <c r="GF25" s="756"/>
      <c r="GG25" s="756"/>
      <c r="GH25" s="756"/>
      <c r="GI25" s="756"/>
      <c r="GJ25" s="756"/>
      <c r="GK25" s="756"/>
      <c r="GL25" s="756"/>
      <c r="GM25" s="756"/>
      <c r="GN25" s="756"/>
      <c r="GO25" s="756"/>
      <c r="GP25" s="756"/>
      <c r="GQ25" s="756"/>
      <c r="GR25" s="756"/>
      <c r="GS25" s="756"/>
      <c r="GT25" s="756"/>
      <c r="GU25" s="756"/>
      <c r="GV25" s="756"/>
      <c r="GW25" s="756"/>
      <c r="GX25" s="756"/>
      <c r="GY25" s="756"/>
      <c r="GZ25" s="756"/>
      <c r="HA25" s="756"/>
      <c r="HB25" s="756"/>
      <c r="HC25" s="756"/>
      <c r="HD25" s="756"/>
      <c r="HE25" s="756"/>
      <c r="HF25" s="756"/>
      <c r="HG25" s="756"/>
      <c r="HH25" s="756"/>
      <c r="HI25" s="756"/>
      <c r="HJ25" s="756"/>
      <c r="HK25" s="756"/>
      <c r="HL25" s="756"/>
      <c r="HM25" s="756"/>
      <c r="HN25" s="756"/>
      <c r="HO25" s="756"/>
      <c r="HP25" s="756"/>
      <c r="HQ25" s="756"/>
      <c r="HR25" s="756"/>
      <c r="HS25" s="756"/>
      <c r="HT25" s="756"/>
      <c r="HU25" s="756"/>
      <c r="HV25" s="756"/>
      <c r="HW25" s="756"/>
      <c r="HX25" s="756"/>
      <c r="HY25" s="756"/>
      <c r="HZ25" s="756"/>
      <c r="IA25" s="756"/>
      <c r="IB25" s="756"/>
      <c r="IC25" s="756"/>
      <c r="ID25" s="756"/>
      <c r="IE25" s="756"/>
      <c r="IF25" s="756"/>
      <c r="IG25" s="756"/>
      <c r="IH25" s="756"/>
      <c r="II25" s="756"/>
      <c r="IJ25" s="756"/>
      <c r="IK25" s="756"/>
      <c r="IL25" s="756"/>
      <c r="IM25" s="756"/>
      <c r="IN25" s="756"/>
      <c r="IO25" s="756"/>
      <c r="IP25" s="756"/>
      <c r="IQ25" s="756"/>
      <c r="IR25" s="756"/>
      <c r="IS25" s="756"/>
      <c r="IT25" s="756"/>
      <c r="IU25" s="756"/>
      <c r="IV25" s="756"/>
      <c r="IW25" s="756"/>
      <c r="IX25" s="756"/>
      <c r="IY25" s="756"/>
      <c r="IZ25" s="756"/>
      <c r="JA25" s="756"/>
      <c r="JB25" s="756"/>
      <c r="JC25" s="756"/>
      <c r="JD25" s="756"/>
      <c r="JE25" s="756"/>
      <c r="JF25" s="756"/>
      <c r="JG25" s="756"/>
      <c r="JH25" s="756"/>
      <c r="JI25" s="756"/>
      <c r="JJ25" s="756"/>
      <c r="JK25" s="756"/>
      <c r="JL25" s="756"/>
      <c r="JM25" s="756"/>
      <c r="JN25" s="756"/>
      <c r="JO25" s="756"/>
      <c r="JP25" s="756"/>
      <c r="JQ25" s="756"/>
      <c r="JR25" s="756"/>
      <c r="JS25" s="756"/>
      <c r="JT25" s="756"/>
      <c r="JU25" s="756"/>
      <c r="JV25" s="756"/>
      <c r="JW25" s="756"/>
      <c r="JX25" s="756"/>
      <c r="JY25" s="756"/>
      <c r="JZ25" s="756"/>
      <c r="KA25" s="756"/>
      <c r="KB25" s="756"/>
      <c r="KC25" s="756"/>
      <c r="KD25" s="756"/>
      <c r="KE25" s="756"/>
      <c r="KF25" s="756"/>
      <c r="KG25" s="756"/>
      <c r="KH25" s="756"/>
      <c r="KI25" s="756"/>
      <c r="KJ25" s="756"/>
      <c r="KK25" s="756"/>
      <c r="KL25" s="756"/>
      <c r="KM25" s="756"/>
      <c r="KN25" s="756"/>
      <c r="KO25" s="756"/>
      <c r="KP25" s="756"/>
      <c r="KQ25" s="756"/>
      <c r="KR25" s="756"/>
      <c r="KS25" s="756"/>
      <c r="KT25" s="756"/>
      <c r="KU25" s="756"/>
      <c r="KV25" s="756"/>
      <c r="KW25" s="756"/>
      <c r="KX25" s="756"/>
      <c r="KY25" s="756"/>
      <c r="KZ25" s="756"/>
      <c r="LA25" s="756"/>
      <c r="LB25" s="756"/>
      <c r="LC25" s="756"/>
      <c r="LD25" s="756"/>
      <c r="LE25" s="756"/>
      <c r="LF25" s="756"/>
      <c r="LG25" s="756"/>
      <c r="LH25" s="756"/>
      <c r="LI25" s="756"/>
      <c r="LJ25" s="756"/>
      <c r="LK25" s="756"/>
      <c r="LL25" s="756"/>
      <c r="LM25" s="756"/>
      <c r="LN25" s="756"/>
      <c r="LO25" s="756"/>
      <c r="LP25" s="756"/>
      <c r="LQ25" s="756"/>
      <c r="LR25" s="756"/>
      <c r="LS25" s="756"/>
      <c r="LT25" s="756"/>
      <c r="LU25" s="756"/>
      <c r="LV25" s="756"/>
      <c r="LW25" s="756"/>
      <c r="LX25" s="756"/>
      <c r="LY25" s="756"/>
      <c r="LZ25" s="756"/>
      <c r="MA25" s="756"/>
      <c r="MB25" s="756"/>
      <c r="MC25" s="756"/>
      <c r="MD25" s="756"/>
      <c r="ME25" s="756"/>
      <c r="MF25" s="756"/>
      <c r="MG25" s="756"/>
      <c r="MH25" s="756"/>
      <c r="MI25" s="756"/>
      <c r="MJ25" s="756"/>
      <c r="MK25" s="756"/>
      <c r="ML25" s="756"/>
      <c r="MM25" s="756"/>
      <c r="MN25" s="756"/>
      <c r="MO25" s="756"/>
      <c r="MP25" s="756"/>
      <c r="MQ25" s="756"/>
      <c r="MR25" s="756"/>
      <c r="MS25" s="756"/>
      <c r="MT25" s="756"/>
      <c r="MU25" s="756"/>
      <c r="MV25" s="756"/>
      <c r="MW25" s="756"/>
      <c r="MX25" s="756"/>
      <c r="MY25" s="756"/>
      <c r="MZ25" s="756"/>
      <c r="NA25" s="756"/>
      <c r="NB25" s="756"/>
      <c r="NC25" s="756"/>
      <c r="ND25" s="756"/>
      <c r="NE25" s="756"/>
      <c r="NF25" s="756"/>
      <c r="NG25" s="756"/>
      <c r="NH25" s="756"/>
      <c r="NI25" s="756"/>
      <c r="NJ25" s="756"/>
      <c r="NK25" s="756"/>
      <c r="NL25" s="756"/>
      <c r="NM25" s="756"/>
      <c r="NN25" s="756"/>
      <c r="NO25" s="756"/>
      <c r="NP25" s="756"/>
      <c r="NQ25" s="756"/>
      <c r="NR25" s="756"/>
      <c r="NS25" s="756"/>
      <c r="NT25" s="756"/>
      <c r="NU25" s="756"/>
      <c r="NV25" s="756"/>
      <c r="NW25" s="756"/>
      <c r="NX25" s="756"/>
      <c r="NY25" s="756"/>
      <c r="NZ25" s="756"/>
      <c r="OA25" s="756"/>
      <c r="OB25" s="756"/>
      <c r="OC25" s="756"/>
      <c r="OD25" s="756"/>
      <c r="OE25" s="756"/>
      <c r="OF25" s="756"/>
      <c r="OG25" s="756"/>
      <c r="OH25" s="756"/>
      <c r="OI25" s="756"/>
      <c r="OJ25" s="756"/>
      <c r="OK25" s="756"/>
      <c r="OL25" s="756"/>
      <c r="OM25" s="756"/>
      <c r="ON25" s="756"/>
      <c r="OO25" s="756"/>
      <c r="OP25" s="756"/>
      <c r="OQ25" s="756"/>
      <c r="OR25" s="756"/>
      <c r="OS25" s="756"/>
      <c r="OT25" s="756"/>
      <c r="OU25" s="756"/>
      <c r="OV25" s="756"/>
      <c r="OW25" s="756"/>
      <c r="OX25" s="756"/>
      <c r="OY25" s="756"/>
      <c r="OZ25" s="756"/>
      <c r="PA25" s="756"/>
      <c r="PB25" s="756"/>
      <c r="PC25" s="756"/>
      <c r="PD25" s="756"/>
      <c r="PE25" s="756"/>
      <c r="PF25" s="756"/>
      <c r="PG25" s="756"/>
      <c r="PH25" s="756"/>
      <c r="PI25" s="756"/>
      <c r="PJ25" s="756"/>
      <c r="PK25" s="756"/>
      <c r="PL25" s="756"/>
      <c r="PM25" s="756"/>
      <c r="PN25" s="756"/>
      <c r="PO25" s="756"/>
      <c r="PP25" s="756"/>
      <c r="PQ25" s="756"/>
      <c r="PR25" s="756"/>
      <c r="PS25" s="756"/>
      <c r="PT25" s="756"/>
      <c r="PU25" s="756"/>
      <c r="PV25" s="756"/>
      <c r="PW25" s="756"/>
      <c r="PX25" s="756"/>
      <c r="PY25" s="756"/>
      <c r="PZ25" s="756"/>
      <c r="QA25" s="756"/>
      <c r="QB25" s="756"/>
      <c r="QC25" s="756"/>
      <c r="QD25" s="756"/>
      <c r="QE25" s="756"/>
      <c r="QF25" s="756"/>
      <c r="QG25" s="756"/>
      <c r="QH25" s="756"/>
      <c r="QI25" s="756"/>
      <c r="QJ25" s="756"/>
      <c r="QK25" s="756"/>
      <c r="QL25" s="756"/>
      <c r="QM25" s="756"/>
      <c r="QN25" s="756"/>
      <c r="QO25" s="756"/>
      <c r="QP25" s="756"/>
      <c r="QQ25" s="756"/>
      <c r="QR25" s="756"/>
      <c r="QS25" s="756"/>
      <c r="QT25" s="756"/>
      <c r="QU25" s="756"/>
      <c r="QV25" s="756"/>
      <c r="QW25" s="756"/>
      <c r="QX25" s="756"/>
      <c r="QY25" s="756"/>
      <c r="QZ25" s="756"/>
      <c r="RA25" s="756"/>
      <c r="RB25" s="756"/>
      <c r="RC25" s="756"/>
      <c r="RD25" s="756"/>
      <c r="RE25" s="756"/>
      <c r="RF25" s="756"/>
      <c r="RG25" s="756"/>
      <c r="RH25" s="756"/>
      <c r="RI25" s="756"/>
      <c r="RJ25" s="756"/>
      <c r="RK25" s="756"/>
      <c r="RL25" s="756"/>
      <c r="RM25" s="756"/>
      <c r="RN25" s="756"/>
      <c r="RO25" s="756"/>
      <c r="RP25" s="756"/>
      <c r="RQ25" s="756"/>
      <c r="RR25" s="756"/>
      <c r="RS25" s="756"/>
      <c r="RT25" s="756"/>
      <c r="RU25" s="756"/>
      <c r="RV25" s="756"/>
      <c r="RW25" s="756"/>
      <c r="RX25" s="756"/>
      <c r="RY25" s="756"/>
      <c r="RZ25" s="756"/>
      <c r="SA25" s="756"/>
      <c r="SB25" s="756"/>
      <c r="SC25" s="756"/>
      <c r="SD25" s="756"/>
      <c r="SE25" s="756"/>
      <c r="SF25" s="756"/>
      <c r="SG25" s="756"/>
      <c r="SH25" s="756"/>
      <c r="SI25" s="756"/>
      <c r="SJ25" s="756"/>
      <c r="SK25" s="756"/>
      <c r="SL25" s="756"/>
      <c r="SM25" s="756"/>
      <c r="SN25" s="756"/>
      <c r="SO25" s="756"/>
      <c r="SP25" s="756"/>
      <c r="SQ25" s="756"/>
      <c r="SR25" s="756"/>
    </row>
    <row r="26" spans="1:512" ht="15" customHeight="1">
      <c r="A26" s="969"/>
      <c r="B26" s="969" t="s">
        <v>2428</v>
      </c>
      <c r="C26" s="969"/>
      <c r="D26" s="969"/>
      <c r="E26" s="969" t="s">
        <v>2299</v>
      </c>
      <c r="F26" s="969"/>
      <c r="G26" s="756">
        <v>3</v>
      </c>
      <c r="H26" s="1027">
        <v>150</v>
      </c>
      <c r="I26" s="756"/>
      <c r="J26" s="756"/>
      <c r="K26" s="756"/>
      <c r="L26" s="756"/>
      <c r="M26" s="756"/>
      <c r="N26" s="756"/>
      <c r="O26" s="756"/>
      <c r="P26" s="756"/>
      <c r="Q26" s="756"/>
      <c r="R26" s="756"/>
      <c r="S26" s="756"/>
      <c r="T26" s="756"/>
      <c r="U26" s="756"/>
      <c r="V26" s="756"/>
      <c r="W26" s="756"/>
      <c r="X26" s="756"/>
      <c r="Y26" s="756"/>
      <c r="Z26" s="756"/>
      <c r="AA26" s="756"/>
      <c r="AB26" s="756"/>
      <c r="AC26" s="756"/>
      <c r="AD26" s="756"/>
      <c r="AE26" s="756"/>
      <c r="AF26" s="756"/>
      <c r="AG26" s="756"/>
      <c r="AH26" s="756"/>
      <c r="AI26" s="756"/>
      <c r="AJ26" s="756"/>
      <c r="AK26" s="756"/>
      <c r="AL26" s="756"/>
      <c r="AM26" s="756"/>
      <c r="AN26" s="756"/>
      <c r="AO26" s="756"/>
      <c r="AP26" s="756"/>
      <c r="AQ26" s="756"/>
      <c r="AR26" s="756"/>
      <c r="AS26" s="756"/>
      <c r="AT26" s="756"/>
      <c r="AU26" s="756"/>
      <c r="AV26" s="756"/>
      <c r="AW26" s="756"/>
      <c r="AX26" s="756"/>
      <c r="AY26" s="756"/>
      <c r="AZ26" s="756"/>
      <c r="BA26" s="756"/>
      <c r="BB26" s="756"/>
      <c r="BC26" s="756"/>
      <c r="BD26" s="756"/>
      <c r="BE26" s="756"/>
      <c r="BF26" s="756"/>
      <c r="BG26" s="756"/>
      <c r="BH26" s="756"/>
      <c r="BI26" s="756"/>
      <c r="BJ26" s="756"/>
      <c r="BK26" s="756"/>
      <c r="BL26" s="756"/>
      <c r="BM26" s="756"/>
      <c r="BN26" s="756"/>
      <c r="BO26" s="756"/>
      <c r="BP26" s="756"/>
      <c r="BQ26" s="756"/>
      <c r="BR26" s="756"/>
      <c r="BS26" s="756"/>
      <c r="BT26" s="756"/>
      <c r="BU26" s="756"/>
      <c r="BV26" s="756"/>
      <c r="BW26" s="756"/>
      <c r="BX26" s="756"/>
      <c r="BY26" s="756"/>
      <c r="BZ26" s="756"/>
      <c r="CA26" s="756"/>
      <c r="CB26" s="756"/>
      <c r="CC26" s="756"/>
      <c r="CD26" s="756"/>
      <c r="CE26" s="756"/>
      <c r="CF26" s="756"/>
      <c r="CG26" s="756"/>
      <c r="CH26" s="756"/>
      <c r="CI26" s="756"/>
      <c r="CJ26" s="756"/>
      <c r="CK26" s="756"/>
      <c r="CL26" s="756"/>
      <c r="CM26" s="756"/>
      <c r="CN26" s="756"/>
      <c r="CO26" s="756"/>
      <c r="CP26" s="756"/>
      <c r="CQ26" s="756"/>
      <c r="CR26" s="756"/>
      <c r="CS26" s="756"/>
      <c r="CT26" s="756"/>
      <c r="CU26" s="756"/>
      <c r="CV26" s="756"/>
      <c r="CW26" s="756"/>
      <c r="CX26" s="756"/>
      <c r="CY26" s="756"/>
      <c r="CZ26" s="756"/>
      <c r="DA26" s="756"/>
      <c r="DB26" s="756"/>
      <c r="DC26" s="756"/>
      <c r="DD26" s="756"/>
      <c r="DE26" s="756"/>
      <c r="DF26" s="756"/>
      <c r="DG26" s="756"/>
      <c r="DH26" s="756"/>
      <c r="DI26" s="756"/>
      <c r="DJ26" s="756"/>
      <c r="DK26" s="756"/>
      <c r="DL26" s="756"/>
      <c r="DM26" s="756"/>
      <c r="DN26" s="756"/>
      <c r="DO26" s="756"/>
      <c r="DP26" s="756"/>
      <c r="DQ26" s="756"/>
      <c r="DR26" s="756"/>
      <c r="DS26" s="756"/>
      <c r="DT26" s="756"/>
      <c r="DU26" s="756"/>
      <c r="DV26" s="756"/>
      <c r="DW26" s="756"/>
      <c r="DX26" s="756"/>
      <c r="DY26" s="756"/>
      <c r="DZ26" s="756"/>
      <c r="EA26" s="756"/>
      <c r="EB26" s="756"/>
      <c r="EC26" s="756"/>
      <c r="ED26" s="756"/>
      <c r="EE26" s="756"/>
      <c r="EF26" s="756"/>
      <c r="EG26" s="756"/>
      <c r="EH26" s="756"/>
      <c r="EI26" s="756"/>
      <c r="EJ26" s="756"/>
      <c r="EK26" s="756"/>
      <c r="EL26" s="756"/>
      <c r="EM26" s="756"/>
      <c r="EN26" s="756"/>
      <c r="EO26" s="756"/>
      <c r="EP26" s="756"/>
      <c r="EQ26" s="756"/>
      <c r="ER26" s="756"/>
      <c r="ES26" s="756"/>
      <c r="ET26" s="756"/>
      <c r="EU26" s="756"/>
      <c r="EV26" s="756"/>
      <c r="EW26" s="756"/>
      <c r="EX26" s="756"/>
      <c r="EY26" s="756"/>
      <c r="EZ26" s="756"/>
      <c r="FA26" s="756"/>
      <c r="FB26" s="756"/>
      <c r="FC26" s="756"/>
      <c r="FD26" s="756"/>
      <c r="FE26" s="756"/>
      <c r="FF26" s="756"/>
      <c r="FG26" s="756"/>
      <c r="FH26" s="756"/>
      <c r="FI26" s="756"/>
      <c r="FJ26" s="756"/>
      <c r="FK26" s="756"/>
      <c r="FL26" s="756"/>
      <c r="FM26" s="756"/>
      <c r="FN26" s="756"/>
      <c r="FO26" s="756"/>
      <c r="FP26" s="756"/>
      <c r="FQ26" s="756"/>
      <c r="FR26" s="756"/>
      <c r="FS26" s="756"/>
      <c r="FT26" s="756"/>
      <c r="FU26" s="756"/>
      <c r="FV26" s="756"/>
      <c r="FW26" s="756"/>
      <c r="FX26" s="756"/>
      <c r="FY26" s="756"/>
      <c r="FZ26" s="756"/>
      <c r="GA26" s="756"/>
      <c r="GB26" s="756"/>
      <c r="GC26" s="756"/>
      <c r="GD26" s="756"/>
      <c r="GE26" s="756"/>
      <c r="GF26" s="756"/>
      <c r="GG26" s="756"/>
      <c r="GH26" s="756"/>
      <c r="GI26" s="756"/>
      <c r="GJ26" s="756"/>
      <c r="GK26" s="756"/>
      <c r="GL26" s="756"/>
      <c r="GM26" s="756"/>
      <c r="GN26" s="756"/>
      <c r="GO26" s="756"/>
      <c r="GP26" s="756"/>
      <c r="GQ26" s="756"/>
      <c r="GR26" s="756"/>
      <c r="GS26" s="756"/>
      <c r="GT26" s="756"/>
      <c r="GU26" s="756"/>
      <c r="GV26" s="756"/>
      <c r="GW26" s="756"/>
      <c r="GX26" s="756"/>
      <c r="GY26" s="756"/>
      <c r="GZ26" s="756"/>
      <c r="HA26" s="756"/>
      <c r="HB26" s="756"/>
      <c r="HC26" s="756"/>
      <c r="HD26" s="756"/>
      <c r="HE26" s="756"/>
      <c r="HF26" s="756"/>
      <c r="HG26" s="756"/>
      <c r="HH26" s="756"/>
      <c r="HI26" s="756"/>
      <c r="HJ26" s="756"/>
      <c r="HK26" s="756"/>
      <c r="HL26" s="756"/>
      <c r="HM26" s="756"/>
      <c r="HN26" s="756"/>
      <c r="HO26" s="756"/>
      <c r="HP26" s="756"/>
      <c r="HQ26" s="756"/>
      <c r="HR26" s="756"/>
      <c r="HS26" s="756"/>
      <c r="HT26" s="756"/>
      <c r="HU26" s="756"/>
      <c r="HV26" s="756"/>
      <c r="HW26" s="756"/>
      <c r="HX26" s="756"/>
      <c r="HY26" s="756"/>
      <c r="HZ26" s="756"/>
      <c r="IA26" s="756"/>
      <c r="IB26" s="756"/>
      <c r="IC26" s="756"/>
      <c r="ID26" s="756"/>
      <c r="IE26" s="756"/>
      <c r="IF26" s="756"/>
      <c r="IG26" s="756"/>
      <c r="IH26" s="756"/>
      <c r="II26" s="756"/>
      <c r="IJ26" s="756"/>
      <c r="IK26" s="756"/>
      <c r="IL26" s="756"/>
      <c r="IM26" s="756"/>
      <c r="IN26" s="756"/>
      <c r="IO26" s="756"/>
      <c r="IP26" s="756"/>
      <c r="IQ26" s="756"/>
      <c r="IR26" s="756"/>
      <c r="IS26" s="756"/>
      <c r="IT26" s="756"/>
      <c r="IU26" s="756"/>
      <c r="IV26" s="756"/>
      <c r="IW26" s="756"/>
      <c r="IX26" s="756"/>
      <c r="IY26" s="756"/>
      <c r="IZ26" s="756"/>
      <c r="JA26" s="756"/>
      <c r="JB26" s="756"/>
      <c r="JC26" s="756"/>
      <c r="JD26" s="756"/>
      <c r="JE26" s="756"/>
      <c r="JF26" s="756"/>
      <c r="JG26" s="756"/>
      <c r="JH26" s="756"/>
      <c r="JI26" s="756"/>
      <c r="JJ26" s="756"/>
      <c r="JK26" s="756"/>
      <c r="JL26" s="756"/>
      <c r="JM26" s="756"/>
      <c r="JN26" s="756"/>
      <c r="JO26" s="756"/>
      <c r="JP26" s="756"/>
      <c r="JQ26" s="756"/>
      <c r="JR26" s="756"/>
      <c r="JS26" s="756"/>
      <c r="JT26" s="756"/>
      <c r="JU26" s="756"/>
      <c r="JV26" s="756"/>
      <c r="JW26" s="756"/>
      <c r="JX26" s="756"/>
      <c r="JY26" s="756"/>
      <c r="JZ26" s="756"/>
      <c r="KA26" s="756"/>
      <c r="KB26" s="756"/>
      <c r="KC26" s="756"/>
      <c r="KD26" s="756"/>
      <c r="KE26" s="756"/>
      <c r="KF26" s="756"/>
      <c r="KG26" s="756"/>
      <c r="KH26" s="756"/>
      <c r="KI26" s="756"/>
      <c r="KJ26" s="756"/>
      <c r="KK26" s="756"/>
      <c r="KL26" s="756"/>
      <c r="KM26" s="756"/>
      <c r="KN26" s="756"/>
      <c r="KO26" s="756"/>
      <c r="KP26" s="756"/>
      <c r="KQ26" s="756"/>
      <c r="KR26" s="756"/>
      <c r="KS26" s="756"/>
      <c r="KT26" s="756"/>
      <c r="KU26" s="756"/>
      <c r="KV26" s="756"/>
      <c r="KW26" s="756"/>
      <c r="KX26" s="756"/>
      <c r="KY26" s="756"/>
      <c r="KZ26" s="756"/>
      <c r="LA26" s="756"/>
      <c r="LB26" s="756"/>
      <c r="LC26" s="756"/>
      <c r="LD26" s="756"/>
      <c r="LE26" s="756"/>
      <c r="LF26" s="756"/>
      <c r="LG26" s="756"/>
      <c r="LH26" s="756"/>
      <c r="LI26" s="756"/>
      <c r="LJ26" s="756"/>
      <c r="LK26" s="756"/>
      <c r="LL26" s="756"/>
      <c r="LM26" s="756"/>
      <c r="LN26" s="756"/>
      <c r="LO26" s="756"/>
      <c r="LP26" s="756"/>
      <c r="LQ26" s="756"/>
      <c r="LR26" s="756"/>
      <c r="LS26" s="756"/>
      <c r="LT26" s="756"/>
      <c r="LU26" s="756"/>
      <c r="LV26" s="756"/>
      <c r="LW26" s="756"/>
      <c r="LX26" s="756"/>
      <c r="LY26" s="756"/>
      <c r="LZ26" s="756"/>
      <c r="MA26" s="756"/>
      <c r="MB26" s="756"/>
      <c r="MC26" s="756"/>
      <c r="MD26" s="756"/>
      <c r="ME26" s="756"/>
      <c r="MF26" s="756"/>
      <c r="MG26" s="756"/>
      <c r="MH26" s="756"/>
      <c r="MI26" s="756"/>
      <c r="MJ26" s="756"/>
      <c r="MK26" s="756"/>
      <c r="ML26" s="756"/>
      <c r="MM26" s="756"/>
      <c r="MN26" s="756"/>
      <c r="MO26" s="756"/>
      <c r="MP26" s="756"/>
      <c r="MQ26" s="756"/>
      <c r="MR26" s="756"/>
      <c r="MS26" s="756"/>
      <c r="MT26" s="756"/>
      <c r="MU26" s="756"/>
      <c r="MV26" s="756"/>
      <c r="MW26" s="756"/>
      <c r="MX26" s="756"/>
      <c r="MY26" s="756"/>
      <c r="MZ26" s="756"/>
      <c r="NA26" s="756"/>
      <c r="NB26" s="756"/>
      <c r="NC26" s="756"/>
      <c r="ND26" s="756"/>
      <c r="NE26" s="756"/>
      <c r="NF26" s="756"/>
      <c r="NG26" s="756"/>
      <c r="NH26" s="756"/>
      <c r="NI26" s="756"/>
      <c r="NJ26" s="756"/>
      <c r="NK26" s="756"/>
      <c r="NL26" s="756"/>
      <c r="NM26" s="756"/>
      <c r="NN26" s="756"/>
      <c r="NO26" s="756"/>
      <c r="NP26" s="756"/>
      <c r="NQ26" s="756"/>
      <c r="NR26" s="756"/>
      <c r="NS26" s="756"/>
      <c r="NT26" s="756"/>
      <c r="NU26" s="756"/>
      <c r="NV26" s="756"/>
      <c r="NW26" s="756"/>
      <c r="NX26" s="756"/>
      <c r="NY26" s="756"/>
      <c r="NZ26" s="756"/>
      <c r="OA26" s="756"/>
      <c r="OB26" s="756"/>
      <c r="OC26" s="756"/>
      <c r="OD26" s="756"/>
      <c r="OE26" s="756"/>
      <c r="OF26" s="756"/>
      <c r="OG26" s="756"/>
      <c r="OH26" s="756"/>
      <c r="OI26" s="756"/>
      <c r="OJ26" s="756"/>
      <c r="OK26" s="756"/>
      <c r="OL26" s="756"/>
      <c r="OM26" s="756"/>
      <c r="ON26" s="756"/>
      <c r="OO26" s="756"/>
      <c r="OP26" s="756"/>
      <c r="OQ26" s="756"/>
      <c r="OR26" s="756"/>
      <c r="OS26" s="756"/>
      <c r="OT26" s="756"/>
      <c r="OU26" s="756"/>
      <c r="OV26" s="756"/>
      <c r="OW26" s="756"/>
      <c r="OX26" s="756"/>
      <c r="OY26" s="756"/>
      <c r="OZ26" s="756"/>
      <c r="PA26" s="756"/>
      <c r="PB26" s="756"/>
      <c r="PC26" s="756"/>
      <c r="PD26" s="756"/>
      <c r="PE26" s="756"/>
      <c r="PF26" s="756"/>
      <c r="PG26" s="756"/>
      <c r="PH26" s="756"/>
      <c r="PI26" s="756"/>
      <c r="PJ26" s="756"/>
      <c r="PK26" s="756"/>
      <c r="PL26" s="756"/>
      <c r="PM26" s="756"/>
      <c r="PN26" s="756"/>
      <c r="PO26" s="756"/>
      <c r="PP26" s="756"/>
      <c r="PQ26" s="756"/>
      <c r="PR26" s="756"/>
      <c r="PS26" s="756"/>
      <c r="PT26" s="756"/>
      <c r="PU26" s="756"/>
      <c r="PV26" s="756"/>
      <c r="PW26" s="756"/>
      <c r="PX26" s="756"/>
      <c r="PY26" s="756"/>
      <c r="PZ26" s="756"/>
      <c r="QA26" s="756"/>
      <c r="QB26" s="756"/>
      <c r="QC26" s="756"/>
      <c r="QD26" s="756"/>
      <c r="QE26" s="756"/>
      <c r="QF26" s="756"/>
      <c r="QG26" s="756"/>
      <c r="QH26" s="756"/>
      <c r="QI26" s="756"/>
      <c r="QJ26" s="756"/>
      <c r="QK26" s="756"/>
      <c r="QL26" s="756"/>
      <c r="QM26" s="756"/>
      <c r="QN26" s="756"/>
      <c r="QO26" s="756"/>
      <c r="QP26" s="756"/>
      <c r="QQ26" s="756"/>
      <c r="QR26" s="756"/>
      <c r="QS26" s="756"/>
      <c r="QT26" s="756"/>
      <c r="QU26" s="756"/>
      <c r="QV26" s="756"/>
      <c r="QW26" s="756"/>
      <c r="QX26" s="756"/>
      <c r="QY26" s="756"/>
      <c r="QZ26" s="756"/>
      <c r="RA26" s="756"/>
      <c r="RB26" s="756"/>
      <c r="RC26" s="756"/>
      <c r="RD26" s="756"/>
      <c r="RE26" s="756"/>
      <c r="RF26" s="756"/>
      <c r="RG26" s="756"/>
      <c r="RH26" s="756"/>
      <c r="RI26" s="756"/>
      <c r="RJ26" s="756"/>
      <c r="RK26" s="756"/>
      <c r="RL26" s="756"/>
      <c r="RM26" s="756"/>
      <c r="RN26" s="756"/>
      <c r="RO26" s="756"/>
      <c r="RP26" s="756"/>
      <c r="RQ26" s="756"/>
      <c r="RR26" s="756"/>
      <c r="RS26" s="756"/>
      <c r="RT26" s="756"/>
      <c r="RU26" s="756"/>
      <c r="RV26" s="756"/>
      <c r="RW26" s="756"/>
      <c r="RX26" s="756"/>
      <c r="RY26" s="756"/>
      <c r="RZ26" s="756"/>
      <c r="SA26" s="756"/>
      <c r="SB26" s="756"/>
      <c r="SC26" s="756"/>
      <c r="SD26" s="756"/>
      <c r="SE26" s="756"/>
      <c r="SF26" s="756"/>
      <c r="SG26" s="756"/>
      <c r="SH26" s="756"/>
      <c r="SI26" s="756"/>
      <c r="SJ26" s="756"/>
      <c r="SK26" s="756"/>
      <c r="SL26" s="756"/>
      <c r="SM26" s="756"/>
      <c r="SN26" s="756"/>
      <c r="SO26" s="756"/>
      <c r="SP26" s="756"/>
      <c r="SQ26" s="756"/>
      <c r="SR26" s="756"/>
    </row>
    <row r="27" spans="1:512" ht="15" customHeight="1">
      <c r="A27" s="969"/>
      <c r="B27" s="969" t="s">
        <v>2429</v>
      </c>
      <c r="C27" s="969"/>
      <c r="D27" s="969"/>
      <c r="E27" s="969" t="s">
        <v>219</v>
      </c>
      <c r="F27" s="969"/>
      <c r="G27" s="783">
        <v>1556.6</v>
      </c>
      <c r="H27" s="1027">
        <v>1470</v>
      </c>
      <c r="I27" s="783"/>
      <c r="J27" s="783"/>
      <c r="K27" s="783"/>
      <c r="L27" s="783"/>
      <c r="M27" s="783"/>
      <c r="N27" s="783"/>
      <c r="O27" s="783"/>
      <c r="P27" s="783"/>
      <c r="Q27" s="783"/>
      <c r="R27" s="783"/>
      <c r="S27" s="783"/>
      <c r="T27" s="783"/>
      <c r="U27" s="756"/>
      <c r="V27" s="756"/>
      <c r="W27" s="756"/>
      <c r="X27" s="756"/>
      <c r="Y27" s="756"/>
      <c r="Z27" s="756"/>
      <c r="AA27" s="756"/>
      <c r="AB27" s="756"/>
      <c r="AC27" s="756"/>
      <c r="AD27" s="756"/>
      <c r="AE27" s="756"/>
      <c r="AF27" s="756"/>
      <c r="AG27" s="756"/>
      <c r="AH27" s="756"/>
      <c r="AI27" s="756"/>
      <c r="AJ27" s="756"/>
      <c r="AK27" s="756"/>
      <c r="AL27" s="756"/>
      <c r="AM27" s="756"/>
      <c r="AN27" s="756"/>
      <c r="AO27" s="756"/>
      <c r="AP27" s="756"/>
      <c r="AQ27" s="756"/>
      <c r="AR27" s="756"/>
      <c r="AS27" s="756"/>
      <c r="AT27" s="756"/>
      <c r="AU27" s="756"/>
      <c r="AV27" s="756"/>
      <c r="AW27" s="756"/>
      <c r="AX27" s="756"/>
      <c r="AY27" s="756"/>
      <c r="AZ27" s="756"/>
      <c r="BA27" s="756"/>
      <c r="BB27" s="756"/>
      <c r="BC27" s="756"/>
      <c r="BD27" s="756"/>
      <c r="BE27" s="756"/>
      <c r="BF27" s="756"/>
      <c r="BG27" s="756"/>
      <c r="BH27" s="756"/>
      <c r="BI27" s="756"/>
      <c r="BJ27" s="756"/>
      <c r="BK27" s="756"/>
      <c r="BL27" s="756"/>
      <c r="BM27" s="756"/>
      <c r="BN27" s="756"/>
      <c r="BO27" s="756"/>
      <c r="BP27" s="756"/>
      <c r="BQ27" s="756"/>
      <c r="BR27" s="756"/>
      <c r="BS27" s="756"/>
      <c r="BT27" s="756"/>
      <c r="BU27" s="756"/>
      <c r="BV27" s="756"/>
      <c r="BW27" s="756"/>
      <c r="BX27" s="756"/>
      <c r="BY27" s="756"/>
      <c r="BZ27" s="756"/>
      <c r="CA27" s="756"/>
      <c r="CB27" s="756"/>
      <c r="CC27" s="756"/>
      <c r="CD27" s="756"/>
      <c r="CE27" s="756"/>
      <c r="CF27" s="756"/>
      <c r="CG27" s="756"/>
      <c r="CH27" s="756"/>
      <c r="CI27" s="756"/>
      <c r="CJ27" s="756"/>
      <c r="CK27" s="756"/>
      <c r="CL27" s="756"/>
      <c r="CM27" s="756"/>
      <c r="CN27" s="756"/>
      <c r="CO27" s="756"/>
      <c r="CP27" s="756"/>
      <c r="CQ27" s="756"/>
      <c r="CR27" s="756"/>
      <c r="CS27" s="756"/>
      <c r="CT27" s="756"/>
      <c r="CU27" s="756"/>
      <c r="CV27" s="756"/>
      <c r="CW27" s="756"/>
      <c r="CX27" s="756"/>
      <c r="CY27" s="756"/>
      <c r="CZ27" s="756"/>
      <c r="DA27" s="756"/>
      <c r="DB27" s="756"/>
      <c r="DC27" s="756"/>
      <c r="DD27" s="756"/>
      <c r="DE27" s="756"/>
      <c r="DF27" s="756"/>
      <c r="DG27" s="756"/>
      <c r="DH27" s="756"/>
      <c r="DI27" s="756"/>
      <c r="DJ27" s="756"/>
      <c r="DK27" s="756"/>
      <c r="DL27" s="756"/>
      <c r="DM27" s="756"/>
      <c r="DN27" s="756"/>
      <c r="DO27" s="756"/>
      <c r="DP27" s="756"/>
      <c r="DQ27" s="756"/>
      <c r="DR27" s="756"/>
      <c r="DS27" s="756"/>
      <c r="DT27" s="756"/>
      <c r="DU27" s="756"/>
      <c r="DV27" s="756"/>
      <c r="DW27" s="756"/>
      <c r="DX27" s="756"/>
      <c r="DY27" s="756"/>
      <c r="DZ27" s="756"/>
      <c r="EA27" s="756"/>
      <c r="EB27" s="756"/>
      <c r="EC27" s="756"/>
      <c r="ED27" s="756"/>
      <c r="EE27" s="756"/>
      <c r="EF27" s="756"/>
      <c r="EG27" s="756"/>
      <c r="EH27" s="756"/>
      <c r="EI27" s="756"/>
      <c r="EJ27" s="756"/>
      <c r="EK27" s="756"/>
      <c r="EL27" s="756"/>
      <c r="EM27" s="756"/>
      <c r="EN27" s="756"/>
      <c r="EO27" s="756"/>
      <c r="EP27" s="756"/>
      <c r="EQ27" s="756"/>
      <c r="ER27" s="756"/>
      <c r="ES27" s="756"/>
      <c r="ET27" s="756"/>
      <c r="EU27" s="756"/>
      <c r="EV27" s="756"/>
      <c r="EW27" s="756"/>
      <c r="EX27" s="756"/>
      <c r="EY27" s="756"/>
      <c r="EZ27" s="756"/>
      <c r="FA27" s="756"/>
      <c r="FB27" s="756"/>
      <c r="FC27" s="756"/>
      <c r="FD27" s="756"/>
      <c r="FE27" s="756"/>
      <c r="FF27" s="756"/>
      <c r="FG27" s="756"/>
      <c r="FH27" s="756"/>
      <c r="FI27" s="756"/>
      <c r="FJ27" s="756"/>
      <c r="FK27" s="756"/>
      <c r="FL27" s="756"/>
      <c r="FM27" s="756"/>
      <c r="FN27" s="756"/>
      <c r="FO27" s="756"/>
      <c r="FP27" s="756"/>
      <c r="FQ27" s="756"/>
      <c r="FR27" s="756"/>
      <c r="FS27" s="756"/>
      <c r="FT27" s="756"/>
      <c r="FU27" s="756"/>
      <c r="FV27" s="756"/>
      <c r="FW27" s="756"/>
      <c r="FX27" s="756"/>
      <c r="FY27" s="756"/>
      <c r="FZ27" s="756"/>
      <c r="GA27" s="756"/>
      <c r="GB27" s="756"/>
      <c r="GC27" s="756"/>
      <c r="GD27" s="756"/>
      <c r="GE27" s="756"/>
      <c r="GF27" s="756"/>
      <c r="GG27" s="756"/>
      <c r="GH27" s="756"/>
      <c r="GI27" s="756"/>
      <c r="GJ27" s="756"/>
      <c r="GK27" s="756"/>
      <c r="GL27" s="756"/>
      <c r="GM27" s="756"/>
      <c r="GN27" s="756"/>
      <c r="GO27" s="756"/>
      <c r="GP27" s="756"/>
      <c r="GQ27" s="756"/>
      <c r="GR27" s="756"/>
      <c r="GS27" s="756"/>
      <c r="GT27" s="756"/>
      <c r="GU27" s="756"/>
      <c r="GV27" s="756"/>
      <c r="GW27" s="756"/>
      <c r="GX27" s="756"/>
      <c r="GY27" s="756"/>
      <c r="GZ27" s="756"/>
      <c r="HA27" s="756"/>
      <c r="HB27" s="756"/>
      <c r="HC27" s="756"/>
      <c r="HD27" s="756"/>
      <c r="HE27" s="756"/>
      <c r="HF27" s="756"/>
      <c r="HG27" s="756"/>
      <c r="HH27" s="756"/>
      <c r="HI27" s="756"/>
      <c r="HJ27" s="756"/>
      <c r="HK27" s="756"/>
      <c r="HL27" s="756"/>
      <c r="HM27" s="756"/>
      <c r="HN27" s="756"/>
      <c r="HO27" s="756"/>
      <c r="HP27" s="756"/>
      <c r="HQ27" s="756"/>
      <c r="HR27" s="756"/>
      <c r="HS27" s="756"/>
      <c r="HT27" s="756"/>
      <c r="HU27" s="756"/>
      <c r="HV27" s="756"/>
      <c r="HW27" s="756"/>
      <c r="HX27" s="756"/>
      <c r="HY27" s="756"/>
      <c r="HZ27" s="756"/>
      <c r="IA27" s="756"/>
      <c r="IB27" s="756"/>
      <c r="IC27" s="756"/>
      <c r="ID27" s="756"/>
      <c r="IE27" s="756"/>
      <c r="IF27" s="756"/>
      <c r="IG27" s="756"/>
      <c r="IH27" s="756"/>
      <c r="II27" s="756"/>
      <c r="IJ27" s="756"/>
      <c r="IK27" s="756"/>
      <c r="IL27" s="756"/>
      <c r="IM27" s="756"/>
      <c r="IN27" s="756"/>
      <c r="IO27" s="756"/>
      <c r="IP27" s="756"/>
      <c r="IQ27" s="756"/>
      <c r="IR27" s="756"/>
      <c r="IS27" s="756"/>
      <c r="IT27" s="756"/>
      <c r="IU27" s="756"/>
      <c r="IV27" s="756"/>
      <c r="IW27" s="756"/>
      <c r="IX27" s="756"/>
      <c r="IY27" s="756"/>
      <c r="IZ27" s="756"/>
      <c r="JA27" s="756"/>
      <c r="JB27" s="756"/>
      <c r="JC27" s="756"/>
      <c r="JD27" s="756"/>
      <c r="JE27" s="756"/>
      <c r="JF27" s="756"/>
      <c r="JG27" s="756"/>
      <c r="JH27" s="756"/>
      <c r="JI27" s="756"/>
      <c r="JJ27" s="756"/>
      <c r="JK27" s="756"/>
      <c r="JL27" s="756"/>
      <c r="JM27" s="756"/>
      <c r="JN27" s="756"/>
      <c r="JO27" s="756"/>
      <c r="JP27" s="756"/>
      <c r="JQ27" s="756"/>
      <c r="JR27" s="756"/>
      <c r="JS27" s="756"/>
      <c r="JT27" s="756"/>
      <c r="JU27" s="756"/>
      <c r="JV27" s="756"/>
      <c r="JW27" s="756"/>
      <c r="JX27" s="756"/>
      <c r="JY27" s="756"/>
      <c r="JZ27" s="756"/>
      <c r="KA27" s="756"/>
      <c r="KB27" s="756"/>
      <c r="KC27" s="756"/>
      <c r="KD27" s="756"/>
      <c r="KE27" s="756"/>
      <c r="KF27" s="756"/>
      <c r="KG27" s="756"/>
      <c r="KH27" s="756"/>
      <c r="KI27" s="756"/>
      <c r="KJ27" s="756"/>
      <c r="KK27" s="756"/>
      <c r="KL27" s="756"/>
      <c r="KM27" s="756"/>
      <c r="KN27" s="756"/>
      <c r="KO27" s="756"/>
      <c r="KP27" s="756"/>
      <c r="KQ27" s="756"/>
      <c r="KR27" s="756"/>
      <c r="KS27" s="756"/>
      <c r="KT27" s="756"/>
      <c r="KU27" s="756"/>
      <c r="KV27" s="756"/>
      <c r="KW27" s="756"/>
      <c r="KX27" s="756"/>
      <c r="KY27" s="756"/>
      <c r="KZ27" s="756"/>
      <c r="LA27" s="756"/>
      <c r="LB27" s="756"/>
      <c r="LC27" s="756"/>
      <c r="LD27" s="756"/>
      <c r="LE27" s="756"/>
      <c r="LF27" s="756"/>
      <c r="LG27" s="756"/>
      <c r="LH27" s="756"/>
      <c r="LI27" s="756"/>
      <c r="LJ27" s="756"/>
      <c r="LK27" s="756"/>
      <c r="LL27" s="756"/>
      <c r="LM27" s="756"/>
      <c r="LN27" s="756"/>
      <c r="LO27" s="756"/>
      <c r="LP27" s="756"/>
      <c r="LQ27" s="756"/>
      <c r="LR27" s="756"/>
      <c r="LS27" s="756"/>
      <c r="LT27" s="756"/>
      <c r="LU27" s="756"/>
      <c r="LV27" s="756"/>
      <c r="LW27" s="756"/>
      <c r="LX27" s="756"/>
      <c r="LY27" s="756"/>
      <c r="LZ27" s="756"/>
      <c r="MA27" s="756"/>
      <c r="MB27" s="756"/>
      <c r="MC27" s="756"/>
      <c r="MD27" s="756"/>
      <c r="ME27" s="756"/>
      <c r="MF27" s="756"/>
      <c r="MG27" s="756"/>
      <c r="MH27" s="756"/>
      <c r="MI27" s="756"/>
      <c r="MJ27" s="756"/>
      <c r="MK27" s="756"/>
      <c r="ML27" s="756"/>
      <c r="MM27" s="756"/>
      <c r="MN27" s="756"/>
      <c r="MO27" s="756"/>
      <c r="MP27" s="756"/>
      <c r="MQ27" s="756"/>
      <c r="MR27" s="756"/>
      <c r="MS27" s="756"/>
      <c r="MT27" s="756"/>
      <c r="MU27" s="756"/>
      <c r="MV27" s="756"/>
      <c r="MW27" s="756"/>
      <c r="MX27" s="756"/>
      <c r="MY27" s="756"/>
      <c r="MZ27" s="756"/>
      <c r="NA27" s="756"/>
      <c r="NB27" s="756"/>
      <c r="NC27" s="756"/>
      <c r="ND27" s="756"/>
      <c r="NE27" s="756"/>
      <c r="NF27" s="756"/>
      <c r="NG27" s="756"/>
      <c r="NH27" s="756"/>
      <c r="NI27" s="756"/>
      <c r="NJ27" s="756"/>
      <c r="NK27" s="756"/>
      <c r="NL27" s="756"/>
      <c r="NM27" s="756"/>
      <c r="NN27" s="756"/>
      <c r="NO27" s="756"/>
      <c r="NP27" s="756"/>
      <c r="NQ27" s="756"/>
      <c r="NR27" s="756"/>
      <c r="NS27" s="756"/>
      <c r="NT27" s="756"/>
      <c r="NU27" s="756"/>
      <c r="NV27" s="756"/>
      <c r="NW27" s="756"/>
      <c r="NX27" s="756"/>
      <c r="NY27" s="756"/>
      <c r="NZ27" s="756"/>
      <c r="OA27" s="756"/>
      <c r="OB27" s="756"/>
      <c r="OC27" s="756"/>
      <c r="OD27" s="756"/>
      <c r="OE27" s="756"/>
      <c r="OF27" s="756"/>
      <c r="OG27" s="756"/>
      <c r="OH27" s="756"/>
      <c r="OI27" s="756"/>
      <c r="OJ27" s="756"/>
      <c r="OK27" s="756"/>
      <c r="OL27" s="756"/>
      <c r="OM27" s="756"/>
      <c r="ON27" s="756"/>
      <c r="OO27" s="756"/>
      <c r="OP27" s="756"/>
      <c r="OQ27" s="756"/>
      <c r="OR27" s="756"/>
      <c r="OS27" s="756"/>
      <c r="OT27" s="756"/>
      <c r="OU27" s="756"/>
      <c r="OV27" s="756"/>
      <c r="OW27" s="756"/>
      <c r="OX27" s="756"/>
      <c r="OY27" s="756"/>
      <c r="OZ27" s="756"/>
      <c r="PA27" s="756"/>
      <c r="PB27" s="756"/>
      <c r="PC27" s="756"/>
      <c r="PD27" s="756"/>
      <c r="PE27" s="756"/>
      <c r="PF27" s="756"/>
      <c r="PG27" s="756"/>
      <c r="PH27" s="756"/>
      <c r="PI27" s="756"/>
      <c r="PJ27" s="756"/>
      <c r="PK27" s="756"/>
      <c r="PL27" s="756"/>
      <c r="PM27" s="756"/>
      <c r="PN27" s="756"/>
      <c r="PO27" s="756"/>
      <c r="PP27" s="756"/>
      <c r="PQ27" s="756"/>
      <c r="PR27" s="756"/>
      <c r="PS27" s="756"/>
      <c r="PT27" s="756"/>
      <c r="PU27" s="756"/>
      <c r="PV27" s="756"/>
      <c r="PW27" s="756"/>
      <c r="PX27" s="756"/>
      <c r="PY27" s="756"/>
      <c r="PZ27" s="756"/>
      <c r="QA27" s="756"/>
      <c r="QB27" s="756"/>
      <c r="QC27" s="756"/>
      <c r="QD27" s="756"/>
      <c r="QE27" s="756"/>
      <c r="QF27" s="756"/>
      <c r="QG27" s="756"/>
      <c r="QH27" s="756"/>
      <c r="QI27" s="756"/>
      <c r="QJ27" s="756"/>
      <c r="QK27" s="756"/>
      <c r="QL27" s="756"/>
      <c r="QM27" s="756"/>
      <c r="QN27" s="756"/>
      <c r="QO27" s="756"/>
      <c r="QP27" s="756"/>
      <c r="QQ27" s="756"/>
      <c r="QR27" s="756"/>
      <c r="QS27" s="756"/>
      <c r="QT27" s="756"/>
      <c r="QU27" s="756"/>
      <c r="QV27" s="756"/>
      <c r="QW27" s="756"/>
      <c r="QX27" s="756"/>
      <c r="QY27" s="756"/>
      <c r="QZ27" s="756"/>
      <c r="RA27" s="756"/>
      <c r="RB27" s="756"/>
      <c r="RC27" s="756"/>
      <c r="RD27" s="756"/>
      <c r="RE27" s="756"/>
      <c r="RF27" s="756"/>
      <c r="RG27" s="756"/>
      <c r="RH27" s="756"/>
      <c r="RI27" s="756"/>
      <c r="RJ27" s="756"/>
      <c r="RK27" s="756"/>
      <c r="RL27" s="756"/>
      <c r="RM27" s="756"/>
      <c r="RN27" s="756"/>
      <c r="RO27" s="756"/>
      <c r="RP27" s="756"/>
      <c r="RQ27" s="756"/>
      <c r="RR27" s="756"/>
      <c r="RS27" s="756"/>
      <c r="RT27" s="756"/>
      <c r="RU27" s="756"/>
      <c r="RV27" s="756"/>
      <c r="RW27" s="756"/>
      <c r="RX27" s="756"/>
      <c r="RY27" s="756"/>
      <c r="RZ27" s="756"/>
      <c r="SA27" s="756"/>
      <c r="SB27" s="756"/>
      <c r="SC27" s="756"/>
      <c r="SD27" s="756"/>
      <c r="SE27" s="756"/>
      <c r="SF27" s="756"/>
      <c r="SG27" s="756"/>
      <c r="SH27" s="756"/>
      <c r="SI27" s="756"/>
      <c r="SJ27" s="756"/>
      <c r="SK27" s="756"/>
      <c r="SL27" s="756"/>
      <c r="SM27" s="756"/>
      <c r="SN27" s="756"/>
      <c r="SO27" s="756"/>
      <c r="SP27" s="756"/>
      <c r="SQ27" s="756"/>
      <c r="SR27" s="756"/>
    </row>
    <row r="28" spans="1:512" ht="15" customHeight="1">
      <c r="A28" s="969"/>
      <c r="B28" s="969"/>
      <c r="C28" s="969"/>
      <c r="D28" s="969"/>
      <c r="E28" s="969"/>
      <c r="F28" s="969"/>
      <c r="G28" s="755"/>
      <c r="H28" s="1027"/>
      <c r="I28" s="755"/>
      <c r="J28" s="755"/>
      <c r="K28" s="755"/>
      <c r="L28" s="755"/>
      <c r="M28" s="755"/>
      <c r="N28" s="755"/>
      <c r="O28" s="755"/>
      <c r="P28" s="755"/>
      <c r="Q28" s="755"/>
      <c r="R28" s="755"/>
      <c r="S28" s="755"/>
      <c r="T28" s="755"/>
      <c r="U28" s="661"/>
      <c r="V28" s="661"/>
      <c r="W28" s="661"/>
      <c r="X28" s="661"/>
      <c r="Y28" s="661"/>
      <c r="Z28" s="661"/>
      <c r="AA28" s="661"/>
      <c r="AB28" s="661"/>
      <c r="AC28" s="661"/>
      <c r="AD28" s="661"/>
      <c r="AE28" s="661"/>
      <c r="AF28" s="661"/>
      <c r="AG28" s="661"/>
      <c r="AH28" s="661"/>
      <c r="AI28" s="661"/>
      <c r="AJ28" s="661"/>
      <c r="AK28" s="661"/>
      <c r="AL28" s="661"/>
      <c r="AM28" s="661"/>
      <c r="AN28" s="661"/>
      <c r="AO28" s="661"/>
      <c r="AP28" s="661"/>
      <c r="AQ28" s="661"/>
      <c r="AR28" s="661"/>
      <c r="AS28" s="661"/>
      <c r="AT28" s="661"/>
      <c r="AU28" s="661"/>
      <c r="AV28" s="661"/>
      <c r="AW28" s="661"/>
      <c r="AX28" s="661"/>
      <c r="AY28" s="661"/>
      <c r="AZ28" s="661"/>
      <c r="BA28" s="661"/>
      <c r="BB28" s="661"/>
      <c r="BC28" s="661"/>
      <c r="BD28" s="661"/>
      <c r="BE28" s="661"/>
    </row>
    <row r="29" spans="1:512" ht="15" customHeight="1">
      <c r="A29" s="969" t="s">
        <v>2208</v>
      </c>
      <c r="B29" s="969"/>
      <c r="C29" s="969"/>
      <c r="D29" s="969"/>
      <c r="E29" s="969"/>
      <c r="F29" s="969"/>
      <c r="G29" s="755"/>
      <c r="H29" s="1027"/>
      <c r="I29" s="755"/>
      <c r="J29" s="755"/>
      <c r="K29" s="755"/>
      <c r="L29" s="755"/>
      <c r="M29" s="755"/>
      <c r="N29" s="755"/>
      <c r="O29" s="755"/>
      <c r="P29" s="755"/>
      <c r="Q29" s="755"/>
      <c r="R29" s="755"/>
      <c r="S29" s="755"/>
      <c r="T29" s="755"/>
      <c r="U29" s="661"/>
      <c r="V29" s="661"/>
      <c r="W29" s="661"/>
      <c r="X29" s="661"/>
      <c r="Y29" s="661"/>
      <c r="Z29" s="661"/>
      <c r="AA29" s="661"/>
      <c r="AB29" s="661"/>
      <c r="AC29" s="661"/>
      <c r="AD29" s="661"/>
      <c r="AE29" s="661"/>
      <c r="AF29" s="661"/>
      <c r="AG29" s="661"/>
      <c r="AH29" s="661"/>
      <c r="AI29" s="661"/>
      <c r="AJ29" s="661"/>
      <c r="AK29" s="661"/>
      <c r="AL29" s="661"/>
      <c r="AM29" s="661"/>
      <c r="AN29" s="661"/>
      <c r="AO29" s="661"/>
      <c r="AP29" s="661"/>
      <c r="AQ29" s="661"/>
      <c r="AR29" s="661"/>
      <c r="AS29" s="661"/>
      <c r="AT29" s="661"/>
      <c r="AU29" s="661"/>
      <c r="AV29" s="661"/>
      <c r="AW29" s="661"/>
      <c r="AX29" s="661"/>
      <c r="AY29" s="661"/>
      <c r="AZ29" s="661"/>
      <c r="BA29" s="661"/>
      <c r="BB29" s="661"/>
      <c r="BC29" s="661"/>
      <c r="BD29" s="661"/>
      <c r="BE29" s="661"/>
    </row>
    <row r="30" spans="1:512" ht="15" customHeight="1">
      <c r="A30" s="969"/>
      <c r="B30" s="969" t="s">
        <v>2209</v>
      </c>
      <c r="C30" s="969"/>
      <c r="D30" s="969"/>
      <c r="E30" s="969" t="s">
        <v>350</v>
      </c>
      <c r="F30" s="969"/>
      <c r="G30" s="756">
        <v>30</v>
      </c>
      <c r="H30" s="1027">
        <v>22</v>
      </c>
      <c r="I30" s="756"/>
      <c r="J30" s="756"/>
      <c r="K30" s="756"/>
      <c r="L30" s="756"/>
      <c r="M30" s="756"/>
      <c r="N30" s="756"/>
      <c r="O30" s="756"/>
      <c r="P30" s="756"/>
      <c r="Q30" s="756"/>
      <c r="R30" s="756"/>
      <c r="S30" s="756"/>
      <c r="T30" s="756"/>
      <c r="U30" s="756"/>
      <c r="V30" s="756"/>
      <c r="W30" s="756"/>
      <c r="X30" s="756"/>
      <c r="Y30" s="756"/>
      <c r="Z30" s="756"/>
      <c r="AA30" s="756"/>
      <c r="AB30" s="756"/>
      <c r="AC30" s="756"/>
      <c r="AD30" s="756"/>
      <c r="AE30" s="756"/>
      <c r="AF30" s="756"/>
      <c r="AG30" s="756"/>
      <c r="AH30" s="756"/>
      <c r="AI30" s="756"/>
      <c r="AJ30" s="756"/>
      <c r="AK30" s="756"/>
      <c r="AL30" s="756"/>
      <c r="AM30" s="756"/>
      <c r="AN30" s="756"/>
      <c r="AO30" s="756"/>
      <c r="AP30" s="756"/>
      <c r="AQ30" s="756"/>
      <c r="AR30" s="756"/>
      <c r="AS30" s="756"/>
      <c r="AT30" s="756"/>
      <c r="AU30" s="756"/>
      <c r="AV30" s="756"/>
      <c r="AW30" s="756"/>
      <c r="AX30" s="756"/>
      <c r="AY30" s="756"/>
      <c r="AZ30" s="756"/>
      <c r="BA30" s="756"/>
      <c r="BB30" s="756"/>
      <c r="BC30" s="756"/>
      <c r="BD30" s="756"/>
      <c r="BE30" s="756"/>
      <c r="BF30" s="756"/>
      <c r="BG30" s="756"/>
      <c r="BH30" s="756"/>
      <c r="BI30" s="756"/>
      <c r="BJ30" s="756"/>
      <c r="BK30" s="756"/>
      <c r="BL30" s="756"/>
      <c r="BM30" s="756"/>
      <c r="BN30" s="756"/>
      <c r="BO30" s="756"/>
      <c r="BP30" s="756"/>
      <c r="BQ30" s="756"/>
      <c r="BR30" s="756"/>
      <c r="BS30" s="756"/>
      <c r="BT30" s="756"/>
      <c r="BU30" s="756"/>
      <c r="BV30" s="756"/>
      <c r="BW30" s="756"/>
      <c r="BX30" s="756"/>
      <c r="BY30" s="756"/>
      <c r="BZ30" s="756"/>
      <c r="CA30" s="756"/>
      <c r="CB30" s="756"/>
      <c r="CC30" s="756"/>
      <c r="CD30" s="756"/>
      <c r="CE30" s="756"/>
      <c r="CF30" s="756"/>
      <c r="CG30" s="756"/>
      <c r="CH30" s="756"/>
      <c r="CI30" s="756"/>
      <c r="CJ30" s="756"/>
      <c r="CK30" s="756"/>
      <c r="CL30" s="756"/>
      <c r="CM30" s="756"/>
      <c r="CN30" s="756"/>
      <c r="CO30" s="756"/>
      <c r="CP30" s="756"/>
      <c r="CQ30" s="756"/>
      <c r="CR30" s="756"/>
      <c r="CS30" s="756"/>
      <c r="CT30" s="756"/>
      <c r="CU30" s="756"/>
      <c r="CV30" s="756"/>
      <c r="CW30" s="756"/>
      <c r="CX30" s="756"/>
      <c r="CY30" s="756"/>
      <c r="CZ30" s="756"/>
      <c r="DA30" s="756"/>
      <c r="DB30" s="756"/>
      <c r="DC30" s="756"/>
      <c r="DD30" s="756"/>
      <c r="DE30" s="756"/>
      <c r="DF30" s="756"/>
      <c r="DG30" s="756"/>
      <c r="DH30" s="756"/>
      <c r="DI30" s="756"/>
      <c r="DJ30" s="756"/>
      <c r="DK30" s="756"/>
      <c r="DL30" s="756"/>
      <c r="DM30" s="756"/>
      <c r="DN30" s="756"/>
      <c r="DO30" s="756"/>
      <c r="DP30" s="756"/>
      <c r="DQ30" s="756"/>
      <c r="DR30" s="756"/>
      <c r="DS30" s="756"/>
      <c r="DT30" s="756"/>
      <c r="DU30" s="756"/>
      <c r="DV30" s="756"/>
      <c r="DW30" s="756"/>
      <c r="DX30" s="756"/>
      <c r="DY30" s="756"/>
      <c r="DZ30" s="756"/>
      <c r="EA30" s="756"/>
      <c r="EB30" s="756"/>
      <c r="EC30" s="756"/>
      <c r="ED30" s="756"/>
      <c r="EE30" s="756"/>
      <c r="EF30" s="756"/>
      <c r="EG30" s="756"/>
      <c r="EH30" s="756"/>
      <c r="EI30" s="756"/>
      <c r="EJ30" s="756"/>
      <c r="EK30" s="756"/>
      <c r="EL30" s="756"/>
      <c r="EM30" s="756"/>
      <c r="EN30" s="756"/>
      <c r="EO30" s="756"/>
      <c r="EP30" s="756"/>
      <c r="EQ30" s="756"/>
      <c r="ER30" s="756"/>
      <c r="ES30" s="756"/>
      <c r="ET30" s="756"/>
      <c r="EU30" s="756"/>
      <c r="EV30" s="756"/>
      <c r="EW30" s="756"/>
      <c r="EX30" s="756"/>
      <c r="EY30" s="756"/>
      <c r="EZ30" s="756"/>
      <c r="FA30" s="756"/>
      <c r="FB30" s="756"/>
      <c r="FC30" s="756"/>
      <c r="FD30" s="756"/>
      <c r="FE30" s="756"/>
      <c r="FF30" s="756"/>
      <c r="FG30" s="756"/>
      <c r="FH30" s="756"/>
      <c r="FI30" s="756"/>
      <c r="FJ30" s="756"/>
      <c r="FK30" s="756"/>
      <c r="FL30" s="756"/>
      <c r="FM30" s="756"/>
      <c r="FN30" s="756"/>
      <c r="FO30" s="756"/>
      <c r="FP30" s="756"/>
      <c r="FQ30" s="756"/>
      <c r="FR30" s="756"/>
      <c r="FS30" s="756"/>
      <c r="FT30" s="756"/>
      <c r="FU30" s="756"/>
      <c r="FV30" s="756"/>
      <c r="FW30" s="756"/>
      <c r="FX30" s="756"/>
      <c r="FY30" s="756"/>
      <c r="FZ30" s="756"/>
      <c r="GA30" s="756"/>
      <c r="GB30" s="756"/>
      <c r="GC30" s="756"/>
      <c r="GD30" s="756"/>
      <c r="GE30" s="756"/>
      <c r="GF30" s="756"/>
      <c r="GG30" s="756"/>
      <c r="GH30" s="756"/>
      <c r="GI30" s="756"/>
      <c r="GJ30" s="756"/>
      <c r="GK30" s="756"/>
      <c r="GL30" s="756"/>
      <c r="GM30" s="756"/>
      <c r="GN30" s="756"/>
      <c r="GO30" s="756"/>
      <c r="GP30" s="756"/>
      <c r="GQ30" s="756"/>
      <c r="GR30" s="756"/>
      <c r="GS30" s="756"/>
      <c r="GT30" s="756"/>
      <c r="GU30" s="756"/>
      <c r="GV30" s="756"/>
      <c r="GW30" s="756"/>
      <c r="GX30" s="756"/>
      <c r="GY30" s="756"/>
      <c r="GZ30" s="756"/>
      <c r="HA30" s="756"/>
      <c r="HB30" s="756"/>
      <c r="HC30" s="756"/>
      <c r="HD30" s="756"/>
      <c r="HE30" s="756"/>
      <c r="HF30" s="756"/>
      <c r="HG30" s="756"/>
      <c r="HH30" s="756"/>
      <c r="HI30" s="756"/>
      <c r="HJ30" s="756"/>
      <c r="HK30" s="756"/>
      <c r="HL30" s="756"/>
      <c r="HM30" s="756"/>
      <c r="HN30" s="756"/>
      <c r="HO30" s="756"/>
      <c r="HP30" s="756"/>
      <c r="HQ30" s="756"/>
      <c r="HR30" s="756"/>
      <c r="HS30" s="756"/>
      <c r="HT30" s="756"/>
      <c r="HU30" s="756"/>
      <c r="HV30" s="756"/>
      <c r="HW30" s="756"/>
      <c r="HX30" s="756"/>
      <c r="HY30" s="756"/>
      <c r="HZ30" s="756"/>
      <c r="IA30" s="756"/>
      <c r="IB30" s="756"/>
      <c r="IC30" s="756"/>
      <c r="ID30" s="756"/>
      <c r="IE30" s="756"/>
      <c r="IF30" s="756"/>
      <c r="IG30" s="756"/>
      <c r="IH30" s="756"/>
      <c r="II30" s="756"/>
      <c r="IJ30" s="756"/>
      <c r="IK30" s="756"/>
      <c r="IL30" s="756"/>
      <c r="IM30" s="756"/>
      <c r="IN30" s="756"/>
      <c r="IO30" s="756"/>
      <c r="IP30" s="756"/>
      <c r="IQ30" s="756"/>
      <c r="IR30" s="756"/>
      <c r="IS30" s="756"/>
      <c r="IT30" s="756"/>
      <c r="IU30" s="756"/>
      <c r="IV30" s="756"/>
      <c r="IW30" s="756"/>
      <c r="IX30" s="756"/>
      <c r="IY30" s="756"/>
      <c r="IZ30" s="756"/>
      <c r="JA30" s="756"/>
      <c r="JB30" s="756"/>
      <c r="JC30" s="756"/>
      <c r="JD30" s="756"/>
      <c r="JE30" s="756"/>
      <c r="JF30" s="756"/>
      <c r="JG30" s="756"/>
      <c r="JH30" s="756"/>
      <c r="JI30" s="756"/>
      <c r="JJ30" s="756"/>
      <c r="JK30" s="756"/>
      <c r="JL30" s="756"/>
      <c r="JM30" s="756"/>
      <c r="JN30" s="756"/>
      <c r="JO30" s="756"/>
      <c r="JP30" s="756"/>
      <c r="JQ30" s="756"/>
      <c r="JR30" s="756"/>
      <c r="JS30" s="756"/>
      <c r="JT30" s="756"/>
      <c r="JU30" s="756"/>
      <c r="JV30" s="756"/>
      <c r="JW30" s="756"/>
      <c r="JX30" s="756"/>
      <c r="JY30" s="756"/>
      <c r="JZ30" s="756"/>
      <c r="KA30" s="756"/>
      <c r="KB30" s="756"/>
      <c r="KC30" s="756"/>
      <c r="KD30" s="756"/>
      <c r="KE30" s="756"/>
      <c r="KF30" s="756"/>
      <c r="KG30" s="756"/>
      <c r="KH30" s="756"/>
      <c r="KI30" s="756"/>
      <c r="KJ30" s="756"/>
      <c r="KK30" s="756"/>
      <c r="KL30" s="756"/>
      <c r="KM30" s="756"/>
      <c r="KN30" s="756"/>
      <c r="KO30" s="756"/>
      <c r="KP30" s="756"/>
      <c r="KQ30" s="756"/>
      <c r="KR30" s="756"/>
      <c r="KS30" s="756"/>
      <c r="KT30" s="756"/>
      <c r="KU30" s="756"/>
      <c r="KV30" s="756"/>
      <c r="KW30" s="756"/>
      <c r="KX30" s="756"/>
      <c r="KY30" s="756"/>
      <c r="KZ30" s="756"/>
      <c r="LA30" s="756"/>
      <c r="LB30" s="756"/>
      <c r="LC30" s="756"/>
      <c r="LD30" s="756"/>
      <c r="LE30" s="756"/>
      <c r="LF30" s="756"/>
      <c r="LG30" s="756"/>
      <c r="LH30" s="756"/>
      <c r="LI30" s="756"/>
      <c r="LJ30" s="756"/>
      <c r="LK30" s="756"/>
      <c r="LL30" s="756"/>
      <c r="LM30" s="756"/>
      <c r="LN30" s="756"/>
      <c r="LO30" s="756"/>
      <c r="LP30" s="756"/>
      <c r="LQ30" s="756"/>
      <c r="LR30" s="756"/>
      <c r="LS30" s="756"/>
      <c r="LT30" s="756"/>
      <c r="LU30" s="756"/>
      <c r="LV30" s="756"/>
      <c r="LW30" s="756"/>
      <c r="LX30" s="756"/>
      <c r="LY30" s="756"/>
      <c r="LZ30" s="756"/>
      <c r="MA30" s="756"/>
      <c r="MB30" s="756"/>
      <c r="MC30" s="756"/>
      <c r="MD30" s="756"/>
      <c r="ME30" s="756"/>
      <c r="MF30" s="756"/>
      <c r="MG30" s="756"/>
      <c r="MH30" s="756"/>
      <c r="MI30" s="756"/>
      <c r="MJ30" s="756"/>
      <c r="MK30" s="756"/>
      <c r="ML30" s="756"/>
      <c r="MM30" s="756"/>
      <c r="MN30" s="756"/>
      <c r="MO30" s="756"/>
      <c r="MP30" s="756"/>
      <c r="MQ30" s="756"/>
      <c r="MR30" s="756"/>
      <c r="MS30" s="756"/>
      <c r="MT30" s="756"/>
      <c r="MU30" s="756"/>
      <c r="MV30" s="756"/>
      <c r="MW30" s="756"/>
      <c r="MX30" s="756"/>
      <c r="MY30" s="756"/>
      <c r="MZ30" s="756"/>
      <c r="NA30" s="756"/>
      <c r="NB30" s="756"/>
      <c r="NC30" s="756"/>
      <c r="ND30" s="756"/>
      <c r="NE30" s="756"/>
      <c r="NF30" s="756"/>
      <c r="NG30" s="756"/>
      <c r="NH30" s="756"/>
      <c r="NI30" s="756"/>
      <c r="NJ30" s="756"/>
      <c r="NK30" s="756"/>
      <c r="NL30" s="756"/>
      <c r="NM30" s="756"/>
      <c r="NN30" s="756"/>
      <c r="NO30" s="756"/>
      <c r="NP30" s="756"/>
      <c r="NQ30" s="756"/>
      <c r="NR30" s="756"/>
      <c r="NS30" s="756"/>
      <c r="NT30" s="756"/>
      <c r="NU30" s="756"/>
      <c r="NV30" s="756"/>
      <c r="NW30" s="756"/>
      <c r="NX30" s="756"/>
      <c r="NY30" s="756"/>
      <c r="NZ30" s="756"/>
      <c r="OA30" s="756"/>
      <c r="OB30" s="756"/>
      <c r="OC30" s="756"/>
      <c r="OD30" s="756"/>
      <c r="OE30" s="756"/>
      <c r="OF30" s="756"/>
      <c r="OG30" s="756"/>
      <c r="OH30" s="756"/>
      <c r="OI30" s="756"/>
      <c r="OJ30" s="756"/>
      <c r="OK30" s="756"/>
      <c r="OL30" s="756"/>
      <c r="OM30" s="756"/>
      <c r="ON30" s="756"/>
      <c r="OO30" s="756"/>
      <c r="OP30" s="756"/>
      <c r="OQ30" s="756"/>
      <c r="OR30" s="756"/>
      <c r="OS30" s="756"/>
      <c r="OT30" s="756"/>
      <c r="OU30" s="756"/>
      <c r="OV30" s="756"/>
      <c r="OW30" s="756"/>
      <c r="OX30" s="756"/>
      <c r="OY30" s="756"/>
      <c r="OZ30" s="756"/>
      <c r="PA30" s="756"/>
      <c r="PB30" s="756"/>
      <c r="PC30" s="756"/>
      <c r="PD30" s="756"/>
      <c r="PE30" s="756"/>
      <c r="PF30" s="756"/>
      <c r="PG30" s="756"/>
      <c r="PH30" s="756"/>
      <c r="PI30" s="756"/>
      <c r="PJ30" s="756"/>
      <c r="PK30" s="756"/>
      <c r="PL30" s="756"/>
      <c r="PM30" s="756"/>
      <c r="PN30" s="756"/>
      <c r="PO30" s="756"/>
      <c r="PP30" s="756"/>
      <c r="PQ30" s="756"/>
      <c r="PR30" s="756"/>
      <c r="PS30" s="756"/>
      <c r="PT30" s="756"/>
      <c r="PU30" s="756"/>
      <c r="PV30" s="756"/>
      <c r="PW30" s="756"/>
      <c r="PX30" s="756"/>
      <c r="PY30" s="756"/>
      <c r="PZ30" s="756"/>
      <c r="QA30" s="756"/>
      <c r="QB30" s="756"/>
      <c r="QC30" s="756"/>
      <c r="QD30" s="756"/>
      <c r="QE30" s="756"/>
      <c r="QF30" s="756"/>
      <c r="QG30" s="756"/>
      <c r="QH30" s="756"/>
      <c r="QI30" s="756"/>
      <c r="QJ30" s="756"/>
      <c r="QK30" s="756"/>
      <c r="QL30" s="756"/>
      <c r="QM30" s="756"/>
      <c r="QN30" s="756"/>
      <c r="QO30" s="756"/>
      <c r="QP30" s="756"/>
      <c r="QQ30" s="756"/>
      <c r="QR30" s="756"/>
      <c r="QS30" s="756"/>
      <c r="QT30" s="756"/>
      <c r="QU30" s="756"/>
      <c r="QV30" s="756"/>
      <c r="QW30" s="756"/>
      <c r="QX30" s="756"/>
      <c r="QY30" s="756"/>
      <c r="QZ30" s="756"/>
      <c r="RA30" s="756"/>
      <c r="RB30" s="756"/>
      <c r="RC30" s="756"/>
      <c r="RD30" s="756"/>
      <c r="RE30" s="756"/>
      <c r="RF30" s="756"/>
      <c r="RG30" s="756"/>
      <c r="RH30" s="756"/>
      <c r="RI30" s="756"/>
      <c r="RJ30" s="756"/>
      <c r="RK30" s="756"/>
      <c r="RL30" s="756"/>
      <c r="RM30" s="756"/>
      <c r="RN30" s="756"/>
      <c r="RO30" s="756"/>
      <c r="RP30" s="756"/>
      <c r="RQ30" s="756"/>
      <c r="RR30" s="756"/>
      <c r="RS30" s="756"/>
      <c r="RT30" s="756"/>
      <c r="RU30" s="756"/>
      <c r="RV30" s="756"/>
      <c r="RW30" s="756"/>
      <c r="RX30" s="756"/>
      <c r="RY30" s="756"/>
      <c r="RZ30" s="756"/>
      <c r="SA30" s="756"/>
      <c r="SB30" s="756"/>
      <c r="SC30" s="756"/>
      <c r="SD30" s="756"/>
      <c r="SE30" s="756"/>
      <c r="SF30" s="756"/>
      <c r="SG30" s="756"/>
      <c r="SH30" s="756"/>
      <c r="SI30" s="756"/>
      <c r="SJ30" s="756"/>
      <c r="SK30" s="756"/>
      <c r="SL30" s="756"/>
      <c r="SM30" s="756"/>
      <c r="SN30" s="756"/>
      <c r="SO30" s="756"/>
      <c r="SP30" s="756"/>
      <c r="SQ30" s="756"/>
      <c r="SR30" s="756"/>
    </row>
    <row r="31" spans="1:512" ht="15" customHeight="1">
      <c r="A31" s="969"/>
      <c r="B31" s="969" t="s">
        <v>2210</v>
      </c>
      <c r="C31" s="969"/>
      <c r="D31" s="969"/>
      <c r="E31" s="969"/>
      <c r="F31" s="969"/>
      <c r="G31" s="757"/>
      <c r="H31" s="1027"/>
      <c r="I31" s="757"/>
      <c r="J31" s="757"/>
      <c r="K31" s="757"/>
      <c r="L31" s="757"/>
      <c r="M31" s="757"/>
      <c r="N31" s="757"/>
      <c r="O31" s="757"/>
      <c r="P31" s="757"/>
      <c r="Q31" s="757"/>
      <c r="R31" s="757"/>
      <c r="S31" s="757"/>
      <c r="T31" s="757"/>
      <c r="U31" s="758"/>
      <c r="V31" s="758"/>
      <c r="W31" s="758"/>
      <c r="X31" s="758"/>
      <c r="Y31" s="758"/>
      <c r="Z31" s="758"/>
      <c r="AA31" s="758"/>
      <c r="AB31" s="758"/>
      <c r="AC31" s="758"/>
      <c r="AD31" s="758"/>
      <c r="AE31" s="758"/>
      <c r="AF31" s="758"/>
      <c r="AG31" s="758"/>
      <c r="AH31" s="758"/>
      <c r="AI31" s="758"/>
      <c r="AJ31" s="758"/>
      <c r="AK31" s="758"/>
      <c r="AL31" s="758"/>
      <c r="AM31" s="758"/>
      <c r="AN31" s="758"/>
      <c r="AO31" s="758"/>
      <c r="AP31" s="758"/>
      <c r="AQ31" s="758"/>
      <c r="AR31" s="758"/>
      <c r="AS31" s="758"/>
      <c r="AT31" s="758"/>
      <c r="AU31" s="758"/>
      <c r="AV31" s="758"/>
      <c r="AW31" s="758"/>
      <c r="AX31" s="758"/>
      <c r="AY31" s="758"/>
      <c r="AZ31" s="758"/>
      <c r="BA31" s="758"/>
      <c r="BB31" s="758"/>
      <c r="BC31" s="758"/>
      <c r="BD31" s="758"/>
      <c r="BE31" s="758"/>
    </row>
    <row r="32" spans="1:512" ht="15" customHeight="1">
      <c r="A32" s="969"/>
      <c r="B32" s="969"/>
      <c r="C32" s="969"/>
      <c r="D32" s="969" t="s">
        <v>216</v>
      </c>
      <c r="E32" s="969" t="s">
        <v>210</v>
      </c>
      <c r="F32" s="969"/>
      <c r="G32" s="839">
        <v>2</v>
      </c>
      <c r="H32" s="1028"/>
      <c r="I32" s="839"/>
      <c r="J32" s="839"/>
      <c r="K32" s="839"/>
      <c r="L32" s="839"/>
      <c r="M32" s="839"/>
      <c r="N32" s="839"/>
      <c r="O32" s="839"/>
      <c r="P32" s="839"/>
      <c r="Q32" s="839"/>
      <c r="R32" s="839"/>
      <c r="S32" s="839"/>
      <c r="T32" s="839"/>
      <c r="U32" s="756"/>
      <c r="V32" s="756"/>
      <c r="W32" s="756"/>
      <c r="X32" s="756"/>
      <c r="Y32" s="756"/>
      <c r="Z32" s="756"/>
      <c r="AA32" s="756"/>
      <c r="AB32" s="756"/>
      <c r="AC32" s="756"/>
      <c r="AD32" s="756"/>
      <c r="AE32" s="756"/>
      <c r="AF32" s="756"/>
      <c r="AG32" s="756"/>
      <c r="AH32" s="756"/>
      <c r="AI32" s="756"/>
      <c r="AJ32" s="756"/>
      <c r="AK32" s="756"/>
      <c r="AL32" s="756"/>
      <c r="AM32" s="756"/>
      <c r="AN32" s="756"/>
      <c r="AO32" s="756"/>
      <c r="AP32" s="756"/>
      <c r="AQ32" s="756"/>
      <c r="AR32" s="756"/>
      <c r="AS32" s="756"/>
      <c r="AT32" s="756"/>
      <c r="AU32" s="756"/>
      <c r="AV32" s="756"/>
      <c r="AW32" s="756"/>
      <c r="AX32" s="756"/>
      <c r="AY32" s="756"/>
      <c r="AZ32" s="756"/>
      <c r="BA32" s="756"/>
      <c r="BB32" s="756"/>
      <c r="BC32" s="756"/>
      <c r="BD32" s="756"/>
      <c r="BE32" s="756"/>
      <c r="BF32" s="756"/>
      <c r="BG32" s="756"/>
      <c r="BH32" s="756"/>
      <c r="BI32" s="756"/>
      <c r="BJ32" s="756"/>
      <c r="BK32" s="756"/>
      <c r="BL32" s="756"/>
      <c r="BM32" s="756"/>
      <c r="BN32" s="756"/>
      <c r="BO32" s="756"/>
      <c r="BP32" s="756"/>
      <c r="BQ32" s="756"/>
      <c r="BR32" s="756"/>
      <c r="BS32" s="756"/>
      <c r="BT32" s="756"/>
      <c r="BU32" s="756"/>
      <c r="BV32" s="756"/>
      <c r="BW32" s="756"/>
      <c r="BX32" s="756"/>
      <c r="BY32" s="756"/>
      <c r="BZ32" s="756"/>
      <c r="CA32" s="756"/>
      <c r="CB32" s="756"/>
      <c r="CC32" s="756"/>
      <c r="CD32" s="756"/>
      <c r="CE32" s="756"/>
      <c r="CF32" s="756"/>
      <c r="CG32" s="756"/>
      <c r="CH32" s="756"/>
      <c r="CI32" s="756"/>
      <c r="CJ32" s="756"/>
      <c r="CK32" s="756"/>
      <c r="CL32" s="756"/>
      <c r="CM32" s="756"/>
      <c r="CN32" s="756"/>
      <c r="CO32" s="756"/>
      <c r="CP32" s="756"/>
      <c r="CQ32" s="756"/>
      <c r="CR32" s="756"/>
      <c r="CS32" s="756"/>
      <c r="CT32" s="756"/>
      <c r="CU32" s="756"/>
      <c r="CV32" s="756"/>
      <c r="CW32" s="756"/>
      <c r="CX32" s="756"/>
      <c r="CY32" s="756"/>
      <c r="CZ32" s="756"/>
      <c r="DA32" s="756"/>
      <c r="DB32" s="756"/>
      <c r="DC32" s="756"/>
      <c r="DD32" s="756"/>
      <c r="DE32" s="756"/>
      <c r="DF32" s="756"/>
      <c r="DG32" s="756"/>
      <c r="DH32" s="756"/>
      <c r="DI32" s="756"/>
      <c r="DJ32" s="756"/>
      <c r="DK32" s="756"/>
      <c r="DL32" s="756"/>
      <c r="DM32" s="756"/>
      <c r="DN32" s="756"/>
      <c r="DO32" s="756"/>
      <c r="DP32" s="756"/>
      <c r="DQ32" s="756"/>
      <c r="DR32" s="756"/>
      <c r="DS32" s="756"/>
      <c r="DT32" s="756"/>
      <c r="DU32" s="756"/>
      <c r="DV32" s="756"/>
      <c r="DW32" s="756"/>
      <c r="DX32" s="756"/>
      <c r="DY32" s="756"/>
      <c r="DZ32" s="756"/>
      <c r="EA32" s="756"/>
      <c r="EB32" s="756"/>
      <c r="EC32" s="756"/>
      <c r="ED32" s="756"/>
      <c r="EE32" s="756"/>
      <c r="EF32" s="756"/>
      <c r="EG32" s="756"/>
      <c r="EH32" s="756"/>
      <c r="EI32" s="756"/>
      <c r="EJ32" s="756"/>
      <c r="EK32" s="756"/>
      <c r="EL32" s="756"/>
      <c r="EM32" s="756"/>
      <c r="EN32" s="756"/>
      <c r="EO32" s="756"/>
      <c r="EP32" s="756"/>
      <c r="EQ32" s="756"/>
      <c r="ER32" s="756"/>
      <c r="ES32" s="756"/>
      <c r="ET32" s="756"/>
      <c r="EU32" s="756"/>
      <c r="EV32" s="756"/>
      <c r="EW32" s="756"/>
      <c r="EX32" s="756"/>
      <c r="EY32" s="756"/>
      <c r="EZ32" s="756"/>
      <c r="FA32" s="756"/>
      <c r="FB32" s="756"/>
      <c r="FC32" s="756"/>
      <c r="FD32" s="756"/>
      <c r="FE32" s="756"/>
      <c r="FF32" s="756"/>
      <c r="FG32" s="756"/>
      <c r="FH32" s="756"/>
      <c r="FI32" s="756"/>
      <c r="FJ32" s="756"/>
      <c r="FK32" s="756"/>
      <c r="FL32" s="756"/>
      <c r="FM32" s="756"/>
      <c r="FN32" s="756"/>
      <c r="FO32" s="756"/>
      <c r="FP32" s="756"/>
      <c r="FQ32" s="756"/>
      <c r="FR32" s="756"/>
      <c r="FS32" s="756"/>
      <c r="FT32" s="756"/>
      <c r="FU32" s="756"/>
      <c r="FV32" s="756"/>
      <c r="FW32" s="756"/>
      <c r="FX32" s="756"/>
      <c r="FY32" s="756"/>
      <c r="FZ32" s="756"/>
      <c r="GA32" s="756"/>
      <c r="GB32" s="756"/>
      <c r="GC32" s="756"/>
      <c r="GD32" s="756"/>
      <c r="GE32" s="756"/>
      <c r="GF32" s="756"/>
      <c r="GG32" s="756"/>
      <c r="GH32" s="756"/>
      <c r="GI32" s="756"/>
      <c r="GJ32" s="756"/>
      <c r="GK32" s="756"/>
      <c r="GL32" s="756"/>
      <c r="GM32" s="756"/>
      <c r="GN32" s="756"/>
      <c r="GO32" s="756"/>
      <c r="GP32" s="756"/>
      <c r="GQ32" s="756"/>
      <c r="GR32" s="756"/>
      <c r="GS32" s="756"/>
      <c r="GT32" s="756"/>
      <c r="GU32" s="756"/>
      <c r="GV32" s="756"/>
      <c r="GW32" s="756"/>
      <c r="GX32" s="756"/>
      <c r="GY32" s="756"/>
      <c r="GZ32" s="756"/>
      <c r="HA32" s="756"/>
      <c r="HB32" s="756"/>
      <c r="HC32" s="756"/>
      <c r="HD32" s="756"/>
      <c r="HE32" s="756"/>
      <c r="HF32" s="756"/>
      <c r="HG32" s="756"/>
      <c r="HH32" s="756"/>
      <c r="HI32" s="756"/>
      <c r="HJ32" s="756"/>
      <c r="HK32" s="756"/>
      <c r="HL32" s="756"/>
      <c r="HM32" s="756"/>
      <c r="HN32" s="756"/>
      <c r="HO32" s="756"/>
      <c r="HP32" s="756"/>
      <c r="HQ32" s="756"/>
      <c r="HR32" s="756"/>
      <c r="HS32" s="756"/>
      <c r="HT32" s="756"/>
      <c r="HU32" s="756"/>
      <c r="HV32" s="756"/>
      <c r="HW32" s="756"/>
      <c r="HX32" s="756"/>
      <c r="HY32" s="756"/>
      <c r="HZ32" s="756"/>
      <c r="IA32" s="756"/>
      <c r="IB32" s="756"/>
      <c r="IC32" s="756"/>
      <c r="ID32" s="756"/>
      <c r="IE32" s="756"/>
      <c r="IF32" s="756"/>
      <c r="IG32" s="756"/>
      <c r="IH32" s="756"/>
      <c r="II32" s="756"/>
      <c r="IJ32" s="756"/>
      <c r="IK32" s="756"/>
      <c r="IL32" s="756"/>
      <c r="IM32" s="756"/>
      <c r="IN32" s="756"/>
      <c r="IO32" s="756"/>
      <c r="IP32" s="756"/>
      <c r="IQ32" s="756"/>
      <c r="IR32" s="756"/>
      <c r="IS32" s="756"/>
      <c r="IT32" s="756"/>
      <c r="IU32" s="756"/>
      <c r="IV32" s="756"/>
      <c r="IW32" s="756"/>
      <c r="IX32" s="756"/>
      <c r="IY32" s="756"/>
      <c r="IZ32" s="756"/>
      <c r="JA32" s="756"/>
      <c r="JB32" s="756"/>
      <c r="JC32" s="756"/>
      <c r="JD32" s="756"/>
      <c r="JE32" s="756"/>
      <c r="JF32" s="756"/>
      <c r="JG32" s="756"/>
      <c r="JH32" s="756"/>
      <c r="JI32" s="756"/>
      <c r="JJ32" s="756"/>
      <c r="JK32" s="756"/>
      <c r="JL32" s="756"/>
      <c r="JM32" s="756"/>
      <c r="JN32" s="756"/>
      <c r="JO32" s="756"/>
      <c r="JP32" s="756"/>
      <c r="JQ32" s="756"/>
      <c r="JR32" s="756"/>
      <c r="JS32" s="756"/>
      <c r="JT32" s="756"/>
      <c r="JU32" s="756"/>
      <c r="JV32" s="756"/>
      <c r="JW32" s="756"/>
      <c r="JX32" s="756"/>
      <c r="JY32" s="756"/>
      <c r="JZ32" s="756"/>
      <c r="KA32" s="756"/>
      <c r="KB32" s="756"/>
      <c r="KC32" s="756"/>
      <c r="KD32" s="756"/>
      <c r="KE32" s="756"/>
      <c r="KF32" s="756"/>
      <c r="KG32" s="756"/>
      <c r="KH32" s="756"/>
      <c r="KI32" s="756"/>
      <c r="KJ32" s="756"/>
      <c r="KK32" s="756"/>
      <c r="KL32" s="756"/>
      <c r="KM32" s="756"/>
      <c r="KN32" s="756"/>
      <c r="KO32" s="756"/>
      <c r="KP32" s="756"/>
      <c r="KQ32" s="756"/>
      <c r="KR32" s="756"/>
      <c r="KS32" s="756"/>
      <c r="KT32" s="756"/>
      <c r="KU32" s="756"/>
      <c r="KV32" s="756"/>
      <c r="KW32" s="756"/>
      <c r="KX32" s="756"/>
      <c r="KY32" s="756"/>
      <c r="KZ32" s="756"/>
      <c r="LA32" s="756"/>
      <c r="LB32" s="756"/>
      <c r="LC32" s="756"/>
      <c r="LD32" s="756"/>
      <c r="LE32" s="756"/>
      <c r="LF32" s="756"/>
      <c r="LG32" s="756"/>
      <c r="LH32" s="756"/>
      <c r="LI32" s="756"/>
      <c r="LJ32" s="756"/>
      <c r="LK32" s="756"/>
      <c r="LL32" s="756"/>
      <c r="LM32" s="756"/>
      <c r="LN32" s="756"/>
      <c r="LO32" s="756"/>
      <c r="LP32" s="756"/>
      <c r="LQ32" s="756"/>
      <c r="LR32" s="756"/>
      <c r="LS32" s="756"/>
      <c r="LT32" s="756"/>
      <c r="LU32" s="756"/>
      <c r="LV32" s="756"/>
      <c r="LW32" s="756"/>
      <c r="LX32" s="756"/>
      <c r="LY32" s="756"/>
      <c r="LZ32" s="756"/>
      <c r="MA32" s="756"/>
      <c r="MB32" s="756"/>
      <c r="MC32" s="756"/>
      <c r="MD32" s="756"/>
      <c r="ME32" s="756"/>
      <c r="MF32" s="756"/>
      <c r="MG32" s="756"/>
      <c r="MH32" s="756"/>
      <c r="MI32" s="756"/>
      <c r="MJ32" s="756"/>
      <c r="MK32" s="756"/>
      <c r="ML32" s="756"/>
      <c r="MM32" s="756"/>
      <c r="MN32" s="756"/>
      <c r="MO32" s="756"/>
      <c r="MP32" s="756"/>
      <c r="MQ32" s="756"/>
      <c r="MR32" s="756"/>
      <c r="MS32" s="756"/>
      <c r="MT32" s="756"/>
      <c r="MU32" s="756"/>
      <c r="MV32" s="756"/>
      <c r="MW32" s="756"/>
      <c r="MX32" s="756"/>
      <c r="MY32" s="756"/>
      <c r="MZ32" s="756"/>
      <c r="NA32" s="756"/>
      <c r="NB32" s="756"/>
      <c r="NC32" s="756"/>
      <c r="ND32" s="756"/>
      <c r="NE32" s="756"/>
      <c r="NF32" s="756"/>
      <c r="NG32" s="756"/>
      <c r="NH32" s="756"/>
      <c r="NI32" s="756"/>
      <c r="NJ32" s="756"/>
      <c r="NK32" s="756"/>
      <c r="NL32" s="756"/>
      <c r="NM32" s="756"/>
      <c r="NN32" s="756"/>
      <c r="NO32" s="756"/>
      <c r="NP32" s="756"/>
      <c r="NQ32" s="756"/>
      <c r="NR32" s="756"/>
      <c r="NS32" s="756"/>
      <c r="NT32" s="756"/>
      <c r="NU32" s="756"/>
      <c r="NV32" s="756"/>
      <c r="NW32" s="756"/>
      <c r="NX32" s="756"/>
      <c r="NY32" s="756"/>
      <c r="NZ32" s="756"/>
      <c r="OA32" s="756"/>
      <c r="OB32" s="756"/>
      <c r="OC32" s="756"/>
      <c r="OD32" s="756"/>
      <c r="OE32" s="756"/>
      <c r="OF32" s="756"/>
      <c r="OG32" s="756"/>
      <c r="OH32" s="756"/>
      <c r="OI32" s="756"/>
      <c r="OJ32" s="756"/>
      <c r="OK32" s="756"/>
      <c r="OL32" s="756"/>
      <c r="OM32" s="756"/>
      <c r="ON32" s="756"/>
      <c r="OO32" s="756"/>
      <c r="OP32" s="756"/>
      <c r="OQ32" s="756"/>
      <c r="OR32" s="756"/>
      <c r="OS32" s="756"/>
      <c r="OT32" s="756"/>
      <c r="OU32" s="756"/>
      <c r="OV32" s="756"/>
      <c r="OW32" s="756"/>
      <c r="OX32" s="756"/>
      <c r="OY32" s="756"/>
      <c r="OZ32" s="756"/>
      <c r="PA32" s="756"/>
      <c r="PB32" s="756"/>
      <c r="PC32" s="756"/>
      <c r="PD32" s="756"/>
      <c r="PE32" s="756"/>
      <c r="PF32" s="756"/>
      <c r="PG32" s="756"/>
      <c r="PH32" s="756"/>
      <c r="PI32" s="756"/>
      <c r="PJ32" s="756"/>
      <c r="PK32" s="756"/>
      <c r="PL32" s="756"/>
      <c r="PM32" s="756"/>
      <c r="PN32" s="756"/>
      <c r="PO32" s="756"/>
      <c r="PP32" s="756"/>
      <c r="PQ32" s="756"/>
      <c r="PR32" s="756"/>
      <c r="PS32" s="756"/>
      <c r="PT32" s="756"/>
      <c r="PU32" s="756"/>
      <c r="PV32" s="756"/>
      <c r="PW32" s="756"/>
      <c r="PX32" s="756"/>
      <c r="PY32" s="756"/>
      <c r="PZ32" s="756"/>
      <c r="QA32" s="756"/>
      <c r="QB32" s="756"/>
      <c r="QC32" s="756"/>
      <c r="QD32" s="756"/>
      <c r="QE32" s="756"/>
      <c r="QF32" s="756"/>
      <c r="QG32" s="756"/>
      <c r="QH32" s="756"/>
      <c r="QI32" s="756"/>
      <c r="QJ32" s="756"/>
      <c r="QK32" s="756"/>
      <c r="QL32" s="756"/>
      <c r="QM32" s="756"/>
      <c r="QN32" s="756"/>
      <c r="QO32" s="756"/>
      <c r="QP32" s="756"/>
      <c r="QQ32" s="756"/>
      <c r="QR32" s="756"/>
      <c r="QS32" s="756"/>
      <c r="QT32" s="756"/>
      <c r="QU32" s="756"/>
      <c r="QV32" s="756"/>
      <c r="QW32" s="756"/>
      <c r="QX32" s="756"/>
      <c r="QY32" s="756"/>
      <c r="QZ32" s="756"/>
      <c r="RA32" s="756"/>
      <c r="RB32" s="756"/>
      <c r="RC32" s="756"/>
      <c r="RD32" s="756"/>
      <c r="RE32" s="756"/>
      <c r="RF32" s="756"/>
      <c r="RG32" s="756"/>
      <c r="RH32" s="756"/>
      <c r="RI32" s="756"/>
      <c r="RJ32" s="756"/>
      <c r="RK32" s="756"/>
      <c r="RL32" s="756"/>
      <c r="RM32" s="756"/>
      <c r="RN32" s="756"/>
      <c r="RO32" s="756"/>
      <c r="RP32" s="756"/>
      <c r="RQ32" s="756"/>
      <c r="RR32" s="756"/>
      <c r="RS32" s="756"/>
      <c r="RT32" s="756"/>
      <c r="RU32" s="756"/>
      <c r="RV32" s="756"/>
      <c r="RW32" s="756"/>
      <c r="RX32" s="756"/>
      <c r="RY32" s="756"/>
      <c r="RZ32" s="756"/>
      <c r="SA32" s="756"/>
      <c r="SB32" s="756"/>
      <c r="SC32" s="756"/>
      <c r="SD32" s="756"/>
      <c r="SE32" s="756"/>
      <c r="SF32" s="756"/>
      <c r="SG32" s="756"/>
      <c r="SH32" s="756"/>
      <c r="SI32" s="756"/>
      <c r="SJ32" s="756"/>
      <c r="SK32" s="756"/>
      <c r="SL32" s="756"/>
      <c r="SM32" s="756"/>
      <c r="SN32" s="756"/>
      <c r="SO32" s="756"/>
      <c r="SP32" s="756"/>
      <c r="SQ32" s="756"/>
      <c r="SR32" s="756"/>
    </row>
    <row r="33" spans="1:512" ht="15" customHeight="1">
      <c r="A33" s="969"/>
      <c r="B33" s="969"/>
      <c r="C33" s="969"/>
      <c r="D33" s="969" t="s">
        <v>215</v>
      </c>
      <c r="E33" s="969" t="s">
        <v>210</v>
      </c>
      <c r="F33" s="969"/>
      <c r="G33" s="839">
        <v>6</v>
      </c>
      <c r="H33" s="1028"/>
      <c r="I33" s="839"/>
      <c r="J33" s="839"/>
      <c r="K33" s="839"/>
      <c r="L33" s="839"/>
      <c r="M33" s="839"/>
      <c r="N33" s="839"/>
      <c r="O33" s="839"/>
      <c r="P33" s="839"/>
      <c r="Q33" s="839"/>
      <c r="R33" s="839"/>
      <c r="S33" s="839"/>
      <c r="T33" s="839"/>
      <c r="U33" s="756"/>
      <c r="V33" s="756"/>
      <c r="W33" s="756"/>
      <c r="X33" s="756"/>
      <c r="Y33" s="756"/>
      <c r="Z33" s="756"/>
      <c r="AA33" s="756"/>
      <c r="AB33" s="756"/>
      <c r="AC33" s="756"/>
      <c r="AD33" s="756"/>
      <c r="AE33" s="756"/>
      <c r="AF33" s="756"/>
      <c r="AG33" s="756"/>
      <c r="AH33" s="756"/>
      <c r="AI33" s="756"/>
      <c r="AJ33" s="756"/>
      <c r="AK33" s="756"/>
      <c r="AL33" s="756"/>
      <c r="AM33" s="756"/>
      <c r="AN33" s="756"/>
      <c r="AO33" s="756"/>
      <c r="AP33" s="756"/>
      <c r="AQ33" s="756"/>
      <c r="AR33" s="756"/>
      <c r="AS33" s="756"/>
      <c r="AT33" s="756"/>
      <c r="AU33" s="756"/>
      <c r="AV33" s="756"/>
      <c r="AW33" s="756"/>
      <c r="AX33" s="756"/>
      <c r="AY33" s="756"/>
      <c r="AZ33" s="756"/>
      <c r="BA33" s="756"/>
      <c r="BB33" s="756"/>
      <c r="BC33" s="756"/>
      <c r="BD33" s="756"/>
      <c r="BE33" s="756"/>
      <c r="BF33" s="756"/>
      <c r="BG33" s="756"/>
      <c r="BH33" s="756"/>
      <c r="BI33" s="756"/>
      <c r="BJ33" s="756"/>
      <c r="BK33" s="756"/>
      <c r="BL33" s="756"/>
      <c r="BM33" s="756"/>
      <c r="BN33" s="756"/>
      <c r="BO33" s="756"/>
      <c r="BP33" s="756"/>
      <c r="BQ33" s="756"/>
      <c r="BR33" s="756"/>
      <c r="BS33" s="756"/>
      <c r="BT33" s="756"/>
      <c r="BU33" s="756"/>
      <c r="BV33" s="756"/>
      <c r="BW33" s="756"/>
      <c r="BX33" s="756"/>
      <c r="BY33" s="756"/>
      <c r="BZ33" s="756"/>
      <c r="CA33" s="756"/>
      <c r="CB33" s="756"/>
      <c r="CC33" s="756"/>
      <c r="CD33" s="756"/>
      <c r="CE33" s="756"/>
      <c r="CF33" s="756"/>
      <c r="CG33" s="756"/>
      <c r="CH33" s="756"/>
      <c r="CI33" s="756"/>
      <c r="CJ33" s="756"/>
      <c r="CK33" s="756"/>
      <c r="CL33" s="756"/>
      <c r="CM33" s="756"/>
      <c r="CN33" s="756"/>
      <c r="CO33" s="756"/>
      <c r="CP33" s="756"/>
      <c r="CQ33" s="756"/>
      <c r="CR33" s="756"/>
      <c r="CS33" s="756"/>
      <c r="CT33" s="756"/>
      <c r="CU33" s="756"/>
      <c r="CV33" s="756"/>
      <c r="CW33" s="756"/>
      <c r="CX33" s="756"/>
      <c r="CY33" s="756"/>
      <c r="CZ33" s="756"/>
      <c r="DA33" s="756"/>
      <c r="DB33" s="756"/>
      <c r="DC33" s="756"/>
      <c r="DD33" s="756"/>
      <c r="DE33" s="756"/>
      <c r="DF33" s="756"/>
      <c r="DG33" s="756"/>
      <c r="DH33" s="756"/>
      <c r="DI33" s="756"/>
      <c r="DJ33" s="756"/>
      <c r="DK33" s="756"/>
      <c r="DL33" s="756"/>
      <c r="DM33" s="756"/>
      <c r="DN33" s="756"/>
      <c r="DO33" s="756"/>
      <c r="DP33" s="756"/>
      <c r="DQ33" s="756"/>
      <c r="DR33" s="756"/>
      <c r="DS33" s="756"/>
      <c r="DT33" s="756"/>
      <c r="DU33" s="756"/>
      <c r="DV33" s="756"/>
      <c r="DW33" s="756"/>
      <c r="DX33" s="756"/>
      <c r="DY33" s="756"/>
      <c r="DZ33" s="756"/>
      <c r="EA33" s="756"/>
      <c r="EB33" s="756"/>
      <c r="EC33" s="756"/>
      <c r="ED33" s="756"/>
      <c r="EE33" s="756"/>
      <c r="EF33" s="756"/>
      <c r="EG33" s="756"/>
      <c r="EH33" s="756"/>
      <c r="EI33" s="756"/>
      <c r="EJ33" s="756"/>
      <c r="EK33" s="756"/>
      <c r="EL33" s="756"/>
      <c r="EM33" s="756"/>
      <c r="EN33" s="756"/>
      <c r="EO33" s="756"/>
      <c r="EP33" s="756"/>
      <c r="EQ33" s="756"/>
      <c r="ER33" s="756"/>
      <c r="ES33" s="756"/>
      <c r="ET33" s="756"/>
      <c r="EU33" s="756"/>
      <c r="EV33" s="756"/>
      <c r="EW33" s="756"/>
      <c r="EX33" s="756"/>
      <c r="EY33" s="756"/>
      <c r="EZ33" s="756"/>
      <c r="FA33" s="756"/>
      <c r="FB33" s="756"/>
      <c r="FC33" s="756"/>
      <c r="FD33" s="756"/>
      <c r="FE33" s="756"/>
      <c r="FF33" s="756"/>
      <c r="FG33" s="756"/>
      <c r="FH33" s="756"/>
      <c r="FI33" s="756"/>
      <c r="FJ33" s="756"/>
      <c r="FK33" s="756"/>
      <c r="FL33" s="756"/>
      <c r="FM33" s="756"/>
      <c r="FN33" s="756"/>
      <c r="FO33" s="756"/>
      <c r="FP33" s="756"/>
      <c r="FQ33" s="756"/>
      <c r="FR33" s="756"/>
      <c r="FS33" s="756"/>
      <c r="FT33" s="756"/>
      <c r="FU33" s="756"/>
      <c r="FV33" s="756"/>
      <c r="FW33" s="756"/>
      <c r="FX33" s="756"/>
      <c r="FY33" s="756"/>
      <c r="FZ33" s="756"/>
      <c r="GA33" s="756"/>
      <c r="GB33" s="756"/>
      <c r="GC33" s="756"/>
      <c r="GD33" s="756"/>
      <c r="GE33" s="756"/>
      <c r="GF33" s="756"/>
      <c r="GG33" s="756"/>
      <c r="GH33" s="756"/>
      <c r="GI33" s="756"/>
      <c r="GJ33" s="756"/>
      <c r="GK33" s="756"/>
      <c r="GL33" s="756"/>
      <c r="GM33" s="756"/>
      <c r="GN33" s="756"/>
      <c r="GO33" s="756"/>
      <c r="GP33" s="756"/>
      <c r="GQ33" s="756"/>
      <c r="GR33" s="756"/>
      <c r="GS33" s="756"/>
      <c r="GT33" s="756"/>
      <c r="GU33" s="756"/>
      <c r="GV33" s="756"/>
      <c r="GW33" s="756"/>
      <c r="GX33" s="756"/>
      <c r="GY33" s="756"/>
      <c r="GZ33" s="756"/>
      <c r="HA33" s="756"/>
      <c r="HB33" s="756"/>
      <c r="HC33" s="756"/>
      <c r="HD33" s="756"/>
      <c r="HE33" s="756"/>
      <c r="HF33" s="756"/>
      <c r="HG33" s="756"/>
      <c r="HH33" s="756"/>
      <c r="HI33" s="756"/>
      <c r="HJ33" s="756"/>
      <c r="HK33" s="756"/>
      <c r="HL33" s="756"/>
      <c r="HM33" s="756"/>
      <c r="HN33" s="756"/>
      <c r="HO33" s="756"/>
      <c r="HP33" s="756"/>
      <c r="HQ33" s="756"/>
      <c r="HR33" s="756"/>
      <c r="HS33" s="756"/>
      <c r="HT33" s="756"/>
      <c r="HU33" s="756"/>
      <c r="HV33" s="756"/>
      <c r="HW33" s="756"/>
      <c r="HX33" s="756"/>
      <c r="HY33" s="756"/>
      <c r="HZ33" s="756"/>
      <c r="IA33" s="756"/>
      <c r="IB33" s="756"/>
      <c r="IC33" s="756"/>
      <c r="ID33" s="756"/>
      <c r="IE33" s="756"/>
      <c r="IF33" s="756"/>
      <c r="IG33" s="756"/>
      <c r="IH33" s="756"/>
      <c r="II33" s="756"/>
      <c r="IJ33" s="756"/>
      <c r="IK33" s="756"/>
      <c r="IL33" s="756"/>
      <c r="IM33" s="756"/>
      <c r="IN33" s="756"/>
      <c r="IO33" s="756"/>
      <c r="IP33" s="756"/>
      <c r="IQ33" s="756"/>
      <c r="IR33" s="756"/>
      <c r="IS33" s="756"/>
      <c r="IT33" s="756"/>
      <c r="IU33" s="756"/>
      <c r="IV33" s="756"/>
      <c r="IW33" s="756"/>
      <c r="IX33" s="756"/>
      <c r="IY33" s="756"/>
      <c r="IZ33" s="756"/>
      <c r="JA33" s="756"/>
      <c r="JB33" s="756"/>
      <c r="JC33" s="756"/>
      <c r="JD33" s="756"/>
      <c r="JE33" s="756"/>
      <c r="JF33" s="756"/>
      <c r="JG33" s="756"/>
      <c r="JH33" s="756"/>
      <c r="JI33" s="756"/>
      <c r="JJ33" s="756"/>
      <c r="JK33" s="756"/>
      <c r="JL33" s="756"/>
      <c r="JM33" s="756"/>
      <c r="JN33" s="756"/>
      <c r="JO33" s="756"/>
      <c r="JP33" s="756"/>
      <c r="JQ33" s="756"/>
      <c r="JR33" s="756"/>
      <c r="JS33" s="756"/>
      <c r="JT33" s="756"/>
      <c r="JU33" s="756"/>
      <c r="JV33" s="756"/>
      <c r="JW33" s="756"/>
      <c r="JX33" s="756"/>
      <c r="JY33" s="756"/>
      <c r="JZ33" s="756"/>
      <c r="KA33" s="756"/>
      <c r="KB33" s="756"/>
      <c r="KC33" s="756"/>
      <c r="KD33" s="756"/>
      <c r="KE33" s="756"/>
      <c r="KF33" s="756"/>
      <c r="KG33" s="756"/>
      <c r="KH33" s="756"/>
      <c r="KI33" s="756"/>
      <c r="KJ33" s="756"/>
      <c r="KK33" s="756"/>
      <c r="KL33" s="756"/>
      <c r="KM33" s="756"/>
      <c r="KN33" s="756"/>
      <c r="KO33" s="756"/>
      <c r="KP33" s="756"/>
      <c r="KQ33" s="756"/>
      <c r="KR33" s="756"/>
      <c r="KS33" s="756"/>
      <c r="KT33" s="756"/>
      <c r="KU33" s="756"/>
      <c r="KV33" s="756"/>
      <c r="KW33" s="756"/>
      <c r="KX33" s="756"/>
      <c r="KY33" s="756"/>
      <c r="KZ33" s="756"/>
      <c r="LA33" s="756"/>
      <c r="LB33" s="756"/>
      <c r="LC33" s="756"/>
      <c r="LD33" s="756"/>
      <c r="LE33" s="756"/>
      <c r="LF33" s="756"/>
      <c r="LG33" s="756"/>
      <c r="LH33" s="756"/>
      <c r="LI33" s="756"/>
      <c r="LJ33" s="756"/>
      <c r="LK33" s="756"/>
      <c r="LL33" s="756"/>
      <c r="LM33" s="756"/>
      <c r="LN33" s="756"/>
      <c r="LO33" s="756"/>
      <c r="LP33" s="756"/>
      <c r="LQ33" s="756"/>
      <c r="LR33" s="756"/>
      <c r="LS33" s="756"/>
      <c r="LT33" s="756"/>
      <c r="LU33" s="756"/>
      <c r="LV33" s="756"/>
      <c r="LW33" s="756"/>
      <c r="LX33" s="756"/>
      <c r="LY33" s="756"/>
      <c r="LZ33" s="756"/>
      <c r="MA33" s="756"/>
      <c r="MB33" s="756"/>
      <c r="MC33" s="756"/>
      <c r="MD33" s="756"/>
      <c r="ME33" s="756"/>
      <c r="MF33" s="756"/>
      <c r="MG33" s="756"/>
      <c r="MH33" s="756"/>
      <c r="MI33" s="756"/>
      <c r="MJ33" s="756"/>
      <c r="MK33" s="756"/>
      <c r="ML33" s="756"/>
      <c r="MM33" s="756"/>
      <c r="MN33" s="756"/>
      <c r="MO33" s="756"/>
      <c r="MP33" s="756"/>
      <c r="MQ33" s="756"/>
      <c r="MR33" s="756"/>
      <c r="MS33" s="756"/>
      <c r="MT33" s="756"/>
      <c r="MU33" s="756"/>
      <c r="MV33" s="756"/>
      <c r="MW33" s="756"/>
      <c r="MX33" s="756"/>
      <c r="MY33" s="756"/>
      <c r="MZ33" s="756"/>
      <c r="NA33" s="756"/>
      <c r="NB33" s="756"/>
      <c r="NC33" s="756"/>
      <c r="ND33" s="756"/>
      <c r="NE33" s="756"/>
      <c r="NF33" s="756"/>
      <c r="NG33" s="756"/>
      <c r="NH33" s="756"/>
      <c r="NI33" s="756"/>
      <c r="NJ33" s="756"/>
      <c r="NK33" s="756"/>
      <c r="NL33" s="756"/>
      <c r="NM33" s="756"/>
      <c r="NN33" s="756"/>
      <c r="NO33" s="756"/>
      <c r="NP33" s="756"/>
      <c r="NQ33" s="756"/>
      <c r="NR33" s="756"/>
      <c r="NS33" s="756"/>
      <c r="NT33" s="756"/>
      <c r="NU33" s="756"/>
      <c r="NV33" s="756"/>
      <c r="NW33" s="756"/>
      <c r="NX33" s="756"/>
      <c r="NY33" s="756"/>
      <c r="NZ33" s="756"/>
      <c r="OA33" s="756"/>
      <c r="OB33" s="756"/>
      <c r="OC33" s="756"/>
      <c r="OD33" s="756"/>
      <c r="OE33" s="756"/>
      <c r="OF33" s="756"/>
      <c r="OG33" s="756"/>
      <c r="OH33" s="756"/>
      <c r="OI33" s="756"/>
      <c r="OJ33" s="756"/>
      <c r="OK33" s="756"/>
      <c r="OL33" s="756"/>
      <c r="OM33" s="756"/>
      <c r="ON33" s="756"/>
      <c r="OO33" s="756"/>
      <c r="OP33" s="756"/>
      <c r="OQ33" s="756"/>
      <c r="OR33" s="756"/>
      <c r="OS33" s="756"/>
      <c r="OT33" s="756"/>
      <c r="OU33" s="756"/>
      <c r="OV33" s="756"/>
      <c r="OW33" s="756"/>
      <c r="OX33" s="756"/>
      <c r="OY33" s="756"/>
      <c r="OZ33" s="756"/>
      <c r="PA33" s="756"/>
      <c r="PB33" s="756"/>
      <c r="PC33" s="756"/>
      <c r="PD33" s="756"/>
      <c r="PE33" s="756"/>
      <c r="PF33" s="756"/>
      <c r="PG33" s="756"/>
      <c r="PH33" s="756"/>
      <c r="PI33" s="756"/>
      <c r="PJ33" s="756"/>
      <c r="PK33" s="756"/>
      <c r="PL33" s="756"/>
      <c r="PM33" s="756"/>
      <c r="PN33" s="756"/>
      <c r="PO33" s="756"/>
      <c r="PP33" s="756"/>
      <c r="PQ33" s="756"/>
      <c r="PR33" s="756"/>
      <c r="PS33" s="756"/>
      <c r="PT33" s="756"/>
      <c r="PU33" s="756"/>
      <c r="PV33" s="756"/>
      <c r="PW33" s="756"/>
      <c r="PX33" s="756"/>
      <c r="PY33" s="756"/>
      <c r="PZ33" s="756"/>
      <c r="QA33" s="756"/>
      <c r="QB33" s="756"/>
      <c r="QC33" s="756"/>
      <c r="QD33" s="756"/>
      <c r="QE33" s="756"/>
      <c r="QF33" s="756"/>
      <c r="QG33" s="756"/>
      <c r="QH33" s="756"/>
      <c r="QI33" s="756"/>
      <c r="QJ33" s="756"/>
      <c r="QK33" s="756"/>
      <c r="QL33" s="756"/>
      <c r="QM33" s="756"/>
      <c r="QN33" s="756"/>
      <c r="QO33" s="756"/>
      <c r="QP33" s="756"/>
      <c r="QQ33" s="756"/>
      <c r="QR33" s="756"/>
      <c r="QS33" s="756"/>
      <c r="QT33" s="756"/>
      <c r="QU33" s="756"/>
      <c r="QV33" s="756"/>
      <c r="QW33" s="756"/>
      <c r="QX33" s="756"/>
      <c r="QY33" s="756"/>
      <c r="QZ33" s="756"/>
      <c r="RA33" s="756"/>
      <c r="RB33" s="756"/>
      <c r="RC33" s="756"/>
      <c r="RD33" s="756"/>
      <c r="RE33" s="756"/>
      <c r="RF33" s="756"/>
      <c r="RG33" s="756"/>
      <c r="RH33" s="756"/>
      <c r="RI33" s="756"/>
      <c r="RJ33" s="756"/>
      <c r="RK33" s="756"/>
      <c r="RL33" s="756"/>
      <c r="RM33" s="756"/>
      <c r="RN33" s="756"/>
      <c r="RO33" s="756"/>
      <c r="RP33" s="756"/>
      <c r="RQ33" s="756"/>
      <c r="RR33" s="756"/>
      <c r="RS33" s="756"/>
      <c r="RT33" s="756"/>
      <c r="RU33" s="756"/>
      <c r="RV33" s="756"/>
      <c r="RW33" s="756"/>
      <c r="RX33" s="756"/>
      <c r="RY33" s="756"/>
      <c r="RZ33" s="756"/>
      <c r="SA33" s="756"/>
      <c r="SB33" s="756"/>
      <c r="SC33" s="756"/>
      <c r="SD33" s="756"/>
      <c r="SE33" s="756"/>
      <c r="SF33" s="756"/>
      <c r="SG33" s="756"/>
      <c r="SH33" s="756"/>
      <c r="SI33" s="756"/>
      <c r="SJ33" s="756"/>
      <c r="SK33" s="756"/>
      <c r="SL33" s="756"/>
      <c r="SM33" s="756"/>
      <c r="SN33" s="756"/>
      <c r="SO33" s="756"/>
      <c r="SP33" s="756"/>
      <c r="SQ33" s="756"/>
      <c r="SR33" s="756"/>
    </row>
    <row r="34" spans="1:512" ht="15" customHeight="1">
      <c r="A34" s="969"/>
      <c r="B34" s="969"/>
      <c r="C34" s="969"/>
      <c r="D34" s="969" t="s">
        <v>921</v>
      </c>
      <c r="E34" s="969" t="s">
        <v>210</v>
      </c>
      <c r="F34" s="969"/>
      <c r="G34" s="839">
        <v>84</v>
      </c>
      <c r="H34" s="1028"/>
      <c r="I34" s="839"/>
      <c r="J34" s="839"/>
      <c r="K34" s="839"/>
      <c r="L34" s="839"/>
      <c r="M34" s="839"/>
      <c r="N34" s="839"/>
      <c r="O34" s="839"/>
      <c r="P34" s="839"/>
      <c r="Q34" s="839"/>
      <c r="R34" s="839"/>
      <c r="S34" s="839"/>
      <c r="T34" s="839"/>
      <c r="U34" s="756"/>
      <c r="V34" s="756"/>
      <c r="W34" s="756"/>
      <c r="X34" s="756"/>
      <c r="Y34" s="756"/>
      <c r="Z34" s="756"/>
      <c r="AA34" s="756"/>
      <c r="AB34" s="756"/>
      <c r="AC34" s="756"/>
      <c r="AD34" s="756"/>
      <c r="AE34" s="756"/>
      <c r="AF34" s="756"/>
      <c r="AG34" s="756"/>
      <c r="AH34" s="756"/>
      <c r="AI34" s="756"/>
      <c r="AJ34" s="756"/>
      <c r="AK34" s="756"/>
      <c r="AL34" s="756"/>
      <c r="AM34" s="756"/>
      <c r="AN34" s="756"/>
      <c r="AO34" s="756"/>
      <c r="AP34" s="756"/>
      <c r="AQ34" s="756"/>
      <c r="AR34" s="756"/>
      <c r="AS34" s="756"/>
      <c r="AT34" s="756"/>
      <c r="AU34" s="756"/>
      <c r="AV34" s="756"/>
      <c r="AW34" s="756"/>
      <c r="AX34" s="756"/>
      <c r="AY34" s="756"/>
      <c r="AZ34" s="756"/>
      <c r="BA34" s="756"/>
      <c r="BB34" s="756"/>
      <c r="BC34" s="756"/>
      <c r="BD34" s="756"/>
      <c r="BE34" s="756"/>
      <c r="BF34" s="756"/>
      <c r="BG34" s="756"/>
      <c r="BH34" s="756"/>
      <c r="BI34" s="756"/>
      <c r="BJ34" s="756"/>
      <c r="BK34" s="756"/>
      <c r="BL34" s="756"/>
      <c r="BM34" s="756"/>
      <c r="BN34" s="756"/>
      <c r="BO34" s="756"/>
      <c r="BP34" s="756"/>
      <c r="BQ34" s="756"/>
      <c r="BR34" s="756"/>
      <c r="BS34" s="756"/>
      <c r="BT34" s="756"/>
      <c r="BU34" s="756"/>
      <c r="BV34" s="756"/>
      <c r="BW34" s="756"/>
      <c r="BX34" s="756"/>
      <c r="BY34" s="756"/>
      <c r="BZ34" s="756"/>
      <c r="CA34" s="756"/>
      <c r="CB34" s="756"/>
      <c r="CC34" s="756"/>
      <c r="CD34" s="756"/>
      <c r="CE34" s="756"/>
      <c r="CF34" s="756"/>
      <c r="CG34" s="756"/>
      <c r="CH34" s="756"/>
      <c r="CI34" s="756"/>
      <c r="CJ34" s="756"/>
      <c r="CK34" s="756"/>
      <c r="CL34" s="756"/>
      <c r="CM34" s="756"/>
      <c r="CN34" s="756"/>
      <c r="CO34" s="756"/>
      <c r="CP34" s="756"/>
      <c r="CQ34" s="756"/>
      <c r="CR34" s="756"/>
      <c r="CS34" s="756"/>
      <c r="CT34" s="756"/>
      <c r="CU34" s="756"/>
      <c r="CV34" s="756"/>
      <c r="CW34" s="756"/>
      <c r="CX34" s="756"/>
      <c r="CY34" s="756"/>
      <c r="CZ34" s="756"/>
      <c r="DA34" s="756"/>
      <c r="DB34" s="756"/>
      <c r="DC34" s="756"/>
      <c r="DD34" s="756"/>
      <c r="DE34" s="756"/>
      <c r="DF34" s="756"/>
      <c r="DG34" s="756"/>
      <c r="DH34" s="756"/>
      <c r="DI34" s="756"/>
      <c r="DJ34" s="756"/>
      <c r="DK34" s="756"/>
      <c r="DL34" s="756"/>
      <c r="DM34" s="756"/>
      <c r="DN34" s="756"/>
      <c r="DO34" s="756"/>
      <c r="DP34" s="756"/>
      <c r="DQ34" s="756"/>
      <c r="DR34" s="756"/>
      <c r="DS34" s="756"/>
      <c r="DT34" s="756"/>
      <c r="DU34" s="756"/>
      <c r="DV34" s="756"/>
      <c r="DW34" s="756"/>
      <c r="DX34" s="756"/>
      <c r="DY34" s="756"/>
      <c r="DZ34" s="756"/>
      <c r="EA34" s="756"/>
      <c r="EB34" s="756"/>
      <c r="EC34" s="756"/>
      <c r="ED34" s="756"/>
      <c r="EE34" s="756"/>
      <c r="EF34" s="756"/>
      <c r="EG34" s="756"/>
      <c r="EH34" s="756"/>
      <c r="EI34" s="756"/>
      <c r="EJ34" s="756"/>
      <c r="EK34" s="756"/>
      <c r="EL34" s="756"/>
      <c r="EM34" s="756"/>
      <c r="EN34" s="756"/>
      <c r="EO34" s="756"/>
      <c r="EP34" s="756"/>
      <c r="EQ34" s="756"/>
      <c r="ER34" s="756"/>
      <c r="ES34" s="756"/>
      <c r="ET34" s="756"/>
      <c r="EU34" s="756"/>
      <c r="EV34" s="756"/>
      <c r="EW34" s="756"/>
      <c r="EX34" s="756"/>
      <c r="EY34" s="756"/>
      <c r="EZ34" s="756"/>
      <c r="FA34" s="756"/>
      <c r="FB34" s="756"/>
      <c r="FC34" s="756"/>
      <c r="FD34" s="756"/>
      <c r="FE34" s="756"/>
      <c r="FF34" s="756"/>
      <c r="FG34" s="756"/>
      <c r="FH34" s="756"/>
      <c r="FI34" s="756"/>
      <c r="FJ34" s="756"/>
      <c r="FK34" s="756"/>
      <c r="FL34" s="756"/>
      <c r="FM34" s="756"/>
      <c r="FN34" s="756"/>
      <c r="FO34" s="756"/>
      <c r="FP34" s="756"/>
      <c r="FQ34" s="756"/>
      <c r="FR34" s="756"/>
      <c r="FS34" s="756"/>
      <c r="FT34" s="756"/>
      <c r="FU34" s="756"/>
      <c r="FV34" s="756"/>
      <c r="FW34" s="756"/>
      <c r="FX34" s="756"/>
      <c r="FY34" s="756"/>
      <c r="FZ34" s="756"/>
      <c r="GA34" s="756"/>
      <c r="GB34" s="756"/>
      <c r="GC34" s="756"/>
      <c r="GD34" s="756"/>
      <c r="GE34" s="756"/>
      <c r="GF34" s="756"/>
      <c r="GG34" s="756"/>
      <c r="GH34" s="756"/>
      <c r="GI34" s="756"/>
      <c r="GJ34" s="756"/>
      <c r="GK34" s="756"/>
      <c r="GL34" s="756"/>
      <c r="GM34" s="756"/>
      <c r="GN34" s="756"/>
      <c r="GO34" s="756"/>
      <c r="GP34" s="756"/>
      <c r="GQ34" s="756"/>
      <c r="GR34" s="756"/>
      <c r="GS34" s="756"/>
      <c r="GT34" s="756"/>
      <c r="GU34" s="756"/>
      <c r="GV34" s="756"/>
      <c r="GW34" s="756"/>
      <c r="GX34" s="756"/>
      <c r="GY34" s="756"/>
      <c r="GZ34" s="756"/>
      <c r="HA34" s="756"/>
      <c r="HB34" s="756"/>
      <c r="HC34" s="756"/>
      <c r="HD34" s="756"/>
      <c r="HE34" s="756"/>
      <c r="HF34" s="756"/>
      <c r="HG34" s="756"/>
      <c r="HH34" s="756"/>
      <c r="HI34" s="756"/>
      <c r="HJ34" s="756"/>
      <c r="HK34" s="756"/>
      <c r="HL34" s="756"/>
      <c r="HM34" s="756"/>
      <c r="HN34" s="756"/>
      <c r="HO34" s="756"/>
      <c r="HP34" s="756"/>
      <c r="HQ34" s="756"/>
      <c r="HR34" s="756"/>
      <c r="HS34" s="756"/>
      <c r="HT34" s="756"/>
      <c r="HU34" s="756"/>
      <c r="HV34" s="756"/>
      <c r="HW34" s="756"/>
      <c r="HX34" s="756"/>
      <c r="HY34" s="756"/>
      <c r="HZ34" s="756"/>
      <c r="IA34" s="756"/>
      <c r="IB34" s="756"/>
      <c r="IC34" s="756"/>
      <c r="ID34" s="756"/>
      <c r="IE34" s="756"/>
      <c r="IF34" s="756"/>
      <c r="IG34" s="756"/>
      <c r="IH34" s="756"/>
      <c r="II34" s="756"/>
      <c r="IJ34" s="756"/>
      <c r="IK34" s="756"/>
      <c r="IL34" s="756"/>
      <c r="IM34" s="756"/>
      <c r="IN34" s="756"/>
      <c r="IO34" s="756"/>
      <c r="IP34" s="756"/>
      <c r="IQ34" s="756"/>
      <c r="IR34" s="756"/>
      <c r="IS34" s="756"/>
      <c r="IT34" s="756"/>
      <c r="IU34" s="756"/>
      <c r="IV34" s="756"/>
      <c r="IW34" s="756"/>
      <c r="IX34" s="756"/>
      <c r="IY34" s="756"/>
      <c r="IZ34" s="756"/>
      <c r="JA34" s="756"/>
      <c r="JB34" s="756"/>
      <c r="JC34" s="756"/>
      <c r="JD34" s="756"/>
      <c r="JE34" s="756"/>
      <c r="JF34" s="756"/>
      <c r="JG34" s="756"/>
      <c r="JH34" s="756"/>
      <c r="JI34" s="756"/>
      <c r="JJ34" s="756"/>
      <c r="JK34" s="756"/>
      <c r="JL34" s="756"/>
      <c r="JM34" s="756"/>
      <c r="JN34" s="756"/>
      <c r="JO34" s="756"/>
      <c r="JP34" s="756"/>
      <c r="JQ34" s="756"/>
      <c r="JR34" s="756"/>
      <c r="JS34" s="756"/>
      <c r="JT34" s="756"/>
      <c r="JU34" s="756"/>
      <c r="JV34" s="756"/>
      <c r="JW34" s="756"/>
      <c r="JX34" s="756"/>
      <c r="JY34" s="756"/>
      <c r="JZ34" s="756"/>
      <c r="KA34" s="756"/>
      <c r="KB34" s="756"/>
      <c r="KC34" s="756"/>
      <c r="KD34" s="756"/>
      <c r="KE34" s="756"/>
      <c r="KF34" s="756"/>
      <c r="KG34" s="756"/>
      <c r="KH34" s="756"/>
      <c r="KI34" s="756"/>
      <c r="KJ34" s="756"/>
      <c r="KK34" s="756"/>
      <c r="KL34" s="756"/>
      <c r="KM34" s="756"/>
      <c r="KN34" s="756"/>
      <c r="KO34" s="756"/>
      <c r="KP34" s="756"/>
      <c r="KQ34" s="756"/>
      <c r="KR34" s="756"/>
      <c r="KS34" s="756"/>
      <c r="KT34" s="756"/>
      <c r="KU34" s="756"/>
      <c r="KV34" s="756"/>
      <c r="KW34" s="756"/>
      <c r="KX34" s="756"/>
      <c r="KY34" s="756"/>
      <c r="KZ34" s="756"/>
      <c r="LA34" s="756"/>
      <c r="LB34" s="756"/>
      <c r="LC34" s="756"/>
      <c r="LD34" s="756"/>
      <c r="LE34" s="756"/>
      <c r="LF34" s="756"/>
      <c r="LG34" s="756"/>
      <c r="LH34" s="756"/>
      <c r="LI34" s="756"/>
      <c r="LJ34" s="756"/>
      <c r="LK34" s="756"/>
      <c r="LL34" s="756"/>
      <c r="LM34" s="756"/>
      <c r="LN34" s="756"/>
      <c r="LO34" s="756"/>
      <c r="LP34" s="756"/>
      <c r="LQ34" s="756"/>
      <c r="LR34" s="756"/>
      <c r="LS34" s="756"/>
      <c r="LT34" s="756"/>
      <c r="LU34" s="756"/>
      <c r="LV34" s="756"/>
      <c r="LW34" s="756"/>
      <c r="LX34" s="756"/>
      <c r="LY34" s="756"/>
      <c r="LZ34" s="756"/>
      <c r="MA34" s="756"/>
      <c r="MB34" s="756"/>
      <c r="MC34" s="756"/>
      <c r="MD34" s="756"/>
      <c r="ME34" s="756"/>
      <c r="MF34" s="756"/>
      <c r="MG34" s="756"/>
      <c r="MH34" s="756"/>
      <c r="MI34" s="756"/>
      <c r="MJ34" s="756"/>
      <c r="MK34" s="756"/>
      <c r="ML34" s="756"/>
      <c r="MM34" s="756"/>
      <c r="MN34" s="756"/>
      <c r="MO34" s="756"/>
      <c r="MP34" s="756"/>
      <c r="MQ34" s="756"/>
      <c r="MR34" s="756"/>
      <c r="MS34" s="756"/>
      <c r="MT34" s="756"/>
      <c r="MU34" s="756"/>
      <c r="MV34" s="756"/>
      <c r="MW34" s="756"/>
      <c r="MX34" s="756"/>
      <c r="MY34" s="756"/>
      <c r="MZ34" s="756"/>
      <c r="NA34" s="756"/>
      <c r="NB34" s="756"/>
      <c r="NC34" s="756"/>
      <c r="ND34" s="756"/>
      <c r="NE34" s="756"/>
      <c r="NF34" s="756"/>
      <c r="NG34" s="756"/>
      <c r="NH34" s="756"/>
      <c r="NI34" s="756"/>
      <c r="NJ34" s="756"/>
      <c r="NK34" s="756"/>
      <c r="NL34" s="756"/>
      <c r="NM34" s="756"/>
      <c r="NN34" s="756"/>
      <c r="NO34" s="756"/>
      <c r="NP34" s="756"/>
      <c r="NQ34" s="756"/>
      <c r="NR34" s="756"/>
      <c r="NS34" s="756"/>
      <c r="NT34" s="756"/>
      <c r="NU34" s="756"/>
      <c r="NV34" s="756"/>
      <c r="NW34" s="756"/>
      <c r="NX34" s="756"/>
      <c r="NY34" s="756"/>
      <c r="NZ34" s="756"/>
      <c r="OA34" s="756"/>
      <c r="OB34" s="756"/>
      <c r="OC34" s="756"/>
      <c r="OD34" s="756"/>
      <c r="OE34" s="756"/>
      <c r="OF34" s="756"/>
      <c r="OG34" s="756"/>
      <c r="OH34" s="756"/>
      <c r="OI34" s="756"/>
      <c r="OJ34" s="756"/>
      <c r="OK34" s="756"/>
      <c r="OL34" s="756"/>
      <c r="OM34" s="756"/>
      <c r="ON34" s="756"/>
      <c r="OO34" s="756"/>
      <c r="OP34" s="756"/>
      <c r="OQ34" s="756"/>
      <c r="OR34" s="756"/>
      <c r="OS34" s="756"/>
      <c r="OT34" s="756"/>
      <c r="OU34" s="756"/>
      <c r="OV34" s="756"/>
      <c r="OW34" s="756"/>
      <c r="OX34" s="756"/>
      <c r="OY34" s="756"/>
      <c r="OZ34" s="756"/>
      <c r="PA34" s="756"/>
      <c r="PB34" s="756"/>
      <c r="PC34" s="756"/>
      <c r="PD34" s="756"/>
      <c r="PE34" s="756"/>
      <c r="PF34" s="756"/>
      <c r="PG34" s="756"/>
      <c r="PH34" s="756"/>
      <c r="PI34" s="756"/>
      <c r="PJ34" s="756"/>
      <c r="PK34" s="756"/>
      <c r="PL34" s="756"/>
      <c r="PM34" s="756"/>
      <c r="PN34" s="756"/>
      <c r="PO34" s="756"/>
      <c r="PP34" s="756"/>
      <c r="PQ34" s="756"/>
      <c r="PR34" s="756"/>
      <c r="PS34" s="756"/>
      <c r="PT34" s="756"/>
      <c r="PU34" s="756"/>
      <c r="PV34" s="756"/>
      <c r="PW34" s="756"/>
      <c r="PX34" s="756"/>
      <c r="PY34" s="756"/>
      <c r="PZ34" s="756"/>
      <c r="QA34" s="756"/>
      <c r="QB34" s="756"/>
      <c r="QC34" s="756"/>
      <c r="QD34" s="756"/>
      <c r="QE34" s="756"/>
      <c r="QF34" s="756"/>
      <c r="QG34" s="756"/>
      <c r="QH34" s="756"/>
      <c r="QI34" s="756"/>
      <c r="QJ34" s="756"/>
      <c r="QK34" s="756"/>
      <c r="QL34" s="756"/>
      <c r="QM34" s="756"/>
      <c r="QN34" s="756"/>
      <c r="QO34" s="756"/>
      <c r="QP34" s="756"/>
      <c r="QQ34" s="756"/>
      <c r="QR34" s="756"/>
      <c r="QS34" s="756"/>
      <c r="QT34" s="756"/>
      <c r="QU34" s="756"/>
      <c r="QV34" s="756"/>
      <c r="QW34" s="756"/>
      <c r="QX34" s="756"/>
      <c r="QY34" s="756"/>
      <c r="QZ34" s="756"/>
      <c r="RA34" s="756"/>
      <c r="RB34" s="756"/>
      <c r="RC34" s="756"/>
      <c r="RD34" s="756"/>
      <c r="RE34" s="756"/>
      <c r="RF34" s="756"/>
      <c r="RG34" s="756"/>
      <c r="RH34" s="756"/>
      <c r="RI34" s="756"/>
      <c r="RJ34" s="756"/>
      <c r="RK34" s="756"/>
      <c r="RL34" s="756"/>
      <c r="RM34" s="756"/>
      <c r="RN34" s="756"/>
      <c r="RO34" s="756"/>
      <c r="RP34" s="756"/>
      <c r="RQ34" s="756"/>
      <c r="RR34" s="756"/>
      <c r="RS34" s="756"/>
      <c r="RT34" s="756"/>
      <c r="RU34" s="756"/>
      <c r="RV34" s="756"/>
      <c r="RW34" s="756"/>
      <c r="RX34" s="756"/>
      <c r="RY34" s="756"/>
      <c r="RZ34" s="756"/>
      <c r="SA34" s="756"/>
      <c r="SB34" s="756"/>
      <c r="SC34" s="756"/>
      <c r="SD34" s="756"/>
      <c r="SE34" s="756"/>
      <c r="SF34" s="756"/>
      <c r="SG34" s="756"/>
      <c r="SH34" s="756"/>
      <c r="SI34" s="756"/>
      <c r="SJ34" s="756"/>
      <c r="SK34" s="756"/>
      <c r="SL34" s="756"/>
      <c r="SM34" s="756"/>
      <c r="SN34" s="756"/>
      <c r="SO34" s="756"/>
      <c r="SP34" s="756"/>
      <c r="SQ34" s="756"/>
      <c r="SR34" s="756"/>
    </row>
    <row r="35" spans="1:512" ht="15" customHeight="1">
      <c r="A35" s="969"/>
      <c r="B35" s="969"/>
      <c r="C35" s="969"/>
      <c r="D35" s="969" t="s">
        <v>922</v>
      </c>
      <c r="E35" s="969" t="s">
        <v>210</v>
      </c>
      <c r="F35" s="969"/>
      <c r="G35" s="839">
        <v>4</v>
      </c>
      <c r="H35" s="1028"/>
      <c r="I35" s="839"/>
      <c r="J35" s="839"/>
      <c r="K35" s="839"/>
      <c r="L35" s="839"/>
      <c r="M35" s="839"/>
      <c r="N35" s="839"/>
      <c r="O35" s="839"/>
      <c r="P35" s="839"/>
      <c r="Q35" s="839"/>
      <c r="R35" s="839"/>
      <c r="S35" s="839"/>
      <c r="T35" s="839"/>
      <c r="U35" s="756"/>
      <c r="V35" s="756"/>
      <c r="W35" s="756"/>
      <c r="X35" s="756"/>
      <c r="Y35" s="756"/>
      <c r="Z35" s="756"/>
      <c r="AA35" s="756"/>
      <c r="AB35" s="756"/>
      <c r="AC35" s="756"/>
      <c r="AD35" s="756"/>
      <c r="AE35" s="756"/>
      <c r="AF35" s="756"/>
      <c r="AG35" s="756"/>
      <c r="AH35" s="756"/>
      <c r="AI35" s="756"/>
      <c r="AJ35" s="756"/>
      <c r="AK35" s="756"/>
      <c r="AL35" s="756"/>
      <c r="AM35" s="756"/>
      <c r="AN35" s="756"/>
      <c r="AO35" s="756"/>
      <c r="AP35" s="756"/>
      <c r="AQ35" s="756"/>
      <c r="AR35" s="756"/>
      <c r="AS35" s="756"/>
      <c r="AT35" s="756"/>
      <c r="AU35" s="756"/>
      <c r="AV35" s="756"/>
      <c r="AW35" s="756"/>
      <c r="AX35" s="756"/>
      <c r="AY35" s="756"/>
      <c r="AZ35" s="756"/>
      <c r="BA35" s="756"/>
      <c r="BB35" s="756"/>
      <c r="BC35" s="756"/>
      <c r="BD35" s="756"/>
      <c r="BE35" s="756"/>
      <c r="BF35" s="756"/>
      <c r="BG35" s="756"/>
      <c r="BH35" s="756"/>
      <c r="BI35" s="756"/>
      <c r="BJ35" s="756"/>
      <c r="BK35" s="756"/>
      <c r="BL35" s="756"/>
      <c r="BM35" s="756"/>
      <c r="BN35" s="756"/>
      <c r="BO35" s="756"/>
      <c r="BP35" s="756"/>
      <c r="BQ35" s="756"/>
      <c r="BR35" s="756"/>
      <c r="BS35" s="756"/>
      <c r="BT35" s="756"/>
      <c r="BU35" s="756"/>
      <c r="BV35" s="756"/>
      <c r="BW35" s="756"/>
      <c r="BX35" s="756"/>
      <c r="BY35" s="756"/>
      <c r="BZ35" s="756"/>
      <c r="CA35" s="756"/>
      <c r="CB35" s="756"/>
      <c r="CC35" s="756"/>
      <c r="CD35" s="756"/>
      <c r="CE35" s="756"/>
      <c r="CF35" s="756"/>
      <c r="CG35" s="756"/>
      <c r="CH35" s="756"/>
      <c r="CI35" s="756"/>
      <c r="CJ35" s="756"/>
      <c r="CK35" s="756"/>
      <c r="CL35" s="756"/>
      <c r="CM35" s="756"/>
      <c r="CN35" s="756"/>
      <c r="CO35" s="756"/>
      <c r="CP35" s="756"/>
      <c r="CQ35" s="756"/>
      <c r="CR35" s="756"/>
      <c r="CS35" s="756"/>
      <c r="CT35" s="756"/>
      <c r="CU35" s="756"/>
      <c r="CV35" s="756"/>
      <c r="CW35" s="756"/>
      <c r="CX35" s="756"/>
      <c r="CY35" s="756"/>
      <c r="CZ35" s="756"/>
      <c r="DA35" s="756"/>
      <c r="DB35" s="756"/>
      <c r="DC35" s="756"/>
      <c r="DD35" s="756"/>
      <c r="DE35" s="756"/>
      <c r="DF35" s="756"/>
      <c r="DG35" s="756"/>
      <c r="DH35" s="756"/>
      <c r="DI35" s="756"/>
      <c r="DJ35" s="756"/>
      <c r="DK35" s="756"/>
      <c r="DL35" s="756"/>
      <c r="DM35" s="756"/>
      <c r="DN35" s="756"/>
      <c r="DO35" s="756"/>
      <c r="DP35" s="756"/>
      <c r="DQ35" s="756"/>
      <c r="DR35" s="756"/>
      <c r="DS35" s="756"/>
      <c r="DT35" s="756"/>
      <c r="DU35" s="756"/>
      <c r="DV35" s="756"/>
      <c r="DW35" s="756"/>
      <c r="DX35" s="756"/>
      <c r="DY35" s="756"/>
      <c r="DZ35" s="756"/>
      <c r="EA35" s="756"/>
      <c r="EB35" s="756"/>
      <c r="EC35" s="756"/>
      <c r="ED35" s="756"/>
      <c r="EE35" s="756"/>
      <c r="EF35" s="756"/>
      <c r="EG35" s="756"/>
      <c r="EH35" s="756"/>
      <c r="EI35" s="756"/>
      <c r="EJ35" s="756"/>
      <c r="EK35" s="756"/>
      <c r="EL35" s="756"/>
      <c r="EM35" s="756"/>
      <c r="EN35" s="756"/>
      <c r="EO35" s="756"/>
      <c r="EP35" s="756"/>
      <c r="EQ35" s="756"/>
      <c r="ER35" s="756"/>
      <c r="ES35" s="756"/>
      <c r="ET35" s="756"/>
      <c r="EU35" s="756"/>
      <c r="EV35" s="756"/>
      <c r="EW35" s="756"/>
      <c r="EX35" s="756"/>
      <c r="EY35" s="756"/>
      <c r="EZ35" s="756"/>
      <c r="FA35" s="756"/>
      <c r="FB35" s="756"/>
      <c r="FC35" s="756"/>
      <c r="FD35" s="756"/>
      <c r="FE35" s="756"/>
      <c r="FF35" s="756"/>
      <c r="FG35" s="756"/>
      <c r="FH35" s="756"/>
      <c r="FI35" s="756"/>
      <c r="FJ35" s="756"/>
      <c r="FK35" s="756"/>
      <c r="FL35" s="756"/>
      <c r="FM35" s="756"/>
      <c r="FN35" s="756"/>
      <c r="FO35" s="756"/>
      <c r="FP35" s="756"/>
      <c r="FQ35" s="756"/>
      <c r="FR35" s="756"/>
      <c r="FS35" s="756"/>
      <c r="FT35" s="756"/>
      <c r="FU35" s="756"/>
      <c r="FV35" s="756"/>
      <c r="FW35" s="756"/>
      <c r="FX35" s="756"/>
      <c r="FY35" s="756"/>
      <c r="FZ35" s="756"/>
      <c r="GA35" s="756"/>
      <c r="GB35" s="756"/>
      <c r="GC35" s="756"/>
      <c r="GD35" s="756"/>
      <c r="GE35" s="756"/>
      <c r="GF35" s="756"/>
      <c r="GG35" s="756"/>
      <c r="GH35" s="756"/>
      <c r="GI35" s="756"/>
      <c r="GJ35" s="756"/>
      <c r="GK35" s="756"/>
      <c r="GL35" s="756"/>
      <c r="GM35" s="756"/>
      <c r="GN35" s="756"/>
      <c r="GO35" s="756"/>
      <c r="GP35" s="756"/>
      <c r="GQ35" s="756"/>
      <c r="GR35" s="756"/>
      <c r="GS35" s="756"/>
      <c r="GT35" s="756"/>
      <c r="GU35" s="756"/>
      <c r="GV35" s="756"/>
      <c r="GW35" s="756"/>
      <c r="GX35" s="756"/>
      <c r="GY35" s="756"/>
      <c r="GZ35" s="756"/>
      <c r="HA35" s="756"/>
      <c r="HB35" s="756"/>
      <c r="HC35" s="756"/>
      <c r="HD35" s="756"/>
      <c r="HE35" s="756"/>
      <c r="HF35" s="756"/>
      <c r="HG35" s="756"/>
      <c r="HH35" s="756"/>
      <c r="HI35" s="756"/>
      <c r="HJ35" s="756"/>
      <c r="HK35" s="756"/>
      <c r="HL35" s="756"/>
      <c r="HM35" s="756"/>
      <c r="HN35" s="756"/>
      <c r="HO35" s="756"/>
      <c r="HP35" s="756"/>
      <c r="HQ35" s="756"/>
      <c r="HR35" s="756"/>
      <c r="HS35" s="756"/>
      <c r="HT35" s="756"/>
      <c r="HU35" s="756"/>
      <c r="HV35" s="756"/>
      <c r="HW35" s="756"/>
      <c r="HX35" s="756"/>
      <c r="HY35" s="756"/>
      <c r="HZ35" s="756"/>
      <c r="IA35" s="756"/>
      <c r="IB35" s="756"/>
      <c r="IC35" s="756"/>
      <c r="ID35" s="756"/>
      <c r="IE35" s="756"/>
      <c r="IF35" s="756"/>
      <c r="IG35" s="756"/>
      <c r="IH35" s="756"/>
      <c r="II35" s="756"/>
      <c r="IJ35" s="756"/>
      <c r="IK35" s="756"/>
      <c r="IL35" s="756"/>
      <c r="IM35" s="756"/>
      <c r="IN35" s="756"/>
      <c r="IO35" s="756"/>
      <c r="IP35" s="756"/>
      <c r="IQ35" s="756"/>
      <c r="IR35" s="756"/>
      <c r="IS35" s="756"/>
      <c r="IT35" s="756"/>
      <c r="IU35" s="756"/>
      <c r="IV35" s="756"/>
      <c r="IW35" s="756"/>
      <c r="IX35" s="756"/>
      <c r="IY35" s="756"/>
      <c r="IZ35" s="756"/>
      <c r="JA35" s="756"/>
      <c r="JB35" s="756"/>
      <c r="JC35" s="756"/>
      <c r="JD35" s="756"/>
      <c r="JE35" s="756"/>
      <c r="JF35" s="756"/>
      <c r="JG35" s="756"/>
      <c r="JH35" s="756"/>
      <c r="JI35" s="756"/>
      <c r="JJ35" s="756"/>
      <c r="JK35" s="756"/>
      <c r="JL35" s="756"/>
      <c r="JM35" s="756"/>
      <c r="JN35" s="756"/>
      <c r="JO35" s="756"/>
      <c r="JP35" s="756"/>
      <c r="JQ35" s="756"/>
      <c r="JR35" s="756"/>
      <c r="JS35" s="756"/>
      <c r="JT35" s="756"/>
      <c r="JU35" s="756"/>
      <c r="JV35" s="756"/>
      <c r="JW35" s="756"/>
      <c r="JX35" s="756"/>
      <c r="JY35" s="756"/>
      <c r="JZ35" s="756"/>
      <c r="KA35" s="756"/>
      <c r="KB35" s="756"/>
      <c r="KC35" s="756"/>
      <c r="KD35" s="756"/>
      <c r="KE35" s="756"/>
      <c r="KF35" s="756"/>
      <c r="KG35" s="756"/>
      <c r="KH35" s="756"/>
      <c r="KI35" s="756"/>
      <c r="KJ35" s="756"/>
      <c r="KK35" s="756"/>
      <c r="KL35" s="756"/>
      <c r="KM35" s="756"/>
      <c r="KN35" s="756"/>
      <c r="KO35" s="756"/>
      <c r="KP35" s="756"/>
      <c r="KQ35" s="756"/>
      <c r="KR35" s="756"/>
      <c r="KS35" s="756"/>
      <c r="KT35" s="756"/>
      <c r="KU35" s="756"/>
      <c r="KV35" s="756"/>
      <c r="KW35" s="756"/>
      <c r="KX35" s="756"/>
      <c r="KY35" s="756"/>
      <c r="KZ35" s="756"/>
      <c r="LA35" s="756"/>
      <c r="LB35" s="756"/>
      <c r="LC35" s="756"/>
      <c r="LD35" s="756"/>
      <c r="LE35" s="756"/>
      <c r="LF35" s="756"/>
      <c r="LG35" s="756"/>
      <c r="LH35" s="756"/>
      <c r="LI35" s="756"/>
      <c r="LJ35" s="756"/>
      <c r="LK35" s="756"/>
      <c r="LL35" s="756"/>
      <c r="LM35" s="756"/>
      <c r="LN35" s="756"/>
      <c r="LO35" s="756"/>
      <c r="LP35" s="756"/>
      <c r="LQ35" s="756"/>
      <c r="LR35" s="756"/>
      <c r="LS35" s="756"/>
      <c r="LT35" s="756"/>
      <c r="LU35" s="756"/>
      <c r="LV35" s="756"/>
      <c r="LW35" s="756"/>
      <c r="LX35" s="756"/>
      <c r="LY35" s="756"/>
      <c r="LZ35" s="756"/>
      <c r="MA35" s="756"/>
      <c r="MB35" s="756"/>
      <c r="MC35" s="756"/>
      <c r="MD35" s="756"/>
      <c r="ME35" s="756"/>
      <c r="MF35" s="756"/>
      <c r="MG35" s="756"/>
      <c r="MH35" s="756"/>
      <c r="MI35" s="756"/>
      <c r="MJ35" s="756"/>
      <c r="MK35" s="756"/>
      <c r="ML35" s="756"/>
      <c r="MM35" s="756"/>
      <c r="MN35" s="756"/>
      <c r="MO35" s="756"/>
      <c r="MP35" s="756"/>
      <c r="MQ35" s="756"/>
      <c r="MR35" s="756"/>
      <c r="MS35" s="756"/>
      <c r="MT35" s="756"/>
      <c r="MU35" s="756"/>
      <c r="MV35" s="756"/>
      <c r="MW35" s="756"/>
      <c r="MX35" s="756"/>
      <c r="MY35" s="756"/>
      <c r="MZ35" s="756"/>
      <c r="NA35" s="756"/>
      <c r="NB35" s="756"/>
      <c r="NC35" s="756"/>
      <c r="ND35" s="756"/>
      <c r="NE35" s="756"/>
      <c r="NF35" s="756"/>
      <c r="NG35" s="756"/>
      <c r="NH35" s="756"/>
      <c r="NI35" s="756"/>
      <c r="NJ35" s="756"/>
      <c r="NK35" s="756"/>
      <c r="NL35" s="756"/>
      <c r="NM35" s="756"/>
      <c r="NN35" s="756"/>
      <c r="NO35" s="756"/>
      <c r="NP35" s="756"/>
      <c r="NQ35" s="756"/>
      <c r="NR35" s="756"/>
      <c r="NS35" s="756"/>
      <c r="NT35" s="756"/>
      <c r="NU35" s="756"/>
      <c r="NV35" s="756"/>
      <c r="NW35" s="756"/>
      <c r="NX35" s="756"/>
      <c r="NY35" s="756"/>
      <c r="NZ35" s="756"/>
      <c r="OA35" s="756"/>
      <c r="OB35" s="756"/>
      <c r="OC35" s="756"/>
      <c r="OD35" s="756"/>
      <c r="OE35" s="756"/>
      <c r="OF35" s="756"/>
      <c r="OG35" s="756"/>
      <c r="OH35" s="756"/>
      <c r="OI35" s="756"/>
      <c r="OJ35" s="756"/>
      <c r="OK35" s="756"/>
      <c r="OL35" s="756"/>
      <c r="OM35" s="756"/>
      <c r="ON35" s="756"/>
      <c r="OO35" s="756"/>
      <c r="OP35" s="756"/>
      <c r="OQ35" s="756"/>
      <c r="OR35" s="756"/>
      <c r="OS35" s="756"/>
      <c r="OT35" s="756"/>
      <c r="OU35" s="756"/>
      <c r="OV35" s="756"/>
      <c r="OW35" s="756"/>
      <c r="OX35" s="756"/>
      <c r="OY35" s="756"/>
      <c r="OZ35" s="756"/>
      <c r="PA35" s="756"/>
      <c r="PB35" s="756"/>
      <c r="PC35" s="756"/>
      <c r="PD35" s="756"/>
      <c r="PE35" s="756"/>
      <c r="PF35" s="756"/>
      <c r="PG35" s="756"/>
      <c r="PH35" s="756"/>
      <c r="PI35" s="756"/>
      <c r="PJ35" s="756"/>
      <c r="PK35" s="756"/>
      <c r="PL35" s="756"/>
      <c r="PM35" s="756"/>
      <c r="PN35" s="756"/>
      <c r="PO35" s="756"/>
      <c r="PP35" s="756"/>
      <c r="PQ35" s="756"/>
      <c r="PR35" s="756"/>
      <c r="PS35" s="756"/>
      <c r="PT35" s="756"/>
      <c r="PU35" s="756"/>
      <c r="PV35" s="756"/>
      <c r="PW35" s="756"/>
      <c r="PX35" s="756"/>
      <c r="PY35" s="756"/>
      <c r="PZ35" s="756"/>
      <c r="QA35" s="756"/>
      <c r="QB35" s="756"/>
      <c r="QC35" s="756"/>
      <c r="QD35" s="756"/>
      <c r="QE35" s="756"/>
      <c r="QF35" s="756"/>
      <c r="QG35" s="756"/>
      <c r="QH35" s="756"/>
      <c r="QI35" s="756"/>
      <c r="QJ35" s="756"/>
      <c r="QK35" s="756"/>
      <c r="QL35" s="756"/>
      <c r="QM35" s="756"/>
      <c r="QN35" s="756"/>
      <c r="QO35" s="756"/>
      <c r="QP35" s="756"/>
      <c r="QQ35" s="756"/>
      <c r="QR35" s="756"/>
      <c r="QS35" s="756"/>
      <c r="QT35" s="756"/>
      <c r="QU35" s="756"/>
      <c r="QV35" s="756"/>
      <c r="QW35" s="756"/>
      <c r="QX35" s="756"/>
      <c r="QY35" s="756"/>
      <c r="QZ35" s="756"/>
      <c r="RA35" s="756"/>
      <c r="RB35" s="756"/>
      <c r="RC35" s="756"/>
      <c r="RD35" s="756"/>
      <c r="RE35" s="756"/>
      <c r="RF35" s="756"/>
      <c r="RG35" s="756"/>
      <c r="RH35" s="756"/>
      <c r="RI35" s="756"/>
      <c r="RJ35" s="756"/>
      <c r="RK35" s="756"/>
      <c r="RL35" s="756"/>
      <c r="RM35" s="756"/>
      <c r="RN35" s="756"/>
      <c r="RO35" s="756"/>
      <c r="RP35" s="756"/>
      <c r="RQ35" s="756"/>
      <c r="RR35" s="756"/>
      <c r="RS35" s="756"/>
      <c r="RT35" s="756"/>
      <c r="RU35" s="756"/>
      <c r="RV35" s="756"/>
      <c r="RW35" s="756"/>
      <c r="RX35" s="756"/>
      <c r="RY35" s="756"/>
      <c r="RZ35" s="756"/>
      <c r="SA35" s="756"/>
      <c r="SB35" s="756"/>
      <c r="SC35" s="756"/>
      <c r="SD35" s="756"/>
      <c r="SE35" s="756"/>
      <c r="SF35" s="756"/>
      <c r="SG35" s="756"/>
      <c r="SH35" s="756"/>
      <c r="SI35" s="756"/>
      <c r="SJ35" s="756"/>
      <c r="SK35" s="756"/>
      <c r="SL35" s="756"/>
      <c r="SM35" s="756"/>
      <c r="SN35" s="756"/>
      <c r="SO35" s="756"/>
      <c r="SP35" s="756"/>
      <c r="SQ35" s="756"/>
      <c r="SR35" s="756"/>
    </row>
    <row r="36" spans="1:512" ht="15" customHeight="1">
      <c r="A36" s="969"/>
      <c r="B36" s="969"/>
      <c r="C36" s="969"/>
      <c r="D36" s="969" t="s">
        <v>923</v>
      </c>
      <c r="E36" s="969" t="s">
        <v>210</v>
      </c>
      <c r="F36" s="969"/>
      <c r="G36" s="839">
        <v>2</v>
      </c>
      <c r="H36" s="1028"/>
      <c r="I36" s="839"/>
      <c r="J36" s="839"/>
      <c r="K36" s="839"/>
      <c r="L36" s="839"/>
      <c r="M36" s="839"/>
      <c r="N36" s="839"/>
      <c r="O36" s="839"/>
      <c r="P36" s="839"/>
      <c r="Q36" s="839"/>
      <c r="R36" s="839"/>
      <c r="S36" s="839"/>
      <c r="T36" s="839"/>
      <c r="U36" s="756"/>
      <c r="V36" s="756"/>
      <c r="W36" s="756"/>
      <c r="X36" s="756"/>
      <c r="Y36" s="756"/>
      <c r="Z36" s="756"/>
      <c r="AA36" s="756"/>
      <c r="AB36" s="756"/>
      <c r="AC36" s="756"/>
      <c r="AD36" s="756"/>
      <c r="AE36" s="756"/>
      <c r="AF36" s="756"/>
      <c r="AG36" s="756"/>
      <c r="AH36" s="756"/>
      <c r="AI36" s="756"/>
      <c r="AJ36" s="756"/>
      <c r="AK36" s="756"/>
      <c r="AL36" s="756"/>
      <c r="AM36" s="756"/>
      <c r="AN36" s="756"/>
      <c r="AO36" s="756"/>
      <c r="AP36" s="756"/>
      <c r="AQ36" s="756"/>
      <c r="AR36" s="756"/>
      <c r="AS36" s="756"/>
      <c r="AT36" s="756"/>
      <c r="AU36" s="756"/>
      <c r="AV36" s="756"/>
      <c r="AW36" s="756"/>
      <c r="AX36" s="756"/>
      <c r="AY36" s="756"/>
      <c r="AZ36" s="756"/>
      <c r="BA36" s="756"/>
      <c r="BB36" s="756"/>
      <c r="BC36" s="756"/>
      <c r="BD36" s="756"/>
      <c r="BE36" s="756"/>
      <c r="BF36" s="756"/>
      <c r="BG36" s="756"/>
      <c r="BH36" s="756"/>
      <c r="BI36" s="756"/>
      <c r="BJ36" s="756"/>
      <c r="BK36" s="756"/>
      <c r="BL36" s="756"/>
      <c r="BM36" s="756"/>
      <c r="BN36" s="756"/>
      <c r="BO36" s="756"/>
      <c r="BP36" s="756"/>
      <c r="BQ36" s="756"/>
      <c r="BR36" s="756"/>
      <c r="BS36" s="756"/>
      <c r="BT36" s="756"/>
      <c r="BU36" s="756"/>
      <c r="BV36" s="756"/>
      <c r="BW36" s="756"/>
      <c r="BX36" s="756"/>
      <c r="BY36" s="756"/>
      <c r="BZ36" s="756"/>
      <c r="CA36" s="756"/>
      <c r="CB36" s="756"/>
      <c r="CC36" s="756"/>
      <c r="CD36" s="756"/>
      <c r="CE36" s="756"/>
      <c r="CF36" s="756"/>
      <c r="CG36" s="756"/>
      <c r="CH36" s="756"/>
      <c r="CI36" s="756"/>
      <c r="CJ36" s="756"/>
      <c r="CK36" s="756"/>
      <c r="CL36" s="756"/>
      <c r="CM36" s="756"/>
      <c r="CN36" s="756"/>
      <c r="CO36" s="756"/>
      <c r="CP36" s="756"/>
      <c r="CQ36" s="756"/>
      <c r="CR36" s="756"/>
      <c r="CS36" s="756"/>
      <c r="CT36" s="756"/>
      <c r="CU36" s="756"/>
      <c r="CV36" s="756"/>
      <c r="CW36" s="756"/>
      <c r="CX36" s="756"/>
      <c r="CY36" s="756"/>
      <c r="CZ36" s="756"/>
      <c r="DA36" s="756"/>
      <c r="DB36" s="756"/>
      <c r="DC36" s="756"/>
      <c r="DD36" s="756"/>
      <c r="DE36" s="756"/>
      <c r="DF36" s="756"/>
      <c r="DG36" s="756"/>
      <c r="DH36" s="756"/>
      <c r="DI36" s="756"/>
      <c r="DJ36" s="756"/>
      <c r="DK36" s="756"/>
      <c r="DL36" s="756"/>
      <c r="DM36" s="756"/>
      <c r="DN36" s="756"/>
      <c r="DO36" s="756"/>
      <c r="DP36" s="756"/>
      <c r="DQ36" s="756"/>
      <c r="DR36" s="756"/>
      <c r="DS36" s="756"/>
      <c r="DT36" s="756"/>
      <c r="DU36" s="756"/>
      <c r="DV36" s="756"/>
      <c r="DW36" s="756"/>
      <c r="DX36" s="756"/>
      <c r="DY36" s="756"/>
      <c r="DZ36" s="756"/>
      <c r="EA36" s="756"/>
      <c r="EB36" s="756"/>
      <c r="EC36" s="756"/>
      <c r="ED36" s="756"/>
      <c r="EE36" s="756"/>
      <c r="EF36" s="756"/>
      <c r="EG36" s="756"/>
      <c r="EH36" s="756"/>
      <c r="EI36" s="756"/>
      <c r="EJ36" s="756"/>
      <c r="EK36" s="756"/>
      <c r="EL36" s="756"/>
      <c r="EM36" s="756"/>
      <c r="EN36" s="756"/>
      <c r="EO36" s="756"/>
      <c r="EP36" s="756"/>
      <c r="EQ36" s="756"/>
      <c r="ER36" s="756"/>
      <c r="ES36" s="756"/>
      <c r="ET36" s="756"/>
      <c r="EU36" s="756"/>
      <c r="EV36" s="756"/>
      <c r="EW36" s="756"/>
      <c r="EX36" s="756"/>
      <c r="EY36" s="756"/>
      <c r="EZ36" s="756"/>
      <c r="FA36" s="756"/>
      <c r="FB36" s="756"/>
      <c r="FC36" s="756"/>
      <c r="FD36" s="756"/>
      <c r="FE36" s="756"/>
      <c r="FF36" s="756"/>
      <c r="FG36" s="756"/>
      <c r="FH36" s="756"/>
      <c r="FI36" s="756"/>
      <c r="FJ36" s="756"/>
      <c r="FK36" s="756"/>
      <c r="FL36" s="756"/>
      <c r="FM36" s="756"/>
      <c r="FN36" s="756"/>
      <c r="FO36" s="756"/>
      <c r="FP36" s="756"/>
      <c r="FQ36" s="756"/>
      <c r="FR36" s="756"/>
      <c r="FS36" s="756"/>
      <c r="FT36" s="756"/>
      <c r="FU36" s="756"/>
      <c r="FV36" s="756"/>
      <c r="FW36" s="756"/>
      <c r="FX36" s="756"/>
      <c r="FY36" s="756"/>
      <c r="FZ36" s="756"/>
      <c r="GA36" s="756"/>
      <c r="GB36" s="756"/>
      <c r="GC36" s="756"/>
      <c r="GD36" s="756"/>
      <c r="GE36" s="756"/>
      <c r="GF36" s="756"/>
      <c r="GG36" s="756"/>
      <c r="GH36" s="756"/>
      <c r="GI36" s="756"/>
      <c r="GJ36" s="756"/>
      <c r="GK36" s="756"/>
      <c r="GL36" s="756"/>
      <c r="GM36" s="756"/>
      <c r="GN36" s="756"/>
      <c r="GO36" s="756"/>
      <c r="GP36" s="756"/>
      <c r="GQ36" s="756"/>
      <c r="GR36" s="756"/>
      <c r="GS36" s="756"/>
      <c r="GT36" s="756"/>
      <c r="GU36" s="756"/>
      <c r="GV36" s="756"/>
      <c r="GW36" s="756"/>
      <c r="GX36" s="756"/>
      <c r="GY36" s="756"/>
      <c r="GZ36" s="756"/>
      <c r="HA36" s="756"/>
      <c r="HB36" s="756"/>
      <c r="HC36" s="756"/>
      <c r="HD36" s="756"/>
      <c r="HE36" s="756"/>
      <c r="HF36" s="756"/>
      <c r="HG36" s="756"/>
      <c r="HH36" s="756"/>
      <c r="HI36" s="756"/>
      <c r="HJ36" s="756"/>
      <c r="HK36" s="756"/>
      <c r="HL36" s="756"/>
      <c r="HM36" s="756"/>
      <c r="HN36" s="756"/>
      <c r="HO36" s="756"/>
      <c r="HP36" s="756"/>
      <c r="HQ36" s="756"/>
      <c r="HR36" s="756"/>
      <c r="HS36" s="756"/>
      <c r="HT36" s="756"/>
      <c r="HU36" s="756"/>
      <c r="HV36" s="756"/>
      <c r="HW36" s="756"/>
      <c r="HX36" s="756"/>
      <c r="HY36" s="756"/>
      <c r="HZ36" s="756"/>
      <c r="IA36" s="756"/>
      <c r="IB36" s="756"/>
      <c r="IC36" s="756"/>
      <c r="ID36" s="756"/>
      <c r="IE36" s="756"/>
      <c r="IF36" s="756"/>
      <c r="IG36" s="756"/>
      <c r="IH36" s="756"/>
      <c r="II36" s="756"/>
      <c r="IJ36" s="756"/>
      <c r="IK36" s="756"/>
      <c r="IL36" s="756"/>
      <c r="IM36" s="756"/>
      <c r="IN36" s="756"/>
      <c r="IO36" s="756"/>
      <c r="IP36" s="756"/>
      <c r="IQ36" s="756"/>
      <c r="IR36" s="756"/>
      <c r="IS36" s="756"/>
      <c r="IT36" s="756"/>
      <c r="IU36" s="756"/>
      <c r="IV36" s="756"/>
      <c r="IW36" s="756"/>
      <c r="IX36" s="756"/>
      <c r="IY36" s="756"/>
      <c r="IZ36" s="756"/>
      <c r="JA36" s="756"/>
      <c r="JB36" s="756"/>
      <c r="JC36" s="756"/>
      <c r="JD36" s="756"/>
      <c r="JE36" s="756"/>
      <c r="JF36" s="756"/>
      <c r="JG36" s="756"/>
      <c r="JH36" s="756"/>
      <c r="JI36" s="756"/>
      <c r="JJ36" s="756"/>
      <c r="JK36" s="756"/>
      <c r="JL36" s="756"/>
      <c r="JM36" s="756"/>
      <c r="JN36" s="756"/>
      <c r="JO36" s="756"/>
      <c r="JP36" s="756"/>
      <c r="JQ36" s="756"/>
      <c r="JR36" s="756"/>
      <c r="JS36" s="756"/>
      <c r="JT36" s="756"/>
      <c r="JU36" s="756"/>
      <c r="JV36" s="756"/>
      <c r="JW36" s="756"/>
      <c r="JX36" s="756"/>
      <c r="JY36" s="756"/>
      <c r="JZ36" s="756"/>
      <c r="KA36" s="756"/>
      <c r="KB36" s="756"/>
      <c r="KC36" s="756"/>
      <c r="KD36" s="756"/>
      <c r="KE36" s="756"/>
      <c r="KF36" s="756"/>
      <c r="KG36" s="756"/>
      <c r="KH36" s="756"/>
      <c r="KI36" s="756"/>
      <c r="KJ36" s="756"/>
      <c r="KK36" s="756"/>
      <c r="KL36" s="756"/>
      <c r="KM36" s="756"/>
      <c r="KN36" s="756"/>
      <c r="KO36" s="756"/>
      <c r="KP36" s="756"/>
      <c r="KQ36" s="756"/>
      <c r="KR36" s="756"/>
      <c r="KS36" s="756"/>
      <c r="KT36" s="756"/>
      <c r="KU36" s="756"/>
      <c r="KV36" s="756"/>
      <c r="KW36" s="756"/>
      <c r="KX36" s="756"/>
      <c r="KY36" s="756"/>
      <c r="KZ36" s="756"/>
      <c r="LA36" s="756"/>
      <c r="LB36" s="756"/>
      <c r="LC36" s="756"/>
      <c r="LD36" s="756"/>
      <c r="LE36" s="756"/>
      <c r="LF36" s="756"/>
      <c r="LG36" s="756"/>
      <c r="LH36" s="756"/>
      <c r="LI36" s="756"/>
      <c r="LJ36" s="756"/>
      <c r="LK36" s="756"/>
      <c r="LL36" s="756"/>
      <c r="LM36" s="756"/>
      <c r="LN36" s="756"/>
      <c r="LO36" s="756"/>
      <c r="LP36" s="756"/>
      <c r="LQ36" s="756"/>
      <c r="LR36" s="756"/>
      <c r="LS36" s="756"/>
      <c r="LT36" s="756"/>
      <c r="LU36" s="756"/>
      <c r="LV36" s="756"/>
      <c r="LW36" s="756"/>
      <c r="LX36" s="756"/>
      <c r="LY36" s="756"/>
      <c r="LZ36" s="756"/>
      <c r="MA36" s="756"/>
      <c r="MB36" s="756"/>
      <c r="MC36" s="756"/>
      <c r="MD36" s="756"/>
      <c r="ME36" s="756"/>
      <c r="MF36" s="756"/>
      <c r="MG36" s="756"/>
      <c r="MH36" s="756"/>
      <c r="MI36" s="756"/>
      <c r="MJ36" s="756"/>
      <c r="MK36" s="756"/>
      <c r="ML36" s="756"/>
      <c r="MM36" s="756"/>
      <c r="MN36" s="756"/>
      <c r="MO36" s="756"/>
      <c r="MP36" s="756"/>
      <c r="MQ36" s="756"/>
      <c r="MR36" s="756"/>
      <c r="MS36" s="756"/>
      <c r="MT36" s="756"/>
      <c r="MU36" s="756"/>
      <c r="MV36" s="756"/>
      <c r="MW36" s="756"/>
      <c r="MX36" s="756"/>
      <c r="MY36" s="756"/>
      <c r="MZ36" s="756"/>
      <c r="NA36" s="756"/>
      <c r="NB36" s="756"/>
      <c r="NC36" s="756"/>
      <c r="ND36" s="756"/>
      <c r="NE36" s="756"/>
      <c r="NF36" s="756"/>
      <c r="NG36" s="756"/>
      <c r="NH36" s="756"/>
      <c r="NI36" s="756"/>
      <c r="NJ36" s="756"/>
      <c r="NK36" s="756"/>
      <c r="NL36" s="756"/>
      <c r="NM36" s="756"/>
      <c r="NN36" s="756"/>
      <c r="NO36" s="756"/>
      <c r="NP36" s="756"/>
      <c r="NQ36" s="756"/>
      <c r="NR36" s="756"/>
      <c r="NS36" s="756"/>
      <c r="NT36" s="756"/>
      <c r="NU36" s="756"/>
      <c r="NV36" s="756"/>
      <c r="NW36" s="756"/>
      <c r="NX36" s="756"/>
      <c r="NY36" s="756"/>
      <c r="NZ36" s="756"/>
      <c r="OA36" s="756"/>
      <c r="OB36" s="756"/>
      <c r="OC36" s="756"/>
      <c r="OD36" s="756"/>
      <c r="OE36" s="756"/>
      <c r="OF36" s="756"/>
      <c r="OG36" s="756"/>
      <c r="OH36" s="756"/>
      <c r="OI36" s="756"/>
      <c r="OJ36" s="756"/>
      <c r="OK36" s="756"/>
      <c r="OL36" s="756"/>
      <c r="OM36" s="756"/>
      <c r="ON36" s="756"/>
      <c r="OO36" s="756"/>
      <c r="OP36" s="756"/>
      <c r="OQ36" s="756"/>
      <c r="OR36" s="756"/>
      <c r="OS36" s="756"/>
      <c r="OT36" s="756"/>
      <c r="OU36" s="756"/>
      <c r="OV36" s="756"/>
      <c r="OW36" s="756"/>
      <c r="OX36" s="756"/>
      <c r="OY36" s="756"/>
      <c r="OZ36" s="756"/>
      <c r="PA36" s="756"/>
      <c r="PB36" s="756"/>
      <c r="PC36" s="756"/>
      <c r="PD36" s="756"/>
      <c r="PE36" s="756"/>
      <c r="PF36" s="756"/>
      <c r="PG36" s="756"/>
      <c r="PH36" s="756"/>
      <c r="PI36" s="756"/>
      <c r="PJ36" s="756"/>
      <c r="PK36" s="756"/>
      <c r="PL36" s="756"/>
      <c r="PM36" s="756"/>
      <c r="PN36" s="756"/>
      <c r="PO36" s="756"/>
      <c r="PP36" s="756"/>
      <c r="PQ36" s="756"/>
      <c r="PR36" s="756"/>
      <c r="PS36" s="756"/>
      <c r="PT36" s="756"/>
      <c r="PU36" s="756"/>
      <c r="PV36" s="756"/>
      <c r="PW36" s="756"/>
      <c r="PX36" s="756"/>
      <c r="PY36" s="756"/>
      <c r="PZ36" s="756"/>
      <c r="QA36" s="756"/>
      <c r="QB36" s="756"/>
      <c r="QC36" s="756"/>
      <c r="QD36" s="756"/>
      <c r="QE36" s="756"/>
      <c r="QF36" s="756"/>
      <c r="QG36" s="756"/>
      <c r="QH36" s="756"/>
      <c r="QI36" s="756"/>
      <c r="QJ36" s="756"/>
      <c r="QK36" s="756"/>
      <c r="QL36" s="756"/>
      <c r="QM36" s="756"/>
      <c r="QN36" s="756"/>
      <c r="QO36" s="756"/>
      <c r="QP36" s="756"/>
      <c r="QQ36" s="756"/>
      <c r="QR36" s="756"/>
      <c r="QS36" s="756"/>
      <c r="QT36" s="756"/>
      <c r="QU36" s="756"/>
      <c r="QV36" s="756"/>
      <c r="QW36" s="756"/>
      <c r="QX36" s="756"/>
      <c r="QY36" s="756"/>
      <c r="QZ36" s="756"/>
      <c r="RA36" s="756"/>
      <c r="RB36" s="756"/>
      <c r="RC36" s="756"/>
      <c r="RD36" s="756"/>
      <c r="RE36" s="756"/>
      <c r="RF36" s="756"/>
      <c r="RG36" s="756"/>
      <c r="RH36" s="756"/>
      <c r="RI36" s="756"/>
      <c r="RJ36" s="756"/>
      <c r="RK36" s="756"/>
      <c r="RL36" s="756"/>
      <c r="RM36" s="756"/>
      <c r="RN36" s="756"/>
      <c r="RO36" s="756"/>
      <c r="RP36" s="756"/>
      <c r="RQ36" s="756"/>
      <c r="RR36" s="756"/>
      <c r="RS36" s="756"/>
      <c r="RT36" s="756"/>
      <c r="RU36" s="756"/>
      <c r="RV36" s="756"/>
      <c r="RW36" s="756"/>
      <c r="RX36" s="756"/>
      <c r="RY36" s="756"/>
      <c r="RZ36" s="756"/>
      <c r="SA36" s="756"/>
      <c r="SB36" s="756"/>
      <c r="SC36" s="756"/>
      <c r="SD36" s="756"/>
      <c r="SE36" s="756"/>
      <c r="SF36" s="756"/>
      <c r="SG36" s="756"/>
      <c r="SH36" s="756"/>
      <c r="SI36" s="756"/>
      <c r="SJ36" s="756"/>
      <c r="SK36" s="756"/>
      <c r="SL36" s="756"/>
      <c r="SM36" s="756"/>
      <c r="SN36" s="756"/>
      <c r="SO36" s="756"/>
      <c r="SP36" s="756"/>
      <c r="SQ36" s="756"/>
      <c r="SR36" s="756"/>
    </row>
    <row r="37" spans="1:512" ht="15" customHeight="1">
      <c r="A37" s="969"/>
      <c r="B37" s="969"/>
      <c r="C37" s="969"/>
      <c r="D37" s="969" t="s">
        <v>1790</v>
      </c>
      <c r="E37" s="969" t="s">
        <v>210</v>
      </c>
      <c r="F37" s="969"/>
      <c r="G37" s="839">
        <v>1</v>
      </c>
      <c r="H37" s="1028"/>
      <c r="I37" s="839"/>
      <c r="J37" s="839"/>
      <c r="K37" s="839"/>
      <c r="L37" s="839"/>
      <c r="M37" s="839"/>
      <c r="N37" s="839"/>
      <c r="O37" s="839"/>
      <c r="P37" s="839"/>
      <c r="Q37" s="839"/>
      <c r="R37" s="839"/>
      <c r="S37" s="839"/>
      <c r="T37" s="839"/>
      <c r="U37" s="756"/>
      <c r="V37" s="756"/>
      <c r="W37" s="756"/>
      <c r="X37" s="756"/>
      <c r="Y37" s="756"/>
      <c r="Z37" s="756"/>
      <c r="AA37" s="756"/>
      <c r="AB37" s="756"/>
      <c r="AC37" s="756"/>
      <c r="AD37" s="756"/>
      <c r="AE37" s="756"/>
      <c r="AF37" s="756"/>
      <c r="AG37" s="756"/>
      <c r="AH37" s="756"/>
      <c r="AI37" s="756"/>
      <c r="AJ37" s="756"/>
      <c r="AK37" s="756"/>
      <c r="AL37" s="756"/>
      <c r="AM37" s="756"/>
      <c r="AN37" s="756"/>
      <c r="AO37" s="756"/>
      <c r="AP37" s="756"/>
      <c r="AQ37" s="756"/>
      <c r="AR37" s="756"/>
      <c r="AS37" s="756"/>
      <c r="AT37" s="756"/>
      <c r="AU37" s="756"/>
      <c r="AV37" s="756"/>
      <c r="AW37" s="756"/>
      <c r="AX37" s="756"/>
      <c r="AY37" s="756"/>
      <c r="AZ37" s="756"/>
      <c r="BA37" s="756"/>
      <c r="BB37" s="756"/>
      <c r="BC37" s="756"/>
      <c r="BD37" s="756"/>
      <c r="BE37" s="756"/>
      <c r="BF37" s="756"/>
      <c r="BG37" s="756"/>
      <c r="BH37" s="756"/>
      <c r="BI37" s="756"/>
      <c r="BJ37" s="756"/>
      <c r="BK37" s="756"/>
      <c r="BL37" s="756"/>
      <c r="BM37" s="756"/>
      <c r="BN37" s="756"/>
      <c r="BO37" s="756"/>
      <c r="BP37" s="756"/>
      <c r="BQ37" s="756"/>
      <c r="BR37" s="756"/>
      <c r="BS37" s="756"/>
      <c r="BT37" s="756"/>
      <c r="BU37" s="756"/>
      <c r="BV37" s="756"/>
      <c r="BW37" s="756"/>
      <c r="BX37" s="756"/>
      <c r="BY37" s="756"/>
      <c r="BZ37" s="756"/>
      <c r="CA37" s="756"/>
      <c r="CB37" s="756"/>
      <c r="CC37" s="756"/>
      <c r="CD37" s="756"/>
      <c r="CE37" s="756"/>
      <c r="CF37" s="756"/>
      <c r="CG37" s="756"/>
      <c r="CH37" s="756"/>
      <c r="CI37" s="756"/>
      <c r="CJ37" s="756"/>
      <c r="CK37" s="756"/>
      <c r="CL37" s="756"/>
      <c r="CM37" s="756"/>
      <c r="CN37" s="756"/>
      <c r="CO37" s="756"/>
      <c r="CP37" s="756"/>
      <c r="CQ37" s="756"/>
      <c r="CR37" s="756"/>
      <c r="CS37" s="756"/>
      <c r="CT37" s="756"/>
      <c r="CU37" s="756"/>
      <c r="CV37" s="756"/>
      <c r="CW37" s="756"/>
      <c r="CX37" s="756"/>
      <c r="CY37" s="756"/>
      <c r="CZ37" s="756"/>
      <c r="DA37" s="756"/>
      <c r="DB37" s="756"/>
      <c r="DC37" s="756"/>
      <c r="DD37" s="756"/>
      <c r="DE37" s="756"/>
      <c r="DF37" s="756"/>
      <c r="DG37" s="756"/>
      <c r="DH37" s="756"/>
      <c r="DI37" s="756"/>
      <c r="DJ37" s="756"/>
      <c r="DK37" s="756"/>
      <c r="DL37" s="756"/>
      <c r="DM37" s="756"/>
      <c r="DN37" s="756"/>
      <c r="DO37" s="756"/>
      <c r="DP37" s="756"/>
      <c r="DQ37" s="756"/>
      <c r="DR37" s="756"/>
      <c r="DS37" s="756"/>
      <c r="DT37" s="756"/>
      <c r="DU37" s="756"/>
      <c r="DV37" s="756"/>
      <c r="DW37" s="756"/>
      <c r="DX37" s="756"/>
      <c r="DY37" s="756"/>
      <c r="DZ37" s="756"/>
      <c r="EA37" s="756"/>
      <c r="EB37" s="756"/>
      <c r="EC37" s="756"/>
      <c r="ED37" s="756"/>
      <c r="EE37" s="756"/>
      <c r="EF37" s="756"/>
      <c r="EG37" s="756"/>
      <c r="EH37" s="756"/>
      <c r="EI37" s="756"/>
      <c r="EJ37" s="756"/>
      <c r="EK37" s="756"/>
      <c r="EL37" s="756"/>
      <c r="EM37" s="756"/>
      <c r="EN37" s="756"/>
      <c r="EO37" s="756"/>
      <c r="EP37" s="756"/>
      <c r="EQ37" s="756"/>
      <c r="ER37" s="756"/>
      <c r="ES37" s="756"/>
      <c r="ET37" s="756"/>
      <c r="EU37" s="756"/>
      <c r="EV37" s="756"/>
      <c r="EW37" s="756"/>
      <c r="EX37" s="756"/>
      <c r="EY37" s="756"/>
      <c r="EZ37" s="756"/>
      <c r="FA37" s="756"/>
      <c r="FB37" s="756"/>
      <c r="FC37" s="756"/>
      <c r="FD37" s="756"/>
      <c r="FE37" s="756"/>
      <c r="FF37" s="756"/>
      <c r="FG37" s="756"/>
      <c r="FH37" s="756"/>
      <c r="FI37" s="756"/>
      <c r="FJ37" s="756"/>
      <c r="FK37" s="756"/>
      <c r="FL37" s="756"/>
      <c r="FM37" s="756"/>
      <c r="FN37" s="756"/>
      <c r="FO37" s="756"/>
      <c r="FP37" s="756"/>
      <c r="FQ37" s="756"/>
      <c r="FR37" s="756"/>
      <c r="FS37" s="756"/>
      <c r="FT37" s="756"/>
      <c r="FU37" s="756"/>
      <c r="FV37" s="756"/>
      <c r="FW37" s="756"/>
      <c r="FX37" s="756"/>
      <c r="FY37" s="756"/>
      <c r="FZ37" s="756"/>
      <c r="GA37" s="756"/>
      <c r="GB37" s="756"/>
      <c r="GC37" s="756"/>
      <c r="GD37" s="756"/>
      <c r="GE37" s="756"/>
      <c r="GF37" s="756"/>
      <c r="GG37" s="756"/>
      <c r="GH37" s="756"/>
      <c r="GI37" s="756"/>
      <c r="GJ37" s="756"/>
      <c r="GK37" s="756"/>
      <c r="GL37" s="756"/>
      <c r="GM37" s="756"/>
      <c r="GN37" s="756"/>
      <c r="GO37" s="756"/>
      <c r="GP37" s="756"/>
      <c r="GQ37" s="756"/>
      <c r="GR37" s="756"/>
      <c r="GS37" s="756"/>
      <c r="GT37" s="756"/>
      <c r="GU37" s="756"/>
      <c r="GV37" s="756"/>
      <c r="GW37" s="756"/>
      <c r="GX37" s="756"/>
      <c r="GY37" s="756"/>
      <c r="GZ37" s="756"/>
      <c r="HA37" s="756"/>
      <c r="HB37" s="756"/>
      <c r="HC37" s="756"/>
      <c r="HD37" s="756"/>
      <c r="HE37" s="756"/>
      <c r="HF37" s="756"/>
      <c r="HG37" s="756"/>
      <c r="HH37" s="756"/>
      <c r="HI37" s="756"/>
      <c r="HJ37" s="756"/>
      <c r="HK37" s="756"/>
      <c r="HL37" s="756"/>
      <c r="HM37" s="756"/>
      <c r="HN37" s="756"/>
      <c r="HO37" s="756"/>
      <c r="HP37" s="756"/>
      <c r="HQ37" s="756"/>
      <c r="HR37" s="756"/>
      <c r="HS37" s="756"/>
      <c r="HT37" s="756"/>
      <c r="HU37" s="756"/>
      <c r="HV37" s="756"/>
      <c r="HW37" s="756"/>
      <c r="HX37" s="756"/>
      <c r="HY37" s="756"/>
      <c r="HZ37" s="756"/>
      <c r="IA37" s="756"/>
      <c r="IB37" s="756"/>
      <c r="IC37" s="756"/>
      <c r="ID37" s="756"/>
      <c r="IE37" s="756"/>
      <c r="IF37" s="756"/>
      <c r="IG37" s="756"/>
      <c r="IH37" s="756"/>
      <c r="II37" s="756"/>
      <c r="IJ37" s="756"/>
      <c r="IK37" s="756"/>
      <c r="IL37" s="756"/>
      <c r="IM37" s="756"/>
      <c r="IN37" s="756"/>
      <c r="IO37" s="756"/>
      <c r="IP37" s="756"/>
      <c r="IQ37" s="756"/>
      <c r="IR37" s="756"/>
      <c r="IS37" s="756"/>
      <c r="IT37" s="756"/>
      <c r="IU37" s="756"/>
      <c r="IV37" s="756"/>
      <c r="IW37" s="756"/>
      <c r="IX37" s="756"/>
      <c r="IY37" s="756"/>
      <c r="IZ37" s="756"/>
      <c r="JA37" s="756"/>
      <c r="JB37" s="756"/>
      <c r="JC37" s="756"/>
      <c r="JD37" s="756"/>
      <c r="JE37" s="756"/>
      <c r="JF37" s="756"/>
      <c r="JG37" s="756"/>
      <c r="JH37" s="756"/>
      <c r="JI37" s="756"/>
      <c r="JJ37" s="756"/>
      <c r="JK37" s="756"/>
      <c r="JL37" s="756"/>
      <c r="JM37" s="756"/>
      <c r="JN37" s="756"/>
      <c r="JO37" s="756"/>
      <c r="JP37" s="756"/>
      <c r="JQ37" s="756"/>
      <c r="JR37" s="756"/>
      <c r="JS37" s="756"/>
      <c r="JT37" s="756"/>
      <c r="JU37" s="756"/>
      <c r="JV37" s="756"/>
      <c r="JW37" s="756"/>
      <c r="JX37" s="756"/>
      <c r="JY37" s="756"/>
      <c r="JZ37" s="756"/>
      <c r="KA37" s="756"/>
      <c r="KB37" s="756"/>
      <c r="KC37" s="756"/>
      <c r="KD37" s="756"/>
      <c r="KE37" s="756"/>
      <c r="KF37" s="756"/>
      <c r="KG37" s="756"/>
      <c r="KH37" s="756"/>
      <c r="KI37" s="756"/>
      <c r="KJ37" s="756"/>
      <c r="KK37" s="756"/>
      <c r="KL37" s="756"/>
      <c r="KM37" s="756"/>
      <c r="KN37" s="756"/>
      <c r="KO37" s="756"/>
      <c r="KP37" s="756"/>
      <c r="KQ37" s="756"/>
      <c r="KR37" s="756"/>
      <c r="KS37" s="756"/>
      <c r="KT37" s="756"/>
      <c r="KU37" s="756"/>
      <c r="KV37" s="756"/>
      <c r="KW37" s="756"/>
      <c r="KX37" s="756"/>
      <c r="KY37" s="756"/>
      <c r="KZ37" s="756"/>
      <c r="LA37" s="756"/>
      <c r="LB37" s="756"/>
      <c r="LC37" s="756"/>
      <c r="LD37" s="756"/>
      <c r="LE37" s="756"/>
      <c r="LF37" s="756"/>
      <c r="LG37" s="756"/>
      <c r="LH37" s="756"/>
      <c r="LI37" s="756"/>
      <c r="LJ37" s="756"/>
      <c r="LK37" s="756"/>
      <c r="LL37" s="756"/>
      <c r="LM37" s="756"/>
      <c r="LN37" s="756"/>
      <c r="LO37" s="756"/>
      <c r="LP37" s="756"/>
      <c r="LQ37" s="756"/>
      <c r="LR37" s="756"/>
      <c r="LS37" s="756"/>
      <c r="LT37" s="756"/>
      <c r="LU37" s="756"/>
      <c r="LV37" s="756"/>
      <c r="LW37" s="756"/>
      <c r="LX37" s="756"/>
      <c r="LY37" s="756"/>
      <c r="LZ37" s="756"/>
      <c r="MA37" s="756"/>
      <c r="MB37" s="756"/>
      <c r="MC37" s="756"/>
      <c r="MD37" s="756"/>
      <c r="ME37" s="756"/>
      <c r="MF37" s="756"/>
      <c r="MG37" s="756"/>
      <c r="MH37" s="756"/>
      <c r="MI37" s="756"/>
      <c r="MJ37" s="756"/>
      <c r="MK37" s="756"/>
      <c r="ML37" s="756"/>
      <c r="MM37" s="756"/>
      <c r="MN37" s="756"/>
      <c r="MO37" s="756"/>
      <c r="MP37" s="756"/>
      <c r="MQ37" s="756"/>
      <c r="MR37" s="756"/>
      <c r="MS37" s="756"/>
      <c r="MT37" s="756"/>
      <c r="MU37" s="756"/>
      <c r="MV37" s="756"/>
      <c r="MW37" s="756"/>
      <c r="MX37" s="756"/>
      <c r="MY37" s="756"/>
      <c r="MZ37" s="756"/>
      <c r="NA37" s="756"/>
      <c r="NB37" s="756"/>
      <c r="NC37" s="756"/>
      <c r="ND37" s="756"/>
      <c r="NE37" s="756"/>
      <c r="NF37" s="756"/>
      <c r="NG37" s="756"/>
      <c r="NH37" s="756"/>
      <c r="NI37" s="756"/>
      <c r="NJ37" s="756"/>
      <c r="NK37" s="756"/>
      <c r="NL37" s="756"/>
      <c r="NM37" s="756"/>
      <c r="NN37" s="756"/>
      <c r="NO37" s="756"/>
      <c r="NP37" s="756"/>
      <c r="NQ37" s="756"/>
      <c r="NR37" s="756"/>
      <c r="NS37" s="756"/>
      <c r="NT37" s="756"/>
      <c r="NU37" s="756"/>
      <c r="NV37" s="756"/>
      <c r="NW37" s="756"/>
      <c r="NX37" s="756"/>
      <c r="NY37" s="756"/>
      <c r="NZ37" s="756"/>
      <c r="OA37" s="756"/>
      <c r="OB37" s="756"/>
      <c r="OC37" s="756"/>
      <c r="OD37" s="756"/>
      <c r="OE37" s="756"/>
      <c r="OF37" s="756"/>
      <c r="OG37" s="756"/>
      <c r="OH37" s="756"/>
      <c r="OI37" s="756"/>
      <c r="OJ37" s="756"/>
      <c r="OK37" s="756"/>
      <c r="OL37" s="756"/>
      <c r="OM37" s="756"/>
      <c r="ON37" s="756"/>
      <c r="OO37" s="756"/>
      <c r="OP37" s="756"/>
      <c r="OQ37" s="756"/>
      <c r="OR37" s="756"/>
      <c r="OS37" s="756"/>
      <c r="OT37" s="756"/>
      <c r="OU37" s="756"/>
      <c r="OV37" s="756"/>
      <c r="OW37" s="756"/>
      <c r="OX37" s="756"/>
      <c r="OY37" s="756"/>
      <c r="OZ37" s="756"/>
      <c r="PA37" s="756"/>
      <c r="PB37" s="756"/>
      <c r="PC37" s="756"/>
      <c r="PD37" s="756"/>
      <c r="PE37" s="756"/>
      <c r="PF37" s="756"/>
      <c r="PG37" s="756"/>
      <c r="PH37" s="756"/>
      <c r="PI37" s="756"/>
      <c r="PJ37" s="756"/>
      <c r="PK37" s="756"/>
      <c r="PL37" s="756"/>
      <c r="PM37" s="756"/>
      <c r="PN37" s="756"/>
      <c r="PO37" s="756"/>
      <c r="PP37" s="756"/>
      <c r="PQ37" s="756"/>
      <c r="PR37" s="756"/>
      <c r="PS37" s="756"/>
      <c r="PT37" s="756"/>
      <c r="PU37" s="756"/>
      <c r="PV37" s="756"/>
      <c r="PW37" s="756"/>
      <c r="PX37" s="756"/>
      <c r="PY37" s="756"/>
      <c r="PZ37" s="756"/>
      <c r="QA37" s="756"/>
      <c r="QB37" s="756"/>
      <c r="QC37" s="756"/>
      <c r="QD37" s="756"/>
      <c r="QE37" s="756"/>
      <c r="QF37" s="756"/>
      <c r="QG37" s="756"/>
      <c r="QH37" s="756"/>
      <c r="QI37" s="756"/>
      <c r="QJ37" s="756"/>
      <c r="QK37" s="756"/>
      <c r="QL37" s="756"/>
      <c r="QM37" s="756"/>
      <c r="QN37" s="756"/>
      <c r="QO37" s="756"/>
      <c r="QP37" s="756"/>
      <c r="QQ37" s="756"/>
      <c r="QR37" s="756"/>
      <c r="QS37" s="756"/>
      <c r="QT37" s="756"/>
      <c r="QU37" s="756"/>
      <c r="QV37" s="756"/>
      <c r="QW37" s="756"/>
      <c r="QX37" s="756"/>
      <c r="QY37" s="756"/>
      <c r="QZ37" s="756"/>
      <c r="RA37" s="756"/>
      <c r="RB37" s="756"/>
      <c r="RC37" s="756"/>
      <c r="RD37" s="756"/>
      <c r="RE37" s="756"/>
      <c r="RF37" s="756"/>
      <c r="RG37" s="756"/>
      <c r="RH37" s="756"/>
      <c r="RI37" s="756"/>
      <c r="RJ37" s="756"/>
      <c r="RK37" s="756"/>
      <c r="RL37" s="756"/>
      <c r="RM37" s="756"/>
      <c r="RN37" s="756"/>
      <c r="RO37" s="756"/>
      <c r="RP37" s="756"/>
      <c r="RQ37" s="756"/>
      <c r="RR37" s="756"/>
      <c r="RS37" s="756"/>
      <c r="RT37" s="756"/>
      <c r="RU37" s="756"/>
      <c r="RV37" s="756"/>
      <c r="RW37" s="756"/>
      <c r="RX37" s="756"/>
      <c r="RY37" s="756"/>
      <c r="RZ37" s="756"/>
      <c r="SA37" s="756"/>
      <c r="SB37" s="756"/>
      <c r="SC37" s="756"/>
      <c r="SD37" s="756"/>
      <c r="SE37" s="756"/>
      <c r="SF37" s="756"/>
      <c r="SG37" s="756"/>
      <c r="SH37" s="756"/>
      <c r="SI37" s="756"/>
      <c r="SJ37" s="756"/>
      <c r="SK37" s="756"/>
      <c r="SL37" s="756"/>
      <c r="SM37" s="756"/>
      <c r="SN37" s="756"/>
      <c r="SO37" s="756"/>
      <c r="SP37" s="756"/>
      <c r="SQ37" s="756"/>
      <c r="SR37" s="756"/>
    </row>
    <row r="38" spans="1:512" ht="15" customHeight="1">
      <c r="A38" s="969"/>
      <c r="B38" s="969"/>
      <c r="C38" s="969"/>
      <c r="D38" s="969" t="s">
        <v>214</v>
      </c>
      <c r="E38" s="969" t="s">
        <v>210</v>
      </c>
      <c r="F38" s="969"/>
      <c r="G38" s="839">
        <v>1</v>
      </c>
      <c r="H38" s="1028"/>
      <c r="I38" s="839"/>
      <c r="J38" s="839"/>
      <c r="K38" s="839"/>
      <c r="L38" s="839"/>
      <c r="M38" s="839"/>
      <c r="N38" s="839"/>
      <c r="O38" s="839"/>
      <c r="P38" s="839"/>
      <c r="Q38" s="839"/>
      <c r="R38" s="839"/>
      <c r="S38" s="839"/>
      <c r="T38" s="839"/>
      <c r="U38" s="756"/>
      <c r="V38" s="756"/>
      <c r="W38" s="756"/>
      <c r="X38" s="756"/>
      <c r="Y38" s="756"/>
      <c r="Z38" s="756"/>
      <c r="AA38" s="756"/>
      <c r="AB38" s="756"/>
      <c r="AC38" s="756"/>
      <c r="AD38" s="756"/>
      <c r="AE38" s="756"/>
      <c r="AF38" s="756"/>
      <c r="AG38" s="756"/>
      <c r="AH38" s="756"/>
      <c r="AI38" s="756"/>
      <c r="AJ38" s="756"/>
      <c r="AK38" s="756"/>
      <c r="AL38" s="756"/>
      <c r="AM38" s="756"/>
      <c r="AN38" s="756"/>
      <c r="AO38" s="756"/>
      <c r="AP38" s="756"/>
      <c r="AQ38" s="756"/>
      <c r="AR38" s="756"/>
      <c r="AS38" s="756"/>
      <c r="AT38" s="756"/>
      <c r="AU38" s="756"/>
      <c r="AV38" s="756"/>
      <c r="AW38" s="756"/>
      <c r="AX38" s="756"/>
      <c r="AY38" s="756"/>
      <c r="AZ38" s="756"/>
      <c r="BA38" s="756"/>
      <c r="BB38" s="756"/>
      <c r="BC38" s="756"/>
      <c r="BD38" s="756"/>
      <c r="BE38" s="756"/>
      <c r="BF38" s="756"/>
      <c r="BG38" s="756"/>
      <c r="BH38" s="756"/>
      <c r="BI38" s="756"/>
      <c r="BJ38" s="756"/>
      <c r="BK38" s="756"/>
      <c r="BL38" s="756"/>
      <c r="BM38" s="756"/>
      <c r="BN38" s="756"/>
      <c r="BO38" s="756"/>
      <c r="BP38" s="756"/>
      <c r="BQ38" s="756"/>
      <c r="BR38" s="756"/>
      <c r="BS38" s="756"/>
      <c r="BT38" s="756"/>
      <c r="BU38" s="756"/>
      <c r="BV38" s="756"/>
      <c r="BW38" s="756"/>
      <c r="BX38" s="756"/>
      <c r="BY38" s="756"/>
      <c r="BZ38" s="756"/>
      <c r="CA38" s="756"/>
      <c r="CB38" s="756"/>
      <c r="CC38" s="756"/>
      <c r="CD38" s="756"/>
      <c r="CE38" s="756"/>
      <c r="CF38" s="756"/>
      <c r="CG38" s="756"/>
      <c r="CH38" s="756"/>
      <c r="CI38" s="756"/>
      <c r="CJ38" s="756"/>
      <c r="CK38" s="756"/>
      <c r="CL38" s="756"/>
      <c r="CM38" s="756"/>
      <c r="CN38" s="756"/>
      <c r="CO38" s="756"/>
      <c r="CP38" s="756"/>
      <c r="CQ38" s="756"/>
      <c r="CR38" s="756"/>
      <c r="CS38" s="756"/>
      <c r="CT38" s="756"/>
      <c r="CU38" s="756"/>
      <c r="CV38" s="756"/>
      <c r="CW38" s="756"/>
      <c r="CX38" s="756"/>
      <c r="CY38" s="756"/>
      <c r="CZ38" s="756"/>
      <c r="DA38" s="756"/>
      <c r="DB38" s="756"/>
      <c r="DC38" s="756"/>
      <c r="DD38" s="756"/>
      <c r="DE38" s="756"/>
      <c r="DF38" s="756"/>
      <c r="DG38" s="756"/>
      <c r="DH38" s="756"/>
      <c r="DI38" s="756"/>
      <c r="DJ38" s="756"/>
      <c r="DK38" s="756"/>
      <c r="DL38" s="756"/>
      <c r="DM38" s="756"/>
      <c r="DN38" s="756"/>
      <c r="DO38" s="756"/>
      <c r="DP38" s="756"/>
      <c r="DQ38" s="756"/>
      <c r="DR38" s="756"/>
      <c r="DS38" s="756"/>
      <c r="DT38" s="756"/>
      <c r="DU38" s="756"/>
      <c r="DV38" s="756"/>
      <c r="DW38" s="756"/>
      <c r="DX38" s="756"/>
      <c r="DY38" s="756"/>
      <c r="DZ38" s="756"/>
      <c r="EA38" s="756"/>
      <c r="EB38" s="756"/>
      <c r="EC38" s="756"/>
      <c r="ED38" s="756"/>
      <c r="EE38" s="756"/>
      <c r="EF38" s="756"/>
      <c r="EG38" s="756"/>
      <c r="EH38" s="756"/>
      <c r="EI38" s="756"/>
      <c r="EJ38" s="756"/>
      <c r="EK38" s="756"/>
      <c r="EL38" s="756"/>
      <c r="EM38" s="756"/>
      <c r="EN38" s="756"/>
      <c r="EO38" s="756"/>
      <c r="EP38" s="756"/>
      <c r="EQ38" s="756"/>
      <c r="ER38" s="756"/>
      <c r="ES38" s="756"/>
      <c r="ET38" s="756"/>
      <c r="EU38" s="756"/>
      <c r="EV38" s="756"/>
      <c r="EW38" s="756"/>
      <c r="EX38" s="756"/>
      <c r="EY38" s="756"/>
      <c r="EZ38" s="756"/>
      <c r="FA38" s="756"/>
      <c r="FB38" s="756"/>
      <c r="FC38" s="756"/>
      <c r="FD38" s="756"/>
      <c r="FE38" s="756"/>
      <c r="FF38" s="756"/>
      <c r="FG38" s="756"/>
      <c r="FH38" s="756"/>
      <c r="FI38" s="756"/>
      <c r="FJ38" s="756"/>
      <c r="FK38" s="756"/>
      <c r="FL38" s="756"/>
      <c r="FM38" s="756"/>
      <c r="FN38" s="756"/>
      <c r="FO38" s="756"/>
      <c r="FP38" s="756"/>
      <c r="FQ38" s="756"/>
      <c r="FR38" s="756"/>
      <c r="FS38" s="756"/>
      <c r="FT38" s="756"/>
      <c r="FU38" s="756"/>
      <c r="FV38" s="756"/>
      <c r="FW38" s="756"/>
      <c r="FX38" s="756"/>
      <c r="FY38" s="756"/>
      <c r="FZ38" s="756"/>
      <c r="GA38" s="756"/>
      <c r="GB38" s="756"/>
      <c r="GC38" s="756"/>
      <c r="GD38" s="756"/>
      <c r="GE38" s="756"/>
      <c r="GF38" s="756"/>
      <c r="GG38" s="756"/>
      <c r="GH38" s="756"/>
      <c r="GI38" s="756"/>
      <c r="GJ38" s="756"/>
      <c r="GK38" s="756"/>
      <c r="GL38" s="756"/>
      <c r="GM38" s="756"/>
      <c r="GN38" s="756"/>
      <c r="GO38" s="756"/>
      <c r="GP38" s="756"/>
      <c r="GQ38" s="756"/>
      <c r="GR38" s="756"/>
      <c r="GS38" s="756"/>
      <c r="GT38" s="756"/>
      <c r="GU38" s="756"/>
      <c r="GV38" s="756"/>
      <c r="GW38" s="756"/>
      <c r="GX38" s="756"/>
      <c r="GY38" s="756"/>
      <c r="GZ38" s="756"/>
      <c r="HA38" s="756"/>
      <c r="HB38" s="756"/>
      <c r="HC38" s="756"/>
      <c r="HD38" s="756"/>
      <c r="HE38" s="756"/>
      <c r="HF38" s="756"/>
      <c r="HG38" s="756"/>
      <c r="HH38" s="756"/>
      <c r="HI38" s="756"/>
      <c r="HJ38" s="756"/>
      <c r="HK38" s="756"/>
      <c r="HL38" s="756"/>
      <c r="HM38" s="756"/>
      <c r="HN38" s="756"/>
      <c r="HO38" s="756"/>
      <c r="HP38" s="756"/>
      <c r="HQ38" s="756"/>
      <c r="HR38" s="756"/>
      <c r="HS38" s="756"/>
      <c r="HT38" s="756"/>
      <c r="HU38" s="756"/>
      <c r="HV38" s="756"/>
      <c r="HW38" s="756"/>
      <c r="HX38" s="756"/>
      <c r="HY38" s="756"/>
      <c r="HZ38" s="756"/>
      <c r="IA38" s="756"/>
      <c r="IB38" s="756"/>
      <c r="IC38" s="756"/>
      <c r="ID38" s="756"/>
      <c r="IE38" s="756"/>
      <c r="IF38" s="756"/>
      <c r="IG38" s="756"/>
      <c r="IH38" s="756"/>
      <c r="II38" s="756"/>
      <c r="IJ38" s="756"/>
      <c r="IK38" s="756"/>
      <c r="IL38" s="756"/>
      <c r="IM38" s="756"/>
      <c r="IN38" s="756"/>
      <c r="IO38" s="756"/>
      <c r="IP38" s="756"/>
      <c r="IQ38" s="756"/>
      <c r="IR38" s="756"/>
      <c r="IS38" s="756"/>
      <c r="IT38" s="756"/>
      <c r="IU38" s="756"/>
      <c r="IV38" s="756"/>
      <c r="IW38" s="756"/>
      <c r="IX38" s="756"/>
      <c r="IY38" s="756"/>
      <c r="IZ38" s="756"/>
      <c r="JA38" s="756"/>
      <c r="JB38" s="756"/>
      <c r="JC38" s="756"/>
      <c r="JD38" s="756"/>
      <c r="JE38" s="756"/>
      <c r="JF38" s="756"/>
      <c r="JG38" s="756"/>
      <c r="JH38" s="756"/>
      <c r="JI38" s="756"/>
      <c r="JJ38" s="756"/>
      <c r="JK38" s="756"/>
      <c r="JL38" s="756"/>
      <c r="JM38" s="756"/>
      <c r="JN38" s="756"/>
      <c r="JO38" s="756"/>
      <c r="JP38" s="756"/>
      <c r="JQ38" s="756"/>
      <c r="JR38" s="756"/>
      <c r="JS38" s="756"/>
      <c r="JT38" s="756"/>
      <c r="JU38" s="756"/>
      <c r="JV38" s="756"/>
      <c r="JW38" s="756"/>
      <c r="JX38" s="756"/>
      <c r="JY38" s="756"/>
      <c r="JZ38" s="756"/>
      <c r="KA38" s="756"/>
      <c r="KB38" s="756"/>
      <c r="KC38" s="756"/>
      <c r="KD38" s="756"/>
      <c r="KE38" s="756"/>
      <c r="KF38" s="756"/>
      <c r="KG38" s="756"/>
      <c r="KH38" s="756"/>
      <c r="KI38" s="756"/>
      <c r="KJ38" s="756"/>
      <c r="KK38" s="756"/>
      <c r="KL38" s="756"/>
      <c r="KM38" s="756"/>
      <c r="KN38" s="756"/>
      <c r="KO38" s="756"/>
      <c r="KP38" s="756"/>
      <c r="KQ38" s="756"/>
      <c r="KR38" s="756"/>
      <c r="KS38" s="756"/>
      <c r="KT38" s="756"/>
      <c r="KU38" s="756"/>
      <c r="KV38" s="756"/>
      <c r="KW38" s="756"/>
      <c r="KX38" s="756"/>
      <c r="KY38" s="756"/>
      <c r="KZ38" s="756"/>
      <c r="LA38" s="756"/>
      <c r="LB38" s="756"/>
      <c r="LC38" s="756"/>
      <c r="LD38" s="756"/>
      <c r="LE38" s="756"/>
      <c r="LF38" s="756"/>
      <c r="LG38" s="756"/>
      <c r="LH38" s="756"/>
      <c r="LI38" s="756"/>
      <c r="LJ38" s="756"/>
      <c r="LK38" s="756"/>
      <c r="LL38" s="756"/>
      <c r="LM38" s="756"/>
      <c r="LN38" s="756"/>
      <c r="LO38" s="756"/>
      <c r="LP38" s="756"/>
      <c r="LQ38" s="756"/>
      <c r="LR38" s="756"/>
      <c r="LS38" s="756"/>
      <c r="LT38" s="756"/>
      <c r="LU38" s="756"/>
      <c r="LV38" s="756"/>
      <c r="LW38" s="756"/>
      <c r="LX38" s="756"/>
      <c r="LY38" s="756"/>
      <c r="LZ38" s="756"/>
      <c r="MA38" s="756"/>
      <c r="MB38" s="756"/>
      <c r="MC38" s="756"/>
      <c r="MD38" s="756"/>
      <c r="ME38" s="756"/>
      <c r="MF38" s="756"/>
      <c r="MG38" s="756"/>
      <c r="MH38" s="756"/>
      <c r="MI38" s="756"/>
      <c r="MJ38" s="756"/>
      <c r="MK38" s="756"/>
      <c r="ML38" s="756"/>
      <c r="MM38" s="756"/>
      <c r="MN38" s="756"/>
      <c r="MO38" s="756"/>
      <c r="MP38" s="756"/>
      <c r="MQ38" s="756"/>
      <c r="MR38" s="756"/>
      <c r="MS38" s="756"/>
      <c r="MT38" s="756"/>
      <c r="MU38" s="756"/>
      <c r="MV38" s="756"/>
      <c r="MW38" s="756"/>
      <c r="MX38" s="756"/>
      <c r="MY38" s="756"/>
      <c r="MZ38" s="756"/>
      <c r="NA38" s="756"/>
      <c r="NB38" s="756"/>
      <c r="NC38" s="756"/>
      <c r="ND38" s="756"/>
      <c r="NE38" s="756"/>
      <c r="NF38" s="756"/>
      <c r="NG38" s="756"/>
      <c r="NH38" s="756"/>
      <c r="NI38" s="756"/>
      <c r="NJ38" s="756"/>
      <c r="NK38" s="756"/>
      <c r="NL38" s="756"/>
      <c r="NM38" s="756"/>
      <c r="NN38" s="756"/>
      <c r="NO38" s="756"/>
      <c r="NP38" s="756"/>
      <c r="NQ38" s="756"/>
      <c r="NR38" s="756"/>
      <c r="NS38" s="756"/>
      <c r="NT38" s="756"/>
      <c r="NU38" s="756"/>
      <c r="NV38" s="756"/>
      <c r="NW38" s="756"/>
      <c r="NX38" s="756"/>
      <c r="NY38" s="756"/>
      <c r="NZ38" s="756"/>
      <c r="OA38" s="756"/>
      <c r="OB38" s="756"/>
      <c r="OC38" s="756"/>
      <c r="OD38" s="756"/>
      <c r="OE38" s="756"/>
      <c r="OF38" s="756"/>
      <c r="OG38" s="756"/>
      <c r="OH38" s="756"/>
      <c r="OI38" s="756"/>
      <c r="OJ38" s="756"/>
      <c r="OK38" s="756"/>
      <c r="OL38" s="756"/>
      <c r="OM38" s="756"/>
      <c r="ON38" s="756"/>
      <c r="OO38" s="756"/>
      <c r="OP38" s="756"/>
      <c r="OQ38" s="756"/>
      <c r="OR38" s="756"/>
      <c r="OS38" s="756"/>
      <c r="OT38" s="756"/>
      <c r="OU38" s="756"/>
      <c r="OV38" s="756"/>
      <c r="OW38" s="756"/>
      <c r="OX38" s="756"/>
      <c r="OY38" s="756"/>
      <c r="OZ38" s="756"/>
      <c r="PA38" s="756"/>
      <c r="PB38" s="756"/>
      <c r="PC38" s="756"/>
      <c r="PD38" s="756"/>
      <c r="PE38" s="756"/>
      <c r="PF38" s="756"/>
      <c r="PG38" s="756"/>
      <c r="PH38" s="756"/>
      <c r="PI38" s="756"/>
      <c r="PJ38" s="756"/>
      <c r="PK38" s="756"/>
      <c r="PL38" s="756"/>
      <c r="PM38" s="756"/>
      <c r="PN38" s="756"/>
      <c r="PO38" s="756"/>
      <c r="PP38" s="756"/>
      <c r="PQ38" s="756"/>
      <c r="PR38" s="756"/>
      <c r="PS38" s="756"/>
      <c r="PT38" s="756"/>
      <c r="PU38" s="756"/>
      <c r="PV38" s="756"/>
      <c r="PW38" s="756"/>
      <c r="PX38" s="756"/>
      <c r="PY38" s="756"/>
      <c r="PZ38" s="756"/>
      <c r="QA38" s="756"/>
      <c r="QB38" s="756"/>
      <c r="QC38" s="756"/>
      <c r="QD38" s="756"/>
      <c r="QE38" s="756"/>
      <c r="QF38" s="756"/>
      <c r="QG38" s="756"/>
      <c r="QH38" s="756"/>
      <c r="QI38" s="756"/>
      <c r="QJ38" s="756"/>
      <c r="QK38" s="756"/>
      <c r="QL38" s="756"/>
      <c r="QM38" s="756"/>
      <c r="QN38" s="756"/>
      <c r="QO38" s="756"/>
      <c r="QP38" s="756"/>
      <c r="QQ38" s="756"/>
      <c r="QR38" s="756"/>
      <c r="QS38" s="756"/>
      <c r="QT38" s="756"/>
      <c r="QU38" s="756"/>
      <c r="QV38" s="756"/>
      <c r="QW38" s="756"/>
      <c r="QX38" s="756"/>
      <c r="QY38" s="756"/>
      <c r="QZ38" s="756"/>
      <c r="RA38" s="756"/>
      <c r="RB38" s="756"/>
      <c r="RC38" s="756"/>
      <c r="RD38" s="756"/>
      <c r="RE38" s="756"/>
      <c r="RF38" s="756"/>
      <c r="RG38" s="756"/>
      <c r="RH38" s="756"/>
      <c r="RI38" s="756"/>
      <c r="RJ38" s="756"/>
      <c r="RK38" s="756"/>
      <c r="RL38" s="756"/>
      <c r="RM38" s="756"/>
      <c r="RN38" s="756"/>
      <c r="RO38" s="756"/>
      <c r="RP38" s="756"/>
      <c r="RQ38" s="756"/>
      <c r="RR38" s="756"/>
      <c r="RS38" s="756"/>
      <c r="RT38" s="756"/>
      <c r="RU38" s="756"/>
      <c r="RV38" s="756"/>
      <c r="RW38" s="756"/>
      <c r="RX38" s="756"/>
      <c r="RY38" s="756"/>
      <c r="RZ38" s="756"/>
      <c r="SA38" s="756"/>
      <c r="SB38" s="756"/>
      <c r="SC38" s="756"/>
      <c r="SD38" s="756"/>
      <c r="SE38" s="756"/>
      <c r="SF38" s="756"/>
      <c r="SG38" s="756"/>
      <c r="SH38" s="756"/>
      <c r="SI38" s="756"/>
      <c r="SJ38" s="756"/>
      <c r="SK38" s="756"/>
      <c r="SL38" s="756"/>
      <c r="SM38" s="756"/>
      <c r="SN38" s="756"/>
      <c r="SO38" s="756"/>
      <c r="SP38" s="756"/>
      <c r="SQ38" s="756"/>
      <c r="SR38" s="756"/>
    </row>
    <row r="39" spans="1:512" ht="15" customHeight="1">
      <c r="A39" s="969"/>
      <c r="B39" s="969"/>
      <c r="C39" s="969"/>
      <c r="D39" s="969"/>
      <c r="E39" s="969"/>
      <c r="F39" s="969"/>
      <c r="G39" s="43"/>
      <c r="H39" s="1027"/>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row>
    <row r="40" spans="1:512" ht="15" customHeight="1">
      <c r="A40" s="969" t="s">
        <v>2211</v>
      </c>
      <c r="B40" s="969"/>
      <c r="C40" s="969"/>
      <c r="D40" s="969"/>
      <c r="E40" s="969"/>
      <c r="F40" s="969"/>
      <c r="G40" s="759"/>
      <c r="H40" s="1027"/>
      <c r="I40" s="759"/>
      <c r="J40" s="759"/>
      <c r="K40" s="759"/>
      <c r="L40" s="759"/>
      <c r="M40" s="759"/>
      <c r="N40" s="759"/>
      <c r="O40" s="759"/>
      <c r="P40" s="759"/>
      <c r="Q40" s="759"/>
      <c r="R40" s="759"/>
      <c r="S40" s="759"/>
      <c r="T40" s="759"/>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row>
    <row r="41" spans="1:512" ht="15" customHeight="1">
      <c r="A41" s="969" t="s">
        <v>920</v>
      </c>
      <c r="B41" s="969"/>
      <c r="C41" s="969"/>
      <c r="D41" s="969"/>
      <c r="E41" s="969"/>
      <c r="F41" s="969"/>
      <c r="G41" s="760"/>
      <c r="H41" s="1027"/>
      <c r="I41" s="760"/>
      <c r="J41" s="760"/>
      <c r="K41" s="760"/>
      <c r="L41" s="760"/>
      <c r="M41" s="760"/>
      <c r="N41" s="760"/>
      <c r="O41" s="760"/>
      <c r="P41" s="760"/>
      <c r="Q41" s="760"/>
      <c r="R41" s="760"/>
      <c r="S41" s="760"/>
      <c r="T41" s="760"/>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row>
    <row r="42" spans="1:512" ht="15" customHeight="1">
      <c r="A42" s="969"/>
      <c r="B42" s="969" t="s">
        <v>2212</v>
      </c>
      <c r="C42" s="969"/>
      <c r="D42" s="969"/>
      <c r="E42" s="969" t="s">
        <v>876</v>
      </c>
      <c r="F42" s="969"/>
      <c r="G42" s="756">
        <v>908</v>
      </c>
      <c r="H42" s="1028">
        <v>250</v>
      </c>
      <c r="I42" s="756"/>
      <c r="J42" s="756"/>
      <c r="K42" s="756"/>
      <c r="L42" s="756"/>
      <c r="M42" s="756"/>
      <c r="N42" s="756"/>
      <c r="O42" s="756"/>
      <c r="P42" s="756"/>
      <c r="Q42" s="756"/>
      <c r="R42" s="756"/>
      <c r="S42" s="756"/>
      <c r="T42" s="756"/>
      <c r="U42" s="756"/>
      <c r="V42" s="756"/>
      <c r="W42" s="756"/>
      <c r="X42" s="756"/>
      <c r="Y42" s="756"/>
      <c r="Z42" s="756"/>
      <c r="AA42" s="756"/>
      <c r="AB42" s="756"/>
      <c r="AC42" s="756"/>
      <c r="AD42" s="756"/>
      <c r="AE42" s="756"/>
      <c r="AF42" s="756"/>
      <c r="AG42" s="756"/>
      <c r="AH42" s="756"/>
      <c r="AI42" s="756"/>
      <c r="AJ42" s="756"/>
      <c r="AK42" s="756"/>
      <c r="AL42" s="756"/>
      <c r="AM42" s="756"/>
      <c r="AN42" s="756"/>
      <c r="AO42" s="756"/>
      <c r="AP42" s="756"/>
      <c r="AQ42" s="756"/>
      <c r="AR42" s="756"/>
      <c r="AS42" s="756"/>
      <c r="AT42" s="756"/>
      <c r="AU42" s="756"/>
      <c r="AV42" s="756"/>
      <c r="AW42" s="756"/>
      <c r="AX42" s="756"/>
      <c r="AY42" s="756"/>
      <c r="AZ42" s="756"/>
      <c r="BA42" s="756"/>
      <c r="BB42" s="756"/>
      <c r="BC42" s="756"/>
      <c r="BD42" s="756"/>
      <c r="BE42" s="756"/>
      <c r="BF42" s="756"/>
      <c r="BG42" s="756"/>
      <c r="BH42" s="756"/>
      <c r="BI42" s="756"/>
      <c r="BJ42" s="756"/>
      <c r="BK42" s="756"/>
      <c r="BL42" s="756"/>
      <c r="BM42" s="756"/>
      <c r="BN42" s="756"/>
      <c r="BO42" s="756"/>
      <c r="BP42" s="756"/>
      <c r="BQ42" s="756"/>
      <c r="BR42" s="756"/>
      <c r="BS42" s="756"/>
      <c r="BT42" s="756"/>
      <c r="BU42" s="756"/>
      <c r="BV42" s="756"/>
      <c r="BW42" s="756"/>
      <c r="BX42" s="756"/>
      <c r="BY42" s="756"/>
      <c r="BZ42" s="756"/>
      <c r="CA42" s="756"/>
      <c r="CB42" s="756"/>
      <c r="CC42" s="756"/>
      <c r="CD42" s="756"/>
      <c r="CE42" s="756"/>
      <c r="CF42" s="756"/>
      <c r="CG42" s="756"/>
      <c r="CH42" s="756"/>
      <c r="CI42" s="756"/>
      <c r="CJ42" s="756"/>
      <c r="CK42" s="756"/>
      <c r="CL42" s="756"/>
      <c r="CM42" s="756"/>
      <c r="CN42" s="756"/>
      <c r="CO42" s="756"/>
      <c r="CP42" s="756"/>
      <c r="CQ42" s="756"/>
      <c r="CR42" s="756"/>
      <c r="CS42" s="756"/>
      <c r="CT42" s="756"/>
      <c r="CU42" s="756"/>
      <c r="CV42" s="756"/>
      <c r="CW42" s="756"/>
      <c r="CX42" s="756"/>
      <c r="CY42" s="756"/>
      <c r="CZ42" s="756"/>
      <c r="DA42" s="756"/>
      <c r="DB42" s="756"/>
      <c r="DC42" s="756"/>
      <c r="DD42" s="756"/>
      <c r="DE42" s="756"/>
      <c r="DF42" s="756"/>
      <c r="DG42" s="756"/>
      <c r="DH42" s="756"/>
      <c r="DI42" s="756"/>
      <c r="DJ42" s="756"/>
      <c r="DK42" s="756"/>
      <c r="DL42" s="756"/>
      <c r="DM42" s="756"/>
      <c r="DN42" s="756"/>
      <c r="DO42" s="756"/>
      <c r="DP42" s="756"/>
      <c r="DQ42" s="756"/>
      <c r="DR42" s="756"/>
      <c r="DS42" s="756"/>
      <c r="DT42" s="756"/>
      <c r="DU42" s="756"/>
      <c r="DV42" s="756"/>
      <c r="DW42" s="756"/>
      <c r="DX42" s="756"/>
      <c r="DY42" s="756"/>
      <c r="DZ42" s="756"/>
      <c r="EA42" s="756"/>
      <c r="EB42" s="756"/>
      <c r="EC42" s="756"/>
      <c r="ED42" s="756"/>
      <c r="EE42" s="756"/>
      <c r="EF42" s="756"/>
      <c r="EG42" s="756"/>
      <c r="EH42" s="756"/>
      <c r="EI42" s="756"/>
      <c r="EJ42" s="756"/>
      <c r="EK42" s="756"/>
      <c r="EL42" s="756"/>
      <c r="EM42" s="756"/>
      <c r="EN42" s="756"/>
      <c r="EO42" s="756"/>
      <c r="EP42" s="756"/>
      <c r="EQ42" s="756"/>
      <c r="ER42" s="756"/>
      <c r="ES42" s="756"/>
      <c r="ET42" s="756"/>
      <c r="EU42" s="756"/>
      <c r="EV42" s="756"/>
      <c r="EW42" s="756"/>
      <c r="EX42" s="756"/>
      <c r="EY42" s="756"/>
      <c r="EZ42" s="756"/>
      <c r="FA42" s="756"/>
      <c r="FB42" s="756"/>
      <c r="FC42" s="756"/>
      <c r="FD42" s="756"/>
      <c r="FE42" s="756"/>
      <c r="FF42" s="756"/>
      <c r="FG42" s="756"/>
      <c r="FH42" s="756"/>
      <c r="FI42" s="756"/>
      <c r="FJ42" s="756"/>
      <c r="FK42" s="756"/>
      <c r="FL42" s="756"/>
      <c r="FM42" s="756"/>
      <c r="FN42" s="756"/>
      <c r="FO42" s="756"/>
      <c r="FP42" s="756"/>
      <c r="FQ42" s="756"/>
      <c r="FR42" s="756"/>
      <c r="FS42" s="756"/>
      <c r="FT42" s="756"/>
      <c r="FU42" s="756"/>
      <c r="FV42" s="756"/>
      <c r="FW42" s="756"/>
      <c r="FX42" s="756"/>
      <c r="FY42" s="756"/>
      <c r="FZ42" s="756"/>
      <c r="GA42" s="756"/>
      <c r="GB42" s="756"/>
      <c r="GC42" s="756"/>
      <c r="GD42" s="756"/>
      <c r="GE42" s="756"/>
      <c r="GF42" s="756"/>
      <c r="GG42" s="756"/>
      <c r="GH42" s="756"/>
      <c r="GI42" s="756"/>
      <c r="GJ42" s="756"/>
      <c r="GK42" s="756"/>
      <c r="GL42" s="756"/>
      <c r="GM42" s="756"/>
      <c r="GN42" s="756"/>
      <c r="GO42" s="756"/>
      <c r="GP42" s="756"/>
      <c r="GQ42" s="756"/>
      <c r="GR42" s="756"/>
      <c r="GS42" s="756"/>
      <c r="GT42" s="756"/>
      <c r="GU42" s="756"/>
      <c r="GV42" s="756"/>
      <c r="GW42" s="756"/>
      <c r="GX42" s="756"/>
      <c r="GY42" s="756"/>
      <c r="GZ42" s="756"/>
      <c r="HA42" s="756"/>
      <c r="HB42" s="756"/>
      <c r="HC42" s="756"/>
      <c r="HD42" s="756"/>
      <c r="HE42" s="756"/>
      <c r="HF42" s="756"/>
      <c r="HG42" s="756"/>
      <c r="HH42" s="756"/>
      <c r="HI42" s="756"/>
      <c r="HJ42" s="756"/>
      <c r="HK42" s="756"/>
      <c r="HL42" s="756"/>
      <c r="HM42" s="756"/>
      <c r="HN42" s="756"/>
      <c r="HO42" s="756"/>
      <c r="HP42" s="756"/>
      <c r="HQ42" s="756"/>
      <c r="HR42" s="756"/>
      <c r="HS42" s="756"/>
      <c r="HT42" s="756"/>
      <c r="HU42" s="756"/>
      <c r="HV42" s="756"/>
      <c r="HW42" s="756"/>
      <c r="HX42" s="756"/>
      <c r="HY42" s="756"/>
      <c r="HZ42" s="756"/>
      <c r="IA42" s="756"/>
      <c r="IB42" s="756"/>
      <c r="IC42" s="756"/>
      <c r="ID42" s="756"/>
      <c r="IE42" s="756"/>
      <c r="IF42" s="756"/>
      <c r="IG42" s="756"/>
      <c r="IH42" s="756"/>
      <c r="II42" s="756"/>
      <c r="IJ42" s="756"/>
      <c r="IK42" s="756"/>
      <c r="IL42" s="756"/>
      <c r="IM42" s="756"/>
      <c r="IN42" s="756"/>
      <c r="IO42" s="756"/>
      <c r="IP42" s="756"/>
      <c r="IQ42" s="756"/>
      <c r="IR42" s="756"/>
      <c r="IS42" s="756"/>
      <c r="IT42" s="756"/>
      <c r="IU42" s="756"/>
      <c r="IV42" s="756"/>
      <c r="IW42" s="756"/>
      <c r="IX42" s="756"/>
      <c r="IY42" s="756"/>
      <c r="IZ42" s="756"/>
      <c r="JA42" s="756"/>
      <c r="JB42" s="756"/>
      <c r="JC42" s="756"/>
      <c r="JD42" s="756"/>
      <c r="JE42" s="756"/>
      <c r="JF42" s="756"/>
      <c r="JG42" s="756"/>
      <c r="JH42" s="756"/>
      <c r="JI42" s="756"/>
      <c r="JJ42" s="756"/>
      <c r="JK42" s="756"/>
      <c r="JL42" s="756"/>
      <c r="JM42" s="756"/>
      <c r="JN42" s="756"/>
      <c r="JO42" s="756"/>
      <c r="JP42" s="756"/>
      <c r="JQ42" s="756"/>
      <c r="JR42" s="756"/>
      <c r="JS42" s="756"/>
      <c r="JT42" s="756"/>
      <c r="JU42" s="756"/>
      <c r="JV42" s="756"/>
      <c r="JW42" s="756"/>
      <c r="JX42" s="756"/>
      <c r="JY42" s="756"/>
      <c r="JZ42" s="756"/>
      <c r="KA42" s="756"/>
      <c r="KB42" s="756"/>
      <c r="KC42" s="756"/>
      <c r="KD42" s="756"/>
      <c r="KE42" s="756"/>
      <c r="KF42" s="756"/>
      <c r="KG42" s="756"/>
      <c r="KH42" s="756"/>
      <c r="KI42" s="756"/>
      <c r="KJ42" s="756"/>
      <c r="KK42" s="756"/>
      <c r="KL42" s="756"/>
      <c r="KM42" s="756"/>
      <c r="KN42" s="756"/>
      <c r="KO42" s="756"/>
      <c r="KP42" s="756"/>
      <c r="KQ42" s="756"/>
      <c r="KR42" s="756"/>
      <c r="KS42" s="756"/>
      <c r="KT42" s="756"/>
      <c r="KU42" s="756"/>
      <c r="KV42" s="756"/>
      <c r="KW42" s="756"/>
      <c r="KX42" s="756"/>
      <c r="KY42" s="756"/>
      <c r="KZ42" s="756"/>
      <c r="LA42" s="756"/>
      <c r="LB42" s="756"/>
      <c r="LC42" s="756"/>
      <c r="LD42" s="756"/>
      <c r="LE42" s="756"/>
      <c r="LF42" s="756"/>
      <c r="LG42" s="756"/>
      <c r="LH42" s="756"/>
      <c r="LI42" s="756"/>
      <c r="LJ42" s="756"/>
      <c r="LK42" s="756"/>
      <c r="LL42" s="756"/>
      <c r="LM42" s="756"/>
      <c r="LN42" s="756"/>
      <c r="LO42" s="756"/>
      <c r="LP42" s="756"/>
      <c r="LQ42" s="756"/>
      <c r="LR42" s="756"/>
      <c r="LS42" s="756"/>
      <c r="LT42" s="756"/>
      <c r="LU42" s="756"/>
      <c r="LV42" s="756"/>
      <c r="LW42" s="756"/>
      <c r="LX42" s="756"/>
      <c r="LY42" s="756"/>
      <c r="LZ42" s="756"/>
      <c r="MA42" s="756"/>
      <c r="MB42" s="756"/>
      <c r="MC42" s="756"/>
      <c r="MD42" s="756"/>
      <c r="ME42" s="756"/>
      <c r="MF42" s="756"/>
      <c r="MG42" s="756"/>
      <c r="MH42" s="756"/>
      <c r="MI42" s="756"/>
      <c r="MJ42" s="756"/>
      <c r="MK42" s="756"/>
      <c r="ML42" s="756"/>
      <c r="MM42" s="756"/>
      <c r="MN42" s="756"/>
      <c r="MO42" s="756"/>
      <c r="MP42" s="756"/>
      <c r="MQ42" s="756"/>
      <c r="MR42" s="756"/>
      <c r="MS42" s="756"/>
      <c r="MT42" s="756"/>
      <c r="MU42" s="756"/>
      <c r="MV42" s="756"/>
      <c r="MW42" s="756"/>
      <c r="MX42" s="756"/>
      <c r="MY42" s="756"/>
      <c r="MZ42" s="756"/>
      <c r="NA42" s="756"/>
      <c r="NB42" s="756"/>
      <c r="NC42" s="756"/>
      <c r="ND42" s="756"/>
      <c r="NE42" s="756"/>
      <c r="NF42" s="756"/>
      <c r="NG42" s="756"/>
      <c r="NH42" s="756"/>
      <c r="NI42" s="756"/>
      <c r="NJ42" s="756"/>
      <c r="NK42" s="756"/>
      <c r="NL42" s="756"/>
      <c r="NM42" s="756"/>
      <c r="NN42" s="756"/>
      <c r="NO42" s="756"/>
      <c r="NP42" s="756"/>
      <c r="NQ42" s="756"/>
      <c r="NR42" s="756"/>
      <c r="NS42" s="756"/>
      <c r="NT42" s="756"/>
      <c r="NU42" s="756"/>
      <c r="NV42" s="756"/>
      <c r="NW42" s="756"/>
      <c r="NX42" s="756"/>
      <c r="NY42" s="756"/>
      <c r="NZ42" s="756"/>
      <c r="OA42" s="756"/>
      <c r="OB42" s="756"/>
      <c r="OC42" s="756"/>
      <c r="OD42" s="756"/>
      <c r="OE42" s="756"/>
      <c r="OF42" s="756"/>
      <c r="OG42" s="756"/>
      <c r="OH42" s="756"/>
      <c r="OI42" s="756"/>
      <c r="OJ42" s="756"/>
      <c r="OK42" s="756"/>
      <c r="OL42" s="756"/>
      <c r="OM42" s="756"/>
      <c r="ON42" s="756"/>
      <c r="OO42" s="756"/>
      <c r="OP42" s="756"/>
      <c r="OQ42" s="756"/>
      <c r="OR42" s="756"/>
      <c r="OS42" s="756"/>
      <c r="OT42" s="756"/>
      <c r="OU42" s="756"/>
      <c r="OV42" s="756"/>
      <c r="OW42" s="756"/>
      <c r="OX42" s="756"/>
      <c r="OY42" s="756"/>
      <c r="OZ42" s="756"/>
      <c r="PA42" s="756"/>
      <c r="PB42" s="756"/>
      <c r="PC42" s="756"/>
      <c r="PD42" s="756"/>
      <c r="PE42" s="756"/>
      <c r="PF42" s="756"/>
      <c r="PG42" s="756"/>
      <c r="PH42" s="756"/>
      <c r="PI42" s="756"/>
      <c r="PJ42" s="756"/>
      <c r="PK42" s="756"/>
      <c r="PL42" s="756"/>
      <c r="PM42" s="756"/>
      <c r="PN42" s="756"/>
      <c r="PO42" s="756"/>
      <c r="PP42" s="756"/>
      <c r="PQ42" s="756"/>
      <c r="PR42" s="756"/>
      <c r="PS42" s="756"/>
      <c r="PT42" s="756"/>
      <c r="PU42" s="756"/>
      <c r="PV42" s="756"/>
      <c r="PW42" s="756"/>
      <c r="PX42" s="756"/>
      <c r="PY42" s="756"/>
      <c r="PZ42" s="756"/>
      <c r="QA42" s="756"/>
      <c r="QB42" s="756"/>
      <c r="QC42" s="756"/>
      <c r="QD42" s="756"/>
      <c r="QE42" s="756"/>
      <c r="QF42" s="756"/>
      <c r="QG42" s="756"/>
      <c r="QH42" s="756"/>
      <c r="QI42" s="756"/>
      <c r="QJ42" s="756"/>
      <c r="QK42" s="756"/>
      <c r="QL42" s="756"/>
      <c r="QM42" s="756"/>
      <c r="QN42" s="756"/>
      <c r="QO42" s="756"/>
      <c r="QP42" s="756"/>
      <c r="QQ42" s="756"/>
      <c r="QR42" s="756"/>
      <c r="QS42" s="756"/>
      <c r="QT42" s="756"/>
      <c r="QU42" s="756"/>
      <c r="QV42" s="756"/>
      <c r="QW42" s="756"/>
      <c r="QX42" s="756"/>
      <c r="QY42" s="756"/>
      <c r="QZ42" s="756"/>
      <c r="RA42" s="756"/>
      <c r="RB42" s="756"/>
      <c r="RC42" s="756"/>
      <c r="RD42" s="756"/>
      <c r="RE42" s="756"/>
      <c r="RF42" s="756"/>
      <c r="RG42" s="756"/>
      <c r="RH42" s="756"/>
      <c r="RI42" s="756"/>
      <c r="RJ42" s="756"/>
      <c r="RK42" s="756"/>
      <c r="RL42" s="756"/>
      <c r="RM42" s="756"/>
      <c r="RN42" s="756"/>
      <c r="RO42" s="756"/>
      <c r="RP42" s="756"/>
      <c r="RQ42" s="756"/>
      <c r="RR42" s="756"/>
      <c r="RS42" s="756"/>
      <c r="RT42" s="756"/>
      <c r="RU42" s="756"/>
      <c r="RV42" s="756"/>
      <c r="RW42" s="756"/>
      <c r="RX42" s="756"/>
      <c r="RY42" s="756"/>
      <c r="RZ42" s="756"/>
      <c r="SA42" s="756"/>
      <c r="SB42" s="756"/>
      <c r="SC42" s="756"/>
      <c r="SD42" s="756"/>
      <c r="SE42" s="756"/>
      <c r="SF42" s="756"/>
      <c r="SG42" s="756"/>
      <c r="SH42" s="756"/>
      <c r="SI42" s="756"/>
      <c r="SJ42" s="756"/>
      <c r="SK42" s="756"/>
      <c r="SL42" s="756"/>
      <c r="SM42" s="756"/>
      <c r="SN42" s="756"/>
      <c r="SO42" s="756"/>
      <c r="SP42" s="756"/>
      <c r="SQ42" s="756"/>
      <c r="SR42" s="756"/>
    </row>
    <row r="43" spans="1:512" s="850" customFormat="1" ht="15" customHeight="1">
      <c r="A43" s="969"/>
      <c r="B43" s="969" t="s">
        <v>2213</v>
      </c>
      <c r="C43" s="969"/>
      <c r="D43" s="969"/>
      <c r="E43" s="969" t="s">
        <v>875</v>
      </c>
      <c r="F43" s="969"/>
      <c r="G43" s="839">
        <v>4.3083690574453417</v>
      </c>
      <c r="H43" s="1029">
        <v>0.25</v>
      </c>
      <c r="I43" s="839"/>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39"/>
      <c r="BN43" s="839"/>
      <c r="BO43" s="839"/>
      <c r="BP43" s="839"/>
      <c r="BQ43" s="839"/>
      <c r="BR43" s="839"/>
      <c r="BS43" s="839"/>
      <c r="BT43" s="839"/>
      <c r="BU43" s="839"/>
      <c r="BV43" s="839"/>
      <c r="BW43" s="839"/>
      <c r="BX43" s="839"/>
      <c r="BY43" s="839"/>
      <c r="BZ43" s="839"/>
      <c r="CA43" s="839"/>
      <c r="CB43" s="839"/>
      <c r="CC43" s="839"/>
      <c r="CD43" s="839"/>
      <c r="CE43" s="839"/>
      <c r="CF43" s="839"/>
      <c r="CG43" s="839"/>
      <c r="CH43" s="839"/>
      <c r="CI43" s="839"/>
      <c r="CJ43" s="839"/>
      <c r="CK43" s="839"/>
      <c r="CL43" s="839"/>
      <c r="CM43" s="839"/>
      <c r="CN43" s="839"/>
      <c r="CO43" s="839"/>
      <c r="CP43" s="839"/>
      <c r="CQ43" s="839"/>
      <c r="CR43" s="839"/>
      <c r="CS43" s="839"/>
      <c r="CT43" s="839"/>
      <c r="CU43" s="839"/>
      <c r="CV43" s="839"/>
      <c r="CW43" s="839"/>
      <c r="CX43" s="839"/>
      <c r="CY43" s="839"/>
      <c r="CZ43" s="839"/>
      <c r="DA43" s="839"/>
      <c r="DB43" s="839"/>
      <c r="DC43" s="839"/>
      <c r="DD43" s="839"/>
      <c r="DE43" s="839"/>
      <c r="DF43" s="839"/>
      <c r="DG43" s="839"/>
      <c r="DH43" s="839"/>
      <c r="DI43" s="839"/>
      <c r="DJ43" s="839"/>
      <c r="DK43" s="839"/>
      <c r="DL43" s="839"/>
      <c r="DM43" s="839"/>
      <c r="DN43" s="839"/>
      <c r="DO43" s="839"/>
      <c r="DP43" s="839"/>
      <c r="DQ43" s="839"/>
      <c r="DR43" s="839"/>
      <c r="DS43" s="839"/>
      <c r="DT43" s="839"/>
      <c r="DU43" s="839"/>
      <c r="DV43" s="839"/>
      <c r="DW43" s="839"/>
      <c r="DX43" s="839"/>
      <c r="DY43" s="839"/>
      <c r="DZ43" s="839"/>
      <c r="EA43" s="839"/>
      <c r="EB43" s="839"/>
      <c r="EC43" s="839"/>
      <c r="ED43" s="839"/>
      <c r="EE43" s="839"/>
      <c r="EF43" s="839"/>
      <c r="EG43" s="839"/>
      <c r="EH43" s="839"/>
      <c r="EI43" s="839"/>
      <c r="EJ43" s="839"/>
      <c r="EK43" s="839"/>
      <c r="EL43" s="839"/>
      <c r="EM43" s="839"/>
      <c r="EN43" s="839"/>
      <c r="EO43" s="839"/>
      <c r="EP43" s="839"/>
      <c r="EQ43" s="839"/>
      <c r="ER43" s="839"/>
      <c r="ES43" s="839"/>
      <c r="ET43" s="839"/>
      <c r="EU43" s="839"/>
      <c r="EV43" s="839"/>
      <c r="EW43" s="839"/>
      <c r="EX43" s="839"/>
      <c r="EY43" s="839"/>
      <c r="EZ43" s="839"/>
      <c r="FA43" s="839"/>
      <c r="FB43" s="839"/>
      <c r="FC43" s="839"/>
      <c r="FD43" s="839"/>
      <c r="FE43" s="839"/>
      <c r="FF43" s="839"/>
      <c r="FG43" s="839"/>
      <c r="FH43" s="839"/>
      <c r="FI43" s="839"/>
      <c r="FJ43" s="839"/>
      <c r="FK43" s="839"/>
      <c r="FL43" s="839"/>
      <c r="FM43" s="839"/>
      <c r="FN43" s="839"/>
      <c r="FO43" s="839"/>
      <c r="FP43" s="839"/>
      <c r="FQ43" s="839"/>
      <c r="FR43" s="839"/>
      <c r="FS43" s="839"/>
      <c r="FT43" s="839"/>
      <c r="FU43" s="839"/>
      <c r="FV43" s="839"/>
      <c r="FW43" s="839"/>
      <c r="FX43" s="839"/>
      <c r="FY43" s="839"/>
      <c r="FZ43" s="839"/>
      <c r="GA43" s="839"/>
      <c r="GB43" s="839"/>
      <c r="GC43" s="839"/>
      <c r="GD43" s="839"/>
      <c r="GE43" s="839"/>
      <c r="GF43" s="839"/>
      <c r="GG43" s="839"/>
      <c r="GH43" s="839"/>
      <c r="GI43" s="839"/>
      <c r="GJ43" s="839"/>
      <c r="GK43" s="839"/>
      <c r="GL43" s="839"/>
      <c r="GM43" s="839"/>
      <c r="GN43" s="839"/>
      <c r="GO43" s="839"/>
      <c r="GP43" s="839"/>
      <c r="GQ43" s="839"/>
      <c r="GR43" s="839"/>
      <c r="GS43" s="839"/>
      <c r="GT43" s="839"/>
      <c r="GU43" s="839"/>
      <c r="GV43" s="839"/>
      <c r="GW43" s="839"/>
      <c r="GX43" s="839"/>
      <c r="GY43" s="839"/>
      <c r="GZ43" s="839"/>
      <c r="HA43" s="839"/>
      <c r="HB43" s="839"/>
      <c r="HC43" s="839"/>
      <c r="HD43" s="839"/>
      <c r="HE43" s="839"/>
      <c r="HF43" s="839"/>
      <c r="HG43" s="839"/>
      <c r="HH43" s="839"/>
      <c r="HI43" s="839"/>
      <c r="HJ43" s="839"/>
      <c r="HK43" s="839"/>
      <c r="HL43" s="839"/>
      <c r="HM43" s="839"/>
      <c r="HN43" s="839"/>
      <c r="HO43" s="839"/>
      <c r="HP43" s="839"/>
      <c r="HQ43" s="839"/>
      <c r="HR43" s="839"/>
      <c r="HS43" s="839"/>
      <c r="HT43" s="839"/>
      <c r="HU43" s="839"/>
      <c r="HV43" s="839"/>
      <c r="HW43" s="839"/>
      <c r="HX43" s="839"/>
      <c r="HY43" s="839"/>
      <c r="HZ43" s="839"/>
      <c r="IA43" s="839"/>
      <c r="IB43" s="839"/>
      <c r="IC43" s="839"/>
      <c r="ID43" s="839"/>
      <c r="IE43" s="839"/>
      <c r="IF43" s="839"/>
      <c r="IG43" s="839"/>
      <c r="IH43" s="839"/>
      <c r="II43" s="839"/>
      <c r="IJ43" s="839"/>
      <c r="IK43" s="839"/>
      <c r="IL43" s="839"/>
      <c r="IM43" s="839"/>
      <c r="IN43" s="839"/>
      <c r="IO43" s="839"/>
      <c r="IP43" s="839"/>
      <c r="IQ43" s="839"/>
      <c r="IR43" s="839"/>
      <c r="IS43" s="839"/>
      <c r="IT43" s="839"/>
      <c r="IU43" s="839"/>
      <c r="IV43" s="839"/>
      <c r="IW43" s="839"/>
      <c r="IX43" s="839"/>
      <c r="IY43" s="839"/>
      <c r="IZ43" s="839"/>
      <c r="JA43" s="839"/>
      <c r="JB43" s="839"/>
      <c r="JC43" s="839"/>
      <c r="JD43" s="839"/>
      <c r="JE43" s="839"/>
      <c r="JF43" s="839"/>
      <c r="JG43" s="839"/>
      <c r="JH43" s="839"/>
      <c r="JI43" s="839"/>
      <c r="JJ43" s="839"/>
      <c r="JK43" s="839"/>
      <c r="JL43" s="839"/>
      <c r="JM43" s="839"/>
      <c r="JN43" s="839"/>
      <c r="JO43" s="839"/>
      <c r="JP43" s="839"/>
      <c r="JQ43" s="839"/>
      <c r="JR43" s="839"/>
      <c r="JS43" s="839"/>
      <c r="JT43" s="839"/>
      <c r="JU43" s="839"/>
      <c r="JV43" s="839"/>
      <c r="JW43" s="839"/>
      <c r="JX43" s="839"/>
      <c r="JY43" s="839"/>
      <c r="JZ43" s="839"/>
      <c r="KA43" s="839"/>
      <c r="KB43" s="839"/>
      <c r="KC43" s="839"/>
      <c r="KD43" s="839"/>
      <c r="KE43" s="839"/>
      <c r="KF43" s="839"/>
      <c r="KG43" s="839"/>
      <c r="KH43" s="839"/>
      <c r="KI43" s="839"/>
      <c r="KJ43" s="839"/>
      <c r="KK43" s="839"/>
      <c r="KL43" s="839"/>
      <c r="KM43" s="839"/>
      <c r="KN43" s="839"/>
      <c r="KO43" s="839"/>
      <c r="KP43" s="839"/>
      <c r="KQ43" s="839"/>
      <c r="KR43" s="839"/>
      <c r="KS43" s="839"/>
      <c r="KT43" s="839"/>
      <c r="KU43" s="839"/>
      <c r="KV43" s="839"/>
      <c r="KW43" s="839"/>
      <c r="KX43" s="839"/>
      <c r="KY43" s="839"/>
      <c r="KZ43" s="839"/>
      <c r="LA43" s="839"/>
      <c r="LB43" s="839"/>
      <c r="LC43" s="839"/>
      <c r="LD43" s="839"/>
      <c r="LE43" s="839"/>
      <c r="LF43" s="839"/>
      <c r="LG43" s="839"/>
      <c r="LH43" s="839"/>
      <c r="LI43" s="839"/>
      <c r="LJ43" s="839"/>
      <c r="LK43" s="839"/>
      <c r="LL43" s="839"/>
      <c r="LM43" s="839"/>
      <c r="LN43" s="839"/>
      <c r="LO43" s="839"/>
      <c r="LP43" s="839"/>
      <c r="LQ43" s="839"/>
      <c r="LR43" s="839"/>
      <c r="LS43" s="839"/>
      <c r="LT43" s="839"/>
      <c r="LU43" s="839"/>
      <c r="LV43" s="839"/>
      <c r="LW43" s="839"/>
      <c r="LX43" s="839"/>
      <c r="LY43" s="839"/>
      <c r="LZ43" s="839"/>
      <c r="MA43" s="839"/>
      <c r="MB43" s="839"/>
      <c r="MC43" s="839"/>
      <c r="MD43" s="839"/>
      <c r="ME43" s="839"/>
      <c r="MF43" s="839"/>
      <c r="MG43" s="839"/>
      <c r="MH43" s="839"/>
      <c r="MI43" s="839"/>
      <c r="MJ43" s="839"/>
      <c r="MK43" s="839"/>
      <c r="ML43" s="839"/>
      <c r="MM43" s="839"/>
      <c r="MN43" s="839"/>
      <c r="MO43" s="839"/>
      <c r="MP43" s="839"/>
      <c r="MQ43" s="839"/>
      <c r="MR43" s="839"/>
      <c r="MS43" s="839"/>
      <c r="MT43" s="839"/>
      <c r="MU43" s="839"/>
      <c r="MV43" s="839"/>
      <c r="MW43" s="839"/>
      <c r="MX43" s="839"/>
      <c r="MY43" s="839"/>
      <c r="MZ43" s="839"/>
      <c r="NA43" s="839"/>
      <c r="NB43" s="839"/>
      <c r="NC43" s="839"/>
      <c r="ND43" s="839"/>
      <c r="NE43" s="839"/>
      <c r="NF43" s="839"/>
      <c r="NG43" s="839"/>
      <c r="NH43" s="839"/>
      <c r="NI43" s="839"/>
      <c r="NJ43" s="839"/>
      <c r="NK43" s="839"/>
      <c r="NL43" s="839"/>
      <c r="NM43" s="839"/>
      <c r="NN43" s="839"/>
      <c r="NO43" s="839"/>
      <c r="NP43" s="839"/>
      <c r="NQ43" s="839"/>
      <c r="NR43" s="839"/>
      <c r="NS43" s="839"/>
      <c r="NT43" s="839"/>
      <c r="NU43" s="839"/>
      <c r="NV43" s="839"/>
      <c r="NW43" s="839"/>
      <c r="NX43" s="839"/>
      <c r="NY43" s="839"/>
      <c r="NZ43" s="839"/>
      <c r="OA43" s="839"/>
      <c r="OB43" s="839"/>
      <c r="OC43" s="839"/>
      <c r="OD43" s="839"/>
      <c r="OE43" s="839"/>
      <c r="OF43" s="839"/>
      <c r="OG43" s="839"/>
      <c r="OH43" s="839"/>
      <c r="OI43" s="839"/>
      <c r="OJ43" s="839"/>
      <c r="OK43" s="839"/>
      <c r="OL43" s="839"/>
      <c r="OM43" s="839"/>
      <c r="ON43" s="839"/>
      <c r="OO43" s="839"/>
      <c r="OP43" s="839"/>
      <c r="OQ43" s="839"/>
      <c r="OR43" s="839"/>
      <c r="OS43" s="839"/>
      <c r="OT43" s="839"/>
      <c r="OU43" s="839"/>
      <c r="OV43" s="839"/>
      <c r="OW43" s="839"/>
      <c r="OX43" s="839"/>
      <c r="OY43" s="839"/>
      <c r="OZ43" s="839"/>
      <c r="PA43" s="839"/>
      <c r="PB43" s="839"/>
      <c r="PC43" s="839"/>
      <c r="PD43" s="839"/>
      <c r="PE43" s="839"/>
      <c r="PF43" s="839"/>
      <c r="PG43" s="839"/>
      <c r="PH43" s="839"/>
      <c r="PI43" s="839"/>
      <c r="PJ43" s="839"/>
      <c r="PK43" s="839"/>
      <c r="PL43" s="839"/>
      <c r="PM43" s="839"/>
      <c r="PN43" s="839"/>
      <c r="PO43" s="839"/>
      <c r="PP43" s="839"/>
      <c r="PQ43" s="839"/>
      <c r="PR43" s="839"/>
      <c r="PS43" s="839"/>
      <c r="PT43" s="839"/>
      <c r="PU43" s="839"/>
      <c r="PV43" s="839"/>
      <c r="PW43" s="839"/>
      <c r="PX43" s="839"/>
      <c r="PY43" s="839"/>
      <c r="PZ43" s="839"/>
      <c r="QA43" s="839"/>
      <c r="QB43" s="839"/>
      <c r="QC43" s="839"/>
      <c r="QD43" s="839"/>
      <c r="QE43" s="839"/>
      <c r="QF43" s="839"/>
      <c r="QG43" s="839"/>
      <c r="QH43" s="839"/>
      <c r="QI43" s="839"/>
      <c r="QJ43" s="839"/>
      <c r="QK43" s="839"/>
      <c r="QL43" s="839"/>
      <c r="QM43" s="839"/>
      <c r="QN43" s="839"/>
      <c r="QO43" s="839"/>
      <c r="QP43" s="839"/>
      <c r="QQ43" s="839"/>
      <c r="QR43" s="839"/>
      <c r="QS43" s="839"/>
      <c r="QT43" s="839"/>
      <c r="QU43" s="839"/>
      <c r="QV43" s="839"/>
      <c r="QW43" s="839"/>
      <c r="QX43" s="839"/>
      <c r="QY43" s="839"/>
      <c r="QZ43" s="839"/>
      <c r="RA43" s="839"/>
      <c r="RB43" s="839"/>
      <c r="RC43" s="839"/>
      <c r="RD43" s="839"/>
      <c r="RE43" s="839"/>
      <c r="RF43" s="839"/>
      <c r="RG43" s="839"/>
      <c r="RH43" s="839"/>
      <c r="RI43" s="839"/>
      <c r="RJ43" s="839"/>
      <c r="RK43" s="839"/>
      <c r="RL43" s="839"/>
      <c r="RM43" s="839"/>
      <c r="RN43" s="839"/>
      <c r="RO43" s="839"/>
      <c r="RP43" s="839"/>
      <c r="RQ43" s="839"/>
      <c r="RR43" s="839"/>
      <c r="RS43" s="839"/>
      <c r="RT43" s="839"/>
      <c r="RU43" s="839"/>
      <c r="RV43" s="839"/>
      <c r="RW43" s="839"/>
      <c r="RX43" s="839"/>
      <c r="RY43" s="839"/>
      <c r="RZ43" s="839"/>
      <c r="SA43" s="839"/>
      <c r="SB43" s="839"/>
      <c r="SC43" s="839"/>
      <c r="SD43" s="839"/>
      <c r="SE43" s="839"/>
      <c r="SF43" s="839"/>
      <c r="SG43" s="839"/>
      <c r="SH43" s="839"/>
      <c r="SI43" s="839"/>
      <c r="SJ43" s="839"/>
      <c r="SK43" s="839"/>
      <c r="SL43" s="839"/>
      <c r="SM43" s="839"/>
      <c r="SN43" s="839"/>
      <c r="SO43" s="839"/>
      <c r="SP43" s="839"/>
      <c r="SQ43" s="839"/>
      <c r="SR43" s="839"/>
    </row>
    <row r="44" spans="1:512" s="850" customFormat="1" ht="15" customHeight="1">
      <c r="A44" s="969"/>
      <c r="B44" s="969" t="s">
        <v>2214</v>
      </c>
      <c r="C44" s="969"/>
      <c r="D44" s="969"/>
      <c r="E44" s="969" t="s">
        <v>875</v>
      </c>
      <c r="F44" s="969"/>
      <c r="G44" s="839">
        <v>5.3083690574453417</v>
      </c>
      <c r="H44" s="1029"/>
      <c r="I44" s="839"/>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39"/>
      <c r="BN44" s="839"/>
      <c r="BO44" s="839"/>
      <c r="BP44" s="839"/>
      <c r="BQ44" s="839"/>
      <c r="BR44" s="839"/>
      <c r="BS44" s="839"/>
      <c r="BT44" s="839"/>
      <c r="BU44" s="839"/>
      <c r="BV44" s="839"/>
      <c r="BW44" s="839"/>
      <c r="BX44" s="839"/>
      <c r="BY44" s="839"/>
      <c r="BZ44" s="839"/>
      <c r="CA44" s="839"/>
      <c r="CB44" s="839"/>
      <c r="CC44" s="839"/>
      <c r="CD44" s="839"/>
      <c r="CE44" s="839"/>
      <c r="CF44" s="839"/>
      <c r="CG44" s="839"/>
      <c r="CH44" s="839"/>
      <c r="CI44" s="839"/>
      <c r="CJ44" s="839"/>
      <c r="CK44" s="839"/>
      <c r="CL44" s="839"/>
      <c r="CM44" s="839"/>
      <c r="CN44" s="839"/>
      <c r="CO44" s="839"/>
      <c r="CP44" s="839"/>
      <c r="CQ44" s="839"/>
      <c r="CR44" s="839"/>
      <c r="CS44" s="839"/>
      <c r="CT44" s="839"/>
      <c r="CU44" s="839"/>
      <c r="CV44" s="839"/>
      <c r="CW44" s="839"/>
      <c r="CX44" s="839"/>
      <c r="CY44" s="839"/>
      <c r="CZ44" s="839"/>
      <c r="DA44" s="839"/>
      <c r="DB44" s="839"/>
      <c r="DC44" s="839"/>
      <c r="DD44" s="839"/>
      <c r="DE44" s="839"/>
      <c r="DF44" s="839"/>
      <c r="DG44" s="839"/>
      <c r="DH44" s="839"/>
      <c r="DI44" s="839"/>
      <c r="DJ44" s="839"/>
      <c r="DK44" s="839"/>
      <c r="DL44" s="839"/>
      <c r="DM44" s="839"/>
      <c r="DN44" s="839"/>
      <c r="DO44" s="839"/>
      <c r="DP44" s="839"/>
      <c r="DQ44" s="839"/>
      <c r="DR44" s="839"/>
      <c r="DS44" s="839"/>
      <c r="DT44" s="839"/>
      <c r="DU44" s="839"/>
      <c r="DV44" s="839"/>
      <c r="DW44" s="839"/>
      <c r="DX44" s="839"/>
      <c r="DY44" s="839"/>
      <c r="DZ44" s="839"/>
      <c r="EA44" s="839"/>
      <c r="EB44" s="839"/>
      <c r="EC44" s="839"/>
      <c r="ED44" s="839"/>
      <c r="EE44" s="839"/>
      <c r="EF44" s="839"/>
      <c r="EG44" s="839"/>
      <c r="EH44" s="839"/>
      <c r="EI44" s="839"/>
      <c r="EJ44" s="839"/>
      <c r="EK44" s="839"/>
      <c r="EL44" s="839"/>
      <c r="EM44" s="839"/>
      <c r="EN44" s="839"/>
      <c r="EO44" s="839"/>
      <c r="EP44" s="839"/>
      <c r="EQ44" s="839"/>
      <c r="ER44" s="839"/>
      <c r="ES44" s="839"/>
      <c r="ET44" s="839"/>
      <c r="EU44" s="839"/>
      <c r="EV44" s="839"/>
      <c r="EW44" s="839"/>
      <c r="EX44" s="839"/>
      <c r="EY44" s="839"/>
      <c r="EZ44" s="839"/>
      <c r="FA44" s="839"/>
      <c r="FB44" s="839"/>
      <c r="FC44" s="839"/>
      <c r="FD44" s="839"/>
      <c r="FE44" s="839"/>
      <c r="FF44" s="839"/>
      <c r="FG44" s="839"/>
      <c r="FH44" s="839"/>
      <c r="FI44" s="839"/>
      <c r="FJ44" s="839"/>
      <c r="FK44" s="839"/>
      <c r="FL44" s="839"/>
      <c r="FM44" s="839"/>
      <c r="FN44" s="839"/>
      <c r="FO44" s="839"/>
      <c r="FP44" s="839"/>
      <c r="FQ44" s="839"/>
      <c r="FR44" s="839"/>
      <c r="FS44" s="839"/>
      <c r="FT44" s="839"/>
      <c r="FU44" s="839"/>
      <c r="FV44" s="839"/>
      <c r="FW44" s="839"/>
      <c r="FX44" s="839"/>
      <c r="FY44" s="839"/>
      <c r="FZ44" s="839"/>
      <c r="GA44" s="839"/>
      <c r="GB44" s="839"/>
      <c r="GC44" s="839"/>
      <c r="GD44" s="839"/>
      <c r="GE44" s="839"/>
      <c r="GF44" s="839"/>
      <c r="GG44" s="839"/>
      <c r="GH44" s="839"/>
      <c r="GI44" s="839"/>
      <c r="GJ44" s="839"/>
      <c r="GK44" s="839"/>
      <c r="GL44" s="839"/>
      <c r="GM44" s="839"/>
      <c r="GN44" s="839"/>
      <c r="GO44" s="839"/>
      <c r="GP44" s="839"/>
      <c r="GQ44" s="839"/>
      <c r="GR44" s="839"/>
      <c r="GS44" s="839"/>
      <c r="GT44" s="839"/>
      <c r="GU44" s="839"/>
      <c r="GV44" s="839"/>
      <c r="GW44" s="839"/>
      <c r="GX44" s="839"/>
      <c r="GY44" s="839"/>
      <c r="GZ44" s="839"/>
      <c r="HA44" s="839"/>
      <c r="HB44" s="839"/>
      <c r="HC44" s="839"/>
      <c r="HD44" s="839"/>
      <c r="HE44" s="839"/>
      <c r="HF44" s="839"/>
      <c r="HG44" s="839"/>
      <c r="HH44" s="839"/>
      <c r="HI44" s="839"/>
      <c r="HJ44" s="839"/>
      <c r="HK44" s="839"/>
      <c r="HL44" s="839"/>
      <c r="HM44" s="839"/>
      <c r="HN44" s="839"/>
      <c r="HO44" s="839"/>
      <c r="HP44" s="839"/>
      <c r="HQ44" s="839"/>
      <c r="HR44" s="839"/>
      <c r="HS44" s="839"/>
      <c r="HT44" s="839"/>
      <c r="HU44" s="839"/>
      <c r="HV44" s="839"/>
      <c r="HW44" s="839"/>
      <c r="HX44" s="839"/>
      <c r="HY44" s="839"/>
      <c r="HZ44" s="839"/>
      <c r="IA44" s="839"/>
      <c r="IB44" s="839"/>
      <c r="IC44" s="839"/>
      <c r="ID44" s="839"/>
      <c r="IE44" s="839"/>
      <c r="IF44" s="839"/>
      <c r="IG44" s="839"/>
      <c r="IH44" s="839"/>
      <c r="II44" s="839"/>
      <c r="IJ44" s="839"/>
      <c r="IK44" s="839"/>
      <c r="IL44" s="839"/>
      <c r="IM44" s="839"/>
      <c r="IN44" s="839"/>
      <c r="IO44" s="839"/>
      <c r="IP44" s="839"/>
      <c r="IQ44" s="839"/>
      <c r="IR44" s="839"/>
      <c r="IS44" s="839"/>
      <c r="IT44" s="839"/>
      <c r="IU44" s="839"/>
      <c r="IV44" s="839"/>
      <c r="IW44" s="839"/>
      <c r="IX44" s="839"/>
      <c r="IY44" s="839"/>
      <c r="IZ44" s="839"/>
      <c r="JA44" s="839"/>
      <c r="JB44" s="839"/>
      <c r="JC44" s="839"/>
      <c r="JD44" s="839"/>
      <c r="JE44" s="839"/>
      <c r="JF44" s="839"/>
      <c r="JG44" s="839"/>
      <c r="JH44" s="839"/>
      <c r="JI44" s="839"/>
      <c r="JJ44" s="839"/>
      <c r="JK44" s="839"/>
      <c r="JL44" s="839"/>
      <c r="JM44" s="839"/>
      <c r="JN44" s="839"/>
      <c r="JO44" s="839"/>
      <c r="JP44" s="839"/>
      <c r="JQ44" s="839"/>
      <c r="JR44" s="839"/>
      <c r="JS44" s="839"/>
      <c r="JT44" s="839"/>
      <c r="JU44" s="839"/>
      <c r="JV44" s="839"/>
      <c r="JW44" s="839"/>
      <c r="JX44" s="839"/>
      <c r="JY44" s="839"/>
      <c r="JZ44" s="839"/>
      <c r="KA44" s="839"/>
      <c r="KB44" s="839"/>
      <c r="KC44" s="839"/>
      <c r="KD44" s="839"/>
      <c r="KE44" s="839"/>
      <c r="KF44" s="839"/>
      <c r="KG44" s="839"/>
      <c r="KH44" s="839"/>
      <c r="KI44" s="839"/>
      <c r="KJ44" s="839"/>
      <c r="KK44" s="839"/>
      <c r="KL44" s="839"/>
      <c r="KM44" s="839"/>
      <c r="KN44" s="839"/>
      <c r="KO44" s="839"/>
      <c r="KP44" s="839"/>
      <c r="KQ44" s="839"/>
      <c r="KR44" s="839"/>
      <c r="KS44" s="839"/>
      <c r="KT44" s="839"/>
      <c r="KU44" s="839"/>
      <c r="KV44" s="839"/>
      <c r="KW44" s="839"/>
      <c r="KX44" s="839"/>
      <c r="KY44" s="839"/>
      <c r="KZ44" s="839"/>
      <c r="LA44" s="839"/>
      <c r="LB44" s="839"/>
      <c r="LC44" s="839"/>
      <c r="LD44" s="839"/>
      <c r="LE44" s="839"/>
      <c r="LF44" s="839"/>
      <c r="LG44" s="839"/>
      <c r="LH44" s="839"/>
      <c r="LI44" s="839"/>
      <c r="LJ44" s="839"/>
      <c r="LK44" s="839"/>
      <c r="LL44" s="839"/>
      <c r="LM44" s="839"/>
      <c r="LN44" s="839"/>
      <c r="LO44" s="839"/>
      <c r="LP44" s="839"/>
      <c r="LQ44" s="839"/>
      <c r="LR44" s="839"/>
      <c r="LS44" s="839"/>
      <c r="LT44" s="839"/>
      <c r="LU44" s="839"/>
      <c r="LV44" s="839"/>
      <c r="LW44" s="839"/>
      <c r="LX44" s="839"/>
      <c r="LY44" s="839"/>
      <c r="LZ44" s="839"/>
      <c r="MA44" s="839"/>
      <c r="MB44" s="839"/>
      <c r="MC44" s="839"/>
      <c r="MD44" s="839"/>
      <c r="ME44" s="839"/>
      <c r="MF44" s="839"/>
      <c r="MG44" s="839"/>
      <c r="MH44" s="839"/>
      <c r="MI44" s="839"/>
      <c r="MJ44" s="839"/>
      <c r="MK44" s="839"/>
      <c r="ML44" s="839"/>
      <c r="MM44" s="839"/>
      <c r="MN44" s="839"/>
      <c r="MO44" s="839"/>
      <c r="MP44" s="839"/>
      <c r="MQ44" s="839"/>
      <c r="MR44" s="839"/>
      <c r="MS44" s="839"/>
      <c r="MT44" s="839"/>
      <c r="MU44" s="839"/>
      <c r="MV44" s="839"/>
      <c r="MW44" s="839"/>
      <c r="MX44" s="839"/>
      <c r="MY44" s="839"/>
      <c r="MZ44" s="839"/>
      <c r="NA44" s="839"/>
      <c r="NB44" s="839"/>
      <c r="NC44" s="839"/>
      <c r="ND44" s="839"/>
      <c r="NE44" s="839"/>
      <c r="NF44" s="839"/>
      <c r="NG44" s="839"/>
      <c r="NH44" s="839"/>
      <c r="NI44" s="839"/>
      <c r="NJ44" s="839"/>
      <c r="NK44" s="839"/>
      <c r="NL44" s="839"/>
      <c r="NM44" s="839"/>
      <c r="NN44" s="839"/>
      <c r="NO44" s="839"/>
      <c r="NP44" s="839"/>
      <c r="NQ44" s="839"/>
      <c r="NR44" s="839"/>
      <c r="NS44" s="839"/>
      <c r="NT44" s="839"/>
      <c r="NU44" s="839"/>
      <c r="NV44" s="839"/>
      <c r="NW44" s="839"/>
      <c r="NX44" s="839"/>
      <c r="NY44" s="839"/>
      <c r="NZ44" s="839"/>
      <c r="OA44" s="839"/>
      <c r="OB44" s="839"/>
      <c r="OC44" s="839"/>
      <c r="OD44" s="839"/>
      <c r="OE44" s="839"/>
      <c r="OF44" s="839"/>
      <c r="OG44" s="839"/>
      <c r="OH44" s="839"/>
      <c r="OI44" s="839"/>
      <c r="OJ44" s="839"/>
      <c r="OK44" s="839"/>
      <c r="OL44" s="839"/>
      <c r="OM44" s="839"/>
      <c r="ON44" s="839"/>
      <c r="OO44" s="839"/>
      <c r="OP44" s="839"/>
      <c r="OQ44" s="839"/>
      <c r="OR44" s="839"/>
      <c r="OS44" s="839"/>
      <c r="OT44" s="839"/>
      <c r="OU44" s="839"/>
      <c r="OV44" s="839"/>
      <c r="OW44" s="839"/>
      <c r="OX44" s="839"/>
      <c r="OY44" s="839"/>
      <c r="OZ44" s="839"/>
      <c r="PA44" s="839"/>
      <c r="PB44" s="839"/>
      <c r="PC44" s="839"/>
      <c r="PD44" s="839"/>
      <c r="PE44" s="839"/>
      <c r="PF44" s="839"/>
      <c r="PG44" s="839"/>
      <c r="PH44" s="839"/>
      <c r="PI44" s="839"/>
      <c r="PJ44" s="839"/>
      <c r="PK44" s="839"/>
      <c r="PL44" s="839"/>
      <c r="PM44" s="839"/>
      <c r="PN44" s="839"/>
      <c r="PO44" s="839"/>
      <c r="PP44" s="839"/>
      <c r="PQ44" s="839"/>
      <c r="PR44" s="839"/>
      <c r="PS44" s="839"/>
      <c r="PT44" s="839"/>
      <c r="PU44" s="839"/>
      <c r="PV44" s="839"/>
      <c r="PW44" s="839"/>
      <c r="PX44" s="839"/>
      <c r="PY44" s="839"/>
      <c r="PZ44" s="839"/>
      <c r="QA44" s="839"/>
      <c r="QB44" s="839"/>
      <c r="QC44" s="839"/>
      <c r="QD44" s="839"/>
      <c r="QE44" s="839"/>
      <c r="QF44" s="839"/>
      <c r="QG44" s="839"/>
      <c r="QH44" s="839"/>
      <c r="QI44" s="839"/>
      <c r="QJ44" s="839"/>
      <c r="QK44" s="839"/>
      <c r="QL44" s="839"/>
      <c r="QM44" s="839"/>
      <c r="QN44" s="839"/>
      <c r="QO44" s="839"/>
      <c r="QP44" s="839"/>
      <c r="QQ44" s="839"/>
      <c r="QR44" s="839"/>
      <c r="QS44" s="839"/>
      <c r="QT44" s="839"/>
      <c r="QU44" s="839"/>
      <c r="QV44" s="839"/>
      <c r="QW44" s="839"/>
      <c r="QX44" s="839"/>
      <c r="QY44" s="839"/>
      <c r="QZ44" s="839"/>
      <c r="RA44" s="839"/>
      <c r="RB44" s="839"/>
      <c r="RC44" s="839"/>
      <c r="RD44" s="839"/>
      <c r="RE44" s="839"/>
      <c r="RF44" s="839"/>
      <c r="RG44" s="839"/>
      <c r="RH44" s="839"/>
      <c r="RI44" s="839"/>
      <c r="RJ44" s="839"/>
      <c r="RK44" s="839"/>
      <c r="RL44" s="839"/>
      <c r="RM44" s="839"/>
      <c r="RN44" s="839"/>
      <c r="RO44" s="839"/>
      <c r="RP44" s="839"/>
      <c r="RQ44" s="839"/>
      <c r="RR44" s="839"/>
      <c r="RS44" s="839"/>
      <c r="RT44" s="839"/>
      <c r="RU44" s="839"/>
      <c r="RV44" s="839"/>
      <c r="RW44" s="839"/>
      <c r="RX44" s="839"/>
      <c r="RY44" s="839"/>
      <c r="RZ44" s="839"/>
      <c r="SA44" s="839"/>
      <c r="SB44" s="839"/>
      <c r="SC44" s="839"/>
      <c r="SD44" s="839"/>
      <c r="SE44" s="839"/>
      <c r="SF44" s="839"/>
      <c r="SG44" s="839"/>
      <c r="SH44" s="839"/>
      <c r="SI44" s="839"/>
      <c r="SJ44" s="839"/>
      <c r="SK44" s="839"/>
      <c r="SL44" s="839"/>
      <c r="SM44" s="839"/>
      <c r="SN44" s="839"/>
      <c r="SO44" s="839"/>
      <c r="SP44" s="839"/>
      <c r="SQ44" s="839"/>
      <c r="SR44" s="839"/>
    </row>
    <row r="45" spans="1:512" ht="15" customHeight="1">
      <c r="A45" s="969"/>
      <c r="B45" s="969" t="s">
        <v>2277</v>
      </c>
      <c r="C45" s="969"/>
      <c r="D45" s="969"/>
      <c r="E45" s="969" t="s">
        <v>2122</v>
      </c>
      <c r="F45" s="969"/>
      <c r="G45" s="756">
        <v>1500</v>
      </c>
      <c r="H45" s="1029"/>
      <c r="I45" s="756"/>
      <c r="J45" s="756"/>
      <c r="K45" s="756"/>
      <c r="L45" s="756"/>
      <c r="M45" s="756"/>
      <c r="N45" s="756"/>
      <c r="O45" s="756"/>
      <c r="P45" s="756"/>
      <c r="Q45" s="756"/>
      <c r="R45" s="756"/>
      <c r="S45" s="756"/>
      <c r="T45" s="756"/>
      <c r="U45" s="756"/>
      <c r="V45" s="756"/>
      <c r="W45" s="756"/>
      <c r="X45" s="756"/>
      <c r="Y45" s="756"/>
      <c r="Z45" s="756"/>
      <c r="AA45" s="756"/>
      <c r="AB45" s="756"/>
      <c r="AC45" s="756"/>
      <c r="AD45" s="756"/>
      <c r="AE45" s="756"/>
      <c r="AF45" s="756"/>
      <c r="AG45" s="756"/>
      <c r="AH45" s="756"/>
      <c r="AI45" s="756"/>
      <c r="AJ45" s="756"/>
      <c r="AK45" s="756"/>
      <c r="AL45" s="756"/>
      <c r="AM45" s="756"/>
      <c r="AN45" s="756"/>
      <c r="AO45" s="756"/>
      <c r="AP45" s="756"/>
      <c r="AQ45" s="756"/>
      <c r="AR45" s="756"/>
      <c r="AS45" s="756"/>
      <c r="AT45" s="756"/>
      <c r="AU45" s="756"/>
      <c r="AV45" s="756"/>
      <c r="AW45" s="756"/>
      <c r="AX45" s="756"/>
      <c r="AY45" s="756"/>
      <c r="AZ45" s="756"/>
      <c r="BA45" s="756"/>
      <c r="BB45" s="756"/>
      <c r="BC45" s="756"/>
      <c r="BD45" s="756"/>
      <c r="BE45" s="756"/>
      <c r="BF45" s="756"/>
      <c r="BG45" s="756"/>
      <c r="BH45" s="756"/>
      <c r="BI45" s="756"/>
      <c r="BJ45" s="756"/>
      <c r="BK45" s="756"/>
      <c r="BL45" s="756"/>
      <c r="BM45" s="756"/>
      <c r="BN45" s="756"/>
      <c r="BO45" s="756"/>
      <c r="BP45" s="756"/>
      <c r="BQ45" s="756"/>
      <c r="BR45" s="756"/>
      <c r="BS45" s="756"/>
      <c r="BT45" s="756"/>
      <c r="BU45" s="756"/>
      <c r="BV45" s="756"/>
      <c r="BW45" s="756"/>
      <c r="BX45" s="756"/>
      <c r="BY45" s="756"/>
      <c r="BZ45" s="756"/>
      <c r="CA45" s="756"/>
      <c r="CB45" s="756"/>
      <c r="CC45" s="756"/>
      <c r="CD45" s="756"/>
      <c r="CE45" s="756"/>
      <c r="CF45" s="756"/>
      <c r="CG45" s="756"/>
      <c r="CH45" s="756"/>
      <c r="CI45" s="756"/>
      <c r="CJ45" s="756"/>
      <c r="CK45" s="756"/>
      <c r="CL45" s="756"/>
      <c r="CM45" s="756"/>
      <c r="CN45" s="756"/>
      <c r="CO45" s="756"/>
      <c r="CP45" s="756"/>
      <c r="CQ45" s="756"/>
      <c r="CR45" s="756"/>
      <c r="CS45" s="756"/>
      <c r="CT45" s="756"/>
      <c r="CU45" s="756"/>
      <c r="CV45" s="756"/>
      <c r="CW45" s="756"/>
      <c r="CX45" s="756"/>
      <c r="CY45" s="756"/>
      <c r="CZ45" s="756"/>
      <c r="DA45" s="756"/>
      <c r="DB45" s="756"/>
      <c r="DC45" s="756"/>
      <c r="DD45" s="756"/>
      <c r="DE45" s="756"/>
      <c r="DF45" s="756"/>
      <c r="DG45" s="756"/>
      <c r="DH45" s="756"/>
      <c r="DI45" s="756"/>
      <c r="DJ45" s="756"/>
      <c r="DK45" s="756"/>
      <c r="DL45" s="756"/>
      <c r="DM45" s="756"/>
      <c r="DN45" s="756"/>
      <c r="DO45" s="756"/>
      <c r="DP45" s="756"/>
      <c r="DQ45" s="756"/>
      <c r="DR45" s="756"/>
      <c r="DS45" s="756"/>
      <c r="DT45" s="756"/>
      <c r="DU45" s="756"/>
      <c r="DV45" s="756"/>
      <c r="DW45" s="756"/>
      <c r="DX45" s="756"/>
      <c r="DY45" s="756"/>
      <c r="DZ45" s="756"/>
      <c r="EA45" s="756"/>
      <c r="EB45" s="756"/>
      <c r="EC45" s="756"/>
      <c r="ED45" s="756"/>
      <c r="EE45" s="756"/>
      <c r="EF45" s="756"/>
      <c r="EG45" s="756"/>
      <c r="EH45" s="756"/>
      <c r="EI45" s="756"/>
      <c r="EJ45" s="756"/>
      <c r="EK45" s="756"/>
      <c r="EL45" s="756"/>
      <c r="EM45" s="756"/>
      <c r="EN45" s="756"/>
      <c r="EO45" s="756"/>
      <c r="EP45" s="756"/>
      <c r="EQ45" s="756"/>
      <c r="ER45" s="756"/>
      <c r="ES45" s="756"/>
      <c r="ET45" s="756"/>
      <c r="EU45" s="756"/>
      <c r="EV45" s="756"/>
      <c r="EW45" s="756"/>
      <c r="EX45" s="756"/>
      <c r="EY45" s="756"/>
      <c r="EZ45" s="756"/>
      <c r="FA45" s="756"/>
      <c r="FB45" s="756"/>
      <c r="FC45" s="756"/>
      <c r="FD45" s="756"/>
      <c r="FE45" s="756"/>
      <c r="FF45" s="756"/>
      <c r="FG45" s="756"/>
      <c r="FH45" s="756"/>
      <c r="FI45" s="756"/>
      <c r="FJ45" s="756"/>
      <c r="FK45" s="756"/>
      <c r="FL45" s="756"/>
      <c r="FM45" s="756"/>
      <c r="FN45" s="756"/>
      <c r="FO45" s="756"/>
      <c r="FP45" s="756"/>
      <c r="FQ45" s="756"/>
      <c r="FR45" s="756"/>
      <c r="FS45" s="756"/>
      <c r="FT45" s="756"/>
      <c r="FU45" s="756"/>
      <c r="FV45" s="756"/>
      <c r="FW45" s="756"/>
      <c r="FX45" s="756"/>
      <c r="FY45" s="756"/>
      <c r="FZ45" s="756"/>
      <c r="GA45" s="756"/>
      <c r="GB45" s="756"/>
      <c r="GC45" s="756"/>
      <c r="GD45" s="756"/>
      <c r="GE45" s="756"/>
      <c r="GF45" s="756"/>
      <c r="GG45" s="756"/>
      <c r="GH45" s="756"/>
      <c r="GI45" s="756"/>
      <c r="GJ45" s="756"/>
      <c r="GK45" s="756"/>
      <c r="GL45" s="756"/>
      <c r="GM45" s="756"/>
      <c r="GN45" s="756"/>
      <c r="GO45" s="756"/>
      <c r="GP45" s="756"/>
      <c r="GQ45" s="756"/>
      <c r="GR45" s="756"/>
      <c r="GS45" s="756"/>
      <c r="GT45" s="756"/>
      <c r="GU45" s="756"/>
      <c r="GV45" s="756"/>
      <c r="GW45" s="756"/>
      <c r="GX45" s="756"/>
      <c r="GY45" s="756"/>
      <c r="GZ45" s="756"/>
      <c r="HA45" s="756"/>
      <c r="HB45" s="756"/>
      <c r="HC45" s="756"/>
      <c r="HD45" s="756"/>
      <c r="HE45" s="756"/>
      <c r="HF45" s="756"/>
      <c r="HG45" s="756"/>
      <c r="HH45" s="756"/>
      <c r="HI45" s="756"/>
      <c r="HJ45" s="756"/>
      <c r="HK45" s="756"/>
      <c r="HL45" s="756"/>
      <c r="HM45" s="756"/>
      <c r="HN45" s="756"/>
      <c r="HO45" s="756"/>
      <c r="HP45" s="756"/>
      <c r="HQ45" s="756"/>
      <c r="HR45" s="756"/>
      <c r="HS45" s="756"/>
      <c r="HT45" s="756"/>
      <c r="HU45" s="756"/>
      <c r="HV45" s="756"/>
      <c r="HW45" s="756"/>
      <c r="HX45" s="756"/>
      <c r="HY45" s="756"/>
      <c r="HZ45" s="756"/>
      <c r="IA45" s="756"/>
      <c r="IB45" s="756"/>
      <c r="IC45" s="756"/>
      <c r="ID45" s="756"/>
      <c r="IE45" s="756"/>
      <c r="IF45" s="756"/>
      <c r="IG45" s="756"/>
      <c r="IH45" s="756"/>
      <c r="II45" s="756"/>
      <c r="IJ45" s="756"/>
      <c r="IK45" s="756"/>
      <c r="IL45" s="756"/>
      <c r="IM45" s="756"/>
      <c r="IN45" s="756"/>
      <c r="IO45" s="756"/>
      <c r="IP45" s="756"/>
      <c r="IQ45" s="756"/>
      <c r="IR45" s="756"/>
      <c r="IS45" s="756"/>
      <c r="IT45" s="756"/>
      <c r="IU45" s="756"/>
      <c r="IV45" s="756"/>
      <c r="IW45" s="756"/>
      <c r="IX45" s="756"/>
      <c r="IY45" s="756"/>
      <c r="IZ45" s="756"/>
      <c r="JA45" s="756"/>
      <c r="JB45" s="756"/>
      <c r="JC45" s="756"/>
      <c r="JD45" s="756"/>
      <c r="JE45" s="756"/>
      <c r="JF45" s="756"/>
      <c r="JG45" s="756"/>
      <c r="JH45" s="756"/>
      <c r="JI45" s="756"/>
      <c r="JJ45" s="756"/>
      <c r="JK45" s="756"/>
      <c r="JL45" s="756"/>
      <c r="JM45" s="756"/>
      <c r="JN45" s="756"/>
      <c r="JO45" s="756"/>
      <c r="JP45" s="756"/>
      <c r="JQ45" s="756"/>
      <c r="JR45" s="756"/>
      <c r="JS45" s="756"/>
      <c r="JT45" s="756"/>
      <c r="JU45" s="756"/>
      <c r="JV45" s="756"/>
      <c r="JW45" s="756"/>
      <c r="JX45" s="756"/>
      <c r="JY45" s="756"/>
      <c r="JZ45" s="756"/>
      <c r="KA45" s="756"/>
      <c r="KB45" s="756"/>
      <c r="KC45" s="756"/>
      <c r="KD45" s="756"/>
      <c r="KE45" s="756"/>
      <c r="KF45" s="756"/>
      <c r="KG45" s="756"/>
      <c r="KH45" s="756"/>
      <c r="KI45" s="756"/>
      <c r="KJ45" s="756"/>
      <c r="KK45" s="756"/>
      <c r="KL45" s="756"/>
      <c r="KM45" s="756"/>
      <c r="KN45" s="756"/>
      <c r="KO45" s="756"/>
      <c r="KP45" s="756"/>
      <c r="KQ45" s="756"/>
      <c r="KR45" s="756"/>
      <c r="KS45" s="756"/>
      <c r="KT45" s="756"/>
      <c r="KU45" s="756"/>
      <c r="KV45" s="756"/>
      <c r="KW45" s="756"/>
      <c r="KX45" s="756"/>
      <c r="KY45" s="756"/>
      <c r="KZ45" s="756"/>
      <c r="LA45" s="756"/>
      <c r="LB45" s="756"/>
      <c r="LC45" s="756"/>
      <c r="LD45" s="756"/>
      <c r="LE45" s="756"/>
      <c r="LF45" s="756"/>
      <c r="LG45" s="756"/>
      <c r="LH45" s="756"/>
      <c r="LI45" s="756"/>
      <c r="LJ45" s="756"/>
      <c r="LK45" s="756"/>
      <c r="LL45" s="756"/>
      <c r="LM45" s="756"/>
      <c r="LN45" s="756"/>
      <c r="LO45" s="756"/>
      <c r="LP45" s="756"/>
      <c r="LQ45" s="756"/>
      <c r="LR45" s="756"/>
      <c r="LS45" s="756"/>
      <c r="LT45" s="756"/>
      <c r="LU45" s="756"/>
      <c r="LV45" s="756"/>
      <c r="LW45" s="756"/>
      <c r="LX45" s="756"/>
      <c r="LY45" s="756"/>
      <c r="LZ45" s="756"/>
      <c r="MA45" s="756"/>
      <c r="MB45" s="756"/>
      <c r="MC45" s="756"/>
      <c r="MD45" s="756"/>
      <c r="ME45" s="756"/>
      <c r="MF45" s="756"/>
      <c r="MG45" s="756"/>
      <c r="MH45" s="756"/>
      <c r="MI45" s="756"/>
      <c r="MJ45" s="756"/>
      <c r="MK45" s="756"/>
      <c r="ML45" s="756"/>
      <c r="MM45" s="756"/>
      <c r="MN45" s="756"/>
      <c r="MO45" s="756"/>
      <c r="MP45" s="756"/>
      <c r="MQ45" s="756"/>
      <c r="MR45" s="756"/>
      <c r="MS45" s="756"/>
      <c r="MT45" s="756"/>
      <c r="MU45" s="756"/>
      <c r="MV45" s="756"/>
      <c r="MW45" s="756"/>
      <c r="MX45" s="756"/>
      <c r="MY45" s="756"/>
      <c r="MZ45" s="756"/>
      <c r="NA45" s="756"/>
      <c r="NB45" s="756"/>
      <c r="NC45" s="756"/>
      <c r="ND45" s="756"/>
      <c r="NE45" s="756"/>
      <c r="NF45" s="756"/>
      <c r="NG45" s="756"/>
      <c r="NH45" s="756"/>
      <c r="NI45" s="756"/>
      <c r="NJ45" s="756"/>
      <c r="NK45" s="756"/>
      <c r="NL45" s="756"/>
      <c r="NM45" s="756"/>
      <c r="NN45" s="756"/>
      <c r="NO45" s="756"/>
      <c r="NP45" s="756"/>
      <c r="NQ45" s="756"/>
      <c r="NR45" s="756"/>
      <c r="NS45" s="756"/>
      <c r="NT45" s="756"/>
      <c r="NU45" s="756"/>
      <c r="NV45" s="756"/>
      <c r="NW45" s="756"/>
      <c r="NX45" s="756"/>
      <c r="NY45" s="756"/>
      <c r="NZ45" s="756"/>
      <c r="OA45" s="756"/>
      <c r="OB45" s="756"/>
      <c r="OC45" s="756"/>
      <c r="OD45" s="756"/>
      <c r="OE45" s="756"/>
      <c r="OF45" s="756"/>
      <c r="OG45" s="756"/>
      <c r="OH45" s="756"/>
      <c r="OI45" s="756"/>
      <c r="OJ45" s="756"/>
      <c r="OK45" s="756"/>
      <c r="OL45" s="756"/>
      <c r="OM45" s="756"/>
      <c r="ON45" s="756"/>
      <c r="OO45" s="756"/>
      <c r="OP45" s="756"/>
      <c r="OQ45" s="756"/>
      <c r="OR45" s="756"/>
      <c r="OS45" s="756"/>
      <c r="OT45" s="756"/>
      <c r="OU45" s="756"/>
      <c r="OV45" s="756"/>
      <c r="OW45" s="756"/>
      <c r="OX45" s="756"/>
      <c r="OY45" s="756"/>
      <c r="OZ45" s="756"/>
      <c r="PA45" s="756"/>
      <c r="PB45" s="756"/>
      <c r="PC45" s="756"/>
      <c r="PD45" s="756"/>
      <c r="PE45" s="756"/>
      <c r="PF45" s="756"/>
      <c r="PG45" s="756"/>
      <c r="PH45" s="756"/>
      <c r="PI45" s="756"/>
      <c r="PJ45" s="756"/>
      <c r="PK45" s="756"/>
      <c r="PL45" s="756"/>
      <c r="PM45" s="756"/>
      <c r="PN45" s="756"/>
      <c r="PO45" s="756"/>
      <c r="PP45" s="756"/>
      <c r="PQ45" s="756"/>
      <c r="PR45" s="756"/>
      <c r="PS45" s="756"/>
      <c r="PT45" s="756"/>
      <c r="PU45" s="756"/>
      <c r="PV45" s="756"/>
      <c r="PW45" s="756"/>
      <c r="PX45" s="756"/>
      <c r="PY45" s="756"/>
      <c r="PZ45" s="756"/>
      <c r="QA45" s="756"/>
      <c r="QB45" s="756"/>
      <c r="QC45" s="756"/>
      <c r="QD45" s="756"/>
      <c r="QE45" s="756"/>
      <c r="QF45" s="756"/>
      <c r="QG45" s="756"/>
      <c r="QH45" s="756"/>
      <c r="QI45" s="756"/>
      <c r="QJ45" s="756"/>
      <c r="QK45" s="756"/>
      <c r="QL45" s="756"/>
      <c r="QM45" s="756"/>
      <c r="QN45" s="756"/>
      <c r="QO45" s="756"/>
      <c r="QP45" s="756"/>
      <c r="QQ45" s="756"/>
      <c r="QR45" s="756"/>
      <c r="QS45" s="756"/>
      <c r="QT45" s="756"/>
      <c r="QU45" s="756"/>
      <c r="QV45" s="756"/>
      <c r="QW45" s="756"/>
      <c r="QX45" s="756"/>
      <c r="QY45" s="756"/>
      <c r="QZ45" s="756"/>
      <c r="RA45" s="756"/>
      <c r="RB45" s="756"/>
      <c r="RC45" s="756"/>
      <c r="RD45" s="756"/>
      <c r="RE45" s="756"/>
      <c r="RF45" s="756"/>
      <c r="RG45" s="756"/>
      <c r="RH45" s="756"/>
      <c r="RI45" s="756"/>
      <c r="RJ45" s="756"/>
      <c r="RK45" s="756"/>
      <c r="RL45" s="756"/>
      <c r="RM45" s="756"/>
      <c r="RN45" s="756"/>
      <c r="RO45" s="756"/>
      <c r="RP45" s="756"/>
      <c r="RQ45" s="756"/>
      <c r="RR45" s="756"/>
      <c r="RS45" s="756"/>
      <c r="RT45" s="756"/>
      <c r="RU45" s="756"/>
      <c r="RV45" s="756"/>
      <c r="RW45" s="756"/>
      <c r="RX45" s="756"/>
      <c r="RY45" s="756"/>
      <c r="RZ45" s="756"/>
      <c r="SA45" s="756"/>
      <c r="SB45" s="756"/>
      <c r="SC45" s="756"/>
      <c r="SD45" s="756"/>
      <c r="SE45" s="756"/>
      <c r="SF45" s="756"/>
      <c r="SG45" s="756"/>
      <c r="SH45" s="756"/>
      <c r="SI45" s="756"/>
      <c r="SJ45" s="756"/>
      <c r="SK45" s="756"/>
      <c r="SL45" s="756"/>
      <c r="SM45" s="756"/>
      <c r="SN45" s="756"/>
      <c r="SO45" s="756"/>
      <c r="SP45" s="756"/>
      <c r="SQ45" s="756"/>
      <c r="SR45" s="756"/>
    </row>
    <row r="46" spans="1:512" ht="15" customHeight="1">
      <c r="A46" s="969"/>
      <c r="B46" s="969" t="s">
        <v>2276</v>
      </c>
      <c r="C46" s="969"/>
      <c r="D46" s="969"/>
      <c r="E46" s="969" t="s">
        <v>876</v>
      </c>
      <c r="F46" s="969"/>
      <c r="G46" s="756">
        <v>1362</v>
      </c>
      <c r="H46" s="1029">
        <v>1000</v>
      </c>
      <c r="I46" s="756"/>
      <c r="J46" s="756"/>
      <c r="K46" s="756"/>
      <c r="L46" s="756"/>
      <c r="M46" s="756"/>
      <c r="N46" s="756"/>
      <c r="O46" s="756"/>
      <c r="P46" s="756"/>
      <c r="Q46" s="756"/>
      <c r="R46" s="756"/>
      <c r="S46" s="756"/>
      <c r="T46" s="756"/>
      <c r="U46" s="756"/>
      <c r="V46" s="756"/>
      <c r="W46" s="756"/>
      <c r="X46" s="756"/>
      <c r="Y46" s="756"/>
      <c r="Z46" s="756"/>
      <c r="AA46" s="756"/>
      <c r="AB46" s="756"/>
      <c r="AC46" s="756"/>
      <c r="AD46" s="756"/>
      <c r="AE46" s="756"/>
      <c r="AF46" s="756"/>
      <c r="AG46" s="756"/>
      <c r="AH46" s="756"/>
      <c r="AI46" s="756"/>
      <c r="AJ46" s="756"/>
      <c r="AK46" s="756"/>
      <c r="AL46" s="756"/>
      <c r="AM46" s="756"/>
      <c r="AN46" s="756"/>
      <c r="AO46" s="756"/>
      <c r="AP46" s="756"/>
      <c r="AQ46" s="756"/>
      <c r="AR46" s="756"/>
      <c r="AS46" s="756"/>
      <c r="AT46" s="756"/>
      <c r="AU46" s="756"/>
      <c r="AV46" s="756"/>
      <c r="AW46" s="756"/>
      <c r="AX46" s="756"/>
      <c r="AY46" s="756"/>
      <c r="AZ46" s="756"/>
      <c r="BA46" s="756"/>
      <c r="BB46" s="756"/>
      <c r="BC46" s="756"/>
      <c r="BD46" s="756"/>
      <c r="BE46" s="756"/>
      <c r="BF46" s="756"/>
      <c r="BG46" s="756"/>
      <c r="BH46" s="756"/>
      <c r="BI46" s="756"/>
      <c r="BJ46" s="756"/>
      <c r="BK46" s="756"/>
      <c r="BL46" s="756"/>
      <c r="BM46" s="756"/>
      <c r="BN46" s="756"/>
      <c r="BO46" s="756"/>
      <c r="BP46" s="756"/>
      <c r="BQ46" s="756"/>
      <c r="BR46" s="756"/>
      <c r="BS46" s="756"/>
      <c r="BT46" s="756"/>
      <c r="BU46" s="756"/>
      <c r="BV46" s="756"/>
      <c r="BW46" s="756"/>
      <c r="BX46" s="756"/>
      <c r="BY46" s="756"/>
      <c r="BZ46" s="756"/>
      <c r="CA46" s="756"/>
      <c r="CB46" s="756"/>
      <c r="CC46" s="756"/>
      <c r="CD46" s="756"/>
      <c r="CE46" s="756"/>
      <c r="CF46" s="756"/>
      <c r="CG46" s="756"/>
      <c r="CH46" s="756"/>
      <c r="CI46" s="756"/>
      <c r="CJ46" s="756"/>
      <c r="CK46" s="756"/>
      <c r="CL46" s="756"/>
      <c r="CM46" s="756"/>
      <c r="CN46" s="756"/>
      <c r="CO46" s="756"/>
      <c r="CP46" s="756"/>
      <c r="CQ46" s="756"/>
      <c r="CR46" s="756"/>
      <c r="CS46" s="756"/>
      <c r="CT46" s="756"/>
      <c r="CU46" s="756"/>
      <c r="CV46" s="756"/>
      <c r="CW46" s="756"/>
      <c r="CX46" s="756"/>
      <c r="CY46" s="756"/>
      <c r="CZ46" s="756"/>
      <c r="DA46" s="756"/>
      <c r="DB46" s="756"/>
      <c r="DC46" s="756"/>
      <c r="DD46" s="756"/>
      <c r="DE46" s="756"/>
      <c r="DF46" s="756"/>
      <c r="DG46" s="756"/>
      <c r="DH46" s="756"/>
      <c r="DI46" s="756"/>
      <c r="DJ46" s="756"/>
      <c r="DK46" s="756"/>
      <c r="DL46" s="756"/>
      <c r="DM46" s="756"/>
      <c r="DN46" s="756"/>
      <c r="DO46" s="756"/>
      <c r="DP46" s="756"/>
      <c r="DQ46" s="756"/>
      <c r="DR46" s="756"/>
      <c r="DS46" s="756"/>
      <c r="DT46" s="756"/>
      <c r="DU46" s="756"/>
      <c r="DV46" s="756"/>
      <c r="DW46" s="756"/>
      <c r="DX46" s="756"/>
      <c r="DY46" s="756"/>
      <c r="DZ46" s="756"/>
      <c r="EA46" s="756"/>
      <c r="EB46" s="756"/>
      <c r="EC46" s="756"/>
      <c r="ED46" s="756"/>
      <c r="EE46" s="756"/>
      <c r="EF46" s="756"/>
      <c r="EG46" s="756"/>
      <c r="EH46" s="756"/>
      <c r="EI46" s="756"/>
      <c r="EJ46" s="756"/>
      <c r="EK46" s="756"/>
      <c r="EL46" s="756"/>
      <c r="EM46" s="756"/>
      <c r="EN46" s="756"/>
      <c r="EO46" s="756"/>
      <c r="EP46" s="756"/>
      <c r="EQ46" s="756"/>
      <c r="ER46" s="756"/>
      <c r="ES46" s="756"/>
      <c r="ET46" s="756"/>
      <c r="EU46" s="756"/>
      <c r="EV46" s="756"/>
      <c r="EW46" s="756"/>
      <c r="EX46" s="756"/>
      <c r="EY46" s="756"/>
      <c r="EZ46" s="756"/>
      <c r="FA46" s="756"/>
      <c r="FB46" s="756"/>
      <c r="FC46" s="756"/>
      <c r="FD46" s="756"/>
      <c r="FE46" s="756"/>
      <c r="FF46" s="756"/>
      <c r="FG46" s="756"/>
      <c r="FH46" s="756"/>
      <c r="FI46" s="756"/>
      <c r="FJ46" s="756"/>
      <c r="FK46" s="756"/>
      <c r="FL46" s="756"/>
      <c r="FM46" s="756"/>
      <c r="FN46" s="756"/>
      <c r="FO46" s="756"/>
      <c r="FP46" s="756"/>
      <c r="FQ46" s="756"/>
      <c r="FR46" s="756"/>
      <c r="FS46" s="756"/>
      <c r="FT46" s="756"/>
      <c r="FU46" s="756"/>
      <c r="FV46" s="756"/>
      <c r="FW46" s="756"/>
      <c r="FX46" s="756"/>
      <c r="FY46" s="756"/>
      <c r="FZ46" s="756"/>
      <c r="GA46" s="756"/>
      <c r="GB46" s="756"/>
      <c r="GC46" s="756"/>
      <c r="GD46" s="756"/>
      <c r="GE46" s="756"/>
      <c r="GF46" s="756"/>
      <c r="GG46" s="756"/>
      <c r="GH46" s="756"/>
      <c r="GI46" s="756"/>
      <c r="GJ46" s="756"/>
      <c r="GK46" s="756"/>
      <c r="GL46" s="756"/>
      <c r="GM46" s="756"/>
      <c r="GN46" s="756"/>
      <c r="GO46" s="756"/>
      <c r="GP46" s="756"/>
      <c r="GQ46" s="756"/>
      <c r="GR46" s="756"/>
      <c r="GS46" s="756"/>
      <c r="GT46" s="756"/>
      <c r="GU46" s="756"/>
      <c r="GV46" s="756"/>
      <c r="GW46" s="756"/>
      <c r="GX46" s="756"/>
      <c r="GY46" s="756"/>
      <c r="GZ46" s="756"/>
      <c r="HA46" s="756"/>
      <c r="HB46" s="756"/>
      <c r="HC46" s="756"/>
      <c r="HD46" s="756"/>
      <c r="HE46" s="756"/>
      <c r="HF46" s="756"/>
      <c r="HG46" s="756"/>
      <c r="HH46" s="756"/>
      <c r="HI46" s="756"/>
      <c r="HJ46" s="756"/>
      <c r="HK46" s="756"/>
      <c r="HL46" s="756"/>
      <c r="HM46" s="756"/>
      <c r="HN46" s="756"/>
      <c r="HO46" s="756"/>
      <c r="HP46" s="756"/>
      <c r="HQ46" s="756"/>
      <c r="HR46" s="756"/>
      <c r="HS46" s="756"/>
      <c r="HT46" s="756"/>
      <c r="HU46" s="756"/>
      <c r="HV46" s="756"/>
      <c r="HW46" s="756"/>
      <c r="HX46" s="756"/>
      <c r="HY46" s="756"/>
      <c r="HZ46" s="756"/>
      <c r="IA46" s="756"/>
      <c r="IB46" s="756"/>
      <c r="IC46" s="756"/>
      <c r="ID46" s="756"/>
      <c r="IE46" s="756"/>
      <c r="IF46" s="756"/>
      <c r="IG46" s="756"/>
      <c r="IH46" s="756"/>
      <c r="II46" s="756"/>
      <c r="IJ46" s="756"/>
      <c r="IK46" s="756"/>
      <c r="IL46" s="756"/>
      <c r="IM46" s="756"/>
      <c r="IN46" s="756"/>
      <c r="IO46" s="756"/>
      <c r="IP46" s="756"/>
      <c r="IQ46" s="756"/>
      <c r="IR46" s="756"/>
      <c r="IS46" s="756"/>
      <c r="IT46" s="756"/>
      <c r="IU46" s="756"/>
      <c r="IV46" s="756"/>
      <c r="IW46" s="756"/>
      <c r="IX46" s="756"/>
      <c r="IY46" s="756"/>
      <c r="IZ46" s="756"/>
      <c r="JA46" s="756"/>
      <c r="JB46" s="756"/>
      <c r="JC46" s="756"/>
      <c r="JD46" s="756"/>
      <c r="JE46" s="756"/>
      <c r="JF46" s="756"/>
      <c r="JG46" s="756"/>
      <c r="JH46" s="756"/>
      <c r="JI46" s="756"/>
      <c r="JJ46" s="756"/>
      <c r="JK46" s="756"/>
      <c r="JL46" s="756"/>
      <c r="JM46" s="756"/>
      <c r="JN46" s="756"/>
      <c r="JO46" s="756"/>
      <c r="JP46" s="756"/>
      <c r="JQ46" s="756"/>
      <c r="JR46" s="756"/>
      <c r="JS46" s="756"/>
      <c r="JT46" s="756"/>
      <c r="JU46" s="756"/>
      <c r="JV46" s="756"/>
      <c r="JW46" s="756"/>
      <c r="JX46" s="756"/>
      <c r="JY46" s="756"/>
      <c r="JZ46" s="756"/>
      <c r="KA46" s="756"/>
      <c r="KB46" s="756"/>
      <c r="KC46" s="756"/>
      <c r="KD46" s="756"/>
      <c r="KE46" s="756"/>
      <c r="KF46" s="756"/>
      <c r="KG46" s="756"/>
      <c r="KH46" s="756"/>
      <c r="KI46" s="756"/>
      <c r="KJ46" s="756"/>
      <c r="KK46" s="756"/>
      <c r="KL46" s="756"/>
      <c r="KM46" s="756"/>
      <c r="KN46" s="756"/>
      <c r="KO46" s="756"/>
      <c r="KP46" s="756"/>
      <c r="KQ46" s="756"/>
      <c r="KR46" s="756"/>
      <c r="KS46" s="756"/>
      <c r="KT46" s="756"/>
      <c r="KU46" s="756"/>
      <c r="KV46" s="756"/>
      <c r="KW46" s="756"/>
      <c r="KX46" s="756"/>
      <c r="KY46" s="756"/>
      <c r="KZ46" s="756"/>
      <c r="LA46" s="756"/>
      <c r="LB46" s="756"/>
      <c r="LC46" s="756"/>
      <c r="LD46" s="756"/>
      <c r="LE46" s="756"/>
      <c r="LF46" s="756"/>
      <c r="LG46" s="756"/>
      <c r="LH46" s="756"/>
      <c r="LI46" s="756"/>
      <c r="LJ46" s="756"/>
      <c r="LK46" s="756"/>
      <c r="LL46" s="756"/>
      <c r="LM46" s="756"/>
      <c r="LN46" s="756"/>
      <c r="LO46" s="756"/>
      <c r="LP46" s="756"/>
      <c r="LQ46" s="756"/>
      <c r="LR46" s="756"/>
      <c r="LS46" s="756"/>
      <c r="LT46" s="756"/>
      <c r="LU46" s="756"/>
      <c r="LV46" s="756"/>
      <c r="LW46" s="756"/>
      <c r="LX46" s="756"/>
      <c r="LY46" s="756"/>
      <c r="LZ46" s="756"/>
      <c r="MA46" s="756"/>
      <c r="MB46" s="756"/>
      <c r="MC46" s="756"/>
      <c r="MD46" s="756"/>
      <c r="ME46" s="756"/>
      <c r="MF46" s="756"/>
      <c r="MG46" s="756"/>
      <c r="MH46" s="756"/>
      <c r="MI46" s="756"/>
      <c r="MJ46" s="756"/>
      <c r="MK46" s="756"/>
      <c r="ML46" s="756"/>
      <c r="MM46" s="756"/>
      <c r="MN46" s="756"/>
      <c r="MO46" s="756"/>
      <c r="MP46" s="756"/>
      <c r="MQ46" s="756"/>
      <c r="MR46" s="756"/>
      <c r="MS46" s="756"/>
      <c r="MT46" s="756"/>
      <c r="MU46" s="756"/>
      <c r="MV46" s="756"/>
      <c r="MW46" s="756"/>
      <c r="MX46" s="756"/>
      <c r="MY46" s="756"/>
      <c r="MZ46" s="756"/>
      <c r="NA46" s="756"/>
      <c r="NB46" s="756"/>
      <c r="NC46" s="756"/>
      <c r="ND46" s="756"/>
      <c r="NE46" s="756"/>
      <c r="NF46" s="756"/>
      <c r="NG46" s="756"/>
      <c r="NH46" s="756"/>
      <c r="NI46" s="756"/>
      <c r="NJ46" s="756"/>
      <c r="NK46" s="756"/>
      <c r="NL46" s="756"/>
      <c r="NM46" s="756"/>
      <c r="NN46" s="756"/>
      <c r="NO46" s="756"/>
      <c r="NP46" s="756"/>
      <c r="NQ46" s="756"/>
      <c r="NR46" s="756"/>
      <c r="NS46" s="756"/>
      <c r="NT46" s="756"/>
      <c r="NU46" s="756"/>
      <c r="NV46" s="756"/>
      <c r="NW46" s="756"/>
      <c r="NX46" s="756"/>
      <c r="NY46" s="756"/>
      <c r="NZ46" s="756"/>
      <c r="OA46" s="756"/>
      <c r="OB46" s="756"/>
      <c r="OC46" s="756"/>
      <c r="OD46" s="756"/>
      <c r="OE46" s="756"/>
      <c r="OF46" s="756"/>
      <c r="OG46" s="756"/>
      <c r="OH46" s="756"/>
      <c r="OI46" s="756"/>
      <c r="OJ46" s="756"/>
      <c r="OK46" s="756"/>
      <c r="OL46" s="756"/>
      <c r="OM46" s="756"/>
      <c r="ON46" s="756"/>
      <c r="OO46" s="756"/>
      <c r="OP46" s="756"/>
      <c r="OQ46" s="756"/>
      <c r="OR46" s="756"/>
      <c r="OS46" s="756"/>
      <c r="OT46" s="756"/>
      <c r="OU46" s="756"/>
      <c r="OV46" s="756"/>
      <c r="OW46" s="756"/>
      <c r="OX46" s="756"/>
      <c r="OY46" s="756"/>
      <c r="OZ46" s="756"/>
      <c r="PA46" s="756"/>
      <c r="PB46" s="756"/>
      <c r="PC46" s="756"/>
      <c r="PD46" s="756"/>
      <c r="PE46" s="756"/>
      <c r="PF46" s="756"/>
      <c r="PG46" s="756"/>
      <c r="PH46" s="756"/>
      <c r="PI46" s="756"/>
      <c r="PJ46" s="756"/>
      <c r="PK46" s="756"/>
      <c r="PL46" s="756"/>
      <c r="PM46" s="756"/>
      <c r="PN46" s="756"/>
      <c r="PO46" s="756"/>
      <c r="PP46" s="756"/>
      <c r="PQ46" s="756"/>
      <c r="PR46" s="756"/>
      <c r="PS46" s="756"/>
      <c r="PT46" s="756"/>
      <c r="PU46" s="756"/>
      <c r="PV46" s="756"/>
      <c r="PW46" s="756"/>
      <c r="PX46" s="756"/>
      <c r="PY46" s="756"/>
      <c r="PZ46" s="756"/>
      <c r="QA46" s="756"/>
      <c r="QB46" s="756"/>
      <c r="QC46" s="756"/>
      <c r="QD46" s="756"/>
      <c r="QE46" s="756"/>
      <c r="QF46" s="756"/>
      <c r="QG46" s="756"/>
      <c r="QH46" s="756"/>
      <c r="QI46" s="756"/>
      <c r="QJ46" s="756"/>
      <c r="QK46" s="756"/>
      <c r="QL46" s="756"/>
      <c r="QM46" s="756"/>
      <c r="QN46" s="756"/>
      <c r="QO46" s="756"/>
      <c r="QP46" s="756"/>
      <c r="QQ46" s="756"/>
      <c r="QR46" s="756"/>
      <c r="QS46" s="756"/>
      <c r="QT46" s="756"/>
      <c r="QU46" s="756"/>
      <c r="QV46" s="756"/>
      <c r="QW46" s="756"/>
      <c r="QX46" s="756"/>
      <c r="QY46" s="756"/>
      <c r="QZ46" s="756"/>
      <c r="RA46" s="756"/>
      <c r="RB46" s="756"/>
      <c r="RC46" s="756"/>
      <c r="RD46" s="756"/>
      <c r="RE46" s="756"/>
      <c r="RF46" s="756"/>
      <c r="RG46" s="756"/>
      <c r="RH46" s="756"/>
      <c r="RI46" s="756"/>
      <c r="RJ46" s="756"/>
      <c r="RK46" s="756"/>
      <c r="RL46" s="756"/>
      <c r="RM46" s="756"/>
      <c r="RN46" s="756"/>
      <c r="RO46" s="756"/>
      <c r="RP46" s="756"/>
      <c r="RQ46" s="756"/>
      <c r="RR46" s="756"/>
      <c r="RS46" s="756"/>
      <c r="RT46" s="756"/>
      <c r="RU46" s="756"/>
      <c r="RV46" s="756"/>
      <c r="RW46" s="756"/>
      <c r="RX46" s="756"/>
      <c r="RY46" s="756"/>
      <c r="RZ46" s="756"/>
      <c r="SA46" s="756"/>
      <c r="SB46" s="756"/>
      <c r="SC46" s="756"/>
      <c r="SD46" s="756"/>
      <c r="SE46" s="756"/>
      <c r="SF46" s="756"/>
      <c r="SG46" s="756"/>
      <c r="SH46" s="756"/>
      <c r="SI46" s="756"/>
      <c r="SJ46" s="756"/>
      <c r="SK46" s="756"/>
      <c r="SL46" s="756"/>
      <c r="SM46" s="756"/>
      <c r="SN46" s="756"/>
      <c r="SO46" s="756"/>
      <c r="SP46" s="756"/>
      <c r="SQ46" s="756"/>
      <c r="SR46" s="756"/>
    </row>
    <row r="47" spans="1:512" s="850" customFormat="1" ht="15" customHeight="1">
      <c r="A47" s="969"/>
      <c r="B47" s="969" t="s">
        <v>2215</v>
      </c>
      <c r="C47" s="969"/>
      <c r="D47" s="969"/>
      <c r="E47" s="969" t="s">
        <v>871</v>
      </c>
      <c r="F47" s="969"/>
      <c r="G47" s="839">
        <v>3</v>
      </c>
      <c r="H47" s="1029"/>
      <c r="I47" s="839"/>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39"/>
      <c r="BN47" s="839"/>
      <c r="BO47" s="839"/>
      <c r="BP47" s="839"/>
      <c r="BQ47" s="839"/>
      <c r="BR47" s="839"/>
      <c r="BS47" s="839"/>
      <c r="BT47" s="839"/>
      <c r="BU47" s="839"/>
      <c r="BV47" s="839"/>
      <c r="BW47" s="839"/>
      <c r="BX47" s="839"/>
      <c r="BY47" s="839"/>
      <c r="BZ47" s="839"/>
      <c r="CA47" s="839"/>
      <c r="CB47" s="839"/>
      <c r="CC47" s="839"/>
      <c r="CD47" s="839"/>
      <c r="CE47" s="839"/>
      <c r="CF47" s="839"/>
      <c r="CG47" s="839"/>
      <c r="CH47" s="839"/>
      <c r="CI47" s="839"/>
      <c r="CJ47" s="839"/>
      <c r="CK47" s="839"/>
      <c r="CL47" s="839"/>
      <c r="CM47" s="839"/>
      <c r="CN47" s="839"/>
      <c r="CO47" s="839"/>
      <c r="CP47" s="839"/>
      <c r="CQ47" s="839"/>
      <c r="CR47" s="839"/>
      <c r="CS47" s="839"/>
      <c r="CT47" s="839"/>
      <c r="CU47" s="839"/>
      <c r="CV47" s="839"/>
      <c r="CW47" s="839"/>
      <c r="CX47" s="839"/>
      <c r="CY47" s="839"/>
      <c r="CZ47" s="839"/>
      <c r="DA47" s="839"/>
      <c r="DB47" s="839"/>
      <c r="DC47" s="839"/>
      <c r="DD47" s="839"/>
      <c r="DE47" s="839"/>
      <c r="DF47" s="839"/>
      <c r="DG47" s="839"/>
      <c r="DH47" s="839"/>
      <c r="DI47" s="839"/>
      <c r="DJ47" s="839"/>
      <c r="DK47" s="839"/>
      <c r="DL47" s="839"/>
      <c r="DM47" s="839"/>
      <c r="DN47" s="839"/>
      <c r="DO47" s="839"/>
      <c r="DP47" s="839"/>
      <c r="DQ47" s="839"/>
      <c r="DR47" s="839"/>
      <c r="DS47" s="839"/>
      <c r="DT47" s="839"/>
      <c r="DU47" s="839"/>
      <c r="DV47" s="839"/>
      <c r="DW47" s="839"/>
      <c r="DX47" s="839"/>
      <c r="DY47" s="839"/>
      <c r="DZ47" s="839"/>
      <c r="EA47" s="839"/>
      <c r="EB47" s="839"/>
      <c r="EC47" s="839"/>
      <c r="ED47" s="839"/>
      <c r="EE47" s="839"/>
      <c r="EF47" s="839"/>
      <c r="EG47" s="839"/>
      <c r="EH47" s="839"/>
      <c r="EI47" s="839"/>
      <c r="EJ47" s="839"/>
      <c r="EK47" s="839"/>
      <c r="EL47" s="839"/>
      <c r="EM47" s="839"/>
      <c r="EN47" s="839"/>
      <c r="EO47" s="839"/>
      <c r="EP47" s="839"/>
      <c r="EQ47" s="839"/>
      <c r="ER47" s="839"/>
      <c r="ES47" s="839"/>
      <c r="ET47" s="839"/>
      <c r="EU47" s="839"/>
      <c r="EV47" s="839"/>
      <c r="EW47" s="839"/>
      <c r="EX47" s="839"/>
      <c r="EY47" s="839"/>
      <c r="EZ47" s="839"/>
      <c r="FA47" s="839"/>
      <c r="FB47" s="839"/>
      <c r="FC47" s="839"/>
      <c r="FD47" s="839"/>
      <c r="FE47" s="839"/>
      <c r="FF47" s="839"/>
      <c r="FG47" s="839"/>
      <c r="FH47" s="839"/>
      <c r="FI47" s="839"/>
      <c r="FJ47" s="839"/>
      <c r="FK47" s="839"/>
      <c r="FL47" s="839"/>
      <c r="FM47" s="839"/>
      <c r="FN47" s="839"/>
      <c r="FO47" s="839"/>
      <c r="FP47" s="839"/>
      <c r="FQ47" s="839"/>
      <c r="FR47" s="839"/>
      <c r="FS47" s="839"/>
      <c r="FT47" s="839"/>
      <c r="FU47" s="839"/>
      <c r="FV47" s="839"/>
      <c r="FW47" s="839"/>
      <c r="FX47" s="839"/>
      <c r="FY47" s="839"/>
      <c r="FZ47" s="839"/>
      <c r="GA47" s="839"/>
      <c r="GB47" s="839"/>
      <c r="GC47" s="839"/>
      <c r="GD47" s="839"/>
      <c r="GE47" s="839"/>
      <c r="GF47" s="839"/>
      <c r="GG47" s="839"/>
      <c r="GH47" s="839"/>
      <c r="GI47" s="839"/>
      <c r="GJ47" s="839"/>
      <c r="GK47" s="839"/>
      <c r="GL47" s="839"/>
      <c r="GM47" s="839"/>
      <c r="GN47" s="839"/>
      <c r="GO47" s="839"/>
      <c r="GP47" s="839"/>
      <c r="GQ47" s="839"/>
      <c r="GR47" s="839"/>
      <c r="GS47" s="839"/>
      <c r="GT47" s="839"/>
      <c r="GU47" s="839"/>
      <c r="GV47" s="839"/>
      <c r="GW47" s="839"/>
      <c r="GX47" s="839"/>
      <c r="GY47" s="839"/>
      <c r="GZ47" s="839"/>
      <c r="HA47" s="839"/>
      <c r="HB47" s="839"/>
      <c r="HC47" s="839"/>
      <c r="HD47" s="839"/>
      <c r="HE47" s="839"/>
      <c r="HF47" s="839"/>
      <c r="HG47" s="839"/>
      <c r="HH47" s="839"/>
      <c r="HI47" s="839"/>
      <c r="HJ47" s="839"/>
      <c r="HK47" s="839"/>
      <c r="HL47" s="839"/>
      <c r="HM47" s="839"/>
      <c r="HN47" s="839"/>
      <c r="HO47" s="839"/>
      <c r="HP47" s="839"/>
      <c r="HQ47" s="839"/>
      <c r="HR47" s="839"/>
      <c r="HS47" s="839"/>
      <c r="HT47" s="839"/>
      <c r="HU47" s="839"/>
      <c r="HV47" s="839"/>
      <c r="HW47" s="839"/>
      <c r="HX47" s="839"/>
      <c r="HY47" s="839"/>
      <c r="HZ47" s="839"/>
      <c r="IA47" s="839"/>
      <c r="IB47" s="839"/>
      <c r="IC47" s="839"/>
      <c r="ID47" s="839"/>
      <c r="IE47" s="839"/>
      <c r="IF47" s="839"/>
      <c r="IG47" s="839"/>
      <c r="IH47" s="839"/>
      <c r="II47" s="839"/>
      <c r="IJ47" s="839"/>
      <c r="IK47" s="839"/>
      <c r="IL47" s="839"/>
      <c r="IM47" s="839"/>
      <c r="IN47" s="839"/>
      <c r="IO47" s="839"/>
      <c r="IP47" s="839"/>
      <c r="IQ47" s="839"/>
      <c r="IR47" s="839"/>
      <c r="IS47" s="839"/>
      <c r="IT47" s="839"/>
      <c r="IU47" s="839"/>
      <c r="IV47" s="839"/>
      <c r="IW47" s="839"/>
      <c r="IX47" s="839"/>
      <c r="IY47" s="839"/>
      <c r="IZ47" s="839"/>
      <c r="JA47" s="839"/>
      <c r="JB47" s="839"/>
      <c r="JC47" s="839"/>
      <c r="JD47" s="839"/>
      <c r="JE47" s="839"/>
      <c r="JF47" s="839"/>
      <c r="JG47" s="839"/>
      <c r="JH47" s="839"/>
      <c r="JI47" s="839"/>
      <c r="JJ47" s="839"/>
      <c r="JK47" s="839"/>
      <c r="JL47" s="839"/>
      <c r="JM47" s="839"/>
      <c r="JN47" s="839"/>
      <c r="JO47" s="839"/>
      <c r="JP47" s="839"/>
      <c r="JQ47" s="839"/>
      <c r="JR47" s="839"/>
      <c r="JS47" s="839"/>
      <c r="JT47" s="839"/>
      <c r="JU47" s="839"/>
      <c r="JV47" s="839"/>
      <c r="JW47" s="839"/>
      <c r="JX47" s="839"/>
      <c r="JY47" s="839"/>
      <c r="JZ47" s="839"/>
      <c r="KA47" s="839"/>
      <c r="KB47" s="839"/>
      <c r="KC47" s="839"/>
      <c r="KD47" s="839"/>
      <c r="KE47" s="839"/>
      <c r="KF47" s="839"/>
      <c r="KG47" s="839"/>
      <c r="KH47" s="839"/>
      <c r="KI47" s="839"/>
      <c r="KJ47" s="839"/>
      <c r="KK47" s="839"/>
      <c r="KL47" s="839"/>
      <c r="KM47" s="839"/>
      <c r="KN47" s="839"/>
      <c r="KO47" s="839"/>
      <c r="KP47" s="839"/>
      <c r="KQ47" s="839"/>
      <c r="KR47" s="839"/>
      <c r="KS47" s="839"/>
      <c r="KT47" s="839"/>
      <c r="KU47" s="839"/>
      <c r="KV47" s="839"/>
      <c r="KW47" s="839"/>
      <c r="KX47" s="839"/>
      <c r="KY47" s="839"/>
      <c r="KZ47" s="839"/>
      <c r="LA47" s="839"/>
      <c r="LB47" s="839"/>
      <c r="LC47" s="839"/>
      <c r="LD47" s="839"/>
      <c r="LE47" s="839"/>
      <c r="LF47" s="839"/>
      <c r="LG47" s="839"/>
      <c r="LH47" s="839"/>
      <c r="LI47" s="839"/>
      <c r="LJ47" s="839"/>
      <c r="LK47" s="839"/>
      <c r="LL47" s="839"/>
      <c r="LM47" s="839"/>
      <c r="LN47" s="839"/>
      <c r="LO47" s="839"/>
      <c r="LP47" s="839"/>
      <c r="LQ47" s="839"/>
      <c r="LR47" s="839"/>
      <c r="LS47" s="839"/>
      <c r="LT47" s="839"/>
      <c r="LU47" s="839"/>
      <c r="LV47" s="839"/>
      <c r="LW47" s="839"/>
      <c r="LX47" s="839"/>
      <c r="LY47" s="839"/>
      <c r="LZ47" s="839"/>
      <c r="MA47" s="839"/>
      <c r="MB47" s="839"/>
      <c r="MC47" s="839"/>
      <c r="MD47" s="839"/>
      <c r="ME47" s="839"/>
      <c r="MF47" s="839"/>
      <c r="MG47" s="839"/>
      <c r="MH47" s="839"/>
      <c r="MI47" s="839"/>
      <c r="MJ47" s="839"/>
      <c r="MK47" s="839"/>
      <c r="ML47" s="839"/>
      <c r="MM47" s="839"/>
      <c r="MN47" s="839"/>
      <c r="MO47" s="839"/>
      <c r="MP47" s="839"/>
      <c r="MQ47" s="839"/>
      <c r="MR47" s="839"/>
      <c r="MS47" s="839"/>
      <c r="MT47" s="839"/>
      <c r="MU47" s="839"/>
      <c r="MV47" s="839"/>
      <c r="MW47" s="839"/>
      <c r="MX47" s="839"/>
      <c r="MY47" s="839"/>
      <c r="MZ47" s="839"/>
      <c r="NA47" s="839"/>
      <c r="NB47" s="839"/>
      <c r="NC47" s="839"/>
      <c r="ND47" s="839"/>
      <c r="NE47" s="839"/>
      <c r="NF47" s="839"/>
      <c r="NG47" s="839"/>
      <c r="NH47" s="839"/>
      <c r="NI47" s="839"/>
      <c r="NJ47" s="839"/>
      <c r="NK47" s="839"/>
      <c r="NL47" s="839"/>
      <c r="NM47" s="839"/>
      <c r="NN47" s="839"/>
      <c r="NO47" s="839"/>
      <c r="NP47" s="839"/>
      <c r="NQ47" s="839"/>
      <c r="NR47" s="839"/>
      <c r="NS47" s="839"/>
      <c r="NT47" s="839"/>
      <c r="NU47" s="839"/>
      <c r="NV47" s="839"/>
      <c r="NW47" s="839"/>
      <c r="NX47" s="839"/>
      <c r="NY47" s="839"/>
      <c r="NZ47" s="839"/>
      <c r="OA47" s="839"/>
      <c r="OB47" s="839"/>
      <c r="OC47" s="839"/>
      <c r="OD47" s="839"/>
      <c r="OE47" s="839"/>
      <c r="OF47" s="839"/>
      <c r="OG47" s="839"/>
      <c r="OH47" s="839"/>
      <c r="OI47" s="839"/>
      <c r="OJ47" s="839"/>
      <c r="OK47" s="839"/>
      <c r="OL47" s="839"/>
      <c r="OM47" s="839"/>
      <c r="ON47" s="839"/>
      <c r="OO47" s="839"/>
      <c r="OP47" s="839"/>
      <c r="OQ47" s="839"/>
      <c r="OR47" s="839"/>
      <c r="OS47" s="839"/>
      <c r="OT47" s="839"/>
      <c r="OU47" s="839"/>
      <c r="OV47" s="839"/>
      <c r="OW47" s="839"/>
      <c r="OX47" s="839"/>
      <c r="OY47" s="839"/>
      <c r="OZ47" s="839"/>
      <c r="PA47" s="839"/>
      <c r="PB47" s="839"/>
      <c r="PC47" s="839"/>
      <c r="PD47" s="839"/>
      <c r="PE47" s="839"/>
      <c r="PF47" s="839"/>
      <c r="PG47" s="839"/>
      <c r="PH47" s="839"/>
      <c r="PI47" s="839"/>
      <c r="PJ47" s="839"/>
      <c r="PK47" s="839"/>
      <c r="PL47" s="839"/>
      <c r="PM47" s="839"/>
      <c r="PN47" s="839"/>
      <c r="PO47" s="839"/>
      <c r="PP47" s="839"/>
      <c r="PQ47" s="839"/>
      <c r="PR47" s="839"/>
      <c r="PS47" s="839"/>
      <c r="PT47" s="839"/>
      <c r="PU47" s="839"/>
      <c r="PV47" s="839"/>
      <c r="PW47" s="839"/>
      <c r="PX47" s="839"/>
      <c r="PY47" s="839"/>
      <c r="PZ47" s="839"/>
      <c r="QA47" s="839"/>
      <c r="QB47" s="839"/>
      <c r="QC47" s="839"/>
      <c r="QD47" s="839"/>
      <c r="QE47" s="839"/>
      <c r="QF47" s="839"/>
      <c r="QG47" s="839"/>
      <c r="QH47" s="839"/>
      <c r="QI47" s="839"/>
      <c r="QJ47" s="839"/>
      <c r="QK47" s="839"/>
      <c r="QL47" s="839"/>
      <c r="QM47" s="839"/>
      <c r="QN47" s="839"/>
      <c r="QO47" s="839"/>
      <c r="QP47" s="839"/>
      <c r="QQ47" s="839"/>
      <c r="QR47" s="839"/>
      <c r="QS47" s="839"/>
      <c r="QT47" s="839"/>
      <c r="QU47" s="839"/>
      <c r="QV47" s="839"/>
      <c r="QW47" s="839"/>
      <c r="QX47" s="839"/>
      <c r="QY47" s="839"/>
      <c r="QZ47" s="839"/>
      <c r="RA47" s="839"/>
      <c r="RB47" s="839"/>
      <c r="RC47" s="839"/>
      <c r="RD47" s="839"/>
      <c r="RE47" s="839"/>
      <c r="RF47" s="839"/>
      <c r="RG47" s="839"/>
      <c r="RH47" s="839"/>
      <c r="RI47" s="839"/>
      <c r="RJ47" s="839"/>
      <c r="RK47" s="839"/>
      <c r="RL47" s="839"/>
      <c r="RM47" s="839"/>
      <c r="RN47" s="839"/>
      <c r="RO47" s="839"/>
      <c r="RP47" s="839"/>
      <c r="RQ47" s="839"/>
      <c r="RR47" s="839"/>
      <c r="RS47" s="839"/>
      <c r="RT47" s="839"/>
      <c r="RU47" s="839"/>
      <c r="RV47" s="839"/>
      <c r="RW47" s="839"/>
      <c r="RX47" s="839"/>
      <c r="RY47" s="839"/>
      <c r="RZ47" s="839"/>
      <c r="SA47" s="839"/>
      <c r="SB47" s="839"/>
      <c r="SC47" s="839"/>
      <c r="SD47" s="839"/>
      <c r="SE47" s="839"/>
      <c r="SF47" s="839"/>
      <c r="SG47" s="839"/>
      <c r="SH47" s="839"/>
      <c r="SI47" s="839"/>
      <c r="SJ47" s="839"/>
      <c r="SK47" s="839"/>
      <c r="SL47" s="839"/>
      <c r="SM47" s="839"/>
      <c r="SN47" s="839"/>
      <c r="SO47" s="839"/>
      <c r="SP47" s="839"/>
      <c r="SQ47" s="839"/>
      <c r="SR47" s="839"/>
    </row>
    <row r="48" spans="1:512" s="850" customFormat="1" ht="15" customHeight="1">
      <c r="A48" s="969"/>
      <c r="B48" s="969" t="s">
        <v>2262</v>
      </c>
      <c r="C48" s="969"/>
      <c r="D48" s="969"/>
      <c r="E48" s="969" t="s">
        <v>2119</v>
      </c>
      <c r="F48" s="969"/>
      <c r="G48" s="839">
        <v>0</v>
      </c>
      <c r="H48" s="1029"/>
      <c r="I48" s="839"/>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39"/>
      <c r="BN48" s="839"/>
      <c r="BO48" s="839"/>
      <c r="BP48" s="839"/>
      <c r="BQ48" s="839"/>
      <c r="BR48" s="839"/>
      <c r="BS48" s="839"/>
      <c r="BT48" s="839"/>
      <c r="BU48" s="839"/>
      <c r="BV48" s="839"/>
      <c r="BW48" s="839"/>
      <c r="BX48" s="839"/>
      <c r="BY48" s="839"/>
      <c r="BZ48" s="839"/>
      <c r="CA48" s="839"/>
      <c r="CB48" s="839"/>
      <c r="CC48" s="839"/>
      <c r="CD48" s="839"/>
      <c r="CE48" s="839"/>
      <c r="CF48" s="839"/>
      <c r="CG48" s="839"/>
      <c r="CH48" s="839"/>
      <c r="CI48" s="839"/>
      <c r="CJ48" s="839"/>
      <c r="CK48" s="839"/>
      <c r="CL48" s="839"/>
      <c r="CM48" s="839"/>
      <c r="CN48" s="839"/>
      <c r="CO48" s="839"/>
      <c r="CP48" s="839"/>
      <c r="CQ48" s="839"/>
      <c r="CR48" s="839"/>
      <c r="CS48" s="839"/>
      <c r="CT48" s="839"/>
      <c r="CU48" s="839"/>
      <c r="CV48" s="839"/>
      <c r="CW48" s="839"/>
      <c r="CX48" s="839"/>
      <c r="CY48" s="839"/>
      <c r="CZ48" s="839"/>
      <c r="DA48" s="839"/>
      <c r="DB48" s="839"/>
      <c r="DC48" s="839"/>
      <c r="DD48" s="839"/>
      <c r="DE48" s="839"/>
      <c r="DF48" s="839"/>
      <c r="DG48" s="839"/>
      <c r="DH48" s="839"/>
      <c r="DI48" s="839"/>
      <c r="DJ48" s="839"/>
      <c r="DK48" s="839"/>
      <c r="DL48" s="839"/>
      <c r="DM48" s="839"/>
      <c r="DN48" s="839"/>
      <c r="DO48" s="839"/>
      <c r="DP48" s="839"/>
      <c r="DQ48" s="839"/>
      <c r="DR48" s="839"/>
      <c r="DS48" s="839"/>
      <c r="DT48" s="839"/>
      <c r="DU48" s="839"/>
      <c r="DV48" s="839"/>
      <c r="DW48" s="839"/>
      <c r="DX48" s="839"/>
      <c r="DY48" s="839"/>
      <c r="DZ48" s="839"/>
      <c r="EA48" s="839"/>
      <c r="EB48" s="839"/>
      <c r="EC48" s="839"/>
      <c r="ED48" s="839"/>
      <c r="EE48" s="839"/>
      <c r="EF48" s="839"/>
      <c r="EG48" s="839"/>
      <c r="EH48" s="839"/>
      <c r="EI48" s="839"/>
      <c r="EJ48" s="839"/>
      <c r="EK48" s="839"/>
      <c r="EL48" s="839"/>
      <c r="EM48" s="839"/>
      <c r="EN48" s="839"/>
      <c r="EO48" s="839"/>
      <c r="EP48" s="839"/>
      <c r="EQ48" s="839"/>
      <c r="ER48" s="839"/>
      <c r="ES48" s="839"/>
      <c r="ET48" s="839"/>
      <c r="EU48" s="839"/>
      <c r="EV48" s="839"/>
      <c r="EW48" s="839"/>
      <c r="EX48" s="839"/>
      <c r="EY48" s="839"/>
      <c r="EZ48" s="839"/>
      <c r="FA48" s="839"/>
      <c r="FB48" s="839"/>
      <c r="FC48" s="839"/>
      <c r="FD48" s="839"/>
      <c r="FE48" s="839"/>
      <c r="FF48" s="839"/>
      <c r="FG48" s="839"/>
      <c r="FH48" s="839"/>
      <c r="FI48" s="839"/>
      <c r="FJ48" s="839"/>
      <c r="FK48" s="839"/>
      <c r="FL48" s="839"/>
      <c r="FM48" s="839"/>
      <c r="FN48" s="839"/>
      <c r="FO48" s="839"/>
      <c r="FP48" s="839"/>
      <c r="FQ48" s="839"/>
      <c r="FR48" s="839"/>
      <c r="FS48" s="839"/>
      <c r="FT48" s="839"/>
      <c r="FU48" s="839"/>
      <c r="FV48" s="839"/>
      <c r="FW48" s="839"/>
      <c r="FX48" s="839"/>
      <c r="FY48" s="839"/>
      <c r="FZ48" s="839"/>
      <c r="GA48" s="839"/>
      <c r="GB48" s="839"/>
      <c r="GC48" s="839"/>
      <c r="GD48" s="839"/>
      <c r="GE48" s="839"/>
      <c r="GF48" s="839"/>
      <c r="GG48" s="839"/>
      <c r="GH48" s="839"/>
      <c r="GI48" s="839"/>
      <c r="GJ48" s="839"/>
      <c r="GK48" s="839"/>
      <c r="GL48" s="839"/>
      <c r="GM48" s="839"/>
      <c r="GN48" s="839"/>
      <c r="GO48" s="839"/>
      <c r="GP48" s="839"/>
      <c r="GQ48" s="839"/>
      <c r="GR48" s="839"/>
      <c r="GS48" s="839"/>
      <c r="GT48" s="839"/>
      <c r="GU48" s="839"/>
      <c r="GV48" s="839"/>
      <c r="GW48" s="839"/>
      <c r="GX48" s="839"/>
      <c r="GY48" s="839"/>
      <c r="GZ48" s="839"/>
      <c r="HA48" s="839"/>
      <c r="HB48" s="839"/>
      <c r="HC48" s="839"/>
      <c r="HD48" s="839"/>
      <c r="HE48" s="839"/>
      <c r="HF48" s="839"/>
      <c r="HG48" s="839"/>
      <c r="HH48" s="839"/>
      <c r="HI48" s="839"/>
      <c r="HJ48" s="839"/>
      <c r="HK48" s="839"/>
      <c r="HL48" s="839"/>
      <c r="HM48" s="839"/>
      <c r="HN48" s="839"/>
      <c r="HO48" s="839"/>
      <c r="HP48" s="839"/>
      <c r="HQ48" s="839"/>
      <c r="HR48" s="839"/>
      <c r="HS48" s="839"/>
      <c r="HT48" s="839"/>
      <c r="HU48" s="839"/>
      <c r="HV48" s="839"/>
      <c r="HW48" s="839"/>
      <c r="HX48" s="839"/>
      <c r="HY48" s="839"/>
      <c r="HZ48" s="839"/>
      <c r="IA48" s="839"/>
      <c r="IB48" s="839"/>
      <c r="IC48" s="839"/>
      <c r="ID48" s="839"/>
      <c r="IE48" s="839"/>
      <c r="IF48" s="839"/>
      <c r="IG48" s="839"/>
      <c r="IH48" s="839"/>
      <c r="II48" s="839"/>
      <c r="IJ48" s="839"/>
      <c r="IK48" s="839"/>
      <c r="IL48" s="839"/>
      <c r="IM48" s="839"/>
      <c r="IN48" s="839"/>
      <c r="IO48" s="839"/>
      <c r="IP48" s="839"/>
      <c r="IQ48" s="839"/>
      <c r="IR48" s="839"/>
      <c r="IS48" s="839"/>
      <c r="IT48" s="839"/>
      <c r="IU48" s="839"/>
      <c r="IV48" s="839"/>
      <c r="IW48" s="839"/>
      <c r="IX48" s="839"/>
      <c r="IY48" s="839"/>
      <c r="IZ48" s="839"/>
      <c r="JA48" s="839"/>
      <c r="JB48" s="839"/>
      <c r="JC48" s="839"/>
      <c r="JD48" s="839"/>
      <c r="JE48" s="839"/>
      <c r="JF48" s="839"/>
      <c r="JG48" s="839"/>
      <c r="JH48" s="839"/>
      <c r="JI48" s="839"/>
      <c r="JJ48" s="839"/>
      <c r="JK48" s="839"/>
      <c r="JL48" s="839"/>
      <c r="JM48" s="839"/>
      <c r="JN48" s="839"/>
      <c r="JO48" s="839"/>
      <c r="JP48" s="839"/>
      <c r="JQ48" s="839"/>
      <c r="JR48" s="839"/>
      <c r="JS48" s="839"/>
      <c r="JT48" s="839"/>
      <c r="JU48" s="839"/>
      <c r="JV48" s="839"/>
      <c r="JW48" s="839"/>
      <c r="JX48" s="839"/>
      <c r="JY48" s="839"/>
      <c r="JZ48" s="839"/>
      <c r="KA48" s="839"/>
      <c r="KB48" s="839"/>
      <c r="KC48" s="839"/>
      <c r="KD48" s="839"/>
      <c r="KE48" s="839"/>
      <c r="KF48" s="839"/>
      <c r="KG48" s="839"/>
      <c r="KH48" s="839"/>
      <c r="KI48" s="839"/>
      <c r="KJ48" s="839"/>
      <c r="KK48" s="839"/>
      <c r="KL48" s="839"/>
      <c r="KM48" s="839"/>
      <c r="KN48" s="839"/>
      <c r="KO48" s="839"/>
      <c r="KP48" s="839"/>
      <c r="KQ48" s="839"/>
      <c r="KR48" s="839"/>
      <c r="KS48" s="839"/>
      <c r="KT48" s="839"/>
      <c r="KU48" s="839"/>
      <c r="KV48" s="839"/>
      <c r="KW48" s="839"/>
      <c r="KX48" s="839"/>
      <c r="KY48" s="839"/>
      <c r="KZ48" s="839"/>
      <c r="LA48" s="839"/>
      <c r="LB48" s="839"/>
      <c r="LC48" s="839"/>
      <c r="LD48" s="839"/>
      <c r="LE48" s="839"/>
      <c r="LF48" s="839"/>
      <c r="LG48" s="839"/>
      <c r="LH48" s="839"/>
      <c r="LI48" s="839"/>
      <c r="LJ48" s="839"/>
      <c r="LK48" s="839"/>
      <c r="LL48" s="839"/>
      <c r="LM48" s="839"/>
      <c r="LN48" s="839"/>
      <c r="LO48" s="839"/>
      <c r="LP48" s="839"/>
      <c r="LQ48" s="839"/>
      <c r="LR48" s="839"/>
      <c r="LS48" s="839"/>
      <c r="LT48" s="839"/>
      <c r="LU48" s="839"/>
      <c r="LV48" s="839"/>
      <c r="LW48" s="839"/>
      <c r="LX48" s="839"/>
      <c r="LY48" s="839"/>
      <c r="LZ48" s="839"/>
      <c r="MA48" s="839"/>
      <c r="MB48" s="839"/>
      <c r="MC48" s="839"/>
      <c r="MD48" s="839"/>
      <c r="ME48" s="839"/>
      <c r="MF48" s="839"/>
      <c r="MG48" s="839"/>
      <c r="MH48" s="839"/>
      <c r="MI48" s="839"/>
      <c r="MJ48" s="839"/>
      <c r="MK48" s="839"/>
      <c r="ML48" s="839"/>
      <c r="MM48" s="839"/>
      <c r="MN48" s="839"/>
      <c r="MO48" s="839"/>
      <c r="MP48" s="839"/>
      <c r="MQ48" s="839"/>
      <c r="MR48" s="839"/>
      <c r="MS48" s="839"/>
      <c r="MT48" s="839"/>
      <c r="MU48" s="839"/>
      <c r="MV48" s="839"/>
      <c r="MW48" s="839"/>
      <c r="MX48" s="839"/>
      <c r="MY48" s="839"/>
      <c r="MZ48" s="839"/>
      <c r="NA48" s="839"/>
      <c r="NB48" s="839"/>
      <c r="NC48" s="839"/>
      <c r="ND48" s="839"/>
      <c r="NE48" s="839"/>
      <c r="NF48" s="839"/>
      <c r="NG48" s="839"/>
      <c r="NH48" s="839"/>
      <c r="NI48" s="839"/>
      <c r="NJ48" s="839"/>
      <c r="NK48" s="839"/>
      <c r="NL48" s="839"/>
      <c r="NM48" s="839"/>
      <c r="NN48" s="839"/>
      <c r="NO48" s="839"/>
      <c r="NP48" s="839"/>
      <c r="NQ48" s="839"/>
      <c r="NR48" s="839"/>
      <c r="NS48" s="839"/>
      <c r="NT48" s="839"/>
      <c r="NU48" s="839"/>
      <c r="NV48" s="839"/>
      <c r="NW48" s="839"/>
      <c r="NX48" s="839"/>
      <c r="NY48" s="839"/>
      <c r="NZ48" s="839"/>
      <c r="OA48" s="839"/>
      <c r="OB48" s="839"/>
      <c r="OC48" s="839"/>
      <c r="OD48" s="839"/>
      <c r="OE48" s="839"/>
      <c r="OF48" s="839"/>
      <c r="OG48" s="839"/>
      <c r="OH48" s="839"/>
      <c r="OI48" s="839"/>
      <c r="OJ48" s="839"/>
      <c r="OK48" s="839"/>
      <c r="OL48" s="839"/>
      <c r="OM48" s="839"/>
      <c r="ON48" s="839"/>
      <c r="OO48" s="839"/>
      <c r="OP48" s="839"/>
      <c r="OQ48" s="839"/>
      <c r="OR48" s="839"/>
      <c r="OS48" s="839"/>
      <c r="OT48" s="839"/>
      <c r="OU48" s="839"/>
      <c r="OV48" s="839"/>
      <c r="OW48" s="839"/>
      <c r="OX48" s="839"/>
      <c r="OY48" s="839"/>
      <c r="OZ48" s="839"/>
      <c r="PA48" s="839"/>
      <c r="PB48" s="839"/>
      <c r="PC48" s="839"/>
      <c r="PD48" s="839"/>
      <c r="PE48" s="839"/>
      <c r="PF48" s="839"/>
      <c r="PG48" s="839"/>
      <c r="PH48" s="839"/>
      <c r="PI48" s="839"/>
      <c r="PJ48" s="839"/>
      <c r="PK48" s="839"/>
      <c r="PL48" s="839"/>
      <c r="PM48" s="839"/>
      <c r="PN48" s="839"/>
      <c r="PO48" s="839"/>
      <c r="PP48" s="839"/>
      <c r="PQ48" s="839"/>
      <c r="PR48" s="839"/>
      <c r="PS48" s="839"/>
      <c r="PT48" s="839"/>
      <c r="PU48" s="839"/>
      <c r="PV48" s="839"/>
      <c r="PW48" s="839"/>
      <c r="PX48" s="839"/>
      <c r="PY48" s="839"/>
      <c r="PZ48" s="839"/>
      <c r="QA48" s="839"/>
      <c r="QB48" s="839"/>
      <c r="QC48" s="839"/>
      <c r="QD48" s="839"/>
      <c r="QE48" s="839"/>
      <c r="QF48" s="839"/>
      <c r="QG48" s="839"/>
      <c r="QH48" s="839"/>
      <c r="QI48" s="839"/>
      <c r="QJ48" s="839"/>
      <c r="QK48" s="839"/>
      <c r="QL48" s="839"/>
      <c r="QM48" s="839"/>
      <c r="QN48" s="839"/>
      <c r="QO48" s="839"/>
      <c r="QP48" s="839"/>
      <c r="QQ48" s="839"/>
      <c r="QR48" s="839"/>
      <c r="QS48" s="839"/>
      <c r="QT48" s="839"/>
      <c r="QU48" s="839"/>
      <c r="QV48" s="839"/>
      <c r="QW48" s="839"/>
      <c r="QX48" s="839"/>
      <c r="QY48" s="839"/>
      <c r="QZ48" s="839"/>
      <c r="RA48" s="839"/>
      <c r="RB48" s="839"/>
      <c r="RC48" s="839"/>
      <c r="RD48" s="839"/>
      <c r="RE48" s="839"/>
      <c r="RF48" s="839"/>
      <c r="RG48" s="839"/>
      <c r="RH48" s="839"/>
      <c r="RI48" s="839"/>
      <c r="RJ48" s="839"/>
      <c r="RK48" s="839"/>
      <c r="RL48" s="839"/>
      <c r="RM48" s="839"/>
      <c r="RN48" s="839"/>
      <c r="RO48" s="839"/>
      <c r="RP48" s="839"/>
      <c r="RQ48" s="839"/>
      <c r="RR48" s="839"/>
      <c r="RS48" s="839"/>
      <c r="RT48" s="839"/>
      <c r="RU48" s="839"/>
      <c r="RV48" s="839"/>
      <c r="RW48" s="839"/>
      <c r="RX48" s="839"/>
      <c r="RY48" s="839"/>
      <c r="RZ48" s="839"/>
      <c r="SA48" s="839"/>
      <c r="SB48" s="839"/>
      <c r="SC48" s="839"/>
      <c r="SD48" s="839"/>
      <c r="SE48" s="839"/>
      <c r="SF48" s="839"/>
      <c r="SG48" s="839"/>
      <c r="SH48" s="839"/>
      <c r="SI48" s="839"/>
      <c r="SJ48" s="839"/>
      <c r="SK48" s="839"/>
      <c r="SL48" s="839"/>
      <c r="SM48" s="839"/>
      <c r="SN48" s="839"/>
      <c r="SO48" s="839"/>
      <c r="SP48" s="839"/>
      <c r="SQ48" s="839"/>
      <c r="SR48" s="839"/>
    </row>
    <row r="49" spans="1:512" s="850" customFormat="1" ht="15" customHeight="1">
      <c r="A49" s="969"/>
      <c r="B49" s="969" t="s">
        <v>2263</v>
      </c>
      <c r="C49" s="969"/>
      <c r="D49" s="969"/>
      <c r="E49" s="969" t="s">
        <v>2119</v>
      </c>
      <c r="F49" s="969"/>
      <c r="G49" s="839">
        <v>0</v>
      </c>
      <c r="H49" s="1029">
        <v>1</v>
      </c>
      <c r="I49" s="839"/>
      <c r="J49" s="839"/>
      <c r="K49" s="839"/>
      <c r="L49" s="839"/>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39"/>
      <c r="BO49" s="839"/>
      <c r="BP49" s="839"/>
      <c r="BQ49" s="839"/>
      <c r="BR49" s="839"/>
      <c r="BS49" s="839"/>
      <c r="BT49" s="839"/>
      <c r="BU49" s="839"/>
      <c r="BV49" s="839"/>
      <c r="BW49" s="839"/>
      <c r="BX49" s="839"/>
      <c r="BY49" s="839"/>
      <c r="BZ49" s="839"/>
      <c r="CA49" s="839"/>
      <c r="CB49" s="839"/>
      <c r="CC49" s="839"/>
      <c r="CD49" s="839"/>
      <c r="CE49" s="839"/>
      <c r="CF49" s="839"/>
      <c r="CG49" s="839"/>
      <c r="CH49" s="839"/>
      <c r="CI49" s="839"/>
      <c r="CJ49" s="839"/>
      <c r="CK49" s="839"/>
      <c r="CL49" s="839"/>
      <c r="CM49" s="839"/>
      <c r="CN49" s="839"/>
      <c r="CO49" s="839"/>
      <c r="CP49" s="839"/>
      <c r="CQ49" s="839"/>
      <c r="CR49" s="839"/>
      <c r="CS49" s="839"/>
      <c r="CT49" s="839"/>
      <c r="CU49" s="839"/>
      <c r="CV49" s="839"/>
      <c r="CW49" s="839"/>
      <c r="CX49" s="839"/>
      <c r="CY49" s="839"/>
      <c r="CZ49" s="839"/>
      <c r="DA49" s="839"/>
      <c r="DB49" s="839"/>
      <c r="DC49" s="839"/>
      <c r="DD49" s="839"/>
      <c r="DE49" s="839"/>
      <c r="DF49" s="839"/>
      <c r="DG49" s="839"/>
      <c r="DH49" s="839"/>
      <c r="DI49" s="839"/>
      <c r="DJ49" s="839"/>
      <c r="DK49" s="839"/>
      <c r="DL49" s="839"/>
      <c r="DM49" s="839"/>
      <c r="DN49" s="839"/>
      <c r="DO49" s="839"/>
      <c r="DP49" s="839"/>
      <c r="DQ49" s="839"/>
      <c r="DR49" s="839"/>
      <c r="DS49" s="839"/>
      <c r="DT49" s="839"/>
      <c r="DU49" s="839"/>
      <c r="DV49" s="839"/>
      <c r="DW49" s="839"/>
      <c r="DX49" s="839"/>
      <c r="DY49" s="839"/>
      <c r="DZ49" s="839"/>
      <c r="EA49" s="839"/>
      <c r="EB49" s="839"/>
      <c r="EC49" s="839"/>
      <c r="ED49" s="839"/>
      <c r="EE49" s="839"/>
      <c r="EF49" s="839"/>
      <c r="EG49" s="839"/>
      <c r="EH49" s="839"/>
      <c r="EI49" s="839"/>
      <c r="EJ49" s="839"/>
      <c r="EK49" s="839"/>
      <c r="EL49" s="839"/>
      <c r="EM49" s="839"/>
      <c r="EN49" s="839"/>
      <c r="EO49" s="839"/>
      <c r="EP49" s="839"/>
      <c r="EQ49" s="839"/>
      <c r="ER49" s="839"/>
      <c r="ES49" s="839"/>
      <c r="ET49" s="839"/>
      <c r="EU49" s="839"/>
      <c r="EV49" s="839"/>
      <c r="EW49" s="839"/>
      <c r="EX49" s="839"/>
      <c r="EY49" s="839"/>
      <c r="EZ49" s="839"/>
      <c r="FA49" s="839"/>
      <c r="FB49" s="839"/>
      <c r="FC49" s="839"/>
      <c r="FD49" s="839"/>
      <c r="FE49" s="839"/>
      <c r="FF49" s="839"/>
      <c r="FG49" s="839"/>
      <c r="FH49" s="839"/>
      <c r="FI49" s="839"/>
      <c r="FJ49" s="839"/>
      <c r="FK49" s="839"/>
      <c r="FL49" s="839"/>
      <c r="FM49" s="839"/>
      <c r="FN49" s="839"/>
      <c r="FO49" s="839"/>
      <c r="FP49" s="839"/>
      <c r="FQ49" s="839"/>
      <c r="FR49" s="839"/>
      <c r="FS49" s="839"/>
      <c r="FT49" s="839"/>
      <c r="FU49" s="839"/>
      <c r="FV49" s="839"/>
      <c r="FW49" s="839"/>
      <c r="FX49" s="839"/>
      <c r="FY49" s="839"/>
      <c r="FZ49" s="839"/>
      <c r="GA49" s="839"/>
      <c r="GB49" s="839"/>
      <c r="GC49" s="839"/>
      <c r="GD49" s="839"/>
      <c r="GE49" s="839"/>
      <c r="GF49" s="839"/>
      <c r="GG49" s="839"/>
      <c r="GH49" s="839"/>
      <c r="GI49" s="839"/>
      <c r="GJ49" s="839"/>
      <c r="GK49" s="839"/>
      <c r="GL49" s="839"/>
      <c r="GM49" s="839"/>
      <c r="GN49" s="839"/>
      <c r="GO49" s="839"/>
      <c r="GP49" s="839"/>
      <c r="GQ49" s="839"/>
      <c r="GR49" s="839"/>
      <c r="GS49" s="839"/>
      <c r="GT49" s="839"/>
      <c r="GU49" s="839"/>
      <c r="GV49" s="839"/>
      <c r="GW49" s="839"/>
      <c r="GX49" s="839"/>
      <c r="GY49" s="839"/>
      <c r="GZ49" s="839"/>
      <c r="HA49" s="839"/>
      <c r="HB49" s="839"/>
      <c r="HC49" s="839"/>
      <c r="HD49" s="839"/>
      <c r="HE49" s="839"/>
      <c r="HF49" s="839"/>
      <c r="HG49" s="839"/>
      <c r="HH49" s="839"/>
      <c r="HI49" s="839"/>
      <c r="HJ49" s="839"/>
      <c r="HK49" s="839"/>
      <c r="HL49" s="839"/>
      <c r="HM49" s="839"/>
      <c r="HN49" s="839"/>
      <c r="HO49" s="839"/>
      <c r="HP49" s="839"/>
      <c r="HQ49" s="839"/>
      <c r="HR49" s="839"/>
      <c r="HS49" s="839"/>
      <c r="HT49" s="839"/>
      <c r="HU49" s="839"/>
      <c r="HV49" s="839"/>
      <c r="HW49" s="839"/>
      <c r="HX49" s="839"/>
      <c r="HY49" s="839"/>
      <c r="HZ49" s="839"/>
      <c r="IA49" s="839"/>
      <c r="IB49" s="839"/>
      <c r="IC49" s="839"/>
      <c r="ID49" s="839"/>
      <c r="IE49" s="839"/>
      <c r="IF49" s="839"/>
      <c r="IG49" s="839"/>
      <c r="IH49" s="839"/>
      <c r="II49" s="839"/>
      <c r="IJ49" s="839"/>
      <c r="IK49" s="839"/>
      <c r="IL49" s="839"/>
      <c r="IM49" s="839"/>
      <c r="IN49" s="839"/>
      <c r="IO49" s="839"/>
      <c r="IP49" s="839"/>
      <c r="IQ49" s="839"/>
      <c r="IR49" s="839"/>
      <c r="IS49" s="839"/>
      <c r="IT49" s="839"/>
      <c r="IU49" s="839"/>
      <c r="IV49" s="839"/>
      <c r="IW49" s="839"/>
      <c r="IX49" s="839"/>
      <c r="IY49" s="839"/>
      <c r="IZ49" s="839"/>
      <c r="JA49" s="839"/>
      <c r="JB49" s="839"/>
      <c r="JC49" s="839"/>
      <c r="JD49" s="839"/>
      <c r="JE49" s="839"/>
      <c r="JF49" s="839"/>
      <c r="JG49" s="839"/>
      <c r="JH49" s="839"/>
      <c r="JI49" s="839"/>
      <c r="JJ49" s="839"/>
      <c r="JK49" s="839"/>
      <c r="JL49" s="839"/>
      <c r="JM49" s="839"/>
      <c r="JN49" s="839"/>
      <c r="JO49" s="839"/>
      <c r="JP49" s="839"/>
      <c r="JQ49" s="839"/>
      <c r="JR49" s="839"/>
      <c r="JS49" s="839"/>
      <c r="JT49" s="839"/>
      <c r="JU49" s="839"/>
      <c r="JV49" s="839"/>
      <c r="JW49" s="839"/>
      <c r="JX49" s="839"/>
      <c r="JY49" s="839"/>
      <c r="JZ49" s="839"/>
      <c r="KA49" s="839"/>
      <c r="KB49" s="839"/>
      <c r="KC49" s="839"/>
      <c r="KD49" s="839"/>
      <c r="KE49" s="839"/>
      <c r="KF49" s="839"/>
      <c r="KG49" s="839"/>
      <c r="KH49" s="839"/>
      <c r="KI49" s="839"/>
      <c r="KJ49" s="839"/>
      <c r="KK49" s="839"/>
      <c r="KL49" s="839"/>
      <c r="KM49" s="839"/>
      <c r="KN49" s="839"/>
      <c r="KO49" s="839"/>
      <c r="KP49" s="839"/>
      <c r="KQ49" s="839"/>
      <c r="KR49" s="839"/>
      <c r="KS49" s="839"/>
      <c r="KT49" s="839"/>
      <c r="KU49" s="839"/>
      <c r="KV49" s="839"/>
      <c r="KW49" s="839"/>
      <c r="KX49" s="839"/>
      <c r="KY49" s="839"/>
      <c r="KZ49" s="839"/>
      <c r="LA49" s="839"/>
      <c r="LB49" s="839"/>
      <c r="LC49" s="839"/>
      <c r="LD49" s="839"/>
      <c r="LE49" s="839"/>
      <c r="LF49" s="839"/>
      <c r="LG49" s="839"/>
      <c r="LH49" s="839"/>
      <c r="LI49" s="839"/>
      <c r="LJ49" s="839"/>
      <c r="LK49" s="839"/>
      <c r="LL49" s="839"/>
      <c r="LM49" s="839"/>
      <c r="LN49" s="839"/>
      <c r="LO49" s="839"/>
      <c r="LP49" s="839"/>
      <c r="LQ49" s="839"/>
      <c r="LR49" s="839"/>
      <c r="LS49" s="839"/>
      <c r="LT49" s="839"/>
      <c r="LU49" s="839"/>
      <c r="LV49" s="839"/>
      <c r="LW49" s="839"/>
      <c r="LX49" s="839"/>
      <c r="LY49" s="839"/>
      <c r="LZ49" s="839"/>
      <c r="MA49" s="839"/>
      <c r="MB49" s="839"/>
      <c r="MC49" s="839"/>
      <c r="MD49" s="839"/>
      <c r="ME49" s="839"/>
      <c r="MF49" s="839"/>
      <c r="MG49" s="839"/>
      <c r="MH49" s="839"/>
      <c r="MI49" s="839"/>
      <c r="MJ49" s="839"/>
      <c r="MK49" s="839"/>
      <c r="ML49" s="839"/>
      <c r="MM49" s="839"/>
      <c r="MN49" s="839"/>
      <c r="MO49" s="839"/>
      <c r="MP49" s="839"/>
      <c r="MQ49" s="839"/>
      <c r="MR49" s="839"/>
      <c r="MS49" s="839"/>
      <c r="MT49" s="839"/>
      <c r="MU49" s="839"/>
      <c r="MV49" s="839"/>
      <c r="MW49" s="839"/>
      <c r="MX49" s="839"/>
      <c r="MY49" s="839"/>
      <c r="MZ49" s="839"/>
      <c r="NA49" s="839"/>
      <c r="NB49" s="839"/>
      <c r="NC49" s="839"/>
      <c r="ND49" s="839"/>
      <c r="NE49" s="839"/>
      <c r="NF49" s="839"/>
      <c r="NG49" s="839"/>
      <c r="NH49" s="839"/>
      <c r="NI49" s="839"/>
      <c r="NJ49" s="839"/>
      <c r="NK49" s="839"/>
      <c r="NL49" s="839"/>
      <c r="NM49" s="839"/>
      <c r="NN49" s="839"/>
      <c r="NO49" s="839"/>
      <c r="NP49" s="839"/>
      <c r="NQ49" s="839"/>
      <c r="NR49" s="839"/>
      <c r="NS49" s="839"/>
      <c r="NT49" s="839"/>
      <c r="NU49" s="839"/>
      <c r="NV49" s="839"/>
      <c r="NW49" s="839"/>
      <c r="NX49" s="839"/>
      <c r="NY49" s="839"/>
      <c r="NZ49" s="839"/>
      <c r="OA49" s="839"/>
      <c r="OB49" s="839"/>
      <c r="OC49" s="839"/>
      <c r="OD49" s="839"/>
      <c r="OE49" s="839"/>
      <c r="OF49" s="839"/>
      <c r="OG49" s="839"/>
      <c r="OH49" s="839"/>
      <c r="OI49" s="839"/>
      <c r="OJ49" s="839"/>
      <c r="OK49" s="839"/>
      <c r="OL49" s="839"/>
      <c r="OM49" s="839"/>
      <c r="ON49" s="839"/>
      <c r="OO49" s="839"/>
      <c r="OP49" s="839"/>
      <c r="OQ49" s="839"/>
      <c r="OR49" s="839"/>
      <c r="OS49" s="839"/>
      <c r="OT49" s="839"/>
      <c r="OU49" s="839"/>
      <c r="OV49" s="839"/>
      <c r="OW49" s="839"/>
      <c r="OX49" s="839"/>
      <c r="OY49" s="839"/>
      <c r="OZ49" s="839"/>
      <c r="PA49" s="839"/>
      <c r="PB49" s="839"/>
      <c r="PC49" s="839"/>
      <c r="PD49" s="839"/>
      <c r="PE49" s="839"/>
      <c r="PF49" s="839"/>
      <c r="PG49" s="839"/>
      <c r="PH49" s="839"/>
      <c r="PI49" s="839"/>
      <c r="PJ49" s="839"/>
      <c r="PK49" s="839"/>
      <c r="PL49" s="839"/>
      <c r="PM49" s="839"/>
      <c r="PN49" s="839"/>
      <c r="PO49" s="839"/>
      <c r="PP49" s="839"/>
      <c r="PQ49" s="839"/>
      <c r="PR49" s="839"/>
      <c r="PS49" s="839"/>
      <c r="PT49" s="839"/>
      <c r="PU49" s="839"/>
      <c r="PV49" s="839"/>
      <c r="PW49" s="839"/>
      <c r="PX49" s="839"/>
      <c r="PY49" s="839"/>
      <c r="PZ49" s="839"/>
      <c r="QA49" s="839"/>
      <c r="QB49" s="839"/>
      <c r="QC49" s="839"/>
      <c r="QD49" s="839"/>
      <c r="QE49" s="839"/>
      <c r="QF49" s="839"/>
      <c r="QG49" s="839"/>
      <c r="QH49" s="839"/>
      <c r="QI49" s="839"/>
      <c r="QJ49" s="839"/>
      <c r="QK49" s="839"/>
      <c r="QL49" s="839"/>
      <c r="QM49" s="839"/>
      <c r="QN49" s="839"/>
      <c r="QO49" s="839"/>
      <c r="QP49" s="839"/>
      <c r="QQ49" s="839"/>
      <c r="QR49" s="839"/>
      <c r="QS49" s="839"/>
      <c r="QT49" s="839"/>
      <c r="QU49" s="839"/>
      <c r="QV49" s="839"/>
      <c r="QW49" s="839"/>
      <c r="QX49" s="839"/>
      <c r="QY49" s="839"/>
      <c r="QZ49" s="839"/>
      <c r="RA49" s="839"/>
      <c r="RB49" s="839"/>
      <c r="RC49" s="839"/>
      <c r="RD49" s="839"/>
      <c r="RE49" s="839"/>
      <c r="RF49" s="839"/>
      <c r="RG49" s="839"/>
      <c r="RH49" s="839"/>
      <c r="RI49" s="839"/>
      <c r="RJ49" s="839"/>
      <c r="RK49" s="839"/>
      <c r="RL49" s="839"/>
      <c r="RM49" s="839"/>
      <c r="RN49" s="839"/>
      <c r="RO49" s="839"/>
      <c r="RP49" s="839"/>
      <c r="RQ49" s="839"/>
      <c r="RR49" s="839"/>
      <c r="RS49" s="839"/>
      <c r="RT49" s="839"/>
      <c r="RU49" s="839"/>
      <c r="RV49" s="839"/>
      <c r="RW49" s="839"/>
      <c r="RX49" s="839"/>
      <c r="RY49" s="839"/>
      <c r="RZ49" s="839"/>
      <c r="SA49" s="839"/>
      <c r="SB49" s="839"/>
      <c r="SC49" s="839"/>
      <c r="SD49" s="839"/>
      <c r="SE49" s="839"/>
      <c r="SF49" s="839"/>
      <c r="SG49" s="839"/>
      <c r="SH49" s="839"/>
      <c r="SI49" s="839"/>
      <c r="SJ49" s="839"/>
      <c r="SK49" s="839"/>
      <c r="SL49" s="839"/>
      <c r="SM49" s="839"/>
      <c r="SN49" s="839"/>
      <c r="SO49" s="839"/>
      <c r="SP49" s="839"/>
      <c r="SQ49" s="839"/>
      <c r="SR49" s="839"/>
    </row>
    <row r="50" spans="1:512" s="850" customFormat="1" ht="15" customHeight="1">
      <c r="A50" s="969"/>
      <c r="B50" s="969" t="s">
        <v>2264</v>
      </c>
      <c r="C50" s="969"/>
      <c r="D50" s="969"/>
      <c r="E50" s="969" t="s">
        <v>2119</v>
      </c>
      <c r="F50" s="969"/>
      <c r="G50" s="839">
        <v>1</v>
      </c>
      <c r="H50" s="1029">
        <v>1</v>
      </c>
      <c r="I50" s="839"/>
      <c r="J50" s="839"/>
      <c r="K50" s="839"/>
      <c r="L50" s="83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39"/>
      <c r="BO50" s="839"/>
      <c r="BP50" s="839"/>
      <c r="BQ50" s="839"/>
      <c r="BR50" s="839"/>
      <c r="BS50" s="839"/>
      <c r="BT50" s="839"/>
      <c r="BU50" s="839"/>
      <c r="BV50" s="839"/>
      <c r="BW50" s="839"/>
      <c r="BX50" s="839"/>
      <c r="BY50" s="839"/>
      <c r="BZ50" s="839"/>
      <c r="CA50" s="839"/>
      <c r="CB50" s="839"/>
      <c r="CC50" s="839"/>
      <c r="CD50" s="839"/>
      <c r="CE50" s="839"/>
      <c r="CF50" s="839"/>
      <c r="CG50" s="839"/>
      <c r="CH50" s="839"/>
      <c r="CI50" s="839"/>
      <c r="CJ50" s="839"/>
      <c r="CK50" s="839"/>
      <c r="CL50" s="839"/>
      <c r="CM50" s="839"/>
      <c r="CN50" s="839"/>
      <c r="CO50" s="839"/>
      <c r="CP50" s="839"/>
      <c r="CQ50" s="839"/>
      <c r="CR50" s="839"/>
      <c r="CS50" s="839"/>
      <c r="CT50" s="839"/>
      <c r="CU50" s="839"/>
      <c r="CV50" s="839"/>
      <c r="CW50" s="839"/>
      <c r="CX50" s="839"/>
      <c r="CY50" s="839"/>
      <c r="CZ50" s="839"/>
      <c r="DA50" s="839"/>
      <c r="DB50" s="839"/>
      <c r="DC50" s="839"/>
      <c r="DD50" s="839"/>
      <c r="DE50" s="839"/>
      <c r="DF50" s="839"/>
      <c r="DG50" s="839"/>
      <c r="DH50" s="839"/>
      <c r="DI50" s="839"/>
      <c r="DJ50" s="839"/>
      <c r="DK50" s="839"/>
      <c r="DL50" s="839"/>
      <c r="DM50" s="839"/>
      <c r="DN50" s="839"/>
      <c r="DO50" s="839"/>
      <c r="DP50" s="839"/>
      <c r="DQ50" s="839"/>
      <c r="DR50" s="839"/>
      <c r="DS50" s="839"/>
      <c r="DT50" s="839"/>
      <c r="DU50" s="839"/>
      <c r="DV50" s="839"/>
      <c r="DW50" s="839"/>
      <c r="DX50" s="839"/>
      <c r="DY50" s="839"/>
      <c r="DZ50" s="839"/>
      <c r="EA50" s="839"/>
      <c r="EB50" s="839"/>
      <c r="EC50" s="839"/>
      <c r="ED50" s="839"/>
      <c r="EE50" s="839"/>
      <c r="EF50" s="839"/>
      <c r="EG50" s="839"/>
      <c r="EH50" s="839"/>
      <c r="EI50" s="839"/>
      <c r="EJ50" s="839"/>
      <c r="EK50" s="839"/>
      <c r="EL50" s="839"/>
      <c r="EM50" s="839"/>
      <c r="EN50" s="839"/>
      <c r="EO50" s="839"/>
      <c r="EP50" s="839"/>
      <c r="EQ50" s="839"/>
      <c r="ER50" s="839"/>
      <c r="ES50" s="839"/>
      <c r="ET50" s="839"/>
      <c r="EU50" s="839"/>
      <c r="EV50" s="839"/>
      <c r="EW50" s="839"/>
      <c r="EX50" s="839"/>
      <c r="EY50" s="839"/>
      <c r="EZ50" s="839"/>
      <c r="FA50" s="839"/>
      <c r="FB50" s="839"/>
      <c r="FC50" s="839"/>
      <c r="FD50" s="839"/>
      <c r="FE50" s="839"/>
      <c r="FF50" s="839"/>
      <c r="FG50" s="839"/>
      <c r="FH50" s="839"/>
      <c r="FI50" s="839"/>
      <c r="FJ50" s="839"/>
      <c r="FK50" s="839"/>
      <c r="FL50" s="839"/>
      <c r="FM50" s="839"/>
      <c r="FN50" s="839"/>
      <c r="FO50" s="839"/>
      <c r="FP50" s="839"/>
      <c r="FQ50" s="839"/>
      <c r="FR50" s="839"/>
      <c r="FS50" s="839"/>
      <c r="FT50" s="839"/>
      <c r="FU50" s="839"/>
      <c r="FV50" s="839"/>
      <c r="FW50" s="839"/>
      <c r="FX50" s="839"/>
      <c r="FY50" s="839"/>
      <c r="FZ50" s="839"/>
      <c r="GA50" s="839"/>
      <c r="GB50" s="839"/>
      <c r="GC50" s="839"/>
      <c r="GD50" s="839"/>
      <c r="GE50" s="839"/>
      <c r="GF50" s="839"/>
      <c r="GG50" s="839"/>
      <c r="GH50" s="839"/>
      <c r="GI50" s="839"/>
      <c r="GJ50" s="839"/>
      <c r="GK50" s="839"/>
      <c r="GL50" s="839"/>
      <c r="GM50" s="839"/>
      <c r="GN50" s="839"/>
      <c r="GO50" s="839"/>
      <c r="GP50" s="839"/>
      <c r="GQ50" s="839"/>
      <c r="GR50" s="839"/>
      <c r="GS50" s="839"/>
      <c r="GT50" s="839"/>
      <c r="GU50" s="839"/>
      <c r="GV50" s="839"/>
      <c r="GW50" s="839"/>
      <c r="GX50" s="839"/>
      <c r="GY50" s="839"/>
      <c r="GZ50" s="839"/>
      <c r="HA50" s="839"/>
      <c r="HB50" s="839"/>
      <c r="HC50" s="839"/>
      <c r="HD50" s="839"/>
      <c r="HE50" s="839"/>
      <c r="HF50" s="839"/>
      <c r="HG50" s="839"/>
      <c r="HH50" s="839"/>
      <c r="HI50" s="839"/>
      <c r="HJ50" s="839"/>
      <c r="HK50" s="839"/>
      <c r="HL50" s="839"/>
      <c r="HM50" s="839"/>
      <c r="HN50" s="839"/>
      <c r="HO50" s="839"/>
      <c r="HP50" s="839"/>
      <c r="HQ50" s="839"/>
      <c r="HR50" s="839"/>
      <c r="HS50" s="839"/>
      <c r="HT50" s="839"/>
      <c r="HU50" s="839"/>
      <c r="HV50" s="839"/>
      <c r="HW50" s="839"/>
      <c r="HX50" s="839"/>
      <c r="HY50" s="839"/>
      <c r="HZ50" s="839"/>
      <c r="IA50" s="839"/>
      <c r="IB50" s="839"/>
      <c r="IC50" s="839"/>
      <c r="ID50" s="839"/>
      <c r="IE50" s="839"/>
      <c r="IF50" s="839"/>
      <c r="IG50" s="839"/>
      <c r="IH50" s="839"/>
      <c r="II50" s="839"/>
      <c r="IJ50" s="839"/>
      <c r="IK50" s="839"/>
      <c r="IL50" s="839"/>
      <c r="IM50" s="839"/>
      <c r="IN50" s="839"/>
      <c r="IO50" s="839"/>
      <c r="IP50" s="839"/>
      <c r="IQ50" s="839"/>
      <c r="IR50" s="839"/>
      <c r="IS50" s="839"/>
      <c r="IT50" s="839"/>
      <c r="IU50" s="839"/>
      <c r="IV50" s="839"/>
      <c r="IW50" s="839"/>
      <c r="IX50" s="839"/>
      <c r="IY50" s="839"/>
      <c r="IZ50" s="839"/>
      <c r="JA50" s="839"/>
      <c r="JB50" s="839"/>
      <c r="JC50" s="839"/>
      <c r="JD50" s="839"/>
      <c r="JE50" s="839"/>
      <c r="JF50" s="839"/>
      <c r="JG50" s="839"/>
      <c r="JH50" s="839"/>
      <c r="JI50" s="839"/>
      <c r="JJ50" s="839"/>
      <c r="JK50" s="839"/>
      <c r="JL50" s="839"/>
      <c r="JM50" s="839"/>
      <c r="JN50" s="839"/>
      <c r="JO50" s="839"/>
      <c r="JP50" s="839"/>
      <c r="JQ50" s="839"/>
      <c r="JR50" s="839"/>
      <c r="JS50" s="839"/>
      <c r="JT50" s="839"/>
      <c r="JU50" s="839"/>
      <c r="JV50" s="839"/>
      <c r="JW50" s="839"/>
      <c r="JX50" s="839"/>
      <c r="JY50" s="839"/>
      <c r="JZ50" s="839"/>
      <c r="KA50" s="839"/>
      <c r="KB50" s="839"/>
      <c r="KC50" s="839"/>
      <c r="KD50" s="839"/>
      <c r="KE50" s="839"/>
      <c r="KF50" s="839"/>
      <c r="KG50" s="839"/>
      <c r="KH50" s="839"/>
      <c r="KI50" s="839"/>
      <c r="KJ50" s="839"/>
      <c r="KK50" s="839"/>
      <c r="KL50" s="839"/>
      <c r="KM50" s="839"/>
      <c r="KN50" s="839"/>
      <c r="KO50" s="839"/>
      <c r="KP50" s="839"/>
      <c r="KQ50" s="839"/>
      <c r="KR50" s="839"/>
      <c r="KS50" s="839"/>
      <c r="KT50" s="839"/>
      <c r="KU50" s="839"/>
      <c r="KV50" s="839"/>
      <c r="KW50" s="839"/>
      <c r="KX50" s="839"/>
      <c r="KY50" s="839"/>
      <c r="KZ50" s="839"/>
      <c r="LA50" s="839"/>
      <c r="LB50" s="839"/>
      <c r="LC50" s="839"/>
      <c r="LD50" s="839"/>
      <c r="LE50" s="839"/>
      <c r="LF50" s="839"/>
      <c r="LG50" s="839"/>
      <c r="LH50" s="839"/>
      <c r="LI50" s="839"/>
      <c r="LJ50" s="839"/>
      <c r="LK50" s="839"/>
      <c r="LL50" s="839"/>
      <c r="LM50" s="839"/>
      <c r="LN50" s="839"/>
      <c r="LO50" s="839"/>
      <c r="LP50" s="839"/>
      <c r="LQ50" s="839"/>
      <c r="LR50" s="839"/>
      <c r="LS50" s="839"/>
      <c r="LT50" s="839"/>
      <c r="LU50" s="839"/>
      <c r="LV50" s="839"/>
      <c r="LW50" s="839"/>
      <c r="LX50" s="839"/>
      <c r="LY50" s="839"/>
      <c r="LZ50" s="839"/>
      <c r="MA50" s="839"/>
      <c r="MB50" s="839"/>
      <c r="MC50" s="839"/>
      <c r="MD50" s="839"/>
      <c r="ME50" s="839"/>
      <c r="MF50" s="839"/>
      <c r="MG50" s="839"/>
      <c r="MH50" s="839"/>
      <c r="MI50" s="839"/>
      <c r="MJ50" s="839"/>
      <c r="MK50" s="839"/>
      <c r="ML50" s="839"/>
      <c r="MM50" s="839"/>
      <c r="MN50" s="839"/>
      <c r="MO50" s="839"/>
      <c r="MP50" s="839"/>
      <c r="MQ50" s="839"/>
      <c r="MR50" s="839"/>
      <c r="MS50" s="839"/>
      <c r="MT50" s="839"/>
      <c r="MU50" s="839"/>
      <c r="MV50" s="839"/>
      <c r="MW50" s="839"/>
      <c r="MX50" s="839"/>
      <c r="MY50" s="839"/>
      <c r="MZ50" s="839"/>
      <c r="NA50" s="839"/>
      <c r="NB50" s="839"/>
      <c r="NC50" s="839"/>
      <c r="ND50" s="839"/>
      <c r="NE50" s="839"/>
      <c r="NF50" s="839"/>
      <c r="NG50" s="839"/>
      <c r="NH50" s="839"/>
      <c r="NI50" s="839"/>
      <c r="NJ50" s="839"/>
      <c r="NK50" s="839"/>
      <c r="NL50" s="839"/>
      <c r="NM50" s="839"/>
      <c r="NN50" s="839"/>
      <c r="NO50" s="839"/>
      <c r="NP50" s="839"/>
      <c r="NQ50" s="839"/>
      <c r="NR50" s="839"/>
      <c r="NS50" s="839"/>
      <c r="NT50" s="839"/>
      <c r="NU50" s="839"/>
      <c r="NV50" s="839"/>
      <c r="NW50" s="839"/>
      <c r="NX50" s="839"/>
      <c r="NY50" s="839"/>
      <c r="NZ50" s="839"/>
      <c r="OA50" s="839"/>
      <c r="OB50" s="839"/>
      <c r="OC50" s="839"/>
      <c r="OD50" s="839"/>
      <c r="OE50" s="839"/>
      <c r="OF50" s="839"/>
      <c r="OG50" s="839"/>
      <c r="OH50" s="839"/>
      <c r="OI50" s="839"/>
      <c r="OJ50" s="839"/>
      <c r="OK50" s="839"/>
      <c r="OL50" s="839"/>
      <c r="OM50" s="839"/>
      <c r="ON50" s="839"/>
      <c r="OO50" s="839"/>
      <c r="OP50" s="839"/>
      <c r="OQ50" s="839"/>
      <c r="OR50" s="839"/>
      <c r="OS50" s="839"/>
      <c r="OT50" s="839"/>
      <c r="OU50" s="839"/>
      <c r="OV50" s="839"/>
      <c r="OW50" s="839"/>
      <c r="OX50" s="839"/>
      <c r="OY50" s="839"/>
      <c r="OZ50" s="839"/>
      <c r="PA50" s="839"/>
      <c r="PB50" s="839"/>
      <c r="PC50" s="839"/>
      <c r="PD50" s="839"/>
      <c r="PE50" s="839"/>
      <c r="PF50" s="839"/>
      <c r="PG50" s="839"/>
      <c r="PH50" s="839"/>
      <c r="PI50" s="839"/>
      <c r="PJ50" s="839"/>
      <c r="PK50" s="839"/>
      <c r="PL50" s="839"/>
      <c r="PM50" s="839"/>
      <c r="PN50" s="839"/>
      <c r="PO50" s="839"/>
      <c r="PP50" s="839"/>
      <c r="PQ50" s="839"/>
      <c r="PR50" s="839"/>
      <c r="PS50" s="839"/>
      <c r="PT50" s="839"/>
      <c r="PU50" s="839"/>
      <c r="PV50" s="839"/>
      <c r="PW50" s="839"/>
      <c r="PX50" s="839"/>
      <c r="PY50" s="839"/>
      <c r="PZ50" s="839"/>
      <c r="QA50" s="839"/>
      <c r="QB50" s="839"/>
      <c r="QC50" s="839"/>
      <c r="QD50" s="839"/>
      <c r="QE50" s="839"/>
      <c r="QF50" s="839"/>
      <c r="QG50" s="839"/>
      <c r="QH50" s="839"/>
      <c r="QI50" s="839"/>
      <c r="QJ50" s="839"/>
      <c r="QK50" s="839"/>
      <c r="QL50" s="839"/>
      <c r="QM50" s="839"/>
      <c r="QN50" s="839"/>
      <c r="QO50" s="839"/>
      <c r="QP50" s="839"/>
      <c r="QQ50" s="839"/>
      <c r="QR50" s="839"/>
      <c r="QS50" s="839"/>
      <c r="QT50" s="839"/>
      <c r="QU50" s="839"/>
      <c r="QV50" s="839"/>
      <c r="QW50" s="839"/>
      <c r="QX50" s="839"/>
      <c r="QY50" s="839"/>
      <c r="QZ50" s="839"/>
      <c r="RA50" s="839"/>
      <c r="RB50" s="839"/>
      <c r="RC50" s="839"/>
      <c r="RD50" s="839"/>
      <c r="RE50" s="839"/>
      <c r="RF50" s="839"/>
      <c r="RG50" s="839"/>
      <c r="RH50" s="839"/>
      <c r="RI50" s="839"/>
      <c r="RJ50" s="839"/>
      <c r="RK50" s="839"/>
      <c r="RL50" s="839"/>
      <c r="RM50" s="839"/>
      <c r="RN50" s="839"/>
      <c r="RO50" s="839"/>
      <c r="RP50" s="839"/>
      <c r="RQ50" s="839"/>
      <c r="RR50" s="839"/>
      <c r="RS50" s="839"/>
      <c r="RT50" s="839"/>
      <c r="RU50" s="839"/>
      <c r="RV50" s="839"/>
      <c r="RW50" s="839"/>
      <c r="RX50" s="839"/>
      <c r="RY50" s="839"/>
      <c r="RZ50" s="839"/>
      <c r="SA50" s="839"/>
      <c r="SB50" s="839"/>
      <c r="SC50" s="839"/>
      <c r="SD50" s="839"/>
      <c r="SE50" s="839"/>
      <c r="SF50" s="839"/>
      <c r="SG50" s="839"/>
      <c r="SH50" s="839"/>
      <c r="SI50" s="839"/>
      <c r="SJ50" s="839"/>
      <c r="SK50" s="839"/>
      <c r="SL50" s="839"/>
      <c r="SM50" s="839"/>
      <c r="SN50" s="839"/>
      <c r="SO50" s="839"/>
      <c r="SP50" s="839"/>
      <c r="SQ50" s="839"/>
      <c r="SR50" s="839"/>
    </row>
    <row r="51" spans="1:512" s="850" customFormat="1" ht="15" customHeight="1">
      <c r="A51" s="969"/>
      <c r="B51" s="969" t="s">
        <v>2384</v>
      </c>
      <c r="C51" s="969"/>
      <c r="D51" s="969"/>
      <c r="E51" s="969" t="s">
        <v>2119</v>
      </c>
      <c r="F51" s="969"/>
      <c r="G51" s="839">
        <v>0</v>
      </c>
      <c r="H51" s="1029"/>
      <c r="I51" s="839"/>
      <c r="J51" s="839"/>
      <c r="K51" s="839"/>
      <c r="L51" s="839"/>
      <c r="M51" s="839"/>
      <c r="N51" s="83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39"/>
      <c r="BO51" s="839"/>
      <c r="BP51" s="839"/>
      <c r="BQ51" s="839"/>
      <c r="BR51" s="839"/>
      <c r="BS51" s="839"/>
      <c r="BT51" s="839"/>
      <c r="BU51" s="839"/>
      <c r="BV51" s="839"/>
      <c r="BW51" s="839"/>
      <c r="BX51" s="839"/>
      <c r="BY51" s="839"/>
      <c r="BZ51" s="839"/>
      <c r="CA51" s="839"/>
      <c r="CB51" s="839"/>
      <c r="CC51" s="839"/>
      <c r="CD51" s="839"/>
      <c r="CE51" s="839"/>
      <c r="CF51" s="839"/>
      <c r="CG51" s="839"/>
      <c r="CH51" s="839"/>
      <c r="CI51" s="839"/>
      <c r="CJ51" s="839"/>
      <c r="CK51" s="839"/>
      <c r="CL51" s="839"/>
      <c r="CM51" s="839"/>
      <c r="CN51" s="839"/>
      <c r="CO51" s="839"/>
      <c r="CP51" s="839"/>
      <c r="CQ51" s="839"/>
      <c r="CR51" s="839"/>
      <c r="CS51" s="839"/>
      <c r="CT51" s="839"/>
      <c r="CU51" s="839"/>
      <c r="CV51" s="839"/>
      <c r="CW51" s="839"/>
      <c r="CX51" s="839"/>
      <c r="CY51" s="839"/>
      <c r="CZ51" s="839"/>
      <c r="DA51" s="839"/>
      <c r="DB51" s="839"/>
      <c r="DC51" s="839"/>
      <c r="DD51" s="839"/>
      <c r="DE51" s="839"/>
      <c r="DF51" s="839"/>
      <c r="DG51" s="839"/>
      <c r="DH51" s="839"/>
      <c r="DI51" s="839"/>
      <c r="DJ51" s="839"/>
      <c r="DK51" s="839"/>
      <c r="DL51" s="839"/>
      <c r="DM51" s="839"/>
      <c r="DN51" s="839"/>
      <c r="DO51" s="839"/>
      <c r="DP51" s="839"/>
      <c r="DQ51" s="839"/>
      <c r="DR51" s="839"/>
      <c r="DS51" s="839"/>
      <c r="DT51" s="839"/>
      <c r="DU51" s="839"/>
      <c r="DV51" s="839"/>
      <c r="DW51" s="839"/>
      <c r="DX51" s="839"/>
      <c r="DY51" s="839"/>
      <c r="DZ51" s="839"/>
      <c r="EA51" s="839"/>
      <c r="EB51" s="839"/>
      <c r="EC51" s="839"/>
      <c r="ED51" s="839"/>
      <c r="EE51" s="839"/>
      <c r="EF51" s="839"/>
      <c r="EG51" s="839"/>
      <c r="EH51" s="839"/>
      <c r="EI51" s="839"/>
      <c r="EJ51" s="839"/>
      <c r="EK51" s="839"/>
      <c r="EL51" s="839"/>
      <c r="EM51" s="839"/>
      <c r="EN51" s="839"/>
      <c r="EO51" s="839"/>
      <c r="EP51" s="839"/>
      <c r="EQ51" s="839"/>
      <c r="ER51" s="839"/>
      <c r="ES51" s="839"/>
      <c r="ET51" s="839"/>
      <c r="EU51" s="839"/>
      <c r="EV51" s="839"/>
      <c r="EW51" s="839"/>
      <c r="EX51" s="839"/>
      <c r="EY51" s="839"/>
      <c r="EZ51" s="839"/>
      <c r="FA51" s="839"/>
      <c r="FB51" s="839"/>
      <c r="FC51" s="839"/>
      <c r="FD51" s="839"/>
      <c r="FE51" s="839"/>
      <c r="FF51" s="839"/>
      <c r="FG51" s="839"/>
      <c r="FH51" s="839"/>
      <c r="FI51" s="839"/>
      <c r="FJ51" s="839"/>
      <c r="FK51" s="839"/>
      <c r="FL51" s="839"/>
      <c r="FM51" s="839"/>
      <c r="FN51" s="839"/>
      <c r="FO51" s="839"/>
      <c r="FP51" s="839"/>
      <c r="FQ51" s="839"/>
      <c r="FR51" s="839"/>
      <c r="FS51" s="839"/>
      <c r="FT51" s="839"/>
      <c r="FU51" s="839"/>
      <c r="FV51" s="839"/>
      <c r="FW51" s="839"/>
      <c r="FX51" s="839"/>
      <c r="FY51" s="839"/>
      <c r="FZ51" s="839"/>
      <c r="GA51" s="839"/>
      <c r="GB51" s="839"/>
      <c r="GC51" s="839"/>
      <c r="GD51" s="839"/>
      <c r="GE51" s="839"/>
      <c r="GF51" s="839"/>
      <c r="GG51" s="839"/>
      <c r="GH51" s="839"/>
      <c r="GI51" s="839"/>
      <c r="GJ51" s="839"/>
      <c r="GK51" s="839"/>
      <c r="GL51" s="839"/>
      <c r="GM51" s="839"/>
      <c r="GN51" s="839"/>
      <c r="GO51" s="839"/>
      <c r="GP51" s="839"/>
      <c r="GQ51" s="839"/>
      <c r="GR51" s="839"/>
      <c r="GS51" s="839"/>
      <c r="GT51" s="839"/>
      <c r="GU51" s="839"/>
      <c r="GV51" s="839"/>
      <c r="GW51" s="839"/>
      <c r="GX51" s="839"/>
      <c r="GY51" s="839"/>
      <c r="GZ51" s="839"/>
      <c r="HA51" s="839"/>
      <c r="HB51" s="839"/>
      <c r="HC51" s="839"/>
      <c r="HD51" s="839"/>
      <c r="HE51" s="839"/>
      <c r="HF51" s="839"/>
      <c r="HG51" s="839"/>
      <c r="HH51" s="839"/>
      <c r="HI51" s="839"/>
      <c r="HJ51" s="839"/>
      <c r="HK51" s="839"/>
      <c r="HL51" s="839"/>
      <c r="HM51" s="839"/>
      <c r="HN51" s="839"/>
      <c r="HO51" s="839"/>
      <c r="HP51" s="839"/>
      <c r="HQ51" s="839"/>
      <c r="HR51" s="839"/>
      <c r="HS51" s="839"/>
      <c r="HT51" s="839"/>
      <c r="HU51" s="839"/>
      <c r="HV51" s="839"/>
      <c r="HW51" s="839"/>
      <c r="HX51" s="839"/>
      <c r="HY51" s="839"/>
      <c r="HZ51" s="839"/>
      <c r="IA51" s="839"/>
      <c r="IB51" s="839"/>
      <c r="IC51" s="839"/>
      <c r="ID51" s="839"/>
      <c r="IE51" s="839"/>
      <c r="IF51" s="839"/>
      <c r="IG51" s="839"/>
      <c r="IH51" s="839"/>
      <c r="II51" s="839"/>
      <c r="IJ51" s="839"/>
      <c r="IK51" s="839"/>
      <c r="IL51" s="839"/>
      <c r="IM51" s="839"/>
      <c r="IN51" s="839"/>
      <c r="IO51" s="839"/>
      <c r="IP51" s="839"/>
      <c r="IQ51" s="839"/>
      <c r="IR51" s="839"/>
      <c r="IS51" s="839"/>
      <c r="IT51" s="839"/>
      <c r="IU51" s="839"/>
      <c r="IV51" s="839"/>
      <c r="IW51" s="839"/>
      <c r="IX51" s="839"/>
      <c r="IY51" s="839"/>
      <c r="IZ51" s="839"/>
      <c r="JA51" s="839"/>
      <c r="JB51" s="839"/>
      <c r="JC51" s="839"/>
      <c r="JD51" s="839"/>
      <c r="JE51" s="839"/>
      <c r="JF51" s="839"/>
      <c r="JG51" s="839"/>
      <c r="JH51" s="839"/>
      <c r="JI51" s="839"/>
      <c r="JJ51" s="839"/>
      <c r="JK51" s="839"/>
      <c r="JL51" s="839"/>
      <c r="JM51" s="839"/>
      <c r="JN51" s="839"/>
      <c r="JO51" s="839"/>
      <c r="JP51" s="839"/>
      <c r="JQ51" s="839"/>
      <c r="JR51" s="839"/>
      <c r="JS51" s="839"/>
      <c r="JT51" s="839"/>
      <c r="JU51" s="839"/>
      <c r="JV51" s="839"/>
      <c r="JW51" s="839"/>
      <c r="JX51" s="839"/>
      <c r="JY51" s="839"/>
      <c r="JZ51" s="839"/>
      <c r="KA51" s="839"/>
      <c r="KB51" s="839"/>
      <c r="KC51" s="839"/>
      <c r="KD51" s="839"/>
      <c r="KE51" s="839"/>
      <c r="KF51" s="839"/>
      <c r="KG51" s="839"/>
      <c r="KH51" s="839"/>
      <c r="KI51" s="839"/>
      <c r="KJ51" s="839"/>
      <c r="KK51" s="839"/>
      <c r="KL51" s="839"/>
      <c r="KM51" s="839"/>
      <c r="KN51" s="839"/>
      <c r="KO51" s="839"/>
      <c r="KP51" s="839"/>
      <c r="KQ51" s="839"/>
      <c r="KR51" s="839"/>
      <c r="KS51" s="839"/>
      <c r="KT51" s="839"/>
      <c r="KU51" s="839"/>
      <c r="KV51" s="839"/>
      <c r="KW51" s="839"/>
      <c r="KX51" s="839"/>
      <c r="KY51" s="839"/>
      <c r="KZ51" s="839"/>
      <c r="LA51" s="839"/>
      <c r="LB51" s="839"/>
      <c r="LC51" s="839"/>
      <c r="LD51" s="839"/>
      <c r="LE51" s="839"/>
      <c r="LF51" s="839"/>
      <c r="LG51" s="839"/>
      <c r="LH51" s="839"/>
      <c r="LI51" s="839"/>
      <c r="LJ51" s="839"/>
      <c r="LK51" s="839"/>
      <c r="LL51" s="839"/>
      <c r="LM51" s="839"/>
      <c r="LN51" s="839"/>
      <c r="LO51" s="839"/>
      <c r="LP51" s="839"/>
      <c r="LQ51" s="839"/>
      <c r="LR51" s="839"/>
      <c r="LS51" s="839"/>
      <c r="LT51" s="839"/>
      <c r="LU51" s="839"/>
      <c r="LV51" s="839"/>
      <c r="LW51" s="839"/>
      <c r="LX51" s="839"/>
      <c r="LY51" s="839"/>
      <c r="LZ51" s="839"/>
      <c r="MA51" s="839"/>
      <c r="MB51" s="839"/>
      <c r="MC51" s="839"/>
      <c r="MD51" s="839"/>
      <c r="ME51" s="839"/>
      <c r="MF51" s="839"/>
      <c r="MG51" s="839"/>
      <c r="MH51" s="839"/>
      <c r="MI51" s="839"/>
      <c r="MJ51" s="839"/>
      <c r="MK51" s="839"/>
      <c r="ML51" s="839"/>
      <c r="MM51" s="839"/>
      <c r="MN51" s="839"/>
      <c r="MO51" s="839"/>
      <c r="MP51" s="839"/>
      <c r="MQ51" s="839"/>
      <c r="MR51" s="839"/>
      <c r="MS51" s="839"/>
      <c r="MT51" s="839"/>
      <c r="MU51" s="839"/>
      <c r="MV51" s="839"/>
      <c r="MW51" s="839"/>
      <c r="MX51" s="839"/>
      <c r="MY51" s="839"/>
      <c r="MZ51" s="839"/>
      <c r="NA51" s="839"/>
      <c r="NB51" s="839"/>
      <c r="NC51" s="839"/>
      <c r="ND51" s="839"/>
      <c r="NE51" s="839"/>
      <c r="NF51" s="839"/>
      <c r="NG51" s="839"/>
      <c r="NH51" s="839"/>
      <c r="NI51" s="839"/>
      <c r="NJ51" s="839"/>
      <c r="NK51" s="839"/>
      <c r="NL51" s="839"/>
      <c r="NM51" s="839"/>
      <c r="NN51" s="839"/>
      <c r="NO51" s="839"/>
      <c r="NP51" s="839"/>
      <c r="NQ51" s="839"/>
      <c r="NR51" s="839"/>
      <c r="NS51" s="839"/>
      <c r="NT51" s="839"/>
      <c r="NU51" s="839"/>
      <c r="NV51" s="839"/>
      <c r="NW51" s="839"/>
      <c r="NX51" s="839"/>
      <c r="NY51" s="839"/>
      <c r="NZ51" s="839"/>
      <c r="OA51" s="839"/>
      <c r="OB51" s="839"/>
      <c r="OC51" s="839"/>
      <c r="OD51" s="839"/>
      <c r="OE51" s="839"/>
      <c r="OF51" s="839"/>
      <c r="OG51" s="839"/>
      <c r="OH51" s="839"/>
      <c r="OI51" s="839"/>
      <c r="OJ51" s="839"/>
      <c r="OK51" s="839"/>
      <c r="OL51" s="839"/>
      <c r="OM51" s="839"/>
      <c r="ON51" s="839"/>
      <c r="OO51" s="839"/>
      <c r="OP51" s="839"/>
      <c r="OQ51" s="839"/>
      <c r="OR51" s="839"/>
      <c r="OS51" s="839"/>
      <c r="OT51" s="839"/>
      <c r="OU51" s="839"/>
      <c r="OV51" s="839"/>
      <c r="OW51" s="839"/>
      <c r="OX51" s="839"/>
      <c r="OY51" s="839"/>
      <c r="OZ51" s="839"/>
      <c r="PA51" s="839"/>
      <c r="PB51" s="839"/>
      <c r="PC51" s="839"/>
      <c r="PD51" s="839"/>
      <c r="PE51" s="839"/>
      <c r="PF51" s="839"/>
      <c r="PG51" s="839"/>
      <c r="PH51" s="839"/>
      <c r="PI51" s="839"/>
      <c r="PJ51" s="839"/>
      <c r="PK51" s="839"/>
      <c r="PL51" s="839"/>
      <c r="PM51" s="839"/>
      <c r="PN51" s="839"/>
      <c r="PO51" s="839"/>
      <c r="PP51" s="839"/>
      <c r="PQ51" s="839"/>
      <c r="PR51" s="839"/>
      <c r="PS51" s="839"/>
      <c r="PT51" s="839"/>
      <c r="PU51" s="839"/>
      <c r="PV51" s="839"/>
      <c r="PW51" s="839"/>
      <c r="PX51" s="839"/>
      <c r="PY51" s="839"/>
      <c r="PZ51" s="839"/>
      <c r="QA51" s="839"/>
      <c r="QB51" s="839"/>
      <c r="QC51" s="839"/>
      <c r="QD51" s="839"/>
      <c r="QE51" s="839"/>
      <c r="QF51" s="839"/>
      <c r="QG51" s="839"/>
      <c r="QH51" s="839"/>
      <c r="QI51" s="839"/>
      <c r="QJ51" s="839"/>
      <c r="QK51" s="839"/>
      <c r="QL51" s="839"/>
      <c r="QM51" s="839"/>
      <c r="QN51" s="839"/>
      <c r="QO51" s="839"/>
      <c r="QP51" s="839"/>
      <c r="QQ51" s="839"/>
      <c r="QR51" s="839"/>
      <c r="QS51" s="839"/>
      <c r="QT51" s="839"/>
      <c r="QU51" s="839"/>
      <c r="QV51" s="839"/>
      <c r="QW51" s="839"/>
      <c r="QX51" s="839"/>
      <c r="QY51" s="839"/>
      <c r="QZ51" s="839"/>
      <c r="RA51" s="839"/>
      <c r="RB51" s="839"/>
      <c r="RC51" s="839"/>
      <c r="RD51" s="839"/>
      <c r="RE51" s="839"/>
      <c r="RF51" s="839"/>
      <c r="RG51" s="839"/>
      <c r="RH51" s="839"/>
      <c r="RI51" s="839"/>
      <c r="RJ51" s="839"/>
      <c r="RK51" s="839"/>
      <c r="RL51" s="839"/>
      <c r="RM51" s="839"/>
      <c r="RN51" s="839"/>
      <c r="RO51" s="839"/>
      <c r="RP51" s="839"/>
      <c r="RQ51" s="839"/>
      <c r="RR51" s="839"/>
      <c r="RS51" s="839"/>
      <c r="RT51" s="839"/>
      <c r="RU51" s="839"/>
      <c r="RV51" s="839"/>
      <c r="RW51" s="839"/>
      <c r="RX51" s="839"/>
      <c r="RY51" s="839"/>
      <c r="RZ51" s="839"/>
      <c r="SA51" s="839"/>
      <c r="SB51" s="839"/>
      <c r="SC51" s="839"/>
      <c r="SD51" s="839"/>
      <c r="SE51" s="839"/>
      <c r="SF51" s="839"/>
      <c r="SG51" s="839"/>
      <c r="SH51" s="839"/>
      <c r="SI51" s="839"/>
      <c r="SJ51" s="839"/>
      <c r="SK51" s="839"/>
      <c r="SL51" s="839"/>
      <c r="SM51" s="839"/>
      <c r="SN51" s="839"/>
      <c r="SO51" s="839"/>
      <c r="SP51" s="839"/>
      <c r="SQ51" s="839"/>
      <c r="SR51" s="839"/>
    </row>
    <row r="52" spans="1:512" ht="15" customHeight="1">
      <c r="A52" s="969"/>
      <c r="B52" s="969"/>
      <c r="C52" s="969"/>
      <c r="D52" s="969"/>
      <c r="E52" s="969"/>
      <c r="F52" s="969"/>
      <c r="G52" s="755"/>
      <c r="H52" s="1027"/>
      <c r="I52" s="755"/>
      <c r="J52" s="755"/>
      <c r="K52" s="755"/>
      <c r="L52" s="755"/>
      <c r="M52" s="755"/>
      <c r="N52" s="755"/>
      <c r="O52" s="755"/>
      <c r="P52" s="755"/>
      <c r="Q52" s="755"/>
      <c r="R52" s="755"/>
      <c r="S52" s="755"/>
      <c r="T52" s="755"/>
      <c r="U52" s="661"/>
      <c r="V52" s="661"/>
      <c r="W52" s="661"/>
      <c r="X52" s="661"/>
      <c r="Y52" s="661"/>
      <c r="Z52" s="661"/>
      <c r="AA52" s="661"/>
      <c r="AB52" s="661"/>
      <c r="AC52" s="661"/>
      <c r="AD52" s="661"/>
      <c r="AE52" s="661"/>
      <c r="AF52" s="661"/>
      <c r="AG52" s="661"/>
      <c r="AH52" s="661"/>
      <c r="AI52" s="661"/>
      <c r="AJ52" s="661"/>
      <c r="AK52" s="661"/>
      <c r="AL52" s="661"/>
      <c r="AM52" s="661"/>
      <c r="AN52" s="661"/>
      <c r="AO52" s="661"/>
      <c r="AP52" s="661"/>
      <c r="AQ52" s="661"/>
      <c r="AR52" s="661"/>
      <c r="AS52" s="661"/>
      <c r="AT52" s="661"/>
      <c r="AU52" s="661"/>
      <c r="AV52" s="661"/>
      <c r="AW52" s="661"/>
      <c r="AX52" s="661"/>
      <c r="AY52" s="661"/>
      <c r="AZ52" s="661"/>
      <c r="BA52" s="661"/>
      <c r="BB52" s="661"/>
      <c r="BC52" s="661"/>
      <c r="BD52" s="661"/>
      <c r="BE52" s="661"/>
    </row>
    <row r="53" spans="1:512" ht="15" customHeight="1">
      <c r="A53" s="969" t="s">
        <v>2216</v>
      </c>
      <c r="B53" s="969"/>
      <c r="C53" s="969"/>
      <c r="D53" s="969"/>
      <c r="E53" s="969"/>
      <c r="F53" s="969"/>
      <c r="G53" s="755"/>
      <c r="H53" s="1027"/>
      <c r="I53" s="755"/>
      <c r="J53" s="755"/>
      <c r="K53" s="755"/>
      <c r="L53" s="755"/>
      <c r="M53" s="755"/>
      <c r="N53" s="755"/>
      <c r="O53" s="755"/>
      <c r="P53" s="755"/>
      <c r="Q53" s="755"/>
      <c r="R53" s="755"/>
      <c r="S53" s="755"/>
      <c r="T53" s="755"/>
      <c r="U53" s="661"/>
      <c r="V53" s="661"/>
      <c r="W53" s="661"/>
      <c r="X53" s="661"/>
      <c r="Y53" s="661"/>
      <c r="Z53" s="661"/>
      <c r="AA53" s="661"/>
      <c r="AB53" s="661"/>
      <c r="AC53" s="661"/>
      <c r="AD53" s="661"/>
      <c r="AE53" s="661"/>
      <c r="AF53" s="661"/>
      <c r="AG53" s="661"/>
      <c r="AH53" s="661"/>
      <c r="AI53" s="661"/>
      <c r="AJ53" s="661"/>
      <c r="AK53" s="661"/>
      <c r="AL53" s="661"/>
      <c r="AM53" s="661"/>
      <c r="AN53" s="661"/>
      <c r="AO53" s="661"/>
      <c r="AP53" s="661"/>
      <c r="AQ53" s="661"/>
      <c r="AR53" s="661"/>
      <c r="AS53" s="661"/>
      <c r="AT53" s="661"/>
      <c r="AU53" s="661"/>
      <c r="AV53" s="661"/>
      <c r="AW53" s="661"/>
      <c r="AX53" s="661"/>
      <c r="AY53" s="661"/>
      <c r="AZ53" s="661"/>
      <c r="BA53" s="661"/>
      <c r="BB53" s="661"/>
      <c r="BC53" s="661"/>
      <c r="BD53" s="661"/>
      <c r="BE53" s="661"/>
    </row>
    <row r="54" spans="1:512" ht="15" customHeight="1">
      <c r="A54" s="969"/>
      <c r="B54" s="969" t="s">
        <v>2217</v>
      </c>
      <c r="C54" s="969"/>
      <c r="D54" s="969"/>
      <c r="E54" s="969" t="s">
        <v>237</v>
      </c>
      <c r="F54" s="969"/>
      <c r="G54" s="756">
        <v>0</v>
      </c>
      <c r="H54" s="1027"/>
      <c r="I54" s="756"/>
      <c r="J54" s="756"/>
      <c r="K54" s="756"/>
      <c r="L54" s="756"/>
      <c r="M54" s="756"/>
      <c r="N54" s="756"/>
      <c r="O54" s="756"/>
      <c r="P54" s="756"/>
      <c r="Q54" s="756"/>
      <c r="R54" s="756"/>
      <c r="S54" s="756"/>
      <c r="T54" s="756"/>
      <c r="U54" s="756"/>
      <c r="V54" s="756"/>
      <c r="W54" s="756"/>
      <c r="X54" s="756"/>
      <c r="Y54" s="756"/>
      <c r="Z54" s="756"/>
      <c r="AA54" s="756"/>
      <c r="AB54" s="756"/>
      <c r="AC54" s="756"/>
      <c r="AD54" s="756"/>
      <c r="AE54" s="756"/>
      <c r="AF54" s="756"/>
      <c r="AG54" s="756"/>
      <c r="AH54" s="756"/>
      <c r="AI54" s="756"/>
      <c r="AJ54" s="756"/>
      <c r="AK54" s="756"/>
      <c r="AL54" s="756"/>
      <c r="AM54" s="756"/>
      <c r="AN54" s="756"/>
      <c r="AO54" s="756"/>
      <c r="AP54" s="756"/>
      <c r="AQ54" s="756"/>
      <c r="AR54" s="756"/>
      <c r="AS54" s="756"/>
      <c r="AT54" s="756"/>
      <c r="AU54" s="756"/>
      <c r="AV54" s="756"/>
      <c r="AW54" s="756"/>
      <c r="AX54" s="756"/>
      <c r="AY54" s="756"/>
      <c r="AZ54" s="756"/>
      <c r="BA54" s="756"/>
      <c r="BB54" s="756"/>
      <c r="BC54" s="756"/>
      <c r="BD54" s="756"/>
      <c r="BE54" s="756"/>
      <c r="BF54" s="756"/>
      <c r="BG54" s="756"/>
      <c r="BH54" s="756"/>
      <c r="BI54" s="756"/>
      <c r="BJ54" s="756"/>
      <c r="BK54" s="756"/>
      <c r="BL54" s="756"/>
      <c r="BM54" s="756"/>
      <c r="BN54" s="756"/>
      <c r="BO54" s="756"/>
      <c r="BP54" s="756"/>
      <c r="BQ54" s="756"/>
      <c r="BR54" s="756"/>
      <c r="BS54" s="756"/>
      <c r="BT54" s="756"/>
      <c r="BU54" s="756"/>
      <c r="BV54" s="756"/>
      <c r="BW54" s="756"/>
      <c r="BX54" s="756"/>
      <c r="BY54" s="756"/>
      <c r="BZ54" s="756"/>
      <c r="CA54" s="756"/>
      <c r="CB54" s="756"/>
      <c r="CC54" s="756"/>
      <c r="CD54" s="756"/>
      <c r="CE54" s="756"/>
      <c r="CF54" s="756"/>
      <c r="CG54" s="756"/>
      <c r="CH54" s="756"/>
      <c r="CI54" s="756"/>
      <c r="CJ54" s="756"/>
      <c r="CK54" s="756"/>
      <c r="CL54" s="756"/>
      <c r="CM54" s="756"/>
      <c r="CN54" s="756"/>
      <c r="CO54" s="756"/>
      <c r="CP54" s="756"/>
      <c r="CQ54" s="756"/>
      <c r="CR54" s="756"/>
      <c r="CS54" s="756"/>
      <c r="CT54" s="756"/>
      <c r="CU54" s="756"/>
      <c r="CV54" s="756"/>
      <c r="CW54" s="756"/>
      <c r="CX54" s="756"/>
      <c r="CY54" s="756"/>
      <c r="CZ54" s="756"/>
      <c r="DA54" s="756"/>
      <c r="DB54" s="756"/>
      <c r="DC54" s="756"/>
      <c r="DD54" s="756"/>
      <c r="DE54" s="756"/>
      <c r="DF54" s="756"/>
      <c r="DG54" s="756"/>
      <c r="DH54" s="756"/>
      <c r="DI54" s="756"/>
      <c r="DJ54" s="756"/>
      <c r="DK54" s="756"/>
      <c r="DL54" s="756"/>
      <c r="DM54" s="756"/>
      <c r="DN54" s="756"/>
      <c r="DO54" s="756"/>
      <c r="DP54" s="756"/>
      <c r="DQ54" s="756"/>
      <c r="DR54" s="756"/>
      <c r="DS54" s="756"/>
      <c r="DT54" s="756"/>
      <c r="DU54" s="756"/>
      <c r="DV54" s="756"/>
      <c r="DW54" s="756"/>
      <c r="DX54" s="756"/>
      <c r="DY54" s="756"/>
      <c r="DZ54" s="756"/>
      <c r="EA54" s="756"/>
      <c r="EB54" s="756"/>
      <c r="EC54" s="756"/>
      <c r="ED54" s="756"/>
      <c r="EE54" s="756"/>
      <c r="EF54" s="756"/>
      <c r="EG54" s="756"/>
      <c r="EH54" s="756"/>
      <c r="EI54" s="756"/>
      <c r="EJ54" s="756"/>
      <c r="EK54" s="756"/>
      <c r="EL54" s="756"/>
      <c r="EM54" s="756"/>
      <c r="EN54" s="756"/>
      <c r="EO54" s="756"/>
      <c r="EP54" s="756"/>
      <c r="EQ54" s="756"/>
      <c r="ER54" s="756"/>
      <c r="ES54" s="756"/>
      <c r="ET54" s="756"/>
      <c r="EU54" s="756"/>
      <c r="EV54" s="756"/>
      <c r="EW54" s="756"/>
      <c r="EX54" s="756"/>
      <c r="EY54" s="756"/>
      <c r="EZ54" s="756"/>
      <c r="FA54" s="756"/>
      <c r="FB54" s="756"/>
      <c r="FC54" s="756"/>
      <c r="FD54" s="756"/>
      <c r="FE54" s="756"/>
      <c r="FF54" s="756"/>
      <c r="FG54" s="756"/>
      <c r="FH54" s="756"/>
      <c r="FI54" s="756"/>
      <c r="FJ54" s="756"/>
      <c r="FK54" s="756"/>
      <c r="FL54" s="756"/>
      <c r="FM54" s="756"/>
      <c r="FN54" s="756"/>
      <c r="FO54" s="756"/>
      <c r="FP54" s="756"/>
      <c r="FQ54" s="756"/>
      <c r="FR54" s="756"/>
      <c r="FS54" s="756"/>
      <c r="FT54" s="756"/>
      <c r="FU54" s="756"/>
      <c r="FV54" s="756"/>
      <c r="FW54" s="756"/>
      <c r="FX54" s="756"/>
      <c r="FY54" s="756"/>
      <c r="FZ54" s="756"/>
      <c r="GA54" s="756"/>
      <c r="GB54" s="756"/>
      <c r="GC54" s="756"/>
      <c r="GD54" s="756"/>
      <c r="GE54" s="756"/>
      <c r="GF54" s="756"/>
      <c r="GG54" s="756"/>
      <c r="GH54" s="756"/>
      <c r="GI54" s="756"/>
      <c r="GJ54" s="756"/>
      <c r="GK54" s="756"/>
      <c r="GL54" s="756"/>
      <c r="GM54" s="756"/>
      <c r="GN54" s="756"/>
      <c r="GO54" s="756"/>
      <c r="GP54" s="756"/>
      <c r="GQ54" s="756"/>
      <c r="GR54" s="756"/>
      <c r="GS54" s="756"/>
      <c r="GT54" s="756"/>
      <c r="GU54" s="756"/>
      <c r="GV54" s="756"/>
      <c r="GW54" s="756"/>
      <c r="GX54" s="756"/>
      <c r="GY54" s="756"/>
      <c r="GZ54" s="756"/>
      <c r="HA54" s="756"/>
      <c r="HB54" s="756"/>
      <c r="HC54" s="756"/>
      <c r="HD54" s="756"/>
      <c r="HE54" s="756"/>
      <c r="HF54" s="756"/>
      <c r="HG54" s="756"/>
      <c r="HH54" s="756"/>
      <c r="HI54" s="756"/>
      <c r="HJ54" s="756"/>
      <c r="HK54" s="756"/>
      <c r="HL54" s="756"/>
      <c r="HM54" s="756"/>
      <c r="HN54" s="756"/>
      <c r="HO54" s="756"/>
      <c r="HP54" s="756"/>
      <c r="HQ54" s="756"/>
      <c r="HR54" s="756"/>
      <c r="HS54" s="756"/>
      <c r="HT54" s="756"/>
      <c r="HU54" s="756"/>
      <c r="HV54" s="756"/>
      <c r="HW54" s="756"/>
      <c r="HX54" s="756"/>
      <c r="HY54" s="756"/>
      <c r="HZ54" s="756"/>
      <c r="IA54" s="756"/>
      <c r="IB54" s="756"/>
      <c r="IC54" s="756"/>
      <c r="ID54" s="756"/>
      <c r="IE54" s="756"/>
      <c r="IF54" s="756"/>
      <c r="IG54" s="756"/>
      <c r="IH54" s="756"/>
      <c r="II54" s="756"/>
      <c r="IJ54" s="756"/>
      <c r="IK54" s="756"/>
      <c r="IL54" s="756"/>
      <c r="IM54" s="756"/>
      <c r="IN54" s="756"/>
      <c r="IO54" s="756"/>
      <c r="IP54" s="756"/>
      <c r="IQ54" s="756"/>
      <c r="IR54" s="756"/>
      <c r="IS54" s="756"/>
      <c r="IT54" s="756"/>
      <c r="IU54" s="756"/>
      <c r="IV54" s="756"/>
      <c r="IW54" s="756"/>
      <c r="IX54" s="756"/>
      <c r="IY54" s="756"/>
      <c r="IZ54" s="756"/>
      <c r="JA54" s="756"/>
      <c r="JB54" s="756"/>
      <c r="JC54" s="756"/>
      <c r="JD54" s="756"/>
      <c r="JE54" s="756"/>
      <c r="JF54" s="756"/>
      <c r="JG54" s="756"/>
      <c r="JH54" s="756"/>
      <c r="JI54" s="756"/>
      <c r="JJ54" s="756"/>
      <c r="JK54" s="756"/>
      <c r="JL54" s="756"/>
      <c r="JM54" s="756"/>
      <c r="JN54" s="756"/>
      <c r="JO54" s="756"/>
      <c r="JP54" s="756"/>
      <c r="JQ54" s="756"/>
      <c r="JR54" s="756"/>
      <c r="JS54" s="756"/>
      <c r="JT54" s="756"/>
      <c r="JU54" s="756"/>
      <c r="JV54" s="756"/>
      <c r="JW54" s="756"/>
      <c r="JX54" s="756"/>
      <c r="JY54" s="756"/>
      <c r="JZ54" s="756"/>
      <c r="KA54" s="756"/>
      <c r="KB54" s="756"/>
      <c r="KC54" s="756"/>
      <c r="KD54" s="756"/>
      <c r="KE54" s="756"/>
      <c r="KF54" s="756"/>
      <c r="KG54" s="756"/>
      <c r="KH54" s="756"/>
      <c r="KI54" s="756"/>
      <c r="KJ54" s="756"/>
      <c r="KK54" s="756"/>
      <c r="KL54" s="756"/>
      <c r="KM54" s="756"/>
      <c r="KN54" s="756"/>
      <c r="KO54" s="756"/>
      <c r="KP54" s="756"/>
      <c r="KQ54" s="756"/>
      <c r="KR54" s="756"/>
      <c r="KS54" s="756"/>
      <c r="KT54" s="756"/>
      <c r="KU54" s="756"/>
      <c r="KV54" s="756"/>
      <c r="KW54" s="756"/>
      <c r="KX54" s="756"/>
      <c r="KY54" s="756"/>
      <c r="KZ54" s="756"/>
      <c r="LA54" s="756"/>
      <c r="LB54" s="756"/>
      <c r="LC54" s="756"/>
      <c r="LD54" s="756"/>
      <c r="LE54" s="756"/>
      <c r="LF54" s="756"/>
      <c r="LG54" s="756"/>
      <c r="LH54" s="756"/>
      <c r="LI54" s="756"/>
      <c r="LJ54" s="756"/>
      <c r="LK54" s="756"/>
      <c r="LL54" s="756"/>
      <c r="LM54" s="756"/>
      <c r="LN54" s="756"/>
      <c r="LO54" s="756"/>
      <c r="LP54" s="756"/>
      <c r="LQ54" s="756"/>
      <c r="LR54" s="756"/>
      <c r="LS54" s="756"/>
      <c r="LT54" s="756"/>
      <c r="LU54" s="756"/>
      <c r="LV54" s="756"/>
      <c r="LW54" s="756"/>
      <c r="LX54" s="756"/>
      <c r="LY54" s="756"/>
      <c r="LZ54" s="756"/>
      <c r="MA54" s="756"/>
      <c r="MB54" s="756"/>
      <c r="MC54" s="756"/>
      <c r="MD54" s="756"/>
      <c r="ME54" s="756"/>
      <c r="MF54" s="756"/>
      <c r="MG54" s="756"/>
      <c r="MH54" s="756"/>
      <c r="MI54" s="756"/>
      <c r="MJ54" s="756"/>
      <c r="MK54" s="756"/>
      <c r="ML54" s="756"/>
      <c r="MM54" s="756"/>
      <c r="MN54" s="756"/>
      <c r="MO54" s="756"/>
      <c r="MP54" s="756"/>
      <c r="MQ54" s="756"/>
      <c r="MR54" s="756"/>
      <c r="MS54" s="756"/>
      <c r="MT54" s="756"/>
      <c r="MU54" s="756"/>
      <c r="MV54" s="756"/>
      <c r="MW54" s="756"/>
      <c r="MX54" s="756"/>
      <c r="MY54" s="756"/>
      <c r="MZ54" s="756"/>
      <c r="NA54" s="756"/>
      <c r="NB54" s="756"/>
      <c r="NC54" s="756"/>
      <c r="ND54" s="756"/>
      <c r="NE54" s="756"/>
      <c r="NF54" s="756"/>
      <c r="NG54" s="756"/>
      <c r="NH54" s="756"/>
      <c r="NI54" s="756"/>
      <c r="NJ54" s="756"/>
      <c r="NK54" s="756"/>
      <c r="NL54" s="756"/>
      <c r="NM54" s="756"/>
      <c r="NN54" s="756"/>
      <c r="NO54" s="756"/>
      <c r="NP54" s="756"/>
      <c r="NQ54" s="756"/>
      <c r="NR54" s="756"/>
      <c r="NS54" s="756"/>
      <c r="NT54" s="756"/>
      <c r="NU54" s="756"/>
      <c r="NV54" s="756"/>
      <c r="NW54" s="756"/>
      <c r="NX54" s="756"/>
      <c r="NY54" s="756"/>
      <c r="NZ54" s="756"/>
      <c r="OA54" s="756"/>
      <c r="OB54" s="756"/>
      <c r="OC54" s="756"/>
      <c r="OD54" s="756"/>
      <c r="OE54" s="756"/>
      <c r="OF54" s="756"/>
      <c r="OG54" s="756"/>
      <c r="OH54" s="756"/>
      <c r="OI54" s="756"/>
      <c r="OJ54" s="756"/>
      <c r="OK54" s="756"/>
      <c r="OL54" s="756"/>
      <c r="OM54" s="756"/>
      <c r="ON54" s="756"/>
      <c r="OO54" s="756"/>
      <c r="OP54" s="756"/>
      <c r="OQ54" s="756"/>
      <c r="OR54" s="756"/>
      <c r="OS54" s="756"/>
      <c r="OT54" s="756"/>
      <c r="OU54" s="756"/>
      <c r="OV54" s="756"/>
      <c r="OW54" s="756"/>
      <c r="OX54" s="756"/>
      <c r="OY54" s="756"/>
      <c r="OZ54" s="756"/>
      <c r="PA54" s="756"/>
      <c r="PB54" s="756"/>
      <c r="PC54" s="756"/>
      <c r="PD54" s="756"/>
      <c r="PE54" s="756"/>
      <c r="PF54" s="756"/>
      <c r="PG54" s="756"/>
      <c r="PH54" s="756"/>
      <c r="PI54" s="756"/>
      <c r="PJ54" s="756"/>
      <c r="PK54" s="756"/>
      <c r="PL54" s="756"/>
      <c r="PM54" s="756"/>
      <c r="PN54" s="756"/>
      <c r="PO54" s="756"/>
      <c r="PP54" s="756"/>
      <c r="PQ54" s="756"/>
      <c r="PR54" s="756"/>
      <c r="PS54" s="756"/>
      <c r="PT54" s="756"/>
      <c r="PU54" s="756"/>
      <c r="PV54" s="756"/>
      <c r="PW54" s="756"/>
      <c r="PX54" s="756"/>
      <c r="PY54" s="756"/>
      <c r="PZ54" s="756"/>
      <c r="QA54" s="756"/>
      <c r="QB54" s="756"/>
      <c r="QC54" s="756"/>
      <c r="QD54" s="756"/>
      <c r="QE54" s="756"/>
      <c r="QF54" s="756"/>
      <c r="QG54" s="756"/>
      <c r="QH54" s="756"/>
      <c r="QI54" s="756"/>
      <c r="QJ54" s="756"/>
      <c r="QK54" s="756"/>
      <c r="QL54" s="756"/>
      <c r="QM54" s="756"/>
      <c r="QN54" s="756"/>
      <c r="QO54" s="756"/>
      <c r="QP54" s="756"/>
      <c r="QQ54" s="756"/>
      <c r="QR54" s="756"/>
      <c r="QS54" s="756"/>
      <c r="QT54" s="756"/>
      <c r="QU54" s="756"/>
      <c r="QV54" s="756"/>
      <c r="QW54" s="756"/>
      <c r="QX54" s="756"/>
      <c r="QY54" s="756"/>
      <c r="QZ54" s="756"/>
      <c r="RA54" s="756"/>
      <c r="RB54" s="756"/>
      <c r="RC54" s="756"/>
      <c r="RD54" s="756"/>
      <c r="RE54" s="756"/>
      <c r="RF54" s="756"/>
      <c r="RG54" s="756"/>
      <c r="RH54" s="756"/>
      <c r="RI54" s="756"/>
      <c r="RJ54" s="756"/>
      <c r="RK54" s="756"/>
      <c r="RL54" s="756"/>
      <c r="RM54" s="756"/>
      <c r="RN54" s="756"/>
      <c r="RO54" s="756"/>
      <c r="RP54" s="756"/>
      <c r="RQ54" s="756"/>
      <c r="RR54" s="756"/>
      <c r="RS54" s="756"/>
      <c r="RT54" s="756"/>
      <c r="RU54" s="756"/>
      <c r="RV54" s="756"/>
      <c r="RW54" s="756"/>
      <c r="RX54" s="756"/>
      <c r="RY54" s="756"/>
      <c r="RZ54" s="756"/>
      <c r="SA54" s="756"/>
      <c r="SB54" s="756"/>
      <c r="SC54" s="756"/>
      <c r="SD54" s="756"/>
      <c r="SE54" s="756"/>
      <c r="SF54" s="756"/>
      <c r="SG54" s="756"/>
      <c r="SH54" s="756"/>
      <c r="SI54" s="756"/>
      <c r="SJ54" s="756"/>
      <c r="SK54" s="756"/>
      <c r="SL54" s="756"/>
      <c r="SM54" s="756"/>
      <c r="SN54" s="756"/>
      <c r="SO54" s="756"/>
      <c r="SP54" s="756"/>
      <c r="SQ54" s="756"/>
      <c r="SR54" s="756"/>
    </row>
    <row r="55" spans="1:512" ht="15" customHeight="1">
      <c r="A55" s="969"/>
      <c r="B55" s="969" t="s">
        <v>2218</v>
      </c>
      <c r="C55" s="969"/>
      <c r="D55" s="969"/>
      <c r="E55" s="969" t="s">
        <v>237</v>
      </c>
      <c r="F55" s="969"/>
      <c r="G55" s="756">
        <v>1</v>
      </c>
      <c r="H55" s="1027"/>
      <c r="I55" s="756"/>
      <c r="J55" s="756"/>
      <c r="K55" s="756"/>
      <c r="L55" s="756"/>
      <c r="M55" s="756"/>
      <c r="N55" s="756"/>
      <c r="O55" s="756"/>
      <c r="P55" s="756"/>
      <c r="Q55" s="756"/>
      <c r="R55" s="756"/>
      <c r="S55" s="756"/>
      <c r="T55" s="756"/>
      <c r="U55" s="756"/>
      <c r="V55" s="756"/>
      <c r="W55" s="756"/>
      <c r="X55" s="756"/>
      <c r="Y55" s="756"/>
      <c r="Z55" s="756"/>
      <c r="AA55" s="756"/>
      <c r="AB55" s="756"/>
      <c r="AC55" s="756"/>
      <c r="AD55" s="756"/>
      <c r="AE55" s="756"/>
      <c r="AF55" s="756"/>
      <c r="AG55" s="756"/>
      <c r="AH55" s="756"/>
      <c r="AI55" s="756"/>
      <c r="AJ55" s="756"/>
      <c r="AK55" s="756"/>
      <c r="AL55" s="756"/>
      <c r="AM55" s="756"/>
      <c r="AN55" s="756"/>
      <c r="AO55" s="756"/>
      <c r="AP55" s="756"/>
      <c r="AQ55" s="756"/>
      <c r="AR55" s="756"/>
      <c r="AS55" s="756"/>
      <c r="AT55" s="756"/>
      <c r="AU55" s="756"/>
      <c r="AV55" s="756"/>
      <c r="AW55" s="756"/>
      <c r="AX55" s="756"/>
      <c r="AY55" s="756"/>
      <c r="AZ55" s="756"/>
      <c r="BA55" s="756"/>
      <c r="BB55" s="756"/>
      <c r="BC55" s="756"/>
      <c r="BD55" s="756"/>
      <c r="BE55" s="756"/>
      <c r="BF55" s="756"/>
      <c r="BG55" s="756"/>
      <c r="BH55" s="756"/>
      <c r="BI55" s="756"/>
      <c r="BJ55" s="756"/>
      <c r="BK55" s="756"/>
      <c r="BL55" s="756"/>
      <c r="BM55" s="756"/>
      <c r="BN55" s="756"/>
      <c r="BO55" s="756"/>
      <c r="BP55" s="756"/>
      <c r="BQ55" s="756"/>
      <c r="BR55" s="756"/>
      <c r="BS55" s="756"/>
      <c r="BT55" s="756"/>
      <c r="BU55" s="756"/>
      <c r="BV55" s="756"/>
      <c r="BW55" s="756"/>
      <c r="BX55" s="756"/>
      <c r="BY55" s="756"/>
      <c r="BZ55" s="756"/>
      <c r="CA55" s="756"/>
      <c r="CB55" s="756"/>
      <c r="CC55" s="756"/>
      <c r="CD55" s="756"/>
      <c r="CE55" s="756"/>
      <c r="CF55" s="756"/>
      <c r="CG55" s="756"/>
      <c r="CH55" s="756"/>
      <c r="CI55" s="756"/>
      <c r="CJ55" s="756"/>
      <c r="CK55" s="756"/>
      <c r="CL55" s="756"/>
      <c r="CM55" s="756"/>
      <c r="CN55" s="756"/>
      <c r="CO55" s="756"/>
      <c r="CP55" s="756"/>
      <c r="CQ55" s="756"/>
      <c r="CR55" s="756"/>
      <c r="CS55" s="756"/>
      <c r="CT55" s="756"/>
      <c r="CU55" s="756"/>
      <c r="CV55" s="756"/>
      <c r="CW55" s="756"/>
      <c r="CX55" s="756"/>
      <c r="CY55" s="756"/>
      <c r="CZ55" s="756"/>
      <c r="DA55" s="756"/>
      <c r="DB55" s="756"/>
      <c r="DC55" s="756"/>
      <c r="DD55" s="756"/>
      <c r="DE55" s="756"/>
      <c r="DF55" s="756"/>
      <c r="DG55" s="756"/>
      <c r="DH55" s="756"/>
      <c r="DI55" s="756"/>
      <c r="DJ55" s="756"/>
      <c r="DK55" s="756"/>
      <c r="DL55" s="756"/>
      <c r="DM55" s="756"/>
      <c r="DN55" s="756"/>
      <c r="DO55" s="756"/>
      <c r="DP55" s="756"/>
      <c r="DQ55" s="756"/>
      <c r="DR55" s="756"/>
      <c r="DS55" s="756"/>
      <c r="DT55" s="756"/>
      <c r="DU55" s="756"/>
      <c r="DV55" s="756"/>
      <c r="DW55" s="756"/>
      <c r="DX55" s="756"/>
      <c r="DY55" s="756"/>
      <c r="DZ55" s="756"/>
      <c r="EA55" s="756"/>
      <c r="EB55" s="756"/>
      <c r="EC55" s="756"/>
      <c r="ED55" s="756"/>
      <c r="EE55" s="756"/>
      <c r="EF55" s="756"/>
      <c r="EG55" s="756"/>
      <c r="EH55" s="756"/>
      <c r="EI55" s="756"/>
      <c r="EJ55" s="756"/>
      <c r="EK55" s="756"/>
      <c r="EL55" s="756"/>
      <c r="EM55" s="756"/>
      <c r="EN55" s="756"/>
      <c r="EO55" s="756"/>
      <c r="EP55" s="756"/>
      <c r="EQ55" s="756"/>
      <c r="ER55" s="756"/>
      <c r="ES55" s="756"/>
      <c r="ET55" s="756"/>
      <c r="EU55" s="756"/>
      <c r="EV55" s="756"/>
      <c r="EW55" s="756"/>
      <c r="EX55" s="756"/>
      <c r="EY55" s="756"/>
      <c r="EZ55" s="756"/>
      <c r="FA55" s="756"/>
      <c r="FB55" s="756"/>
      <c r="FC55" s="756"/>
      <c r="FD55" s="756"/>
      <c r="FE55" s="756"/>
      <c r="FF55" s="756"/>
      <c r="FG55" s="756"/>
      <c r="FH55" s="756"/>
      <c r="FI55" s="756"/>
      <c r="FJ55" s="756"/>
      <c r="FK55" s="756"/>
      <c r="FL55" s="756"/>
      <c r="FM55" s="756"/>
      <c r="FN55" s="756"/>
      <c r="FO55" s="756"/>
      <c r="FP55" s="756"/>
      <c r="FQ55" s="756"/>
      <c r="FR55" s="756"/>
      <c r="FS55" s="756"/>
      <c r="FT55" s="756"/>
      <c r="FU55" s="756"/>
      <c r="FV55" s="756"/>
      <c r="FW55" s="756"/>
      <c r="FX55" s="756"/>
      <c r="FY55" s="756"/>
      <c r="FZ55" s="756"/>
      <c r="GA55" s="756"/>
      <c r="GB55" s="756"/>
      <c r="GC55" s="756"/>
      <c r="GD55" s="756"/>
      <c r="GE55" s="756"/>
      <c r="GF55" s="756"/>
      <c r="GG55" s="756"/>
      <c r="GH55" s="756"/>
      <c r="GI55" s="756"/>
      <c r="GJ55" s="756"/>
      <c r="GK55" s="756"/>
      <c r="GL55" s="756"/>
      <c r="GM55" s="756"/>
      <c r="GN55" s="756"/>
      <c r="GO55" s="756"/>
      <c r="GP55" s="756"/>
      <c r="GQ55" s="756"/>
      <c r="GR55" s="756"/>
      <c r="GS55" s="756"/>
      <c r="GT55" s="756"/>
      <c r="GU55" s="756"/>
      <c r="GV55" s="756"/>
      <c r="GW55" s="756"/>
      <c r="GX55" s="756"/>
      <c r="GY55" s="756"/>
      <c r="GZ55" s="756"/>
      <c r="HA55" s="756"/>
      <c r="HB55" s="756"/>
      <c r="HC55" s="756"/>
      <c r="HD55" s="756"/>
      <c r="HE55" s="756"/>
      <c r="HF55" s="756"/>
      <c r="HG55" s="756"/>
      <c r="HH55" s="756"/>
      <c r="HI55" s="756"/>
      <c r="HJ55" s="756"/>
      <c r="HK55" s="756"/>
      <c r="HL55" s="756"/>
      <c r="HM55" s="756"/>
      <c r="HN55" s="756"/>
      <c r="HO55" s="756"/>
      <c r="HP55" s="756"/>
      <c r="HQ55" s="756"/>
      <c r="HR55" s="756"/>
      <c r="HS55" s="756"/>
      <c r="HT55" s="756"/>
      <c r="HU55" s="756"/>
      <c r="HV55" s="756"/>
      <c r="HW55" s="756"/>
      <c r="HX55" s="756"/>
      <c r="HY55" s="756"/>
      <c r="HZ55" s="756"/>
      <c r="IA55" s="756"/>
      <c r="IB55" s="756"/>
      <c r="IC55" s="756"/>
      <c r="ID55" s="756"/>
      <c r="IE55" s="756"/>
      <c r="IF55" s="756"/>
      <c r="IG55" s="756"/>
      <c r="IH55" s="756"/>
      <c r="II55" s="756"/>
      <c r="IJ55" s="756"/>
      <c r="IK55" s="756"/>
      <c r="IL55" s="756"/>
      <c r="IM55" s="756"/>
      <c r="IN55" s="756"/>
      <c r="IO55" s="756"/>
      <c r="IP55" s="756"/>
      <c r="IQ55" s="756"/>
      <c r="IR55" s="756"/>
      <c r="IS55" s="756"/>
      <c r="IT55" s="756"/>
      <c r="IU55" s="756"/>
      <c r="IV55" s="756"/>
      <c r="IW55" s="756"/>
      <c r="IX55" s="756"/>
      <c r="IY55" s="756"/>
      <c r="IZ55" s="756"/>
      <c r="JA55" s="756"/>
      <c r="JB55" s="756"/>
      <c r="JC55" s="756"/>
      <c r="JD55" s="756"/>
      <c r="JE55" s="756"/>
      <c r="JF55" s="756"/>
      <c r="JG55" s="756"/>
      <c r="JH55" s="756"/>
      <c r="JI55" s="756"/>
      <c r="JJ55" s="756"/>
      <c r="JK55" s="756"/>
      <c r="JL55" s="756"/>
      <c r="JM55" s="756"/>
      <c r="JN55" s="756"/>
      <c r="JO55" s="756"/>
      <c r="JP55" s="756"/>
      <c r="JQ55" s="756"/>
      <c r="JR55" s="756"/>
      <c r="JS55" s="756"/>
      <c r="JT55" s="756"/>
      <c r="JU55" s="756"/>
      <c r="JV55" s="756"/>
      <c r="JW55" s="756"/>
      <c r="JX55" s="756"/>
      <c r="JY55" s="756"/>
      <c r="JZ55" s="756"/>
      <c r="KA55" s="756"/>
      <c r="KB55" s="756"/>
      <c r="KC55" s="756"/>
      <c r="KD55" s="756"/>
      <c r="KE55" s="756"/>
      <c r="KF55" s="756"/>
      <c r="KG55" s="756"/>
      <c r="KH55" s="756"/>
      <c r="KI55" s="756"/>
      <c r="KJ55" s="756"/>
      <c r="KK55" s="756"/>
      <c r="KL55" s="756"/>
      <c r="KM55" s="756"/>
      <c r="KN55" s="756"/>
      <c r="KO55" s="756"/>
      <c r="KP55" s="756"/>
      <c r="KQ55" s="756"/>
      <c r="KR55" s="756"/>
      <c r="KS55" s="756"/>
      <c r="KT55" s="756"/>
      <c r="KU55" s="756"/>
      <c r="KV55" s="756"/>
      <c r="KW55" s="756"/>
      <c r="KX55" s="756"/>
      <c r="KY55" s="756"/>
      <c r="KZ55" s="756"/>
      <c r="LA55" s="756"/>
      <c r="LB55" s="756"/>
      <c r="LC55" s="756"/>
      <c r="LD55" s="756"/>
      <c r="LE55" s="756"/>
      <c r="LF55" s="756"/>
      <c r="LG55" s="756"/>
      <c r="LH55" s="756"/>
      <c r="LI55" s="756"/>
      <c r="LJ55" s="756"/>
      <c r="LK55" s="756"/>
      <c r="LL55" s="756"/>
      <c r="LM55" s="756"/>
      <c r="LN55" s="756"/>
      <c r="LO55" s="756"/>
      <c r="LP55" s="756"/>
      <c r="LQ55" s="756"/>
      <c r="LR55" s="756"/>
      <c r="LS55" s="756"/>
      <c r="LT55" s="756"/>
      <c r="LU55" s="756"/>
      <c r="LV55" s="756"/>
      <c r="LW55" s="756"/>
      <c r="LX55" s="756"/>
      <c r="LY55" s="756"/>
      <c r="LZ55" s="756"/>
      <c r="MA55" s="756"/>
      <c r="MB55" s="756"/>
      <c r="MC55" s="756"/>
      <c r="MD55" s="756"/>
      <c r="ME55" s="756"/>
      <c r="MF55" s="756"/>
      <c r="MG55" s="756"/>
      <c r="MH55" s="756"/>
      <c r="MI55" s="756"/>
      <c r="MJ55" s="756"/>
      <c r="MK55" s="756"/>
      <c r="ML55" s="756"/>
      <c r="MM55" s="756"/>
      <c r="MN55" s="756"/>
      <c r="MO55" s="756"/>
      <c r="MP55" s="756"/>
      <c r="MQ55" s="756"/>
      <c r="MR55" s="756"/>
      <c r="MS55" s="756"/>
      <c r="MT55" s="756"/>
      <c r="MU55" s="756"/>
      <c r="MV55" s="756"/>
      <c r="MW55" s="756"/>
      <c r="MX55" s="756"/>
      <c r="MY55" s="756"/>
      <c r="MZ55" s="756"/>
      <c r="NA55" s="756"/>
      <c r="NB55" s="756"/>
      <c r="NC55" s="756"/>
      <c r="ND55" s="756"/>
      <c r="NE55" s="756"/>
      <c r="NF55" s="756"/>
      <c r="NG55" s="756"/>
      <c r="NH55" s="756"/>
      <c r="NI55" s="756"/>
      <c r="NJ55" s="756"/>
      <c r="NK55" s="756"/>
      <c r="NL55" s="756"/>
      <c r="NM55" s="756"/>
      <c r="NN55" s="756"/>
      <c r="NO55" s="756"/>
      <c r="NP55" s="756"/>
      <c r="NQ55" s="756"/>
      <c r="NR55" s="756"/>
      <c r="NS55" s="756"/>
      <c r="NT55" s="756"/>
      <c r="NU55" s="756"/>
      <c r="NV55" s="756"/>
      <c r="NW55" s="756"/>
      <c r="NX55" s="756"/>
      <c r="NY55" s="756"/>
      <c r="NZ55" s="756"/>
      <c r="OA55" s="756"/>
      <c r="OB55" s="756"/>
      <c r="OC55" s="756"/>
      <c r="OD55" s="756"/>
      <c r="OE55" s="756"/>
      <c r="OF55" s="756"/>
      <c r="OG55" s="756"/>
      <c r="OH55" s="756"/>
      <c r="OI55" s="756"/>
      <c r="OJ55" s="756"/>
      <c r="OK55" s="756"/>
      <c r="OL55" s="756"/>
      <c r="OM55" s="756"/>
      <c r="ON55" s="756"/>
      <c r="OO55" s="756"/>
      <c r="OP55" s="756"/>
      <c r="OQ55" s="756"/>
      <c r="OR55" s="756"/>
      <c r="OS55" s="756"/>
      <c r="OT55" s="756"/>
      <c r="OU55" s="756"/>
      <c r="OV55" s="756"/>
      <c r="OW55" s="756"/>
      <c r="OX55" s="756"/>
      <c r="OY55" s="756"/>
      <c r="OZ55" s="756"/>
      <c r="PA55" s="756"/>
      <c r="PB55" s="756"/>
      <c r="PC55" s="756"/>
      <c r="PD55" s="756"/>
      <c r="PE55" s="756"/>
      <c r="PF55" s="756"/>
      <c r="PG55" s="756"/>
      <c r="PH55" s="756"/>
      <c r="PI55" s="756"/>
      <c r="PJ55" s="756"/>
      <c r="PK55" s="756"/>
      <c r="PL55" s="756"/>
      <c r="PM55" s="756"/>
      <c r="PN55" s="756"/>
      <c r="PO55" s="756"/>
      <c r="PP55" s="756"/>
      <c r="PQ55" s="756"/>
      <c r="PR55" s="756"/>
      <c r="PS55" s="756"/>
      <c r="PT55" s="756"/>
      <c r="PU55" s="756"/>
      <c r="PV55" s="756"/>
      <c r="PW55" s="756"/>
      <c r="PX55" s="756"/>
      <c r="PY55" s="756"/>
      <c r="PZ55" s="756"/>
      <c r="QA55" s="756"/>
      <c r="QB55" s="756"/>
      <c r="QC55" s="756"/>
      <c r="QD55" s="756"/>
      <c r="QE55" s="756"/>
      <c r="QF55" s="756"/>
      <c r="QG55" s="756"/>
      <c r="QH55" s="756"/>
      <c r="QI55" s="756"/>
      <c r="QJ55" s="756"/>
      <c r="QK55" s="756"/>
      <c r="QL55" s="756"/>
      <c r="QM55" s="756"/>
      <c r="QN55" s="756"/>
      <c r="QO55" s="756"/>
      <c r="QP55" s="756"/>
      <c r="QQ55" s="756"/>
      <c r="QR55" s="756"/>
      <c r="QS55" s="756"/>
      <c r="QT55" s="756"/>
      <c r="QU55" s="756"/>
      <c r="QV55" s="756"/>
      <c r="QW55" s="756"/>
      <c r="QX55" s="756"/>
      <c r="QY55" s="756"/>
      <c r="QZ55" s="756"/>
      <c r="RA55" s="756"/>
      <c r="RB55" s="756"/>
      <c r="RC55" s="756"/>
      <c r="RD55" s="756"/>
      <c r="RE55" s="756"/>
      <c r="RF55" s="756"/>
      <c r="RG55" s="756"/>
      <c r="RH55" s="756"/>
      <c r="RI55" s="756"/>
      <c r="RJ55" s="756"/>
      <c r="RK55" s="756"/>
      <c r="RL55" s="756"/>
      <c r="RM55" s="756"/>
      <c r="RN55" s="756"/>
      <c r="RO55" s="756"/>
      <c r="RP55" s="756"/>
      <c r="RQ55" s="756"/>
      <c r="RR55" s="756"/>
      <c r="RS55" s="756"/>
      <c r="RT55" s="756"/>
      <c r="RU55" s="756"/>
      <c r="RV55" s="756"/>
      <c r="RW55" s="756"/>
      <c r="RX55" s="756"/>
      <c r="RY55" s="756"/>
      <c r="RZ55" s="756"/>
      <c r="SA55" s="756"/>
      <c r="SB55" s="756"/>
      <c r="SC55" s="756"/>
      <c r="SD55" s="756"/>
      <c r="SE55" s="756"/>
      <c r="SF55" s="756"/>
      <c r="SG55" s="756"/>
      <c r="SH55" s="756"/>
      <c r="SI55" s="756"/>
      <c r="SJ55" s="756"/>
      <c r="SK55" s="756"/>
      <c r="SL55" s="756"/>
      <c r="SM55" s="756"/>
      <c r="SN55" s="756"/>
      <c r="SO55" s="756"/>
      <c r="SP55" s="756"/>
      <c r="SQ55" s="756"/>
      <c r="SR55" s="756"/>
    </row>
    <row r="56" spans="1:512" ht="15" customHeight="1">
      <c r="A56" s="969"/>
      <c r="B56" s="969" t="s">
        <v>2704</v>
      </c>
      <c r="C56" s="969"/>
      <c r="D56" s="969"/>
      <c r="E56" s="969" t="s">
        <v>237</v>
      </c>
      <c r="F56" s="969"/>
      <c r="G56" s="756">
        <v>1</v>
      </c>
      <c r="H56" s="1027"/>
      <c r="I56" s="756"/>
      <c r="J56" s="756"/>
      <c r="K56" s="756"/>
      <c r="L56" s="756"/>
      <c r="M56" s="756"/>
      <c r="N56" s="756"/>
      <c r="O56" s="756"/>
      <c r="P56" s="756"/>
      <c r="Q56" s="756"/>
      <c r="R56" s="756"/>
      <c r="S56" s="756"/>
      <c r="T56" s="756"/>
      <c r="U56" s="756"/>
      <c r="V56" s="756"/>
      <c r="W56" s="756"/>
      <c r="X56" s="756"/>
      <c r="Y56" s="756"/>
      <c r="Z56" s="756"/>
      <c r="AA56" s="756"/>
      <c r="AB56" s="756"/>
      <c r="AC56" s="756"/>
      <c r="AD56" s="756"/>
      <c r="AE56" s="756"/>
      <c r="AF56" s="756"/>
      <c r="AG56" s="756"/>
      <c r="AH56" s="756"/>
      <c r="AI56" s="756"/>
      <c r="AJ56" s="756"/>
      <c r="AK56" s="756"/>
      <c r="AL56" s="756"/>
      <c r="AM56" s="756"/>
      <c r="AN56" s="756"/>
      <c r="AO56" s="756"/>
      <c r="AP56" s="756"/>
      <c r="AQ56" s="756"/>
      <c r="AR56" s="756"/>
      <c r="AS56" s="756"/>
      <c r="AT56" s="756"/>
      <c r="AU56" s="756"/>
      <c r="AV56" s="756"/>
      <c r="AW56" s="756"/>
      <c r="AX56" s="756"/>
      <c r="AY56" s="756"/>
      <c r="AZ56" s="756"/>
      <c r="BA56" s="756"/>
      <c r="BB56" s="756"/>
      <c r="BC56" s="756"/>
      <c r="BD56" s="756"/>
      <c r="BE56" s="756"/>
      <c r="BF56" s="756"/>
      <c r="BG56" s="756"/>
      <c r="BH56" s="756"/>
      <c r="BI56" s="756"/>
      <c r="BJ56" s="756"/>
      <c r="BK56" s="756"/>
      <c r="BL56" s="756"/>
      <c r="BM56" s="756"/>
      <c r="BN56" s="756"/>
      <c r="BO56" s="756"/>
      <c r="BP56" s="756"/>
      <c r="BQ56" s="756"/>
      <c r="BR56" s="756"/>
      <c r="BS56" s="756"/>
      <c r="BT56" s="756"/>
      <c r="BU56" s="756"/>
      <c r="BV56" s="756"/>
      <c r="BW56" s="756"/>
      <c r="BX56" s="756"/>
      <c r="BY56" s="756"/>
      <c r="BZ56" s="756"/>
      <c r="CA56" s="756"/>
      <c r="CB56" s="756"/>
      <c r="CC56" s="756"/>
      <c r="CD56" s="756"/>
      <c r="CE56" s="756"/>
      <c r="CF56" s="756"/>
      <c r="CG56" s="756"/>
      <c r="CH56" s="756"/>
      <c r="CI56" s="756"/>
      <c r="CJ56" s="756"/>
      <c r="CK56" s="756"/>
      <c r="CL56" s="756"/>
      <c r="CM56" s="756"/>
      <c r="CN56" s="756"/>
      <c r="CO56" s="756"/>
      <c r="CP56" s="756"/>
      <c r="CQ56" s="756"/>
      <c r="CR56" s="756"/>
      <c r="CS56" s="756"/>
      <c r="CT56" s="756"/>
      <c r="CU56" s="756"/>
      <c r="CV56" s="756"/>
      <c r="CW56" s="756"/>
      <c r="CX56" s="756"/>
      <c r="CY56" s="756"/>
      <c r="CZ56" s="756"/>
      <c r="DA56" s="756"/>
      <c r="DB56" s="756"/>
      <c r="DC56" s="756"/>
      <c r="DD56" s="756"/>
      <c r="DE56" s="756"/>
      <c r="DF56" s="756"/>
      <c r="DG56" s="756"/>
      <c r="DH56" s="756"/>
      <c r="DI56" s="756"/>
      <c r="DJ56" s="756"/>
      <c r="DK56" s="756"/>
      <c r="DL56" s="756"/>
      <c r="DM56" s="756"/>
      <c r="DN56" s="756"/>
      <c r="DO56" s="756"/>
      <c r="DP56" s="756"/>
      <c r="DQ56" s="756"/>
      <c r="DR56" s="756"/>
      <c r="DS56" s="756"/>
      <c r="DT56" s="756"/>
      <c r="DU56" s="756"/>
      <c r="DV56" s="756"/>
      <c r="DW56" s="756"/>
      <c r="DX56" s="756"/>
      <c r="DY56" s="756"/>
      <c r="DZ56" s="756"/>
      <c r="EA56" s="756"/>
      <c r="EB56" s="756"/>
      <c r="EC56" s="756"/>
      <c r="ED56" s="756"/>
      <c r="EE56" s="756"/>
      <c r="EF56" s="756"/>
      <c r="EG56" s="756"/>
      <c r="EH56" s="756"/>
      <c r="EI56" s="756"/>
      <c r="EJ56" s="756"/>
      <c r="EK56" s="756"/>
      <c r="EL56" s="756"/>
      <c r="EM56" s="756"/>
      <c r="EN56" s="756"/>
      <c r="EO56" s="756"/>
      <c r="EP56" s="756"/>
      <c r="EQ56" s="756"/>
      <c r="ER56" s="756"/>
      <c r="ES56" s="756"/>
      <c r="ET56" s="756"/>
      <c r="EU56" s="756"/>
      <c r="EV56" s="756"/>
      <c r="EW56" s="756"/>
      <c r="EX56" s="756"/>
      <c r="EY56" s="756"/>
      <c r="EZ56" s="756"/>
      <c r="FA56" s="756"/>
      <c r="FB56" s="756"/>
      <c r="FC56" s="756"/>
      <c r="FD56" s="756"/>
      <c r="FE56" s="756"/>
      <c r="FF56" s="756"/>
      <c r="FG56" s="756"/>
      <c r="FH56" s="756"/>
      <c r="FI56" s="756"/>
      <c r="FJ56" s="756"/>
      <c r="FK56" s="756"/>
      <c r="FL56" s="756"/>
      <c r="FM56" s="756"/>
      <c r="FN56" s="756"/>
      <c r="FO56" s="756"/>
      <c r="FP56" s="756"/>
      <c r="FQ56" s="756"/>
      <c r="FR56" s="756"/>
      <c r="FS56" s="756"/>
      <c r="FT56" s="756"/>
      <c r="FU56" s="756"/>
      <c r="FV56" s="756"/>
      <c r="FW56" s="756"/>
      <c r="FX56" s="756"/>
      <c r="FY56" s="756"/>
      <c r="FZ56" s="756"/>
      <c r="GA56" s="756"/>
      <c r="GB56" s="756"/>
      <c r="GC56" s="756"/>
      <c r="GD56" s="756"/>
      <c r="GE56" s="756"/>
      <c r="GF56" s="756"/>
      <c r="GG56" s="756"/>
      <c r="GH56" s="756"/>
      <c r="GI56" s="756"/>
      <c r="GJ56" s="756"/>
      <c r="GK56" s="756"/>
      <c r="GL56" s="756"/>
      <c r="GM56" s="756"/>
      <c r="GN56" s="756"/>
      <c r="GO56" s="756"/>
      <c r="GP56" s="756"/>
      <c r="GQ56" s="756"/>
      <c r="GR56" s="756"/>
      <c r="GS56" s="756"/>
      <c r="GT56" s="756"/>
      <c r="GU56" s="756"/>
      <c r="GV56" s="756"/>
      <c r="GW56" s="756"/>
      <c r="GX56" s="756"/>
      <c r="GY56" s="756"/>
      <c r="GZ56" s="756"/>
      <c r="HA56" s="756"/>
      <c r="HB56" s="756"/>
      <c r="HC56" s="756"/>
      <c r="HD56" s="756"/>
      <c r="HE56" s="756"/>
      <c r="HF56" s="756"/>
      <c r="HG56" s="756"/>
      <c r="HH56" s="756"/>
      <c r="HI56" s="756"/>
      <c r="HJ56" s="756"/>
      <c r="HK56" s="756"/>
      <c r="HL56" s="756"/>
      <c r="HM56" s="756"/>
      <c r="HN56" s="756"/>
      <c r="HO56" s="756"/>
      <c r="HP56" s="756"/>
      <c r="HQ56" s="756"/>
      <c r="HR56" s="756"/>
      <c r="HS56" s="756"/>
      <c r="HT56" s="756"/>
      <c r="HU56" s="756"/>
      <c r="HV56" s="756"/>
      <c r="HW56" s="756"/>
      <c r="HX56" s="756"/>
      <c r="HY56" s="756"/>
      <c r="HZ56" s="756"/>
      <c r="IA56" s="756"/>
      <c r="IB56" s="756"/>
      <c r="IC56" s="756"/>
      <c r="ID56" s="756"/>
      <c r="IE56" s="756"/>
      <c r="IF56" s="756"/>
      <c r="IG56" s="756"/>
      <c r="IH56" s="756"/>
      <c r="II56" s="756"/>
      <c r="IJ56" s="756"/>
      <c r="IK56" s="756"/>
      <c r="IL56" s="756"/>
      <c r="IM56" s="756"/>
      <c r="IN56" s="756"/>
      <c r="IO56" s="756"/>
      <c r="IP56" s="756"/>
      <c r="IQ56" s="756"/>
      <c r="IR56" s="756"/>
      <c r="IS56" s="756"/>
      <c r="IT56" s="756"/>
      <c r="IU56" s="756"/>
      <c r="IV56" s="756"/>
      <c r="IW56" s="756"/>
      <c r="IX56" s="756"/>
      <c r="IY56" s="756"/>
      <c r="IZ56" s="756"/>
      <c r="JA56" s="756"/>
      <c r="JB56" s="756"/>
      <c r="JC56" s="756"/>
      <c r="JD56" s="756"/>
      <c r="JE56" s="756"/>
      <c r="JF56" s="756"/>
      <c r="JG56" s="756"/>
      <c r="JH56" s="756"/>
      <c r="JI56" s="756"/>
      <c r="JJ56" s="756"/>
      <c r="JK56" s="756"/>
      <c r="JL56" s="756"/>
      <c r="JM56" s="756"/>
      <c r="JN56" s="756"/>
      <c r="JO56" s="756"/>
      <c r="JP56" s="756"/>
      <c r="JQ56" s="756"/>
      <c r="JR56" s="756"/>
      <c r="JS56" s="756"/>
      <c r="JT56" s="756"/>
      <c r="JU56" s="756"/>
      <c r="JV56" s="756"/>
      <c r="JW56" s="756"/>
      <c r="JX56" s="756"/>
      <c r="JY56" s="756"/>
      <c r="JZ56" s="756"/>
      <c r="KA56" s="756"/>
      <c r="KB56" s="756"/>
      <c r="KC56" s="756"/>
      <c r="KD56" s="756"/>
      <c r="KE56" s="756"/>
      <c r="KF56" s="756"/>
      <c r="KG56" s="756"/>
      <c r="KH56" s="756"/>
      <c r="KI56" s="756"/>
      <c r="KJ56" s="756"/>
      <c r="KK56" s="756"/>
      <c r="KL56" s="756"/>
      <c r="KM56" s="756"/>
      <c r="KN56" s="756"/>
      <c r="KO56" s="756"/>
      <c r="KP56" s="756"/>
      <c r="KQ56" s="756"/>
      <c r="KR56" s="756"/>
      <c r="KS56" s="756"/>
      <c r="KT56" s="756"/>
      <c r="KU56" s="756"/>
      <c r="KV56" s="756"/>
      <c r="KW56" s="756"/>
      <c r="KX56" s="756"/>
      <c r="KY56" s="756"/>
      <c r="KZ56" s="756"/>
      <c r="LA56" s="756"/>
      <c r="LB56" s="756"/>
      <c r="LC56" s="756"/>
      <c r="LD56" s="756"/>
      <c r="LE56" s="756"/>
      <c r="LF56" s="756"/>
      <c r="LG56" s="756"/>
      <c r="LH56" s="756"/>
      <c r="LI56" s="756"/>
      <c r="LJ56" s="756"/>
      <c r="LK56" s="756"/>
      <c r="LL56" s="756"/>
      <c r="LM56" s="756"/>
      <c r="LN56" s="756"/>
      <c r="LO56" s="756"/>
      <c r="LP56" s="756"/>
      <c r="LQ56" s="756"/>
      <c r="LR56" s="756"/>
      <c r="LS56" s="756"/>
      <c r="LT56" s="756"/>
      <c r="LU56" s="756"/>
      <c r="LV56" s="756"/>
      <c r="LW56" s="756"/>
      <c r="LX56" s="756"/>
      <c r="LY56" s="756"/>
      <c r="LZ56" s="756"/>
      <c r="MA56" s="756"/>
      <c r="MB56" s="756"/>
      <c r="MC56" s="756"/>
      <c r="MD56" s="756"/>
      <c r="ME56" s="756"/>
      <c r="MF56" s="756"/>
      <c r="MG56" s="756"/>
      <c r="MH56" s="756"/>
      <c r="MI56" s="756"/>
      <c r="MJ56" s="756"/>
      <c r="MK56" s="756"/>
      <c r="ML56" s="756"/>
      <c r="MM56" s="756"/>
      <c r="MN56" s="756"/>
      <c r="MO56" s="756"/>
      <c r="MP56" s="756"/>
      <c r="MQ56" s="756"/>
      <c r="MR56" s="756"/>
      <c r="MS56" s="756"/>
      <c r="MT56" s="756"/>
      <c r="MU56" s="756"/>
      <c r="MV56" s="756"/>
      <c r="MW56" s="756"/>
      <c r="MX56" s="756"/>
      <c r="MY56" s="756"/>
      <c r="MZ56" s="756"/>
      <c r="NA56" s="756"/>
      <c r="NB56" s="756"/>
      <c r="NC56" s="756"/>
      <c r="ND56" s="756"/>
      <c r="NE56" s="756"/>
      <c r="NF56" s="756"/>
      <c r="NG56" s="756"/>
      <c r="NH56" s="756"/>
      <c r="NI56" s="756"/>
      <c r="NJ56" s="756"/>
      <c r="NK56" s="756"/>
      <c r="NL56" s="756"/>
      <c r="NM56" s="756"/>
      <c r="NN56" s="756"/>
      <c r="NO56" s="756"/>
      <c r="NP56" s="756"/>
      <c r="NQ56" s="756"/>
      <c r="NR56" s="756"/>
      <c r="NS56" s="756"/>
      <c r="NT56" s="756"/>
      <c r="NU56" s="756"/>
      <c r="NV56" s="756"/>
      <c r="NW56" s="756"/>
      <c r="NX56" s="756"/>
      <c r="NY56" s="756"/>
      <c r="NZ56" s="756"/>
      <c r="OA56" s="756"/>
      <c r="OB56" s="756"/>
      <c r="OC56" s="756"/>
      <c r="OD56" s="756"/>
      <c r="OE56" s="756"/>
      <c r="OF56" s="756"/>
      <c r="OG56" s="756"/>
      <c r="OH56" s="756"/>
      <c r="OI56" s="756"/>
      <c r="OJ56" s="756"/>
      <c r="OK56" s="756"/>
      <c r="OL56" s="756"/>
      <c r="OM56" s="756"/>
      <c r="ON56" s="756"/>
      <c r="OO56" s="756"/>
      <c r="OP56" s="756"/>
      <c r="OQ56" s="756"/>
      <c r="OR56" s="756"/>
      <c r="OS56" s="756"/>
      <c r="OT56" s="756"/>
      <c r="OU56" s="756"/>
      <c r="OV56" s="756"/>
      <c r="OW56" s="756"/>
      <c r="OX56" s="756"/>
      <c r="OY56" s="756"/>
      <c r="OZ56" s="756"/>
      <c r="PA56" s="756"/>
      <c r="PB56" s="756"/>
      <c r="PC56" s="756"/>
      <c r="PD56" s="756"/>
      <c r="PE56" s="756"/>
      <c r="PF56" s="756"/>
      <c r="PG56" s="756"/>
      <c r="PH56" s="756"/>
      <c r="PI56" s="756"/>
      <c r="PJ56" s="756"/>
      <c r="PK56" s="756"/>
      <c r="PL56" s="756"/>
      <c r="PM56" s="756"/>
      <c r="PN56" s="756"/>
      <c r="PO56" s="756"/>
      <c r="PP56" s="756"/>
      <c r="PQ56" s="756"/>
      <c r="PR56" s="756"/>
      <c r="PS56" s="756"/>
      <c r="PT56" s="756"/>
      <c r="PU56" s="756"/>
      <c r="PV56" s="756"/>
      <c r="PW56" s="756"/>
      <c r="PX56" s="756"/>
      <c r="PY56" s="756"/>
      <c r="PZ56" s="756"/>
      <c r="QA56" s="756"/>
      <c r="QB56" s="756"/>
      <c r="QC56" s="756"/>
      <c r="QD56" s="756"/>
      <c r="QE56" s="756"/>
      <c r="QF56" s="756"/>
      <c r="QG56" s="756"/>
      <c r="QH56" s="756"/>
      <c r="QI56" s="756"/>
      <c r="QJ56" s="756"/>
      <c r="QK56" s="756"/>
      <c r="QL56" s="756"/>
      <c r="QM56" s="756"/>
      <c r="QN56" s="756"/>
      <c r="QO56" s="756"/>
      <c r="QP56" s="756"/>
      <c r="QQ56" s="756"/>
      <c r="QR56" s="756"/>
      <c r="QS56" s="756"/>
      <c r="QT56" s="756"/>
      <c r="QU56" s="756"/>
      <c r="QV56" s="756"/>
      <c r="QW56" s="756"/>
      <c r="QX56" s="756"/>
      <c r="QY56" s="756"/>
      <c r="QZ56" s="756"/>
      <c r="RA56" s="756"/>
      <c r="RB56" s="756"/>
      <c r="RC56" s="756"/>
      <c r="RD56" s="756"/>
      <c r="RE56" s="756"/>
      <c r="RF56" s="756"/>
      <c r="RG56" s="756"/>
      <c r="RH56" s="756"/>
      <c r="RI56" s="756"/>
      <c r="RJ56" s="756"/>
      <c r="RK56" s="756"/>
      <c r="RL56" s="756"/>
      <c r="RM56" s="756"/>
      <c r="RN56" s="756"/>
      <c r="RO56" s="756"/>
      <c r="RP56" s="756"/>
      <c r="RQ56" s="756"/>
      <c r="RR56" s="756"/>
      <c r="RS56" s="756"/>
      <c r="RT56" s="756"/>
      <c r="RU56" s="756"/>
      <c r="RV56" s="756"/>
      <c r="RW56" s="756"/>
      <c r="RX56" s="756"/>
      <c r="RY56" s="756"/>
      <c r="RZ56" s="756"/>
      <c r="SA56" s="756"/>
      <c r="SB56" s="756"/>
      <c r="SC56" s="756"/>
      <c r="SD56" s="756"/>
      <c r="SE56" s="756"/>
      <c r="SF56" s="756"/>
      <c r="SG56" s="756"/>
      <c r="SH56" s="756"/>
      <c r="SI56" s="756"/>
      <c r="SJ56" s="756"/>
      <c r="SK56" s="756"/>
      <c r="SL56" s="756"/>
      <c r="SM56" s="756"/>
      <c r="SN56" s="756"/>
      <c r="SO56" s="756"/>
      <c r="SP56" s="756"/>
      <c r="SQ56" s="756"/>
      <c r="SR56" s="756"/>
    </row>
    <row r="57" spans="1:512" ht="15" customHeight="1">
      <c r="A57" s="969"/>
      <c r="B57" s="969" t="s">
        <v>2705</v>
      </c>
      <c r="C57" s="969"/>
      <c r="D57" s="969"/>
      <c r="E57" s="969" t="s">
        <v>237</v>
      </c>
      <c r="F57" s="969"/>
      <c r="G57" s="756">
        <v>1</v>
      </c>
      <c r="H57" s="1027"/>
      <c r="I57" s="756"/>
      <c r="J57" s="756"/>
      <c r="K57" s="756"/>
      <c r="L57" s="756"/>
      <c r="M57" s="756"/>
      <c r="N57" s="756"/>
      <c r="O57" s="756"/>
      <c r="P57" s="756"/>
      <c r="Q57" s="756"/>
      <c r="R57" s="756"/>
      <c r="S57" s="756"/>
      <c r="T57" s="756"/>
      <c r="U57" s="756"/>
      <c r="V57" s="756"/>
      <c r="W57" s="756"/>
      <c r="X57" s="756"/>
      <c r="Y57" s="756"/>
      <c r="Z57" s="756"/>
      <c r="AA57" s="756"/>
      <c r="AB57" s="756"/>
      <c r="AC57" s="756"/>
      <c r="AD57" s="756"/>
      <c r="AE57" s="756"/>
      <c r="AF57" s="756"/>
      <c r="AG57" s="756"/>
      <c r="AH57" s="756"/>
      <c r="AI57" s="756"/>
      <c r="AJ57" s="756"/>
      <c r="AK57" s="756"/>
      <c r="AL57" s="756"/>
      <c r="AM57" s="756"/>
      <c r="AN57" s="756"/>
      <c r="AO57" s="756"/>
      <c r="AP57" s="756"/>
      <c r="AQ57" s="756"/>
      <c r="AR57" s="756"/>
      <c r="AS57" s="756"/>
      <c r="AT57" s="756"/>
      <c r="AU57" s="756"/>
      <c r="AV57" s="756"/>
      <c r="AW57" s="756"/>
      <c r="AX57" s="756"/>
      <c r="AY57" s="756"/>
      <c r="AZ57" s="756"/>
      <c r="BA57" s="756"/>
      <c r="BB57" s="756"/>
      <c r="BC57" s="756"/>
      <c r="BD57" s="756"/>
      <c r="BE57" s="756"/>
      <c r="BF57" s="756"/>
      <c r="BG57" s="756"/>
      <c r="BH57" s="756"/>
      <c r="BI57" s="756"/>
      <c r="BJ57" s="756"/>
      <c r="BK57" s="756"/>
      <c r="BL57" s="756"/>
      <c r="BM57" s="756"/>
      <c r="BN57" s="756"/>
      <c r="BO57" s="756"/>
      <c r="BP57" s="756"/>
      <c r="BQ57" s="756"/>
      <c r="BR57" s="756"/>
      <c r="BS57" s="756"/>
      <c r="BT57" s="756"/>
      <c r="BU57" s="756"/>
      <c r="BV57" s="756"/>
      <c r="BW57" s="756"/>
      <c r="BX57" s="756"/>
      <c r="BY57" s="756"/>
      <c r="BZ57" s="756"/>
      <c r="CA57" s="756"/>
      <c r="CB57" s="756"/>
      <c r="CC57" s="756"/>
      <c r="CD57" s="756"/>
      <c r="CE57" s="756"/>
      <c r="CF57" s="756"/>
      <c r="CG57" s="756"/>
      <c r="CH57" s="756"/>
      <c r="CI57" s="756"/>
      <c r="CJ57" s="756"/>
      <c r="CK57" s="756"/>
      <c r="CL57" s="756"/>
      <c r="CM57" s="756"/>
      <c r="CN57" s="756"/>
      <c r="CO57" s="756"/>
      <c r="CP57" s="756"/>
      <c r="CQ57" s="756"/>
      <c r="CR57" s="756"/>
      <c r="CS57" s="756"/>
      <c r="CT57" s="756"/>
      <c r="CU57" s="756"/>
      <c r="CV57" s="756"/>
      <c r="CW57" s="756"/>
      <c r="CX57" s="756"/>
      <c r="CY57" s="756"/>
      <c r="CZ57" s="756"/>
      <c r="DA57" s="756"/>
      <c r="DB57" s="756"/>
      <c r="DC57" s="756"/>
      <c r="DD57" s="756"/>
      <c r="DE57" s="756"/>
      <c r="DF57" s="756"/>
      <c r="DG57" s="756"/>
      <c r="DH57" s="756"/>
      <c r="DI57" s="756"/>
      <c r="DJ57" s="756"/>
      <c r="DK57" s="756"/>
      <c r="DL57" s="756"/>
      <c r="DM57" s="756"/>
      <c r="DN57" s="756"/>
      <c r="DO57" s="756"/>
      <c r="DP57" s="756"/>
      <c r="DQ57" s="756"/>
      <c r="DR57" s="756"/>
      <c r="DS57" s="756"/>
      <c r="DT57" s="756"/>
      <c r="DU57" s="756"/>
      <c r="DV57" s="756"/>
      <c r="DW57" s="756"/>
      <c r="DX57" s="756"/>
      <c r="DY57" s="756"/>
      <c r="DZ57" s="756"/>
      <c r="EA57" s="756"/>
      <c r="EB57" s="756"/>
      <c r="EC57" s="756"/>
      <c r="ED57" s="756"/>
      <c r="EE57" s="756"/>
      <c r="EF57" s="756"/>
      <c r="EG57" s="756"/>
      <c r="EH57" s="756"/>
      <c r="EI57" s="756"/>
      <c r="EJ57" s="756"/>
      <c r="EK57" s="756"/>
      <c r="EL57" s="756"/>
      <c r="EM57" s="756"/>
      <c r="EN57" s="756"/>
      <c r="EO57" s="756"/>
      <c r="EP57" s="756"/>
      <c r="EQ57" s="756"/>
      <c r="ER57" s="756"/>
      <c r="ES57" s="756"/>
      <c r="ET57" s="756"/>
      <c r="EU57" s="756"/>
      <c r="EV57" s="756"/>
      <c r="EW57" s="756"/>
      <c r="EX57" s="756"/>
      <c r="EY57" s="756"/>
      <c r="EZ57" s="756"/>
      <c r="FA57" s="756"/>
      <c r="FB57" s="756"/>
      <c r="FC57" s="756"/>
      <c r="FD57" s="756"/>
      <c r="FE57" s="756"/>
      <c r="FF57" s="756"/>
      <c r="FG57" s="756"/>
      <c r="FH57" s="756"/>
      <c r="FI57" s="756"/>
      <c r="FJ57" s="756"/>
      <c r="FK57" s="756"/>
      <c r="FL57" s="756"/>
      <c r="FM57" s="756"/>
      <c r="FN57" s="756"/>
      <c r="FO57" s="756"/>
      <c r="FP57" s="756"/>
      <c r="FQ57" s="756"/>
      <c r="FR57" s="756"/>
      <c r="FS57" s="756"/>
      <c r="FT57" s="756"/>
      <c r="FU57" s="756"/>
      <c r="FV57" s="756"/>
      <c r="FW57" s="756"/>
      <c r="FX57" s="756"/>
      <c r="FY57" s="756"/>
      <c r="FZ57" s="756"/>
      <c r="GA57" s="756"/>
      <c r="GB57" s="756"/>
      <c r="GC57" s="756"/>
      <c r="GD57" s="756"/>
      <c r="GE57" s="756"/>
      <c r="GF57" s="756"/>
      <c r="GG57" s="756"/>
      <c r="GH57" s="756"/>
      <c r="GI57" s="756"/>
      <c r="GJ57" s="756"/>
      <c r="GK57" s="756"/>
      <c r="GL57" s="756"/>
      <c r="GM57" s="756"/>
      <c r="GN57" s="756"/>
      <c r="GO57" s="756"/>
      <c r="GP57" s="756"/>
      <c r="GQ57" s="756"/>
      <c r="GR57" s="756"/>
      <c r="GS57" s="756"/>
      <c r="GT57" s="756"/>
      <c r="GU57" s="756"/>
      <c r="GV57" s="756"/>
      <c r="GW57" s="756"/>
      <c r="GX57" s="756"/>
      <c r="GY57" s="756"/>
      <c r="GZ57" s="756"/>
      <c r="HA57" s="756"/>
      <c r="HB57" s="756"/>
      <c r="HC57" s="756"/>
      <c r="HD57" s="756"/>
      <c r="HE57" s="756"/>
      <c r="HF57" s="756"/>
      <c r="HG57" s="756"/>
      <c r="HH57" s="756"/>
      <c r="HI57" s="756"/>
      <c r="HJ57" s="756"/>
      <c r="HK57" s="756"/>
      <c r="HL57" s="756"/>
      <c r="HM57" s="756"/>
      <c r="HN57" s="756"/>
      <c r="HO57" s="756"/>
      <c r="HP57" s="756"/>
      <c r="HQ57" s="756"/>
      <c r="HR57" s="756"/>
      <c r="HS57" s="756"/>
      <c r="HT57" s="756"/>
      <c r="HU57" s="756"/>
      <c r="HV57" s="756"/>
      <c r="HW57" s="756"/>
      <c r="HX57" s="756"/>
      <c r="HY57" s="756"/>
      <c r="HZ57" s="756"/>
      <c r="IA57" s="756"/>
      <c r="IB57" s="756"/>
      <c r="IC57" s="756"/>
      <c r="ID57" s="756"/>
      <c r="IE57" s="756"/>
      <c r="IF57" s="756"/>
      <c r="IG57" s="756"/>
      <c r="IH57" s="756"/>
      <c r="II57" s="756"/>
      <c r="IJ57" s="756"/>
      <c r="IK57" s="756"/>
      <c r="IL57" s="756"/>
      <c r="IM57" s="756"/>
      <c r="IN57" s="756"/>
      <c r="IO57" s="756"/>
      <c r="IP57" s="756"/>
      <c r="IQ57" s="756"/>
      <c r="IR57" s="756"/>
      <c r="IS57" s="756"/>
      <c r="IT57" s="756"/>
      <c r="IU57" s="756"/>
      <c r="IV57" s="756"/>
      <c r="IW57" s="756"/>
      <c r="IX57" s="756"/>
      <c r="IY57" s="756"/>
      <c r="IZ57" s="756"/>
      <c r="JA57" s="756"/>
      <c r="JB57" s="756"/>
      <c r="JC57" s="756"/>
      <c r="JD57" s="756"/>
      <c r="JE57" s="756"/>
      <c r="JF57" s="756"/>
      <c r="JG57" s="756"/>
      <c r="JH57" s="756"/>
      <c r="JI57" s="756"/>
      <c r="JJ57" s="756"/>
      <c r="JK57" s="756"/>
      <c r="JL57" s="756"/>
      <c r="JM57" s="756"/>
      <c r="JN57" s="756"/>
      <c r="JO57" s="756"/>
      <c r="JP57" s="756"/>
      <c r="JQ57" s="756"/>
      <c r="JR57" s="756"/>
      <c r="JS57" s="756"/>
      <c r="JT57" s="756"/>
      <c r="JU57" s="756"/>
      <c r="JV57" s="756"/>
      <c r="JW57" s="756"/>
      <c r="JX57" s="756"/>
      <c r="JY57" s="756"/>
      <c r="JZ57" s="756"/>
      <c r="KA57" s="756"/>
      <c r="KB57" s="756"/>
      <c r="KC57" s="756"/>
      <c r="KD57" s="756"/>
      <c r="KE57" s="756"/>
      <c r="KF57" s="756"/>
      <c r="KG57" s="756"/>
      <c r="KH57" s="756"/>
      <c r="KI57" s="756"/>
      <c r="KJ57" s="756"/>
      <c r="KK57" s="756"/>
      <c r="KL57" s="756"/>
      <c r="KM57" s="756"/>
      <c r="KN57" s="756"/>
      <c r="KO57" s="756"/>
      <c r="KP57" s="756"/>
      <c r="KQ57" s="756"/>
      <c r="KR57" s="756"/>
      <c r="KS57" s="756"/>
      <c r="KT57" s="756"/>
      <c r="KU57" s="756"/>
      <c r="KV57" s="756"/>
      <c r="KW57" s="756"/>
      <c r="KX57" s="756"/>
      <c r="KY57" s="756"/>
      <c r="KZ57" s="756"/>
      <c r="LA57" s="756"/>
      <c r="LB57" s="756"/>
      <c r="LC57" s="756"/>
      <c r="LD57" s="756"/>
      <c r="LE57" s="756"/>
      <c r="LF57" s="756"/>
      <c r="LG57" s="756"/>
      <c r="LH57" s="756"/>
      <c r="LI57" s="756"/>
      <c r="LJ57" s="756"/>
      <c r="LK57" s="756"/>
      <c r="LL57" s="756"/>
      <c r="LM57" s="756"/>
      <c r="LN57" s="756"/>
      <c r="LO57" s="756"/>
      <c r="LP57" s="756"/>
      <c r="LQ57" s="756"/>
      <c r="LR57" s="756"/>
      <c r="LS57" s="756"/>
      <c r="LT57" s="756"/>
      <c r="LU57" s="756"/>
      <c r="LV57" s="756"/>
      <c r="LW57" s="756"/>
      <c r="LX57" s="756"/>
      <c r="LY57" s="756"/>
      <c r="LZ57" s="756"/>
      <c r="MA57" s="756"/>
      <c r="MB57" s="756"/>
      <c r="MC57" s="756"/>
      <c r="MD57" s="756"/>
      <c r="ME57" s="756"/>
      <c r="MF57" s="756"/>
      <c r="MG57" s="756"/>
      <c r="MH57" s="756"/>
      <c r="MI57" s="756"/>
      <c r="MJ57" s="756"/>
      <c r="MK57" s="756"/>
      <c r="ML57" s="756"/>
      <c r="MM57" s="756"/>
      <c r="MN57" s="756"/>
      <c r="MO57" s="756"/>
      <c r="MP57" s="756"/>
      <c r="MQ57" s="756"/>
      <c r="MR57" s="756"/>
      <c r="MS57" s="756"/>
      <c r="MT57" s="756"/>
      <c r="MU57" s="756"/>
      <c r="MV57" s="756"/>
      <c r="MW57" s="756"/>
      <c r="MX57" s="756"/>
      <c r="MY57" s="756"/>
      <c r="MZ57" s="756"/>
      <c r="NA57" s="756"/>
      <c r="NB57" s="756"/>
      <c r="NC57" s="756"/>
      <c r="ND57" s="756"/>
      <c r="NE57" s="756"/>
      <c r="NF57" s="756"/>
      <c r="NG57" s="756"/>
      <c r="NH57" s="756"/>
      <c r="NI57" s="756"/>
      <c r="NJ57" s="756"/>
      <c r="NK57" s="756"/>
      <c r="NL57" s="756"/>
      <c r="NM57" s="756"/>
      <c r="NN57" s="756"/>
      <c r="NO57" s="756"/>
      <c r="NP57" s="756"/>
      <c r="NQ57" s="756"/>
      <c r="NR57" s="756"/>
      <c r="NS57" s="756"/>
      <c r="NT57" s="756"/>
      <c r="NU57" s="756"/>
      <c r="NV57" s="756"/>
      <c r="NW57" s="756"/>
      <c r="NX57" s="756"/>
      <c r="NY57" s="756"/>
      <c r="NZ57" s="756"/>
      <c r="OA57" s="756"/>
      <c r="OB57" s="756"/>
      <c r="OC57" s="756"/>
      <c r="OD57" s="756"/>
      <c r="OE57" s="756"/>
      <c r="OF57" s="756"/>
      <c r="OG57" s="756"/>
      <c r="OH57" s="756"/>
      <c r="OI57" s="756"/>
      <c r="OJ57" s="756"/>
      <c r="OK57" s="756"/>
      <c r="OL57" s="756"/>
      <c r="OM57" s="756"/>
      <c r="ON57" s="756"/>
      <c r="OO57" s="756"/>
      <c r="OP57" s="756"/>
      <c r="OQ57" s="756"/>
      <c r="OR57" s="756"/>
      <c r="OS57" s="756"/>
      <c r="OT57" s="756"/>
      <c r="OU57" s="756"/>
      <c r="OV57" s="756"/>
      <c r="OW57" s="756"/>
      <c r="OX57" s="756"/>
      <c r="OY57" s="756"/>
      <c r="OZ57" s="756"/>
      <c r="PA57" s="756"/>
      <c r="PB57" s="756"/>
      <c r="PC57" s="756"/>
      <c r="PD57" s="756"/>
      <c r="PE57" s="756"/>
      <c r="PF57" s="756"/>
      <c r="PG57" s="756"/>
      <c r="PH57" s="756"/>
      <c r="PI57" s="756"/>
      <c r="PJ57" s="756"/>
      <c r="PK57" s="756"/>
      <c r="PL57" s="756"/>
      <c r="PM57" s="756"/>
      <c r="PN57" s="756"/>
      <c r="PO57" s="756"/>
      <c r="PP57" s="756"/>
      <c r="PQ57" s="756"/>
      <c r="PR57" s="756"/>
      <c r="PS57" s="756"/>
      <c r="PT57" s="756"/>
      <c r="PU57" s="756"/>
      <c r="PV57" s="756"/>
      <c r="PW57" s="756"/>
      <c r="PX57" s="756"/>
      <c r="PY57" s="756"/>
      <c r="PZ57" s="756"/>
      <c r="QA57" s="756"/>
      <c r="QB57" s="756"/>
      <c r="QC57" s="756"/>
      <c r="QD57" s="756"/>
      <c r="QE57" s="756"/>
      <c r="QF57" s="756"/>
      <c r="QG57" s="756"/>
      <c r="QH57" s="756"/>
      <c r="QI57" s="756"/>
      <c r="QJ57" s="756"/>
      <c r="QK57" s="756"/>
      <c r="QL57" s="756"/>
      <c r="QM57" s="756"/>
      <c r="QN57" s="756"/>
      <c r="QO57" s="756"/>
      <c r="QP57" s="756"/>
      <c r="QQ57" s="756"/>
      <c r="QR57" s="756"/>
      <c r="QS57" s="756"/>
      <c r="QT57" s="756"/>
      <c r="QU57" s="756"/>
      <c r="QV57" s="756"/>
      <c r="QW57" s="756"/>
      <c r="QX57" s="756"/>
      <c r="QY57" s="756"/>
      <c r="QZ57" s="756"/>
      <c r="RA57" s="756"/>
      <c r="RB57" s="756"/>
      <c r="RC57" s="756"/>
      <c r="RD57" s="756"/>
      <c r="RE57" s="756"/>
      <c r="RF57" s="756"/>
      <c r="RG57" s="756"/>
      <c r="RH57" s="756"/>
      <c r="RI57" s="756"/>
      <c r="RJ57" s="756"/>
      <c r="RK57" s="756"/>
      <c r="RL57" s="756"/>
      <c r="RM57" s="756"/>
      <c r="RN57" s="756"/>
      <c r="RO57" s="756"/>
      <c r="RP57" s="756"/>
      <c r="RQ57" s="756"/>
      <c r="RR57" s="756"/>
      <c r="RS57" s="756"/>
      <c r="RT57" s="756"/>
      <c r="RU57" s="756"/>
      <c r="RV57" s="756"/>
      <c r="RW57" s="756"/>
      <c r="RX57" s="756"/>
      <c r="RY57" s="756"/>
      <c r="RZ57" s="756"/>
      <c r="SA57" s="756"/>
      <c r="SB57" s="756"/>
      <c r="SC57" s="756"/>
      <c r="SD57" s="756"/>
      <c r="SE57" s="756"/>
      <c r="SF57" s="756"/>
      <c r="SG57" s="756"/>
      <c r="SH57" s="756"/>
      <c r="SI57" s="756"/>
      <c r="SJ57" s="756"/>
      <c r="SK57" s="756"/>
      <c r="SL57" s="756"/>
      <c r="SM57" s="756"/>
      <c r="SN57" s="756"/>
      <c r="SO57" s="756"/>
      <c r="SP57" s="756"/>
      <c r="SQ57" s="756"/>
      <c r="SR57" s="756"/>
    </row>
    <row r="58" spans="1:512" ht="15" customHeight="1">
      <c r="A58" s="969"/>
      <c r="B58" s="969" t="s">
        <v>2706</v>
      </c>
      <c r="C58" s="969"/>
      <c r="D58" s="969"/>
      <c r="E58" s="969" t="s">
        <v>237</v>
      </c>
      <c r="F58" s="969"/>
      <c r="G58" s="756">
        <v>1</v>
      </c>
      <c r="H58" s="1027"/>
      <c r="I58" s="756"/>
      <c r="J58" s="756"/>
      <c r="K58" s="756"/>
      <c r="L58" s="756"/>
      <c r="M58" s="756"/>
      <c r="N58" s="756"/>
      <c r="O58" s="756"/>
      <c r="P58" s="756"/>
      <c r="Q58" s="756"/>
      <c r="R58" s="756"/>
      <c r="S58" s="756"/>
      <c r="T58" s="756"/>
      <c r="U58" s="756"/>
      <c r="V58" s="756"/>
      <c r="W58" s="756"/>
      <c r="X58" s="756"/>
      <c r="Y58" s="756"/>
      <c r="Z58" s="756"/>
      <c r="AA58" s="756"/>
      <c r="AB58" s="756"/>
      <c r="AC58" s="756"/>
      <c r="AD58" s="756"/>
      <c r="AE58" s="756"/>
      <c r="AF58" s="756"/>
      <c r="AG58" s="756"/>
      <c r="AH58" s="756"/>
      <c r="AI58" s="756"/>
      <c r="AJ58" s="756"/>
      <c r="AK58" s="756"/>
      <c r="AL58" s="756"/>
      <c r="AM58" s="756"/>
      <c r="AN58" s="756"/>
      <c r="AO58" s="756"/>
      <c r="AP58" s="756"/>
      <c r="AQ58" s="756"/>
      <c r="AR58" s="756"/>
      <c r="AS58" s="756"/>
      <c r="AT58" s="756"/>
      <c r="AU58" s="756"/>
      <c r="AV58" s="756"/>
      <c r="AW58" s="756"/>
      <c r="AX58" s="756"/>
      <c r="AY58" s="756"/>
      <c r="AZ58" s="756"/>
      <c r="BA58" s="756"/>
      <c r="BB58" s="756"/>
      <c r="BC58" s="756"/>
      <c r="BD58" s="756"/>
      <c r="BE58" s="756"/>
      <c r="BF58" s="756"/>
      <c r="BG58" s="756"/>
      <c r="BH58" s="756"/>
      <c r="BI58" s="756"/>
      <c r="BJ58" s="756"/>
      <c r="BK58" s="756"/>
      <c r="BL58" s="756"/>
      <c r="BM58" s="756"/>
      <c r="BN58" s="756"/>
      <c r="BO58" s="756"/>
      <c r="BP58" s="756"/>
      <c r="BQ58" s="756"/>
      <c r="BR58" s="756"/>
      <c r="BS58" s="756"/>
      <c r="BT58" s="756"/>
      <c r="BU58" s="756"/>
      <c r="BV58" s="756"/>
      <c r="BW58" s="756"/>
      <c r="BX58" s="756"/>
      <c r="BY58" s="756"/>
      <c r="BZ58" s="756"/>
      <c r="CA58" s="756"/>
      <c r="CB58" s="756"/>
      <c r="CC58" s="756"/>
      <c r="CD58" s="756"/>
      <c r="CE58" s="756"/>
      <c r="CF58" s="756"/>
      <c r="CG58" s="756"/>
      <c r="CH58" s="756"/>
      <c r="CI58" s="756"/>
      <c r="CJ58" s="756"/>
      <c r="CK58" s="756"/>
      <c r="CL58" s="756"/>
      <c r="CM58" s="756"/>
      <c r="CN58" s="756"/>
      <c r="CO58" s="756"/>
      <c r="CP58" s="756"/>
      <c r="CQ58" s="756"/>
      <c r="CR58" s="756"/>
      <c r="CS58" s="756"/>
      <c r="CT58" s="756"/>
      <c r="CU58" s="756"/>
      <c r="CV58" s="756"/>
      <c r="CW58" s="756"/>
      <c r="CX58" s="756"/>
      <c r="CY58" s="756"/>
      <c r="CZ58" s="756"/>
      <c r="DA58" s="756"/>
      <c r="DB58" s="756"/>
      <c r="DC58" s="756"/>
      <c r="DD58" s="756"/>
      <c r="DE58" s="756"/>
      <c r="DF58" s="756"/>
      <c r="DG58" s="756"/>
      <c r="DH58" s="756"/>
      <c r="DI58" s="756"/>
      <c r="DJ58" s="756"/>
      <c r="DK58" s="756"/>
      <c r="DL58" s="756"/>
      <c r="DM58" s="756"/>
      <c r="DN58" s="756"/>
      <c r="DO58" s="756"/>
      <c r="DP58" s="756"/>
      <c r="DQ58" s="756"/>
      <c r="DR58" s="756"/>
      <c r="DS58" s="756"/>
      <c r="DT58" s="756"/>
      <c r="DU58" s="756"/>
      <c r="DV58" s="756"/>
      <c r="DW58" s="756"/>
      <c r="DX58" s="756"/>
      <c r="DY58" s="756"/>
      <c r="DZ58" s="756"/>
      <c r="EA58" s="756"/>
      <c r="EB58" s="756"/>
      <c r="EC58" s="756"/>
      <c r="ED58" s="756"/>
      <c r="EE58" s="756"/>
      <c r="EF58" s="756"/>
      <c r="EG58" s="756"/>
      <c r="EH58" s="756"/>
      <c r="EI58" s="756"/>
      <c r="EJ58" s="756"/>
      <c r="EK58" s="756"/>
      <c r="EL58" s="756"/>
      <c r="EM58" s="756"/>
      <c r="EN58" s="756"/>
      <c r="EO58" s="756"/>
      <c r="EP58" s="756"/>
      <c r="EQ58" s="756"/>
      <c r="ER58" s="756"/>
      <c r="ES58" s="756"/>
      <c r="ET58" s="756"/>
      <c r="EU58" s="756"/>
      <c r="EV58" s="756"/>
      <c r="EW58" s="756"/>
      <c r="EX58" s="756"/>
      <c r="EY58" s="756"/>
      <c r="EZ58" s="756"/>
      <c r="FA58" s="756"/>
      <c r="FB58" s="756"/>
      <c r="FC58" s="756"/>
      <c r="FD58" s="756"/>
      <c r="FE58" s="756"/>
      <c r="FF58" s="756"/>
      <c r="FG58" s="756"/>
      <c r="FH58" s="756"/>
      <c r="FI58" s="756"/>
      <c r="FJ58" s="756"/>
      <c r="FK58" s="756"/>
      <c r="FL58" s="756"/>
      <c r="FM58" s="756"/>
      <c r="FN58" s="756"/>
      <c r="FO58" s="756"/>
      <c r="FP58" s="756"/>
      <c r="FQ58" s="756"/>
      <c r="FR58" s="756"/>
      <c r="FS58" s="756"/>
      <c r="FT58" s="756"/>
      <c r="FU58" s="756"/>
      <c r="FV58" s="756"/>
      <c r="FW58" s="756"/>
      <c r="FX58" s="756"/>
      <c r="FY58" s="756"/>
      <c r="FZ58" s="756"/>
      <c r="GA58" s="756"/>
      <c r="GB58" s="756"/>
      <c r="GC58" s="756"/>
      <c r="GD58" s="756"/>
      <c r="GE58" s="756"/>
      <c r="GF58" s="756"/>
      <c r="GG58" s="756"/>
      <c r="GH58" s="756"/>
      <c r="GI58" s="756"/>
      <c r="GJ58" s="756"/>
      <c r="GK58" s="756"/>
      <c r="GL58" s="756"/>
      <c r="GM58" s="756"/>
      <c r="GN58" s="756"/>
      <c r="GO58" s="756"/>
      <c r="GP58" s="756"/>
      <c r="GQ58" s="756"/>
      <c r="GR58" s="756"/>
      <c r="GS58" s="756"/>
      <c r="GT58" s="756"/>
      <c r="GU58" s="756"/>
      <c r="GV58" s="756"/>
      <c r="GW58" s="756"/>
      <c r="GX58" s="756"/>
      <c r="GY58" s="756"/>
      <c r="GZ58" s="756"/>
      <c r="HA58" s="756"/>
      <c r="HB58" s="756"/>
      <c r="HC58" s="756"/>
      <c r="HD58" s="756"/>
      <c r="HE58" s="756"/>
      <c r="HF58" s="756"/>
      <c r="HG58" s="756"/>
      <c r="HH58" s="756"/>
      <c r="HI58" s="756"/>
      <c r="HJ58" s="756"/>
      <c r="HK58" s="756"/>
      <c r="HL58" s="756"/>
      <c r="HM58" s="756"/>
      <c r="HN58" s="756"/>
      <c r="HO58" s="756"/>
      <c r="HP58" s="756"/>
      <c r="HQ58" s="756"/>
      <c r="HR58" s="756"/>
      <c r="HS58" s="756"/>
      <c r="HT58" s="756"/>
      <c r="HU58" s="756"/>
      <c r="HV58" s="756"/>
      <c r="HW58" s="756"/>
      <c r="HX58" s="756"/>
      <c r="HY58" s="756"/>
      <c r="HZ58" s="756"/>
      <c r="IA58" s="756"/>
      <c r="IB58" s="756"/>
      <c r="IC58" s="756"/>
      <c r="ID58" s="756"/>
      <c r="IE58" s="756"/>
      <c r="IF58" s="756"/>
      <c r="IG58" s="756"/>
      <c r="IH58" s="756"/>
      <c r="II58" s="756"/>
      <c r="IJ58" s="756"/>
      <c r="IK58" s="756"/>
      <c r="IL58" s="756"/>
      <c r="IM58" s="756"/>
      <c r="IN58" s="756"/>
      <c r="IO58" s="756"/>
      <c r="IP58" s="756"/>
      <c r="IQ58" s="756"/>
      <c r="IR58" s="756"/>
      <c r="IS58" s="756"/>
      <c r="IT58" s="756"/>
      <c r="IU58" s="756"/>
      <c r="IV58" s="756"/>
      <c r="IW58" s="756"/>
      <c r="IX58" s="756"/>
      <c r="IY58" s="756"/>
      <c r="IZ58" s="756"/>
      <c r="JA58" s="756"/>
      <c r="JB58" s="756"/>
      <c r="JC58" s="756"/>
      <c r="JD58" s="756"/>
      <c r="JE58" s="756"/>
      <c r="JF58" s="756"/>
      <c r="JG58" s="756"/>
      <c r="JH58" s="756"/>
      <c r="JI58" s="756"/>
      <c r="JJ58" s="756"/>
      <c r="JK58" s="756"/>
      <c r="JL58" s="756"/>
      <c r="JM58" s="756"/>
      <c r="JN58" s="756"/>
      <c r="JO58" s="756"/>
      <c r="JP58" s="756"/>
      <c r="JQ58" s="756"/>
      <c r="JR58" s="756"/>
      <c r="JS58" s="756"/>
      <c r="JT58" s="756"/>
      <c r="JU58" s="756"/>
      <c r="JV58" s="756"/>
      <c r="JW58" s="756"/>
      <c r="JX58" s="756"/>
      <c r="JY58" s="756"/>
      <c r="JZ58" s="756"/>
      <c r="KA58" s="756"/>
      <c r="KB58" s="756"/>
      <c r="KC58" s="756"/>
      <c r="KD58" s="756"/>
      <c r="KE58" s="756"/>
      <c r="KF58" s="756"/>
      <c r="KG58" s="756"/>
      <c r="KH58" s="756"/>
      <c r="KI58" s="756"/>
      <c r="KJ58" s="756"/>
      <c r="KK58" s="756"/>
      <c r="KL58" s="756"/>
      <c r="KM58" s="756"/>
      <c r="KN58" s="756"/>
      <c r="KO58" s="756"/>
      <c r="KP58" s="756"/>
      <c r="KQ58" s="756"/>
      <c r="KR58" s="756"/>
      <c r="KS58" s="756"/>
      <c r="KT58" s="756"/>
      <c r="KU58" s="756"/>
      <c r="KV58" s="756"/>
      <c r="KW58" s="756"/>
      <c r="KX58" s="756"/>
      <c r="KY58" s="756"/>
      <c r="KZ58" s="756"/>
      <c r="LA58" s="756"/>
      <c r="LB58" s="756"/>
      <c r="LC58" s="756"/>
      <c r="LD58" s="756"/>
      <c r="LE58" s="756"/>
      <c r="LF58" s="756"/>
      <c r="LG58" s="756"/>
      <c r="LH58" s="756"/>
      <c r="LI58" s="756"/>
      <c r="LJ58" s="756"/>
      <c r="LK58" s="756"/>
      <c r="LL58" s="756"/>
      <c r="LM58" s="756"/>
      <c r="LN58" s="756"/>
      <c r="LO58" s="756"/>
      <c r="LP58" s="756"/>
      <c r="LQ58" s="756"/>
      <c r="LR58" s="756"/>
      <c r="LS58" s="756"/>
      <c r="LT58" s="756"/>
      <c r="LU58" s="756"/>
      <c r="LV58" s="756"/>
      <c r="LW58" s="756"/>
      <c r="LX58" s="756"/>
      <c r="LY58" s="756"/>
      <c r="LZ58" s="756"/>
      <c r="MA58" s="756"/>
      <c r="MB58" s="756"/>
      <c r="MC58" s="756"/>
      <c r="MD58" s="756"/>
      <c r="ME58" s="756"/>
      <c r="MF58" s="756"/>
      <c r="MG58" s="756"/>
      <c r="MH58" s="756"/>
      <c r="MI58" s="756"/>
      <c r="MJ58" s="756"/>
      <c r="MK58" s="756"/>
      <c r="ML58" s="756"/>
      <c r="MM58" s="756"/>
      <c r="MN58" s="756"/>
      <c r="MO58" s="756"/>
      <c r="MP58" s="756"/>
      <c r="MQ58" s="756"/>
      <c r="MR58" s="756"/>
      <c r="MS58" s="756"/>
      <c r="MT58" s="756"/>
      <c r="MU58" s="756"/>
      <c r="MV58" s="756"/>
      <c r="MW58" s="756"/>
      <c r="MX58" s="756"/>
      <c r="MY58" s="756"/>
      <c r="MZ58" s="756"/>
      <c r="NA58" s="756"/>
      <c r="NB58" s="756"/>
      <c r="NC58" s="756"/>
      <c r="ND58" s="756"/>
      <c r="NE58" s="756"/>
      <c r="NF58" s="756"/>
      <c r="NG58" s="756"/>
      <c r="NH58" s="756"/>
      <c r="NI58" s="756"/>
      <c r="NJ58" s="756"/>
      <c r="NK58" s="756"/>
      <c r="NL58" s="756"/>
      <c r="NM58" s="756"/>
      <c r="NN58" s="756"/>
      <c r="NO58" s="756"/>
      <c r="NP58" s="756"/>
      <c r="NQ58" s="756"/>
      <c r="NR58" s="756"/>
      <c r="NS58" s="756"/>
      <c r="NT58" s="756"/>
      <c r="NU58" s="756"/>
      <c r="NV58" s="756"/>
      <c r="NW58" s="756"/>
      <c r="NX58" s="756"/>
      <c r="NY58" s="756"/>
      <c r="NZ58" s="756"/>
      <c r="OA58" s="756"/>
      <c r="OB58" s="756"/>
      <c r="OC58" s="756"/>
      <c r="OD58" s="756"/>
      <c r="OE58" s="756"/>
      <c r="OF58" s="756"/>
      <c r="OG58" s="756"/>
      <c r="OH58" s="756"/>
      <c r="OI58" s="756"/>
      <c r="OJ58" s="756"/>
      <c r="OK58" s="756"/>
      <c r="OL58" s="756"/>
      <c r="OM58" s="756"/>
      <c r="ON58" s="756"/>
      <c r="OO58" s="756"/>
      <c r="OP58" s="756"/>
      <c r="OQ58" s="756"/>
      <c r="OR58" s="756"/>
      <c r="OS58" s="756"/>
      <c r="OT58" s="756"/>
      <c r="OU58" s="756"/>
      <c r="OV58" s="756"/>
      <c r="OW58" s="756"/>
      <c r="OX58" s="756"/>
      <c r="OY58" s="756"/>
      <c r="OZ58" s="756"/>
      <c r="PA58" s="756"/>
      <c r="PB58" s="756"/>
      <c r="PC58" s="756"/>
      <c r="PD58" s="756"/>
      <c r="PE58" s="756"/>
      <c r="PF58" s="756"/>
      <c r="PG58" s="756"/>
      <c r="PH58" s="756"/>
      <c r="PI58" s="756"/>
      <c r="PJ58" s="756"/>
      <c r="PK58" s="756"/>
      <c r="PL58" s="756"/>
      <c r="PM58" s="756"/>
      <c r="PN58" s="756"/>
      <c r="PO58" s="756"/>
      <c r="PP58" s="756"/>
      <c r="PQ58" s="756"/>
      <c r="PR58" s="756"/>
      <c r="PS58" s="756"/>
      <c r="PT58" s="756"/>
      <c r="PU58" s="756"/>
      <c r="PV58" s="756"/>
      <c r="PW58" s="756"/>
      <c r="PX58" s="756"/>
      <c r="PY58" s="756"/>
      <c r="PZ58" s="756"/>
      <c r="QA58" s="756"/>
      <c r="QB58" s="756"/>
      <c r="QC58" s="756"/>
      <c r="QD58" s="756"/>
      <c r="QE58" s="756"/>
      <c r="QF58" s="756"/>
      <c r="QG58" s="756"/>
      <c r="QH58" s="756"/>
      <c r="QI58" s="756"/>
      <c r="QJ58" s="756"/>
      <c r="QK58" s="756"/>
      <c r="QL58" s="756"/>
      <c r="QM58" s="756"/>
      <c r="QN58" s="756"/>
      <c r="QO58" s="756"/>
      <c r="QP58" s="756"/>
      <c r="QQ58" s="756"/>
      <c r="QR58" s="756"/>
      <c r="QS58" s="756"/>
      <c r="QT58" s="756"/>
      <c r="QU58" s="756"/>
      <c r="QV58" s="756"/>
      <c r="QW58" s="756"/>
      <c r="QX58" s="756"/>
      <c r="QY58" s="756"/>
      <c r="QZ58" s="756"/>
      <c r="RA58" s="756"/>
      <c r="RB58" s="756"/>
      <c r="RC58" s="756"/>
      <c r="RD58" s="756"/>
      <c r="RE58" s="756"/>
      <c r="RF58" s="756"/>
      <c r="RG58" s="756"/>
      <c r="RH58" s="756"/>
      <c r="RI58" s="756"/>
      <c r="RJ58" s="756"/>
      <c r="RK58" s="756"/>
      <c r="RL58" s="756"/>
      <c r="RM58" s="756"/>
      <c r="RN58" s="756"/>
      <c r="RO58" s="756"/>
      <c r="RP58" s="756"/>
      <c r="RQ58" s="756"/>
      <c r="RR58" s="756"/>
      <c r="RS58" s="756"/>
      <c r="RT58" s="756"/>
      <c r="RU58" s="756"/>
      <c r="RV58" s="756"/>
      <c r="RW58" s="756"/>
      <c r="RX58" s="756"/>
      <c r="RY58" s="756"/>
      <c r="RZ58" s="756"/>
      <c r="SA58" s="756"/>
      <c r="SB58" s="756"/>
      <c r="SC58" s="756"/>
      <c r="SD58" s="756"/>
      <c r="SE58" s="756"/>
      <c r="SF58" s="756"/>
      <c r="SG58" s="756"/>
      <c r="SH58" s="756"/>
      <c r="SI58" s="756"/>
      <c r="SJ58" s="756"/>
      <c r="SK58" s="756"/>
      <c r="SL58" s="756"/>
      <c r="SM58" s="756"/>
      <c r="SN58" s="756"/>
      <c r="SO58" s="756"/>
      <c r="SP58" s="756"/>
      <c r="SQ58" s="756"/>
      <c r="SR58" s="756"/>
    </row>
    <row r="59" spans="1:512" ht="15" customHeight="1">
      <c r="A59" s="969"/>
      <c r="B59" s="969" t="s">
        <v>2707</v>
      </c>
      <c r="C59" s="969"/>
      <c r="D59" s="969"/>
      <c r="E59" s="969" t="s">
        <v>876</v>
      </c>
      <c r="F59" s="969"/>
      <c r="G59" s="783">
        <v>181.52809179284083</v>
      </c>
      <c r="H59" s="1034">
        <v>29.603587365479498</v>
      </c>
      <c r="I59" s="783"/>
      <c r="J59" s="783"/>
      <c r="K59" s="783"/>
      <c r="L59" s="783"/>
      <c r="M59" s="783"/>
      <c r="N59" s="783"/>
      <c r="O59" s="783"/>
      <c r="P59" s="783"/>
      <c r="Q59" s="783"/>
      <c r="R59" s="783"/>
      <c r="S59" s="783"/>
      <c r="T59" s="783"/>
      <c r="U59" s="756"/>
      <c r="V59" s="756"/>
      <c r="W59" s="756"/>
      <c r="X59" s="756"/>
      <c r="Y59" s="756"/>
      <c r="Z59" s="756"/>
      <c r="AA59" s="756"/>
      <c r="AB59" s="756"/>
      <c r="AC59" s="756"/>
      <c r="AD59" s="756"/>
      <c r="AE59" s="756"/>
      <c r="AF59" s="756"/>
      <c r="AG59" s="756"/>
      <c r="AH59" s="756"/>
      <c r="AI59" s="756"/>
      <c r="AJ59" s="756"/>
      <c r="AK59" s="756"/>
      <c r="AL59" s="756"/>
      <c r="AM59" s="756"/>
      <c r="AN59" s="756"/>
      <c r="AO59" s="756"/>
      <c r="AP59" s="756"/>
      <c r="AQ59" s="756"/>
      <c r="AR59" s="756"/>
      <c r="AS59" s="756"/>
      <c r="AT59" s="756"/>
      <c r="AU59" s="756"/>
      <c r="AV59" s="756"/>
      <c r="AW59" s="756"/>
      <c r="AX59" s="756"/>
      <c r="AY59" s="756"/>
      <c r="AZ59" s="756"/>
      <c r="BA59" s="756"/>
      <c r="BB59" s="756"/>
      <c r="BC59" s="756"/>
      <c r="BD59" s="756"/>
      <c r="BE59" s="756"/>
      <c r="BF59" s="756"/>
      <c r="BG59" s="756"/>
      <c r="BH59" s="756"/>
      <c r="BI59" s="756"/>
      <c r="BJ59" s="756"/>
      <c r="BK59" s="756"/>
      <c r="BL59" s="756"/>
      <c r="BM59" s="756"/>
      <c r="BN59" s="756"/>
      <c r="BO59" s="756"/>
      <c r="BP59" s="756"/>
      <c r="BQ59" s="756"/>
      <c r="BR59" s="756"/>
      <c r="BS59" s="756"/>
      <c r="BT59" s="756"/>
      <c r="BU59" s="756"/>
      <c r="BV59" s="756"/>
      <c r="BW59" s="756"/>
      <c r="BX59" s="756"/>
      <c r="BY59" s="756"/>
      <c r="BZ59" s="756"/>
      <c r="CA59" s="756"/>
      <c r="CB59" s="756"/>
      <c r="CC59" s="756"/>
      <c r="CD59" s="756"/>
      <c r="CE59" s="756"/>
      <c r="CF59" s="756"/>
      <c r="CG59" s="756"/>
      <c r="CH59" s="756"/>
      <c r="CI59" s="756"/>
      <c r="CJ59" s="756"/>
      <c r="CK59" s="756"/>
      <c r="CL59" s="756"/>
      <c r="CM59" s="756"/>
      <c r="CN59" s="756"/>
      <c r="CO59" s="756"/>
      <c r="CP59" s="756"/>
      <c r="CQ59" s="756"/>
      <c r="CR59" s="756"/>
      <c r="CS59" s="756"/>
      <c r="CT59" s="756"/>
      <c r="CU59" s="756"/>
      <c r="CV59" s="756"/>
      <c r="CW59" s="756"/>
      <c r="CX59" s="756"/>
      <c r="CY59" s="756"/>
      <c r="CZ59" s="756"/>
      <c r="DA59" s="756"/>
      <c r="DB59" s="756"/>
      <c r="DC59" s="756"/>
      <c r="DD59" s="756"/>
      <c r="DE59" s="756"/>
      <c r="DF59" s="756"/>
      <c r="DG59" s="756"/>
      <c r="DH59" s="756"/>
      <c r="DI59" s="756"/>
      <c r="DJ59" s="756"/>
      <c r="DK59" s="756"/>
      <c r="DL59" s="756"/>
      <c r="DM59" s="756"/>
      <c r="DN59" s="756"/>
      <c r="DO59" s="756"/>
      <c r="DP59" s="756"/>
      <c r="DQ59" s="756"/>
      <c r="DR59" s="756"/>
      <c r="DS59" s="756"/>
      <c r="DT59" s="756"/>
      <c r="DU59" s="756"/>
      <c r="DV59" s="756"/>
      <c r="DW59" s="756"/>
      <c r="DX59" s="756"/>
      <c r="DY59" s="756"/>
      <c r="DZ59" s="756"/>
      <c r="EA59" s="756"/>
      <c r="EB59" s="756"/>
      <c r="EC59" s="756"/>
      <c r="ED59" s="756"/>
      <c r="EE59" s="756"/>
      <c r="EF59" s="756"/>
      <c r="EG59" s="756"/>
      <c r="EH59" s="756"/>
      <c r="EI59" s="756"/>
      <c r="EJ59" s="756"/>
      <c r="EK59" s="756"/>
      <c r="EL59" s="756"/>
      <c r="EM59" s="756"/>
      <c r="EN59" s="756"/>
      <c r="EO59" s="756"/>
      <c r="EP59" s="756"/>
      <c r="EQ59" s="756"/>
      <c r="ER59" s="756"/>
      <c r="ES59" s="756"/>
      <c r="ET59" s="756"/>
      <c r="EU59" s="756"/>
      <c r="EV59" s="756"/>
      <c r="EW59" s="756"/>
      <c r="EX59" s="756"/>
      <c r="EY59" s="756"/>
      <c r="EZ59" s="756"/>
      <c r="FA59" s="756"/>
      <c r="FB59" s="756"/>
      <c r="FC59" s="756"/>
      <c r="FD59" s="756"/>
      <c r="FE59" s="756"/>
      <c r="FF59" s="756"/>
      <c r="FG59" s="756"/>
      <c r="FH59" s="756"/>
      <c r="FI59" s="756"/>
      <c r="FJ59" s="756"/>
      <c r="FK59" s="756"/>
      <c r="FL59" s="756"/>
      <c r="FM59" s="756"/>
      <c r="FN59" s="756"/>
      <c r="FO59" s="756"/>
      <c r="FP59" s="756"/>
      <c r="FQ59" s="756"/>
      <c r="FR59" s="756"/>
      <c r="FS59" s="756"/>
      <c r="FT59" s="756"/>
      <c r="FU59" s="756"/>
      <c r="FV59" s="756"/>
      <c r="FW59" s="756"/>
      <c r="FX59" s="756"/>
      <c r="FY59" s="756"/>
      <c r="FZ59" s="756"/>
      <c r="GA59" s="756"/>
      <c r="GB59" s="756"/>
      <c r="GC59" s="756"/>
      <c r="GD59" s="756"/>
      <c r="GE59" s="756"/>
      <c r="GF59" s="756"/>
      <c r="GG59" s="756"/>
      <c r="GH59" s="756"/>
      <c r="GI59" s="756"/>
      <c r="GJ59" s="756"/>
      <c r="GK59" s="756"/>
      <c r="GL59" s="756"/>
      <c r="GM59" s="756"/>
      <c r="GN59" s="756"/>
      <c r="GO59" s="756"/>
      <c r="GP59" s="756"/>
      <c r="GQ59" s="756"/>
      <c r="GR59" s="756"/>
      <c r="GS59" s="756"/>
      <c r="GT59" s="756"/>
      <c r="GU59" s="756"/>
      <c r="GV59" s="756"/>
      <c r="GW59" s="756"/>
      <c r="GX59" s="756"/>
      <c r="GY59" s="756"/>
      <c r="GZ59" s="756"/>
      <c r="HA59" s="756"/>
      <c r="HB59" s="756"/>
      <c r="HC59" s="756"/>
      <c r="HD59" s="756"/>
      <c r="HE59" s="756"/>
      <c r="HF59" s="756"/>
      <c r="HG59" s="756"/>
      <c r="HH59" s="756"/>
      <c r="HI59" s="756"/>
      <c r="HJ59" s="756"/>
      <c r="HK59" s="756"/>
      <c r="HL59" s="756"/>
      <c r="HM59" s="756"/>
      <c r="HN59" s="756"/>
      <c r="HO59" s="756"/>
      <c r="HP59" s="756"/>
      <c r="HQ59" s="756"/>
      <c r="HR59" s="756"/>
      <c r="HS59" s="756"/>
      <c r="HT59" s="756"/>
      <c r="HU59" s="756"/>
      <c r="HV59" s="756"/>
      <c r="HW59" s="756"/>
      <c r="HX59" s="756"/>
      <c r="HY59" s="756"/>
      <c r="HZ59" s="756"/>
      <c r="IA59" s="756"/>
      <c r="IB59" s="756"/>
      <c r="IC59" s="756"/>
      <c r="ID59" s="756"/>
      <c r="IE59" s="756"/>
      <c r="IF59" s="756"/>
      <c r="IG59" s="756"/>
      <c r="IH59" s="756"/>
      <c r="II59" s="756"/>
      <c r="IJ59" s="756"/>
      <c r="IK59" s="756"/>
      <c r="IL59" s="756"/>
      <c r="IM59" s="756"/>
      <c r="IN59" s="756"/>
      <c r="IO59" s="756"/>
      <c r="IP59" s="756"/>
      <c r="IQ59" s="756"/>
      <c r="IR59" s="756"/>
      <c r="IS59" s="756"/>
      <c r="IT59" s="756"/>
      <c r="IU59" s="756"/>
      <c r="IV59" s="756"/>
      <c r="IW59" s="756"/>
      <c r="IX59" s="756"/>
      <c r="IY59" s="756"/>
      <c r="IZ59" s="756"/>
      <c r="JA59" s="756"/>
      <c r="JB59" s="756"/>
      <c r="JC59" s="756"/>
      <c r="JD59" s="756"/>
      <c r="JE59" s="756"/>
      <c r="JF59" s="756"/>
      <c r="JG59" s="756"/>
      <c r="JH59" s="756"/>
      <c r="JI59" s="756"/>
      <c r="JJ59" s="756"/>
      <c r="JK59" s="756"/>
      <c r="JL59" s="756"/>
      <c r="JM59" s="756"/>
      <c r="JN59" s="756"/>
      <c r="JO59" s="756"/>
      <c r="JP59" s="756"/>
      <c r="JQ59" s="756"/>
      <c r="JR59" s="756"/>
      <c r="JS59" s="756"/>
      <c r="JT59" s="756"/>
      <c r="JU59" s="756"/>
      <c r="JV59" s="756"/>
      <c r="JW59" s="756"/>
      <c r="JX59" s="756"/>
      <c r="JY59" s="756"/>
      <c r="JZ59" s="756"/>
      <c r="KA59" s="756"/>
      <c r="KB59" s="756"/>
      <c r="KC59" s="756"/>
      <c r="KD59" s="756"/>
      <c r="KE59" s="756"/>
      <c r="KF59" s="756"/>
      <c r="KG59" s="756"/>
      <c r="KH59" s="756"/>
      <c r="KI59" s="756"/>
      <c r="KJ59" s="756"/>
      <c r="KK59" s="756"/>
      <c r="KL59" s="756"/>
      <c r="KM59" s="756"/>
      <c r="KN59" s="756"/>
      <c r="KO59" s="756"/>
      <c r="KP59" s="756"/>
      <c r="KQ59" s="756"/>
      <c r="KR59" s="756"/>
      <c r="KS59" s="756"/>
      <c r="KT59" s="756"/>
      <c r="KU59" s="756"/>
      <c r="KV59" s="756"/>
      <c r="KW59" s="756"/>
      <c r="KX59" s="756"/>
      <c r="KY59" s="756"/>
      <c r="KZ59" s="756"/>
      <c r="LA59" s="756"/>
      <c r="LB59" s="756"/>
      <c r="LC59" s="756"/>
      <c r="LD59" s="756"/>
      <c r="LE59" s="756"/>
      <c r="LF59" s="756"/>
      <c r="LG59" s="756"/>
      <c r="LH59" s="756"/>
      <c r="LI59" s="756"/>
      <c r="LJ59" s="756"/>
      <c r="LK59" s="756"/>
      <c r="LL59" s="756"/>
      <c r="LM59" s="756"/>
      <c r="LN59" s="756"/>
      <c r="LO59" s="756"/>
      <c r="LP59" s="756"/>
      <c r="LQ59" s="756"/>
      <c r="LR59" s="756"/>
      <c r="LS59" s="756"/>
      <c r="LT59" s="756"/>
      <c r="LU59" s="756"/>
      <c r="LV59" s="756"/>
      <c r="LW59" s="756"/>
      <c r="LX59" s="756"/>
      <c r="LY59" s="756"/>
      <c r="LZ59" s="756"/>
      <c r="MA59" s="756"/>
      <c r="MB59" s="756"/>
      <c r="MC59" s="756"/>
      <c r="MD59" s="756"/>
      <c r="ME59" s="756"/>
      <c r="MF59" s="756"/>
      <c r="MG59" s="756"/>
      <c r="MH59" s="756"/>
      <c r="MI59" s="756"/>
      <c r="MJ59" s="756"/>
      <c r="MK59" s="756"/>
      <c r="ML59" s="756"/>
      <c r="MM59" s="756"/>
      <c r="MN59" s="756"/>
      <c r="MO59" s="756"/>
      <c r="MP59" s="756"/>
      <c r="MQ59" s="756"/>
      <c r="MR59" s="756"/>
      <c r="MS59" s="756"/>
      <c r="MT59" s="756"/>
      <c r="MU59" s="756"/>
      <c r="MV59" s="756"/>
      <c r="MW59" s="756"/>
      <c r="MX59" s="756"/>
      <c r="MY59" s="756"/>
      <c r="MZ59" s="756"/>
      <c r="NA59" s="756"/>
      <c r="NB59" s="756"/>
      <c r="NC59" s="756"/>
      <c r="ND59" s="756"/>
      <c r="NE59" s="756"/>
      <c r="NF59" s="756"/>
      <c r="NG59" s="756"/>
      <c r="NH59" s="756"/>
      <c r="NI59" s="756"/>
      <c r="NJ59" s="756"/>
      <c r="NK59" s="756"/>
      <c r="NL59" s="756"/>
      <c r="NM59" s="756"/>
      <c r="NN59" s="756"/>
      <c r="NO59" s="756"/>
      <c r="NP59" s="756"/>
      <c r="NQ59" s="756"/>
      <c r="NR59" s="756"/>
      <c r="NS59" s="756"/>
      <c r="NT59" s="756"/>
      <c r="NU59" s="756"/>
      <c r="NV59" s="756"/>
      <c r="NW59" s="756"/>
      <c r="NX59" s="756"/>
      <c r="NY59" s="756"/>
      <c r="NZ59" s="756"/>
      <c r="OA59" s="756"/>
      <c r="OB59" s="756"/>
      <c r="OC59" s="756"/>
      <c r="OD59" s="756"/>
      <c r="OE59" s="756"/>
      <c r="OF59" s="756"/>
      <c r="OG59" s="756"/>
      <c r="OH59" s="756"/>
      <c r="OI59" s="756"/>
      <c r="OJ59" s="756"/>
      <c r="OK59" s="756"/>
      <c r="OL59" s="756"/>
      <c r="OM59" s="756"/>
      <c r="ON59" s="756"/>
      <c r="OO59" s="756"/>
      <c r="OP59" s="756"/>
      <c r="OQ59" s="756"/>
      <c r="OR59" s="756"/>
      <c r="OS59" s="756"/>
      <c r="OT59" s="756"/>
      <c r="OU59" s="756"/>
      <c r="OV59" s="756"/>
      <c r="OW59" s="756"/>
      <c r="OX59" s="756"/>
      <c r="OY59" s="756"/>
      <c r="OZ59" s="756"/>
      <c r="PA59" s="756"/>
      <c r="PB59" s="756"/>
      <c r="PC59" s="756"/>
      <c r="PD59" s="756"/>
      <c r="PE59" s="756"/>
      <c r="PF59" s="756"/>
      <c r="PG59" s="756"/>
      <c r="PH59" s="756"/>
      <c r="PI59" s="756"/>
      <c r="PJ59" s="756"/>
      <c r="PK59" s="756"/>
      <c r="PL59" s="756"/>
      <c r="PM59" s="756"/>
      <c r="PN59" s="756"/>
      <c r="PO59" s="756"/>
      <c r="PP59" s="756"/>
      <c r="PQ59" s="756"/>
      <c r="PR59" s="756"/>
      <c r="PS59" s="756"/>
      <c r="PT59" s="756"/>
      <c r="PU59" s="756"/>
      <c r="PV59" s="756"/>
      <c r="PW59" s="756"/>
      <c r="PX59" s="756"/>
      <c r="PY59" s="756"/>
      <c r="PZ59" s="756"/>
      <c r="QA59" s="756"/>
      <c r="QB59" s="756"/>
      <c r="QC59" s="756"/>
      <c r="QD59" s="756"/>
      <c r="QE59" s="756"/>
      <c r="QF59" s="756"/>
      <c r="QG59" s="756"/>
      <c r="QH59" s="756"/>
      <c r="QI59" s="756"/>
      <c r="QJ59" s="756"/>
      <c r="QK59" s="756"/>
      <c r="QL59" s="756"/>
      <c r="QM59" s="756"/>
      <c r="QN59" s="756"/>
      <c r="QO59" s="756"/>
      <c r="QP59" s="756"/>
      <c r="QQ59" s="756"/>
      <c r="QR59" s="756"/>
      <c r="QS59" s="756"/>
      <c r="QT59" s="756"/>
      <c r="QU59" s="756"/>
      <c r="QV59" s="756"/>
      <c r="QW59" s="756"/>
      <c r="QX59" s="756"/>
      <c r="QY59" s="756"/>
      <c r="QZ59" s="756"/>
      <c r="RA59" s="756"/>
      <c r="RB59" s="756"/>
      <c r="RC59" s="756"/>
      <c r="RD59" s="756"/>
      <c r="RE59" s="756"/>
      <c r="RF59" s="756"/>
      <c r="RG59" s="756"/>
      <c r="RH59" s="756"/>
      <c r="RI59" s="756"/>
      <c r="RJ59" s="756"/>
      <c r="RK59" s="756"/>
      <c r="RL59" s="756"/>
      <c r="RM59" s="756"/>
      <c r="RN59" s="756"/>
      <c r="RO59" s="756"/>
      <c r="RP59" s="756"/>
      <c r="RQ59" s="756"/>
      <c r="RR59" s="756"/>
      <c r="RS59" s="756"/>
      <c r="RT59" s="756"/>
      <c r="RU59" s="756"/>
      <c r="RV59" s="756"/>
      <c r="RW59" s="756"/>
      <c r="RX59" s="756"/>
      <c r="RY59" s="756"/>
      <c r="RZ59" s="756"/>
      <c r="SA59" s="756"/>
      <c r="SB59" s="756"/>
      <c r="SC59" s="756"/>
      <c r="SD59" s="756"/>
      <c r="SE59" s="756"/>
      <c r="SF59" s="756"/>
      <c r="SG59" s="756"/>
      <c r="SH59" s="756"/>
      <c r="SI59" s="756"/>
      <c r="SJ59" s="756"/>
      <c r="SK59" s="756"/>
      <c r="SL59" s="756"/>
      <c r="SM59" s="756"/>
      <c r="SN59" s="756"/>
      <c r="SO59" s="756"/>
      <c r="SP59" s="756"/>
      <c r="SQ59" s="756"/>
      <c r="SR59" s="756"/>
    </row>
    <row r="60" spans="1:512" s="850" customFormat="1" ht="15" customHeight="1">
      <c r="A60" s="969"/>
      <c r="B60" s="969" t="s">
        <v>2708</v>
      </c>
      <c r="C60" s="969"/>
      <c r="D60" s="969"/>
      <c r="E60" s="969" t="s">
        <v>876</v>
      </c>
      <c r="F60" s="969"/>
      <c r="G60" s="839">
        <v>0</v>
      </c>
      <c r="H60" s="1027"/>
      <c r="I60" s="839"/>
      <c r="J60" s="839"/>
      <c r="K60" s="839"/>
      <c r="L60" s="839"/>
      <c r="M60" s="839"/>
      <c r="N60" s="83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39"/>
      <c r="BO60" s="839"/>
      <c r="BP60" s="839"/>
      <c r="BQ60" s="839"/>
      <c r="BR60" s="839"/>
      <c r="BS60" s="839"/>
      <c r="BT60" s="839"/>
      <c r="BU60" s="839"/>
      <c r="BV60" s="839"/>
      <c r="BW60" s="839"/>
      <c r="BX60" s="839"/>
      <c r="BY60" s="839"/>
      <c r="BZ60" s="839"/>
      <c r="CA60" s="839"/>
      <c r="CB60" s="839"/>
      <c r="CC60" s="839"/>
      <c r="CD60" s="839"/>
      <c r="CE60" s="839"/>
      <c r="CF60" s="839"/>
      <c r="CG60" s="839"/>
      <c r="CH60" s="839"/>
      <c r="CI60" s="839"/>
      <c r="CJ60" s="839"/>
      <c r="CK60" s="839"/>
      <c r="CL60" s="839"/>
      <c r="CM60" s="839"/>
      <c r="CN60" s="839"/>
      <c r="CO60" s="839"/>
      <c r="CP60" s="839"/>
      <c r="CQ60" s="839"/>
      <c r="CR60" s="839"/>
      <c r="CS60" s="839"/>
      <c r="CT60" s="839"/>
      <c r="CU60" s="839"/>
      <c r="CV60" s="839"/>
      <c r="CW60" s="839"/>
      <c r="CX60" s="839"/>
      <c r="CY60" s="839"/>
      <c r="CZ60" s="839"/>
      <c r="DA60" s="839"/>
      <c r="DB60" s="839"/>
      <c r="DC60" s="839"/>
      <c r="DD60" s="839"/>
      <c r="DE60" s="839"/>
      <c r="DF60" s="839"/>
      <c r="DG60" s="839"/>
      <c r="DH60" s="839"/>
      <c r="DI60" s="839"/>
      <c r="DJ60" s="839"/>
      <c r="DK60" s="839"/>
      <c r="DL60" s="839"/>
      <c r="DM60" s="839"/>
      <c r="DN60" s="839"/>
      <c r="DO60" s="839"/>
      <c r="DP60" s="839"/>
      <c r="DQ60" s="839"/>
      <c r="DR60" s="839"/>
      <c r="DS60" s="839"/>
      <c r="DT60" s="839"/>
      <c r="DU60" s="839"/>
      <c r="DV60" s="839"/>
      <c r="DW60" s="839"/>
      <c r="DX60" s="839"/>
      <c r="DY60" s="839"/>
      <c r="DZ60" s="839"/>
      <c r="EA60" s="839"/>
      <c r="EB60" s="839"/>
      <c r="EC60" s="839"/>
      <c r="ED60" s="839"/>
      <c r="EE60" s="839"/>
      <c r="EF60" s="839"/>
      <c r="EG60" s="839"/>
      <c r="EH60" s="839"/>
      <c r="EI60" s="839"/>
      <c r="EJ60" s="839"/>
      <c r="EK60" s="839"/>
      <c r="EL60" s="839"/>
      <c r="EM60" s="839"/>
      <c r="EN60" s="839"/>
      <c r="EO60" s="839"/>
      <c r="EP60" s="839"/>
      <c r="EQ60" s="839"/>
      <c r="ER60" s="839"/>
      <c r="ES60" s="839"/>
      <c r="ET60" s="839"/>
      <c r="EU60" s="839"/>
      <c r="EV60" s="839"/>
      <c r="EW60" s="839"/>
      <c r="EX60" s="839"/>
      <c r="EY60" s="839"/>
      <c r="EZ60" s="839"/>
      <c r="FA60" s="839"/>
      <c r="FB60" s="839"/>
      <c r="FC60" s="839"/>
      <c r="FD60" s="839"/>
      <c r="FE60" s="839"/>
      <c r="FF60" s="839"/>
      <c r="FG60" s="839"/>
      <c r="FH60" s="839"/>
      <c r="FI60" s="839"/>
      <c r="FJ60" s="839"/>
      <c r="FK60" s="839"/>
      <c r="FL60" s="839"/>
      <c r="FM60" s="839"/>
      <c r="FN60" s="839"/>
      <c r="FO60" s="839"/>
      <c r="FP60" s="839"/>
      <c r="FQ60" s="839"/>
      <c r="FR60" s="839"/>
      <c r="FS60" s="839"/>
      <c r="FT60" s="839"/>
      <c r="FU60" s="839"/>
      <c r="FV60" s="839"/>
      <c r="FW60" s="839"/>
      <c r="FX60" s="839"/>
      <c r="FY60" s="839"/>
      <c r="FZ60" s="839"/>
      <c r="GA60" s="839"/>
      <c r="GB60" s="839"/>
      <c r="GC60" s="839"/>
      <c r="GD60" s="839"/>
      <c r="GE60" s="839"/>
      <c r="GF60" s="839"/>
      <c r="GG60" s="839"/>
      <c r="GH60" s="839"/>
      <c r="GI60" s="839"/>
      <c r="GJ60" s="839"/>
      <c r="GK60" s="839"/>
      <c r="GL60" s="839"/>
      <c r="GM60" s="839"/>
      <c r="GN60" s="839"/>
      <c r="GO60" s="839"/>
      <c r="GP60" s="839"/>
      <c r="GQ60" s="839"/>
      <c r="GR60" s="839"/>
      <c r="GS60" s="839"/>
      <c r="GT60" s="839"/>
      <c r="GU60" s="839"/>
      <c r="GV60" s="839"/>
      <c r="GW60" s="839"/>
      <c r="GX60" s="839"/>
      <c r="GY60" s="839"/>
      <c r="GZ60" s="839"/>
      <c r="HA60" s="839"/>
      <c r="HB60" s="839"/>
      <c r="HC60" s="839"/>
      <c r="HD60" s="839"/>
      <c r="HE60" s="839"/>
      <c r="HF60" s="839"/>
      <c r="HG60" s="839"/>
      <c r="HH60" s="839"/>
      <c r="HI60" s="839"/>
      <c r="HJ60" s="839"/>
      <c r="HK60" s="839"/>
      <c r="HL60" s="839"/>
      <c r="HM60" s="839"/>
      <c r="HN60" s="839"/>
      <c r="HO60" s="839"/>
      <c r="HP60" s="839"/>
      <c r="HQ60" s="839"/>
      <c r="HR60" s="839"/>
      <c r="HS60" s="839"/>
      <c r="HT60" s="839"/>
      <c r="HU60" s="839"/>
      <c r="HV60" s="839"/>
      <c r="HW60" s="839"/>
      <c r="HX60" s="839"/>
      <c r="HY60" s="839"/>
      <c r="HZ60" s="839"/>
      <c r="IA60" s="839"/>
      <c r="IB60" s="839"/>
      <c r="IC60" s="839"/>
      <c r="ID60" s="839"/>
      <c r="IE60" s="839"/>
      <c r="IF60" s="839"/>
      <c r="IG60" s="839"/>
      <c r="IH60" s="839"/>
      <c r="II60" s="839"/>
      <c r="IJ60" s="839"/>
      <c r="IK60" s="839"/>
      <c r="IL60" s="839"/>
      <c r="IM60" s="839"/>
      <c r="IN60" s="839"/>
      <c r="IO60" s="839"/>
      <c r="IP60" s="839"/>
      <c r="IQ60" s="839"/>
      <c r="IR60" s="839"/>
      <c r="IS60" s="839"/>
      <c r="IT60" s="839"/>
      <c r="IU60" s="839"/>
      <c r="IV60" s="839"/>
      <c r="IW60" s="839"/>
      <c r="IX60" s="839"/>
      <c r="IY60" s="839"/>
      <c r="IZ60" s="839"/>
      <c r="JA60" s="839"/>
      <c r="JB60" s="839"/>
      <c r="JC60" s="839"/>
      <c r="JD60" s="839"/>
      <c r="JE60" s="839"/>
      <c r="JF60" s="839"/>
      <c r="JG60" s="839"/>
      <c r="JH60" s="839"/>
      <c r="JI60" s="839"/>
      <c r="JJ60" s="839"/>
      <c r="JK60" s="839"/>
      <c r="JL60" s="839"/>
      <c r="JM60" s="839"/>
      <c r="JN60" s="839"/>
      <c r="JO60" s="839"/>
      <c r="JP60" s="839"/>
      <c r="JQ60" s="839"/>
      <c r="JR60" s="839"/>
      <c r="JS60" s="839"/>
      <c r="JT60" s="839"/>
      <c r="JU60" s="839"/>
      <c r="JV60" s="839"/>
      <c r="JW60" s="839"/>
      <c r="JX60" s="839"/>
      <c r="JY60" s="839"/>
      <c r="JZ60" s="839"/>
      <c r="KA60" s="839"/>
      <c r="KB60" s="839"/>
      <c r="KC60" s="839"/>
      <c r="KD60" s="839"/>
      <c r="KE60" s="839"/>
      <c r="KF60" s="839"/>
      <c r="KG60" s="839"/>
      <c r="KH60" s="839"/>
      <c r="KI60" s="839"/>
      <c r="KJ60" s="839"/>
      <c r="KK60" s="839"/>
      <c r="KL60" s="839"/>
      <c r="KM60" s="839"/>
      <c r="KN60" s="839"/>
      <c r="KO60" s="839"/>
      <c r="KP60" s="839"/>
      <c r="KQ60" s="839"/>
      <c r="KR60" s="839"/>
      <c r="KS60" s="839"/>
      <c r="KT60" s="839"/>
      <c r="KU60" s="839"/>
      <c r="KV60" s="839"/>
      <c r="KW60" s="839"/>
      <c r="KX60" s="839"/>
      <c r="KY60" s="839"/>
      <c r="KZ60" s="839"/>
      <c r="LA60" s="839"/>
      <c r="LB60" s="839"/>
      <c r="LC60" s="839"/>
      <c r="LD60" s="839"/>
      <c r="LE60" s="839"/>
      <c r="LF60" s="839"/>
      <c r="LG60" s="839"/>
      <c r="LH60" s="839"/>
      <c r="LI60" s="839"/>
      <c r="LJ60" s="839"/>
      <c r="LK60" s="839"/>
      <c r="LL60" s="839"/>
      <c r="LM60" s="839"/>
      <c r="LN60" s="839"/>
      <c r="LO60" s="839"/>
      <c r="LP60" s="839"/>
      <c r="LQ60" s="839"/>
      <c r="LR60" s="839"/>
      <c r="LS60" s="839"/>
      <c r="LT60" s="839"/>
      <c r="LU60" s="839"/>
      <c r="LV60" s="839"/>
      <c r="LW60" s="839"/>
      <c r="LX60" s="839"/>
      <c r="LY60" s="839"/>
      <c r="LZ60" s="839"/>
      <c r="MA60" s="839"/>
      <c r="MB60" s="839"/>
      <c r="MC60" s="839"/>
      <c r="MD60" s="839"/>
      <c r="ME60" s="839"/>
      <c r="MF60" s="839"/>
      <c r="MG60" s="839"/>
      <c r="MH60" s="839"/>
      <c r="MI60" s="839"/>
      <c r="MJ60" s="839"/>
      <c r="MK60" s="839"/>
      <c r="ML60" s="839"/>
      <c r="MM60" s="839"/>
      <c r="MN60" s="839"/>
      <c r="MO60" s="839"/>
      <c r="MP60" s="839"/>
      <c r="MQ60" s="839"/>
      <c r="MR60" s="839"/>
      <c r="MS60" s="839"/>
      <c r="MT60" s="839"/>
      <c r="MU60" s="839"/>
      <c r="MV60" s="839"/>
      <c r="MW60" s="839"/>
      <c r="MX60" s="839"/>
      <c r="MY60" s="839"/>
      <c r="MZ60" s="839"/>
      <c r="NA60" s="839"/>
      <c r="NB60" s="839"/>
      <c r="NC60" s="839"/>
      <c r="ND60" s="839"/>
      <c r="NE60" s="839"/>
      <c r="NF60" s="839"/>
      <c r="NG60" s="839"/>
      <c r="NH60" s="839"/>
      <c r="NI60" s="839"/>
      <c r="NJ60" s="839"/>
      <c r="NK60" s="839"/>
      <c r="NL60" s="839"/>
      <c r="NM60" s="839"/>
      <c r="NN60" s="839"/>
      <c r="NO60" s="839"/>
      <c r="NP60" s="839"/>
      <c r="NQ60" s="839"/>
      <c r="NR60" s="839"/>
      <c r="NS60" s="839"/>
      <c r="NT60" s="839"/>
      <c r="NU60" s="839"/>
      <c r="NV60" s="839"/>
      <c r="NW60" s="839"/>
      <c r="NX60" s="839"/>
      <c r="NY60" s="839"/>
      <c r="NZ60" s="839"/>
      <c r="OA60" s="839"/>
      <c r="OB60" s="839"/>
      <c r="OC60" s="839"/>
      <c r="OD60" s="839"/>
      <c r="OE60" s="839"/>
      <c r="OF60" s="839"/>
      <c r="OG60" s="839"/>
      <c r="OH60" s="839"/>
      <c r="OI60" s="839"/>
      <c r="OJ60" s="839"/>
      <c r="OK60" s="839"/>
      <c r="OL60" s="839"/>
      <c r="OM60" s="839"/>
      <c r="ON60" s="839"/>
      <c r="OO60" s="839"/>
      <c r="OP60" s="839"/>
      <c r="OQ60" s="839"/>
      <c r="OR60" s="839"/>
      <c r="OS60" s="839"/>
      <c r="OT60" s="839"/>
      <c r="OU60" s="839"/>
      <c r="OV60" s="839"/>
      <c r="OW60" s="839"/>
      <c r="OX60" s="839"/>
      <c r="OY60" s="839"/>
      <c r="OZ60" s="839"/>
      <c r="PA60" s="839"/>
      <c r="PB60" s="839"/>
      <c r="PC60" s="839"/>
      <c r="PD60" s="839"/>
      <c r="PE60" s="839"/>
      <c r="PF60" s="839"/>
      <c r="PG60" s="839"/>
      <c r="PH60" s="839"/>
      <c r="PI60" s="839"/>
      <c r="PJ60" s="839"/>
      <c r="PK60" s="839"/>
      <c r="PL60" s="839"/>
      <c r="PM60" s="839"/>
      <c r="PN60" s="839"/>
      <c r="PO60" s="839"/>
      <c r="PP60" s="839"/>
      <c r="PQ60" s="839"/>
      <c r="PR60" s="839"/>
      <c r="PS60" s="839"/>
      <c r="PT60" s="839"/>
      <c r="PU60" s="839"/>
      <c r="PV60" s="839"/>
      <c r="PW60" s="839"/>
      <c r="PX60" s="839"/>
      <c r="PY60" s="839"/>
      <c r="PZ60" s="839"/>
      <c r="QA60" s="839"/>
      <c r="QB60" s="839"/>
      <c r="QC60" s="839"/>
      <c r="QD60" s="839"/>
      <c r="QE60" s="839"/>
      <c r="QF60" s="839"/>
      <c r="QG60" s="839"/>
      <c r="QH60" s="839"/>
      <c r="QI60" s="839"/>
      <c r="QJ60" s="839"/>
      <c r="QK60" s="839"/>
      <c r="QL60" s="839"/>
      <c r="QM60" s="839"/>
      <c r="QN60" s="839"/>
      <c r="QO60" s="839"/>
      <c r="QP60" s="839"/>
      <c r="QQ60" s="839"/>
      <c r="QR60" s="839"/>
      <c r="QS60" s="839"/>
      <c r="QT60" s="839"/>
      <c r="QU60" s="839"/>
      <c r="QV60" s="839"/>
      <c r="QW60" s="839"/>
      <c r="QX60" s="839"/>
      <c r="QY60" s="839"/>
      <c r="QZ60" s="839"/>
      <c r="RA60" s="839"/>
      <c r="RB60" s="839"/>
      <c r="RC60" s="839"/>
      <c r="RD60" s="839"/>
      <c r="RE60" s="839"/>
      <c r="RF60" s="839"/>
      <c r="RG60" s="839"/>
      <c r="RH60" s="839"/>
      <c r="RI60" s="839"/>
      <c r="RJ60" s="839"/>
      <c r="RK60" s="839"/>
      <c r="RL60" s="839"/>
      <c r="RM60" s="839"/>
      <c r="RN60" s="839"/>
      <c r="RO60" s="839"/>
      <c r="RP60" s="839"/>
      <c r="RQ60" s="839"/>
      <c r="RR60" s="839"/>
      <c r="RS60" s="839"/>
      <c r="RT60" s="839"/>
      <c r="RU60" s="839"/>
      <c r="RV60" s="839"/>
      <c r="RW60" s="839"/>
      <c r="RX60" s="839"/>
      <c r="RY60" s="839"/>
      <c r="RZ60" s="839"/>
      <c r="SA60" s="839"/>
      <c r="SB60" s="839"/>
      <c r="SC60" s="839"/>
      <c r="SD60" s="839"/>
      <c r="SE60" s="839"/>
      <c r="SF60" s="839"/>
      <c r="SG60" s="839"/>
      <c r="SH60" s="839"/>
      <c r="SI60" s="839"/>
      <c r="SJ60" s="839"/>
      <c r="SK60" s="839"/>
      <c r="SL60" s="839"/>
      <c r="SM60" s="839"/>
      <c r="SN60" s="839"/>
      <c r="SO60" s="839"/>
      <c r="SP60" s="839"/>
      <c r="SQ60" s="839"/>
      <c r="SR60" s="839"/>
    </row>
    <row r="61" spans="1:512" s="852" customFormat="1" ht="15" customHeight="1">
      <c r="A61" s="969"/>
      <c r="B61" s="969" t="s">
        <v>2726</v>
      </c>
      <c r="C61" s="969"/>
      <c r="D61" s="969"/>
      <c r="E61" s="969" t="s">
        <v>2119</v>
      </c>
      <c r="F61" s="969"/>
      <c r="G61" s="851">
        <v>0</v>
      </c>
      <c r="H61" s="1027"/>
      <c r="I61" s="851"/>
      <c r="J61" s="851"/>
      <c r="K61" s="851"/>
      <c r="L61" s="851"/>
      <c r="M61" s="851"/>
      <c r="N61" s="851"/>
      <c r="O61" s="851"/>
      <c r="P61" s="851"/>
      <c r="Q61" s="851"/>
      <c r="R61" s="851"/>
      <c r="S61" s="851"/>
      <c r="T61" s="851"/>
      <c r="U61" s="851"/>
      <c r="V61" s="851"/>
      <c r="W61" s="851"/>
      <c r="X61" s="851"/>
      <c r="Y61" s="851"/>
      <c r="Z61" s="851"/>
      <c r="AA61" s="851"/>
      <c r="AB61" s="851"/>
      <c r="AC61" s="851"/>
      <c r="AD61" s="851"/>
      <c r="AE61" s="851"/>
      <c r="AF61" s="851"/>
      <c r="AG61" s="851"/>
      <c r="AH61" s="851"/>
      <c r="AI61" s="851"/>
      <c r="AJ61" s="851"/>
      <c r="AK61" s="851"/>
      <c r="AL61" s="851"/>
      <c r="AM61" s="851"/>
      <c r="AN61" s="851"/>
      <c r="AO61" s="851"/>
      <c r="AP61" s="851"/>
      <c r="AQ61" s="851"/>
      <c r="AR61" s="851"/>
      <c r="AS61" s="851"/>
      <c r="AT61" s="851"/>
      <c r="AU61" s="851"/>
      <c r="AV61" s="851"/>
      <c r="AW61" s="851"/>
      <c r="AX61" s="851"/>
      <c r="AY61" s="851"/>
      <c r="AZ61" s="851"/>
      <c r="BA61" s="851"/>
      <c r="BB61" s="851"/>
      <c r="BC61" s="851"/>
      <c r="BD61" s="851"/>
      <c r="BE61" s="851"/>
      <c r="BF61" s="851"/>
      <c r="BG61" s="851"/>
      <c r="BH61" s="851"/>
      <c r="BI61" s="851"/>
      <c r="BJ61" s="851"/>
      <c r="BK61" s="851"/>
      <c r="BL61" s="851"/>
      <c r="BM61" s="851"/>
      <c r="BN61" s="851"/>
      <c r="BO61" s="851"/>
      <c r="BP61" s="851"/>
      <c r="BQ61" s="851"/>
      <c r="BR61" s="851"/>
      <c r="BS61" s="851"/>
      <c r="BT61" s="851"/>
      <c r="BU61" s="851"/>
      <c r="BV61" s="851"/>
      <c r="BW61" s="851"/>
      <c r="BX61" s="851"/>
      <c r="BY61" s="851"/>
      <c r="BZ61" s="851"/>
      <c r="CA61" s="851"/>
      <c r="CB61" s="851"/>
      <c r="CC61" s="851"/>
      <c r="CD61" s="851"/>
      <c r="CE61" s="851"/>
      <c r="CF61" s="851"/>
      <c r="CG61" s="851"/>
      <c r="CH61" s="851"/>
      <c r="CI61" s="851"/>
      <c r="CJ61" s="851"/>
      <c r="CK61" s="851"/>
      <c r="CL61" s="851"/>
      <c r="CM61" s="851"/>
      <c r="CN61" s="851"/>
      <c r="CO61" s="851"/>
      <c r="CP61" s="851"/>
      <c r="CQ61" s="851"/>
      <c r="CR61" s="851"/>
      <c r="CS61" s="851"/>
      <c r="CT61" s="851"/>
      <c r="CU61" s="851"/>
      <c r="CV61" s="851"/>
      <c r="CW61" s="851"/>
      <c r="CX61" s="851"/>
      <c r="CY61" s="851"/>
      <c r="CZ61" s="851"/>
      <c r="DA61" s="851"/>
      <c r="DB61" s="851"/>
      <c r="DC61" s="851"/>
      <c r="DD61" s="851"/>
      <c r="DE61" s="851"/>
      <c r="DF61" s="851"/>
      <c r="DG61" s="851"/>
      <c r="DH61" s="851"/>
      <c r="DI61" s="851"/>
      <c r="DJ61" s="851"/>
      <c r="DK61" s="851"/>
      <c r="DL61" s="851"/>
      <c r="DM61" s="851"/>
      <c r="DN61" s="851"/>
      <c r="DO61" s="851"/>
      <c r="DP61" s="851"/>
      <c r="DQ61" s="851"/>
      <c r="DR61" s="851"/>
      <c r="DS61" s="851"/>
      <c r="DT61" s="851"/>
      <c r="DU61" s="851"/>
      <c r="DV61" s="851"/>
      <c r="DW61" s="851"/>
      <c r="DX61" s="851"/>
      <c r="DY61" s="851"/>
      <c r="DZ61" s="851"/>
      <c r="EA61" s="851"/>
      <c r="EB61" s="851"/>
      <c r="EC61" s="851"/>
      <c r="ED61" s="851"/>
      <c r="EE61" s="851"/>
      <c r="EF61" s="851"/>
      <c r="EG61" s="851"/>
      <c r="EH61" s="851"/>
      <c r="EI61" s="851"/>
      <c r="EJ61" s="851"/>
      <c r="EK61" s="851"/>
      <c r="EL61" s="851"/>
      <c r="EM61" s="851"/>
      <c r="EN61" s="851"/>
      <c r="EO61" s="851"/>
      <c r="EP61" s="851"/>
      <c r="EQ61" s="851"/>
      <c r="ER61" s="851"/>
      <c r="ES61" s="851"/>
      <c r="ET61" s="851"/>
      <c r="EU61" s="851"/>
      <c r="EV61" s="851"/>
      <c r="EW61" s="851"/>
      <c r="EX61" s="851"/>
      <c r="EY61" s="851"/>
      <c r="EZ61" s="851"/>
      <c r="FA61" s="851"/>
      <c r="FB61" s="851"/>
      <c r="FC61" s="851"/>
      <c r="FD61" s="851"/>
      <c r="FE61" s="851"/>
      <c r="FF61" s="851"/>
      <c r="FG61" s="851"/>
      <c r="FH61" s="851"/>
      <c r="FI61" s="851"/>
      <c r="FJ61" s="851"/>
      <c r="FK61" s="851"/>
      <c r="FL61" s="851"/>
      <c r="FM61" s="851"/>
      <c r="FN61" s="851"/>
      <c r="FO61" s="851"/>
      <c r="FP61" s="851"/>
      <c r="FQ61" s="851"/>
      <c r="FR61" s="851"/>
      <c r="FS61" s="851"/>
      <c r="FT61" s="851"/>
      <c r="FU61" s="851"/>
      <c r="FV61" s="851"/>
      <c r="FW61" s="851"/>
      <c r="FX61" s="851"/>
      <c r="FY61" s="851"/>
      <c r="FZ61" s="851"/>
      <c r="GA61" s="851"/>
      <c r="GB61" s="851"/>
      <c r="GC61" s="851"/>
      <c r="GD61" s="851"/>
      <c r="GE61" s="851"/>
      <c r="GF61" s="851"/>
      <c r="GG61" s="851"/>
      <c r="GH61" s="851"/>
      <c r="GI61" s="851"/>
      <c r="GJ61" s="851"/>
      <c r="GK61" s="851"/>
      <c r="GL61" s="851"/>
      <c r="GM61" s="851"/>
      <c r="GN61" s="851"/>
      <c r="GO61" s="851"/>
      <c r="GP61" s="851"/>
      <c r="GQ61" s="851"/>
      <c r="GR61" s="851"/>
      <c r="GS61" s="851"/>
      <c r="GT61" s="851"/>
      <c r="GU61" s="851"/>
      <c r="GV61" s="851"/>
      <c r="GW61" s="851"/>
      <c r="GX61" s="851"/>
      <c r="GY61" s="851"/>
      <c r="GZ61" s="851"/>
      <c r="HA61" s="851"/>
      <c r="HB61" s="851"/>
      <c r="HC61" s="851"/>
      <c r="HD61" s="851"/>
      <c r="HE61" s="851"/>
      <c r="HF61" s="851"/>
      <c r="HG61" s="851"/>
      <c r="HH61" s="851"/>
      <c r="HI61" s="851"/>
      <c r="HJ61" s="851"/>
      <c r="HK61" s="851"/>
      <c r="HL61" s="851"/>
      <c r="HM61" s="851"/>
      <c r="HN61" s="851"/>
      <c r="HO61" s="851"/>
      <c r="HP61" s="851"/>
      <c r="HQ61" s="851"/>
      <c r="HR61" s="851"/>
      <c r="HS61" s="851"/>
      <c r="HT61" s="851"/>
      <c r="HU61" s="851"/>
      <c r="HV61" s="851"/>
      <c r="HW61" s="851"/>
      <c r="HX61" s="851"/>
      <c r="HY61" s="851"/>
      <c r="HZ61" s="851"/>
      <c r="IA61" s="851"/>
      <c r="IB61" s="851"/>
      <c r="IC61" s="851"/>
      <c r="ID61" s="851"/>
      <c r="IE61" s="851"/>
      <c r="IF61" s="851"/>
      <c r="IG61" s="851"/>
      <c r="IH61" s="851"/>
      <c r="II61" s="851"/>
      <c r="IJ61" s="851"/>
      <c r="IK61" s="851"/>
      <c r="IL61" s="851"/>
      <c r="IM61" s="851"/>
      <c r="IN61" s="851"/>
      <c r="IO61" s="851"/>
      <c r="IP61" s="851"/>
      <c r="IQ61" s="851"/>
      <c r="IR61" s="851"/>
      <c r="IS61" s="851"/>
      <c r="IT61" s="851"/>
      <c r="IU61" s="851"/>
      <c r="IV61" s="851"/>
      <c r="IW61" s="851"/>
      <c r="IX61" s="851"/>
      <c r="IY61" s="851"/>
      <c r="IZ61" s="851"/>
      <c r="JA61" s="851"/>
      <c r="JB61" s="851"/>
      <c r="JC61" s="851"/>
      <c r="JD61" s="851"/>
      <c r="JE61" s="851"/>
      <c r="JF61" s="851"/>
      <c r="JG61" s="851"/>
      <c r="JH61" s="851"/>
      <c r="JI61" s="851"/>
      <c r="JJ61" s="851"/>
      <c r="JK61" s="851"/>
      <c r="JL61" s="851"/>
      <c r="JM61" s="851"/>
      <c r="JN61" s="851"/>
      <c r="JO61" s="851"/>
      <c r="JP61" s="851"/>
      <c r="JQ61" s="851"/>
      <c r="JR61" s="851"/>
      <c r="JS61" s="851"/>
      <c r="JT61" s="851"/>
      <c r="JU61" s="851"/>
      <c r="JV61" s="851"/>
      <c r="JW61" s="851"/>
      <c r="JX61" s="851"/>
      <c r="JY61" s="851"/>
      <c r="JZ61" s="851"/>
      <c r="KA61" s="851"/>
      <c r="KB61" s="851"/>
      <c r="KC61" s="851"/>
      <c r="KD61" s="851"/>
      <c r="KE61" s="851"/>
      <c r="KF61" s="851"/>
      <c r="KG61" s="851"/>
      <c r="KH61" s="851"/>
      <c r="KI61" s="851"/>
      <c r="KJ61" s="851"/>
      <c r="KK61" s="851"/>
      <c r="KL61" s="851"/>
      <c r="KM61" s="851"/>
      <c r="KN61" s="851"/>
      <c r="KO61" s="851"/>
      <c r="KP61" s="851"/>
      <c r="KQ61" s="851"/>
      <c r="KR61" s="851"/>
      <c r="KS61" s="851"/>
      <c r="KT61" s="851"/>
      <c r="KU61" s="851"/>
      <c r="KV61" s="851"/>
      <c r="KW61" s="851"/>
      <c r="KX61" s="851"/>
      <c r="KY61" s="851"/>
      <c r="KZ61" s="851"/>
      <c r="LA61" s="851"/>
      <c r="LB61" s="851"/>
      <c r="LC61" s="851"/>
      <c r="LD61" s="851"/>
      <c r="LE61" s="851"/>
      <c r="LF61" s="851"/>
      <c r="LG61" s="851"/>
      <c r="LH61" s="851"/>
      <c r="LI61" s="851"/>
      <c r="LJ61" s="851"/>
      <c r="LK61" s="851"/>
      <c r="LL61" s="851"/>
      <c r="LM61" s="851"/>
      <c r="LN61" s="851"/>
      <c r="LO61" s="851"/>
      <c r="LP61" s="851"/>
      <c r="LQ61" s="851"/>
      <c r="LR61" s="851"/>
      <c r="LS61" s="851"/>
      <c r="LT61" s="851"/>
      <c r="LU61" s="851"/>
      <c r="LV61" s="851"/>
      <c r="LW61" s="851"/>
      <c r="LX61" s="851"/>
      <c r="LY61" s="851"/>
      <c r="LZ61" s="851"/>
      <c r="MA61" s="851"/>
      <c r="MB61" s="851"/>
      <c r="MC61" s="851"/>
      <c r="MD61" s="851"/>
      <c r="ME61" s="851"/>
      <c r="MF61" s="851"/>
      <c r="MG61" s="851"/>
      <c r="MH61" s="851"/>
      <c r="MI61" s="851"/>
      <c r="MJ61" s="851"/>
      <c r="MK61" s="851"/>
      <c r="ML61" s="851"/>
      <c r="MM61" s="851"/>
      <c r="MN61" s="851"/>
      <c r="MO61" s="851"/>
      <c r="MP61" s="851"/>
      <c r="MQ61" s="851"/>
      <c r="MR61" s="851"/>
      <c r="MS61" s="851"/>
      <c r="MT61" s="851"/>
      <c r="MU61" s="851"/>
      <c r="MV61" s="851"/>
      <c r="MW61" s="851"/>
      <c r="MX61" s="851"/>
      <c r="MY61" s="851"/>
      <c r="MZ61" s="851"/>
      <c r="NA61" s="851"/>
      <c r="NB61" s="851"/>
      <c r="NC61" s="851"/>
      <c r="ND61" s="851"/>
      <c r="NE61" s="851"/>
      <c r="NF61" s="851"/>
      <c r="NG61" s="851"/>
      <c r="NH61" s="851"/>
      <c r="NI61" s="851"/>
      <c r="NJ61" s="851"/>
      <c r="NK61" s="851"/>
      <c r="NL61" s="851"/>
      <c r="NM61" s="851"/>
      <c r="NN61" s="851"/>
      <c r="NO61" s="851"/>
      <c r="NP61" s="851"/>
      <c r="NQ61" s="851"/>
      <c r="NR61" s="851"/>
      <c r="NS61" s="851"/>
      <c r="NT61" s="851"/>
      <c r="NU61" s="851"/>
      <c r="NV61" s="851"/>
      <c r="NW61" s="851"/>
      <c r="NX61" s="851"/>
      <c r="NY61" s="851"/>
      <c r="NZ61" s="851"/>
      <c r="OA61" s="851"/>
      <c r="OB61" s="851"/>
      <c r="OC61" s="851"/>
      <c r="OD61" s="851"/>
      <c r="OE61" s="851"/>
      <c r="OF61" s="851"/>
      <c r="OG61" s="851"/>
      <c r="OH61" s="851"/>
      <c r="OI61" s="851"/>
      <c r="OJ61" s="851"/>
      <c r="OK61" s="851"/>
      <c r="OL61" s="851"/>
      <c r="OM61" s="851"/>
      <c r="ON61" s="851"/>
      <c r="OO61" s="851"/>
      <c r="OP61" s="851"/>
      <c r="OQ61" s="851"/>
      <c r="OR61" s="851"/>
      <c r="OS61" s="851"/>
      <c r="OT61" s="851"/>
      <c r="OU61" s="851"/>
      <c r="OV61" s="851"/>
      <c r="OW61" s="851"/>
      <c r="OX61" s="851"/>
      <c r="OY61" s="851"/>
      <c r="OZ61" s="851"/>
      <c r="PA61" s="851"/>
      <c r="PB61" s="851"/>
      <c r="PC61" s="851"/>
      <c r="PD61" s="851"/>
      <c r="PE61" s="851"/>
      <c r="PF61" s="851"/>
      <c r="PG61" s="851"/>
      <c r="PH61" s="851"/>
      <c r="PI61" s="851"/>
      <c r="PJ61" s="851"/>
      <c r="PK61" s="851"/>
      <c r="PL61" s="851"/>
      <c r="PM61" s="851"/>
      <c r="PN61" s="851"/>
      <c r="PO61" s="851"/>
      <c r="PP61" s="851"/>
      <c r="PQ61" s="851"/>
      <c r="PR61" s="851"/>
      <c r="PS61" s="851"/>
      <c r="PT61" s="851"/>
      <c r="PU61" s="851"/>
      <c r="PV61" s="851"/>
      <c r="PW61" s="851"/>
      <c r="PX61" s="851"/>
      <c r="PY61" s="851"/>
      <c r="PZ61" s="851"/>
      <c r="QA61" s="851"/>
      <c r="QB61" s="851"/>
      <c r="QC61" s="851"/>
      <c r="QD61" s="851"/>
      <c r="QE61" s="851"/>
      <c r="QF61" s="851"/>
      <c r="QG61" s="851"/>
      <c r="QH61" s="851"/>
      <c r="QI61" s="851"/>
      <c r="QJ61" s="851"/>
      <c r="QK61" s="851"/>
      <c r="QL61" s="851"/>
      <c r="QM61" s="851"/>
      <c r="QN61" s="851"/>
      <c r="QO61" s="851"/>
      <c r="QP61" s="851"/>
      <c r="QQ61" s="851"/>
      <c r="QR61" s="851"/>
      <c r="QS61" s="851"/>
      <c r="QT61" s="851"/>
      <c r="QU61" s="851"/>
      <c r="QV61" s="851"/>
      <c r="QW61" s="851"/>
      <c r="QX61" s="851"/>
      <c r="QY61" s="851"/>
      <c r="QZ61" s="851"/>
      <c r="RA61" s="851"/>
      <c r="RB61" s="851"/>
      <c r="RC61" s="851"/>
      <c r="RD61" s="851"/>
      <c r="RE61" s="851"/>
      <c r="RF61" s="851"/>
      <c r="RG61" s="851"/>
      <c r="RH61" s="851"/>
      <c r="RI61" s="851"/>
      <c r="RJ61" s="851"/>
      <c r="RK61" s="851"/>
      <c r="RL61" s="851"/>
      <c r="RM61" s="851"/>
      <c r="RN61" s="851"/>
      <c r="RO61" s="851"/>
      <c r="RP61" s="851"/>
      <c r="RQ61" s="851"/>
      <c r="RR61" s="851"/>
      <c r="RS61" s="851"/>
      <c r="RT61" s="851"/>
      <c r="RU61" s="851"/>
      <c r="RV61" s="851"/>
      <c r="RW61" s="851"/>
      <c r="RX61" s="851"/>
      <c r="RY61" s="851"/>
      <c r="RZ61" s="851"/>
      <c r="SA61" s="851"/>
      <c r="SB61" s="851"/>
      <c r="SC61" s="851"/>
      <c r="SD61" s="851"/>
      <c r="SE61" s="851"/>
      <c r="SF61" s="851"/>
      <c r="SG61" s="851"/>
      <c r="SH61" s="851"/>
      <c r="SI61" s="851"/>
      <c r="SJ61" s="851"/>
      <c r="SK61" s="851"/>
      <c r="SL61" s="851"/>
      <c r="SM61" s="851"/>
      <c r="SN61" s="851"/>
      <c r="SO61" s="851"/>
      <c r="SP61" s="851"/>
      <c r="SQ61" s="851"/>
      <c r="SR61" s="851"/>
    </row>
    <row r="62" spans="1:512" ht="15" customHeight="1">
      <c r="A62" s="969"/>
      <c r="B62" s="969"/>
      <c r="C62" s="969"/>
      <c r="D62" s="969"/>
      <c r="E62" s="969"/>
      <c r="F62" s="969"/>
      <c r="G62" s="761"/>
      <c r="H62" s="1027"/>
      <c r="I62" s="761"/>
      <c r="J62" s="761"/>
      <c r="K62" s="761"/>
      <c r="L62" s="761"/>
      <c r="M62" s="761"/>
      <c r="N62" s="761"/>
      <c r="O62" s="761"/>
      <c r="P62" s="761"/>
      <c r="Q62" s="761"/>
      <c r="R62" s="761"/>
      <c r="S62" s="761"/>
      <c r="T62" s="761"/>
      <c r="U62" s="762"/>
      <c r="V62" s="762"/>
      <c r="W62" s="762"/>
      <c r="X62" s="762"/>
      <c r="Y62" s="762"/>
      <c r="Z62" s="762"/>
      <c r="AA62" s="762"/>
      <c r="AB62" s="762"/>
      <c r="AC62" s="762"/>
      <c r="AD62" s="762"/>
      <c r="AE62" s="762"/>
      <c r="AF62" s="762"/>
      <c r="AG62" s="762"/>
      <c r="AH62" s="762"/>
      <c r="AI62" s="762"/>
      <c r="AJ62" s="762"/>
      <c r="AK62" s="762"/>
      <c r="AL62" s="762"/>
      <c r="AM62" s="762"/>
      <c r="AN62" s="762"/>
      <c r="AO62" s="762"/>
      <c r="AP62" s="762"/>
      <c r="AQ62" s="762"/>
      <c r="AR62" s="762"/>
      <c r="AS62" s="762"/>
      <c r="AT62" s="762"/>
      <c r="AU62" s="762"/>
      <c r="AV62" s="762"/>
      <c r="AW62" s="762"/>
      <c r="AX62" s="762"/>
      <c r="AY62" s="762"/>
      <c r="AZ62" s="762"/>
      <c r="BA62" s="762"/>
      <c r="BB62" s="762"/>
      <c r="BC62" s="762"/>
      <c r="BD62" s="762"/>
      <c r="BE62" s="762"/>
    </row>
    <row r="63" spans="1:512" ht="15" customHeight="1">
      <c r="A63" s="969" t="s">
        <v>2418</v>
      </c>
      <c r="B63" s="969"/>
      <c r="C63" s="969"/>
      <c r="D63" s="969"/>
      <c r="E63" s="969"/>
      <c r="F63" s="969"/>
      <c r="G63" s="763"/>
      <c r="H63" s="1027"/>
      <c r="I63" s="763"/>
      <c r="J63" s="763"/>
      <c r="K63" s="763"/>
      <c r="L63" s="763"/>
      <c r="M63" s="763"/>
      <c r="N63" s="763"/>
      <c r="O63" s="763"/>
      <c r="P63" s="763"/>
      <c r="Q63" s="763"/>
      <c r="R63" s="763"/>
      <c r="S63" s="763"/>
      <c r="T63" s="763"/>
      <c r="U63" s="764"/>
      <c r="V63" s="764"/>
      <c r="W63" s="764"/>
      <c r="X63" s="764"/>
      <c r="Y63" s="764"/>
      <c r="Z63" s="764"/>
      <c r="AA63" s="764"/>
      <c r="AB63" s="764"/>
      <c r="AC63" s="764"/>
      <c r="AD63" s="764"/>
      <c r="AE63" s="764"/>
      <c r="AF63" s="764"/>
      <c r="AG63" s="764"/>
      <c r="AH63" s="764"/>
      <c r="AI63" s="764"/>
      <c r="AJ63" s="764"/>
      <c r="AK63" s="764"/>
      <c r="AL63" s="764"/>
      <c r="AM63" s="764"/>
      <c r="AN63" s="764"/>
      <c r="AO63" s="764"/>
      <c r="AP63" s="764"/>
      <c r="AQ63" s="764"/>
      <c r="AR63" s="764"/>
      <c r="AS63" s="764"/>
      <c r="AT63" s="764"/>
      <c r="AU63" s="764"/>
      <c r="AV63" s="764"/>
      <c r="AW63" s="764"/>
      <c r="AX63" s="764"/>
      <c r="AY63" s="764"/>
      <c r="AZ63" s="764"/>
      <c r="BA63" s="764"/>
      <c r="BB63" s="764"/>
      <c r="BC63" s="764"/>
      <c r="BD63" s="764"/>
      <c r="BE63" s="764"/>
    </row>
    <row r="64" spans="1:512" ht="15" customHeight="1">
      <c r="A64" s="969"/>
      <c r="B64" s="969" t="s">
        <v>2269</v>
      </c>
      <c r="C64" s="969"/>
      <c r="D64" s="969"/>
      <c r="E64" s="969"/>
      <c r="F64" s="969"/>
      <c r="G64" s="765"/>
      <c r="H64" s="1027"/>
      <c r="I64" s="765"/>
      <c r="J64" s="765"/>
      <c r="K64" s="765"/>
      <c r="L64" s="765"/>
      <c r="M64" s="765"/>
      <c r="N64" s="765"/>
      <c r="O64" s="765"/>
      <c r="P64" s="765"/>
      <c r="Q64" s="765"/>
      <c r="R64" s="765"/>
      <c r="S64" s="765"/>
      <c r="T64" s="765"/>
      <c r="U64" s="766"/>
      <c r="V64" s="766"/>
      <c r="W64" s="766"/>
      <c r="X64" s="766"/>
      <c r="Y64" s="766"/>
      <c r="Z64" s="766"/>
      <c r="AA64" s="766"/>
      <c r="AB64" s="766"/>
      <c r="AC64" s="766"/>
      <c r="AD64" s="766"/>
      <c r="AE64" s="766"/>
      <c r="AF64" s="766"/>
      <c r="AG64" s="766"/>
      <c r="AH64" s="766"/>
      <c r="AI64" s="766"/>
      <c r="AJ64" s="766"/>
      <c r="AK64" s="766"/>
      <c r="AL64" s="766"/>
      <c r="AM64" s="766"/>
      <c r="AN64" s="766"/>
      <c r="AO64" s="766"/>
      <c r="AP64" s="766"/>
      <c r="AQ64" s="766"/>
      <c r="AR64" s="766"/>
      <c r="AS64" s="766"/>
      <c r="AT64" s="766"/>
      <c r="AU64" s="766"/>
      <c r="AV64" s="766"/>
      <c r="AW64" s="766"/>
      <c r="AX64" s="766"/>
      <c r="AY64" s="766"/>
      <c r="AZ64" s="766"/>
      <c r="BA64" s="766"/>
      <c r="BB64" s="766"/>
      <c r="BC64" s="766"/>
      <c r="BD64" s="766"/>
      <c r="BE64" s="766"/>
    </row>
    <row r="65" spans="1:512" ht="15" customHeight="1">
      <c r="A65" s="969"/>
      <c r="B65" s="969"/>
      <c r="C65" s="969" t="s">
        <v>2419</v>
      </c>
      <c r="D65" s="969"/>
      <c r="E65" s="969" t="s">
        <v>237</v>
      </c>
      <c r="F65" s="969"/>
      <c r="G65" s="756">
        <v>0</v>
      </c>
      <c r="H65" s="1027">
        <v>1</v>
      </c>
      <c r="I65" s="756"/>
      <c r="J65" s="756"/>
      <c r="K65" s="756"/>
      <c r="L65" s="756"/>
      <c r="M65" s="756"/>
      <c r="N65" s="756"/>
      <c r="O65" s="756"/>
      <c r="P65" s="756"/>
      <c r="Q65" s="756"/>
      <c r="R65" s="756"/>
      <c r="S65" s="756"/>
      <c r="T65" s="756"/>
      <c r="U65" s="756"/>
      <c r="V65" s="756"/>
      <c r="W65" s="756"/>
      <c r="X65" s="756"/>
      <c r="Y65" s="756"/>
      <c r="Z65" s="756"/>
      <c r="AA65" s="756"/>
      <c r="AB65" s="756"/>
      <c r="AC65" s="756"/>
      <c r="AD65" s="756"/>
      <c r="AE65" s="756"/>
      <c r="AF65" s="756"/>
      <c r="AG65" s="756"/>
      <c r="AH65" s="756"/>
      <c r="AI65" s="756"/>
      <c r="AJ65" s="756"/>
      <c r="AK65" s="756"/>
      <c r="AL65" s="756"/>
      <c r="AM65" s="756"/>
      <c r="AN65" s="756"/>
      <c r="AO65" s="756"/>
      <c r="AP65" s="756"/>
      <c r="AQ65" s="756"/>
      <c r="AR65" s="756"/>
      <c r="AS65" s="756"/>
      <c r="AT65" s="756"/>
      <c r="AU65" s="756"/>
      <c r="AV65" s="756"/>
      <c r="AW65" s="756"/>
      <c r="AX65" s="756"/>
      <c r="AY65" s="756"/>
      <c r="AZ65" s="756"/>
      <c r="BA65" s="756"/>
      <c r="BB65" s="756"/>
      <c r="BC65" s="756"/>
      <c r="BD65" s="756"/>
      <c r="BE65" s="756"/>
      <c r="BF65" s="756"/>
      <c r="BG65" s="756"/>
      <c r="BH65" s="756"/>
      <c r="BI65" s="756"/>
      <c r="BJ65" s="756"/>
      <c r="BK65" s="756"/>
      <c r="BL65" s="756"/>
      <c r="BM65" s="756"/>
      <c r="BN65" s="756"/>
      <c r="BO65" s="756"/>
      <c r="BP65" s="756"/>
      <c r="BQ65" s="756"/>
      <c r="BR65" s="756"/>
      <c r="BS65" s="756"/>
      <c r="BT65" s="756"/>
      <c r="BU65" s="756"/>
      <c r="BV65" s="756"/>
      <c r="BW65" s="756"/>
      <c r="BX65" s="756"/>
      <c r="BY65" s="756"/>
      <c r="BZ65" s="756"/>
      <c r="CA65" s="756"/>
      <c r="CB65" s="756"/>
      <c r="CC65" s="756"/>
      <c r="CD65" s="756"/>
      <c r="CE65" s="756"/>
      <c r="CF65" s="756"/>
      <c r="CG65" s="756"/>
      <c r="CH65" s="756"/>
      <c r="CI65" s="756"/>
      <c r="CJ65" s="756"/>
      <c r="CK65" s="756"/>
      <c r="CL65" s="756"/>
      <c r="CM65" s="756"/>
      <c r="CN65" s="756"/>
      <c r="CO65" s="756"/>
      <c r="CP65" s="756"/>
      <c r="CQ65" s="756"/>
      <c r="CR65" s="756"/>
      <c r="CS65" s="756"/>
      <c r="CT65" s="756"/>
      <c r="CU65" s="756"/>
      <c r="CV65" s="756"/>
      <c r="CW65" s="756"/>
      <c r="CX65" s="756"/>
      <c r="CY65" s="756"/>
      <c r="CZ65" s="756"/>
      <c r="DA65" s="756"/>
      <c r="DB65" s="756"/>
      <c r="DC65" s="756"/>
      <c r="DD65" s="756"/>
      <c r="DE65" s="756"/>
      <c r="DF65" s="756"/>
      <c r="DG65" s="756"/>
      <c r="DH65" s="756"/>
      <c r="DI65" s="756"/>
      <c r="DJ65" s="756"/>
      <c r="DK65" s="756"/>
      <c r="DL65" s="756"/>
      <c r="DM65" s="756"/>
      <c r="DN65" s="756"/>
      <c r="DO65" s="756"/>
      <c r="DP65" s="756"/>
      <c r="DQ65" s="756"/>
      <c r="DR65" s="756"/>
      <c r="DS65" s="756"/>
      <c r="DT65" s="756"/>
      <c r="DU65" s="756"/>
      <c r="DV65" s="756"/>
      <c r="DW65" s="756"/>
      <c r="DX65" s="756"/>
      <c r="DY65" s="756"/>
      <c r="DZ65" s="756"/>
      <c r="EA65" s="756"/>
      <c r="EB65" s="756"/>
      <c r="EC65" s="756"/>
      <c r="ED65" s="756"/>
      <c r="EE65" s="756"/>
      <c r="EF65" s="756"/>
      <c r="EG65" s="756"/>
      <c r="EH65" s="756"/>
      <c r="EI65" s="756"/>
      <c r="EJ65" s="756"/>
      <c r="EK65" s="756"/>
      <c r="EL65" s="756"/>
      <c r="EM65" s="756"/>
      <c r="EN65" s="756"/>
      <c r="EO65" s="756"/>
      <c r="EP65" s="756"/>
      <c r="EQ65" s="756"/>
      <c r="ER65" s="756"/>
      <c r="ES65" s="756"/>
      <c r="ET65" s="756"/>
      <c r="EU65" s="756"/>
      <c r="EV65" s="756"/>
      <c r="EW65" s="756"/>
      <c r="EX65" s="756"/>
      <c r="EY65" s="756"/>
      <c r="EZ65" s="756"/>
      <c r="FA65" s="756"/>
      <c r="FB65" s="756"/>
      <c r="FC65" s="756"/>
      <c r="FD65" s="756"/>
      <c r="FE65" s="756"/>
      <c r="FF65" s="756"/>
      <c r="FG65" s="756"/>
      <c r="FH65" s="756"/>
      <c r="FI65" s="756"/>
      <c r="FJ65" s="756"/>
      <c r="FK65" s="756"/>
      <c r="FL65" s="756"/>
      <c r="FM65" s="756"/>
      <c r="FN65" s="756"/>
      <c r="FO65" s="756"/>
      <c r="FP65" s="756"/>
      <c r="FQ65" s="756"/>
      <c r="FR65" s="756"/>
      <c r="FS65" s="756"/>
      <c r="FT65" s="756"/>
      <c r="FU65" s="756"/>
      <c r="FV65" s="756"/>
      <c r="FW65" s="756"/>
      <c r="FX65" s="756"/>
      <c r="FY65" s="756"/>
      <c r="FZ65" s="756"/>
      <c r="GA65" s="756"/>
      <c r="GB65" s="756"/>
      <c r="GC65" s="756"/>
      <c r="GD65" s="756"/>
      <c r="GE65" s="756"/>
      <c r="GF65" s="756"/>
      <c r="GG65" s="756"/>
      <c r="GH65" s="756"/>
      <c r="GI65" s="756"/>
      <c r="GJ65" s="756"/>
      <c r="GK65" s="756"/>
      <c r="GL65" s="756"/>
      <c r="GM65" s="756"/>
      <c r="GN65" s="756"/>
      <c r="GO65" s="756"/>
      <c r="GP65" s="756"/>
      <c r="GQ65" s="756"/>
      <c r="GR65" s="756"/>
      <c r="GS65" s="756"/>
      <c r="GT65" s="756"/>
      <c r="GU65" s="756"/>
      <c r="GV65" s="756"/>
      <c r="GW65" s="756"/>
      <c r="GX65" s="756"/>
      <c r="GY65" s="756"/>
      <c r="GZ65" s="756"/>
      <c r="HA65" s="756"/>
      <c r="HB65" s="756"/>
      <c r="HC65" s="756"/>
      <c r="HD65" s="756"/>
      <c r="HE65" s="756"/>
      <c r="HF65" s="756"/>
      <c r="HG65" s="756"/>
      <c r="HH65" s="756"/>
      <c r="HI65" s="756"/>
      <c r="HJ65" s="756"/>
      <c r="HK65" s="756"/>
      <c r="HL65" s="756"/>
      <c r="HM65" s="756"/>
      <c r="HN65" s="756"/>
      <c r="HO65" s="756"/>
      <c r="HP65" s="756"/>
      <c r="HQ65" s="756"/>
      <c r="HR65" s="756"/>
      <c r="HS65" s="756"/>
      <c r="HT65" s="756"/>
      <c r="HU65" s="756"/>
      <c r="HV65" s="756"/>
      <c r="HW65" s="756"/>
      <c r="HX65" s="756"/>
      <c r="HY65" s="756"/>
      <c r="HZ65" s="756"/>
      <c r="IA65" s="756"/>
      <c r="IB65" s="756"/>
      <c r="IC65" s="756"/>
      <c r="ID65" s="756"/>
      <c r="IE65" s="756"/>
      <c r="IF65" s="756"/>
      <c r="IG65" s="756"/>
      <c r="IH65" s="756"/>
      <c r="II65" s="756"/>
      <c r="IJ65" s="756"/>
      <c r="IK65" s="756"/>
      <c r="IL65" s="756"/>
      <c r="IM65" s="756"/>
      <c r="IN65" s="756"/>
      <c r="IO65" s="756"/>
      <c r="IP65" s="756"/>
      <c r="IQ65" s="756"/>
      <c r="IR65" s="756"/>
      <c r="IS65" s="756"/>
      <c r="IT65" s="756"/>
      <c r="IU65" s="756"/>
      <c r="IV65" s="756"/>
      <c r="IW65" s="756"/>
      <c r="IX65" s="756"/>
      <c r="IY65" s="756"/>
      <c r="IZ65" s="756"/>
      <c r="JA65" s="756"/>
      <c r="JB65" s="756"/>
      <c r="JC65" s="756"/>
      <c r="JD65" s="756"/>
      <c r="JE65" s="756"/>
      <c r="JF65" s="756"/>
      <c r="JG65" s="756"/>
      <c r="JH65" s="756"/>
      <c r="JI65" s="756"/>
      <c r="JJ65" s="756"/>
      <c r="JK65" s="756"/>
      <c r="JL65" s="756"/>
      <c r="JM65" s="756"/>
      <c r="JN65" s="756"/>
      <c r="JO65" s="756"/>
      <c r="JP65" s="756"/>
      <c r="JQ65" s="756"/>
      <c r="JR65" s="756"/>
      <c r="JS65" s="756"/>
      <c r="JT65" s="756"/>
      <c r="JU65" s="756"/>
      <c r="JV65" s="756"/>
      <c r="JW65" s="756"/>
      <c r="JX65" s="756"/>
      <c r="JY65" s="756"/>
      <c r="JZ65" s="756"/>
      <c r="KA65" s="756"/>
      <c r="KB65" s="756"/>
      <c r="KC65" s="756"/>
      <c r="KD65" s="756"/>
      <c r="KE65" s="756"/>
      <c r="KF65" s="756"/>
      <c r="KG65" s="756"/>
      <c r="KH65" s="756"/>
      <c r="KI65" s="756"/>
      <c r="KJ65" s="756"/>
      <c r="KK65" s="756"/>
      <c r="KL65" s="756"/>
      <c r="KM65" s="756"/>
      <c r="KN65" s="756"/>
      <c r="KO65" s="756"/>
      <c r="KP65" s="756"/>
      <c r="KQ65" s="756"/>
      <c r="KR65" s="756"/>
      <c r="KS65" s="756"/>
      <c r="KT65" s="756"/>
      <c r="KU65" s="756"/>
      <c r="KV65" s="756"/>
      <c r="KW65" s="756"/>
      <c r="KX65" s="756"/>
      <c r="KY65" s="756"/>
      <c r="KZ65" s="756"/>
      <c r="LA65" s="756"/>
      <c r="LB65" s="756"/>
      <c r="LC65" s="756"/>
      <c r="LD65" s="756"/>
      <c r="LE65" s="756"/>
      <c r="LF65" s="756"/>
      <c r="LG65" s="756"/>
      <c r="LH65" s="756"/>
      <c r="LI65" s="756"/>
      <c r="LJ65" s="756"/>
      <c r="LK65" s="756"/>
      <c r="LL65" s="756"/>
      <c r="LM65" s="756"/>
      <c r="LN65" s="756"/>
      <c r="LO65" s="756"/>
      <c r="LP65" s="756"/>
      <c r="LQ65" s="756"/>
      <c r="LR65" s="756"/>
      <c r="LS65" s="756"/>
      <c r="LT65" s="756"/>
      <c r="LU65" s="756"/>
      <c r="LV65" s="756"/>
      <c r="LW65" s="756"/>
      <c r="LX65" s="756"/>
      <c r="LY65" s="756"/>
      <c r="LZ65" s="756"/>
      <c r="MA65" s="756"/>
      <c r="MB65" s="756"/>
      <c r="MC65" s="756"/>
      <c r="MD65" s="756"/>
      <c r="ME65" s="756"/>
      <c r="MF65" s="756"/>
      <c r="MG65" s="756"/>
      <c r="MH65" s="756"/>
      <c r="MI65" s="756"/>
      <c r="MJ65" s="756"/>
      <c r="MK65" s="756"/>
      <c r="ML65" s="756"/>
      <c r="MM65" s="756"/>
      <c r="MN65" s="756"/>
      <c r="MO65" s="756"/>
      <c r="MP65" s="756"/>
      <c r="MQ65" s="756"/>
      <c r="MR65" s="756"/>
      <c r="MS65" s="756"/>
      <c r="MT65" s="756"/>
      <c r="MU65" s="756"/>
      <c r="MV65" s="756"/>
      <c r="MW65" s="756"/>
      <c r="MX65" s="756"/>
      <c r="MY65" s="756"/>
      <c r="MZ65" s="756"/>
      <c r="NA65" s="756"/>
      <c r="NB65" s="756"/>
      <c r="NC65" s="756"/>
      <c r="ND65" s="756"/>
      <c r="NE65" s="756"/>
      <c r="NF65" s="756"/>
      <c r="NG65" s="756"/>
      <c r="NH65" s="756"/>
      <c r="NI65" s="756"/>
      <c r="NJ65" s="756"/>
      <c r="NK65" s="756"/>
      <c r="NL65" s="756"/>
      <c r="NM65" s="756"/>
      <c r="NN65" s="756"/>
      <c r="NO65" s="756"/>
      <c r="NP65" s="756"/>
      <c r="NQ65" s="756"/>
      <c r="NR65" s="756"/>
      <c r="NS65" s="756"/>
      <c r="NT65" s="756"/>
      <c r="NU65" s="756"/>
      <c r="NV65" s="756"/>
      <c r="NW65" s="756"/>
      <c r="NX65" s="756"/>
      <c r="NY65" s="756"/>
      <c r="NZ65" s="756"/>
      <c r="OA65" s="756"/>
      <c r="OB65" s="756"/>
      <c r="OC65" s="756"/>
      <c r="OD65" s="756"/>
      <c r="OE65" s="756"/>
      <c r="OF65" s="756"/>
      <c r="OG65" s="756"/>
      <c r="OH65" s="756"/>
      <c r="OI65" s="756"/>
      <c r="OJ65" s="756"/>
      <c r="OK65" s="756"/>
      <c r="OL65" s="756"/>
      <c r="OM65" s="756"/>
      <c r="ON65" s="756"/>
      <c r="OO65" s="756"/>
      <c r="OP65" s="756"/>
      <c r="OQ65" s="756"/>
      <c r="OR65" s="756"/>
      <c r="OS65" s="756"/>
      <c r="OT65" s="756"/>
      <c r="OU65" s="756"/>
      <c r="OV65" s="756"/>
      <c r="OW65" s="756"/>
      <c r="OX65" s="756"/>
      <c r="OY65" s="756"/>
      <c r="OZ65" s="756"/>
      <c r="PA65" s="756"/>
      <c r="PB65" s="756"/>
      <c r="PC65" s="756"/>
      <c r="PD65" s="756"/>
      <c r="PE65" s="756"/>
      <c r="PF65" s="756"/>
      <c r="PG65" s="756"/>
      <c r="PH65" s="756"/>
      <c r="PI65" s="756"/>
      <c r="PJ65" s="756"/>
      <c r="PK65" s="756"/>
      <c r="PL65" s="756"/>
      <c r="PM65" s="756"/>
      <c r="PN65" s="756"/>
      <c r="PO65" s="756"/>
      <c r="PP65" s="756"/>
      <c r="PQ65" s="756"/>
      <c r="PR65" s="756"/>
      <c r="PS65" s="756"/>
      <c r="PT65" s="756"/>
      <c r="PU65" s="756"/>
      <c r="PV65" s="756"/>
      <c r="PW65" s="756"/>
      <c r="PX65" s="756"/>
      <c r="PY65" s="756"/>
      <c r="PZ65" s="756"/>
      <c r="QA65" s="756"/>
      <c r="QB65" s="756"/>
      <c r="QC65" s="756"/>
      <c r="QD65" s="756"/>
      <c r="QE65" s="756"/>
      <c r="QF65" s="756"/>
      <c r="QG65" s="756"/>
      <c r="QH65" s="756"/>
      <c r="QI65" s="756"/>
      <c r="QJ65" s="756"/>
      <c r="QK65" s="756"/>
      <c r="QL65" s="756"/>
      <c r="QM65" s="756"/>
      <c r="QN65" s="756"/>
      <c r="QO65" s="756"/>
      <c r="QP65" s="756"/>
      <c r="QQ65" s="756"/>
      <c r="QR65" s="756"/>
      <c r="QS65" s="756"/>
      <c r="QT65" s="756"/>
      <c r="QU65" s="756"/>
      <c r="QV65" s="756"/>
      <c r="QW65" s="756"/>
      <c r="QX65" s="756"/>
      <c r="QY65" s="756"/>
      <c r="QZ65" s="756"/>
      <c r="RA65" s="756"/>
      <c r="RB65" s="756"/>
      <c r="RC65" s="756"/>
      <c r="RD65" s="756"/>
      <c r="RE65" s="756"/>
      <c r="RF65" s="756"/>
      <c r="RG65" s="756"/>
      <c r="RH65" s="756"/>
      <c r="RI65" s="756"/>
      <c r="RJ65" s="756"/>
      <c r="RK65" s="756"/>
      <c r="RL65" s="756"/>
      <c r="RM65" s="756"/>
      <c r="RN65" s="756"/>
      <c r="RO65" s="756"/>
      <c r="RP65" s="756"/>
      <c r="RQ65" s="756"/>
      <c r="RR65" s="756"/>
      <c r="RS65" s="756"/>
      <c r="RT65" s="756"/>
      <c r="RU65" s="756"/>
      <c r="RV65" s="756"/>
      <c r="RW65" s="756"/>
      <c r="RX65" s="756"/>
      <c r="RY65" s="756"/>
      <c r="RZ65" s="756"/>
      <c r="SA65" s="756"/>
      <c r="SB65" s="756"/>
      <c r="SC65" s="756"/>
      <c r="SD65" s="756"/>
      <c r="SE65" s="756"/>
      <c r="SF65" s="756"/>
      <c r="SG65" s="756"/>
      <c r="SH65" s="756"/>
      <c r="SI65" s="756"/>
      <c r="SJ65" s="756"/>
      <c r="SK65" s="756"/>
      <c r="SL65" s="756"/>
      <c r="SM65" s="756"/>
      <c r="SN65" s="756"/>
      <c r="SO65" s="756"/>
      <c r="SP65" s="756"/>
      <c r="SQ65" s="756"/>
      <c r="SR65" s="756"/>
    </row>
    <row r="66" spans="1:512" ht="15" customHeight="1">
      <c r="A66" s="969"/>
      <c r="B66" s="969"/>
      <c r="C66" s="969" t="s">
        <v>2420</v>
      </c>
      <c r="D66" s="969"/>
      <c r="E66" s="969" t="s">
        <v>237</v>
      </c>
      <c r="F66" s="969"/>
      <c r="G66" s="756">
        <v>1</v>
      </c>
      <c r="H66" s="1027">
        <v>0</v>
      </c>
      <c r="I66" s="756"/>
      <c r="J66" s="756"/>
      <c r="K66" s="756"/>
      <c r="L66" s="756"/>
      <c r="M66" s="756"/>
      <c r="N66" s="756"/>
      <c r="O66" s="756"/>
      <c r="P66" s="756"/>
      <c r="Q66" s="756"/>
      <c r="R66" s="756"/>
      <c r="S66" s="756"/>
      <c r="T66" s="756"/>
      <c r="U66" s="756"/>
      <c r="V66" s="756"/>
      <c r="W66" s="756"/>
      <c r="X66" s="756"/>
      <c r="Y66" s="756"/>
      <c r="Z66" s="756"/>
      <c r="AA66" s="756"/>
      <c r="AB66" s="756"/>
      <c r="AC66" s="756"/>
      <c r="AD66" s="756"/>
      <c r="AE66" s="756"/>
      <c r="AF66" s="756"/>
      <c r="AG66" s="756"/>
      <c r="AH66" s="756"/>
      <c r="AI66" s="756"/>
      <c r="AJ66" s="756"/>
      <c r="AK66" s="756"/>
      <c r="AL66" s="756"/>
      <c r="AM66" s="756"/>
      <c r="AN66" s="756"/>
      <c r="AO66" s="756"/>
      <c r="AP66" s="756"/>
      <c r="AQ66" s="756"/>
      <c r="AR66" s="756"/>
      <c r="AS66" s="756"/>
      <c r="AT66" s="756"/>
      <c r="AU66" s="756"/>
      <c r="AV66" s="756"/>
      <c r="AW66" s="756"/>
      <c r="AX66" s="756"/>
      <c r="AY66" s="756"/>
      <c r="AZ66" s="756"/>
      <c r="BA66" s="756"/>
      <c r="BB66" s="756"/>
      <c r="BC66" s="756"/>
      <c r="BD66" s="756"/>
      <c r="BE66" s="756"/>
      <c r="BF66" s="756"/>
      <c r="BG66" s="756"/>
      <c r="BH66" s="756"/>
      <c r="BI66" s="756"/>
      <c r="BJ66" s="756"/>
      <c r="BK66" s="756"/>
      <c r="BL66" s="756"/>
      <c r="BM66" s="756"/>
      <c r="BN66" s="756"/>
      <c r="BO66" s="756"/>
      <c r="BP66" s="756"/>
      <c r="BQ66" s="756"/>
      <c r="BR66" s="756"/>
      <c r="BS66" s="756"/>
      <c r="BT66" s="756"/>
      <c r="BU66" s="756"/>
      <c r="BV66" s="756"/>
      <c r="BW66" s="756"/>
      <c r="BX66" s="756"/>
      <c r="BY66" s="756"/>
      <c r="BZ66" s="756"/>
      <c r="CA66" s="756"/>
      <c r="CB66" s="756"/>
      <c r="CC66" s="756"/>
      <c r="CD66" s="756"/>
      <c r="CE66" s="756"/>
      <c r="CF66" s="756"/>
      <c r="CG66" s="756"/>
      <c r="CH66" s="756"/>
      <c r="CI66" s="756"/>
      <c r="CJ66" s="756"/>
      <c r="CK66" s="756"/>
      <c r="CL66" s="756"/>
      <c r="CM66" s="756"/>
      <c r="CN66" s="756"/>
      <c r="CO66" s="756"/>
      <c r="CP66" s="756"/>
      <c r="CQ66" s="756"/>
      <c r="CR66" s="756"/>
      <c r="CS66" s="756"/>
      <c r="CT66" s="756"/>
      <c r="CU66" s="756"/>
      <c r="CV66" s="756"/>
      <c r="CW66" s="756"/>
      <c r="CX66" s="756"/>
      <c r="CY66" s="756"/>
      <c r="CZ66" s="756"/>
      <c r="DA66" s="756"/>
      <c r="DB66" s="756"/>
      <c r="DC66" s="756"/>
      <c r="DD66" s="756"/>
      <c r="DE66" s="756"/>
      <c r="DF66" s="756"/>
      <c r="DG66" s="756"/>
      <c r="DH66" s="756"/>
      <c r="DI66" s="756"/>
      <c r="DJ66" s="756"/>
      <c r="DK66" s="756"/>
      <c r="DL66" s="756"/>
      <c r="DM66" s="756"/>
      <c r="DN66" s="756"/>
      <c r="DO66" s="756"/>
      <c r="DP66" s="756"/>
      <c r="DQ66" s="756"/>
      <c r="DR66" s="756"/>
      <c r="DS66" s="756"/>
      <c r="DT66" s="756"/>
      <c r="DU66" s="756"/>
      <c r="DV66" s="756"/>
      <c r="DW66" s="756"/>
      <c r="DX66" s="756"/>
      <c r="DY66" s="756"/>
      <c r="DZ66" s="756"/>
      <c r="EA66" s="756"/>
      <c r="EB66" s="756"/>
      <c r="EC66" s="756"/>
      <c r="ED66" s="756"/>
      <c r="EE66" s="756"/>
      <c r="EF66" s="756"/>
      <c r="EG66" s="756"/>
      <c r="EH66" s="756"/>
      <c r="EI66" s="756"/>
      <c r="EJ66" s="756"/>
      <c r="EK66" s="756"/>
      <c r="EL66" s="756"/>
      <c r="EM66" s="756"/>
      <c r="EN66" s="756"/>
      <c r="EO66" s="756"/>
      <c r="EP66" s="756"/>
      <c r="EQ66" s="756"/>
      <c r="ER66" s="756"/>
      <c r="ES66" s="756"/>
      <c r="ET66" s="756"/>
      <c r="EU66" s="756"/>
      <c r="EV66" s="756"/>
      <c r="EW66" s="756"/>
      <c r="EX66" s="756"/>
      <c r="EY66" s="756"/>
      <c r="EZ66" s="756"/>
      <c r="FA66" s="756"/>
      <c r="FB66" s="756"/>
      <c r="FC66" s="756"/>
      <c r="FD66" s="756"/>
      <c r="FE66" s="756"/>
      <c r="FF66" s="756"/>
      <c r="FG66" s="756"/>
      <c r="FH66" s="756"/>
      <c r="FI66" s="756"/>
      <c r="FJ66" s="756"/>
      <c r="FK66" s="756"/>
      <c r="FL66" s="756"/>
      <c r="FM66" s="756"/>
      <c r="FN66" s="756"/>
      <c r="FO66" s="756"/>
      <c r="FP66" s="756"/>
      <c r="FQ66" s="756"/>
      <c r="FR66" s="756"/>
      <c r="FS66" s="756"/>
      <c r="FT66" s="756"/>
      <c r="FU66" s="756"/>
      <c r="FV66" s="756"/>
      <c r="FW66" s="756"/>
      <c r="FX66" s="756"/>
      <c r="FY66" s="756"/>
      <c r="FZ66" s="756"/>
      <c r="GA66" s="756"/>
      <c r="GB66" s="756"/>
      <c r="GC66" s="756"/>
      <c r="GD66" s="756"/>
      <c r="GE66" s="756"/>
      <c r="GF66" s="756"/>
      <c r="GG66" s="756"/>
      <c r="GH66" s="756"/>
      <c r="GI66" s="756"/>
      <c r="GJ66" s="756"/>
      <c r="GK66" s="756"/>
      <c r="GL66" s="756"/>
      <c r="GM66" s="756"/>
      <c r="GN66" s="756"/>
      <c r="GO66" s="756"/>
      <c r="GP66" s="756"/>
      <c r="GQ66" s="756"/>
      <c r="GR66" s="756"/>
      <c r="GS66" s="756"/>
      <c r="GT66" s="756"/>
      <c r="GU66" s="756"/>
      <c r="GV66" s="756"/>
      <c r="GW66" s="756"/>
      <c r="GX66" s="756"/>
      <c r="GY66" s="756"/>
      <c r="GZ66" s="756"/>
      <c r="HA66" s="756"/>
      <c r="HB66" s="756"/>
      <c r="HC66" s="756"/>
      <c r="HD66" s="756"/>
      <c r="HE66" s="756"/>
      <c r="HF66" s="756"/>
      <c r="HG66" s="756"/>
      <c r="HH66" s="756"/>
      <c r="HI66" s="756"/>
      <c r="HJ66" s="756"/>
      <c r="HK66" s="756"/>
      <c r="HL66" s="756"/>
      <c r="HM66" s="756"/>
      <c r="HN66" s="756"/>
      <c r="HO66" s="756"/>
      <c r="HP66" s="756"/>
      <c r="HQ66" s="756"/>
      <c r="HR66" s="756"/>
      <c r="HS66" s="756"/>
      <c r="HT66" s="756"/>
      <c r="HU66" s="756"/>
      <c r="HV66" s="756"/>
      <c r="HW66" s="756"/>
      <c r="HX66" s="756"/>
      <c r="HY66" s="756"/>
      <c r="HZ66" s="756"/>
      <c r="IA66" s="756"/>
      <c r="IB66" s="756"/>
      <c r="IC66" s="756"/>
      <c r="ID66" s="756"/>
      <c r="IE66" s="756"/>
      <c r="IF66" s="756"/>
      <c r="IG66" s="756"/>
      <c r="IH66" s="756"/>
      <c r="II66" s="756"/>
      <c r="IJ66" s="756"/>
      <c r="IK66" s="756"/>
      <c r="IL66" s="756"/>
      <c r="IM66" s="756"/>
      <c r="IN66" s="756"/>
      <c r="IO66" s="756"/>
      <c r="IP66" s="756"/>
      <c r="IQ66" s="756"/>
      <c r="IR66" s="756"/>
      <c r="IS66" s="756"/>
      <c r="IT66" s="756"/>
      <c r="IU66" s="756"/>
      <c r="IV66" s="756"/>
      <c r="IW66" s="756"/>
      <c r="IX66" s="756"/>
      <c r="IY66" s="756"/>
      <c r="IZ66" s="756"/>
      <c r="JA66" s="756"/>
      <c r="JB66" s="756"/>
      <c r="JC66" s="756"/>
      <c r="JD66" s="756"/>
      <c r="JE66" s="756"/>
      <c r="JF66" s="756"/>
      <c r="JG66" s="756"/>
      <c r="JH66" s="756"/>
      <c r="JI66" s="756"/>
      <c r="JJ66" s="756"/>
      <c r="JK66" s="756"/>
      <c r="JL66" s="756"/>
      <c r="JM66" s="756"/>
      <c r="JN66" s="756"/>
      <c r="JO66" s="756"/>
      <c r="JP66" s="756"/>
      <c r="JQ66" s="756"/>
      <c r="JR66" s="756"/>
      <c r="JS66" s="756"/>
      <c r="JT66" s="756"/>
      <c r="JU66" s="756"/>
      <c r="JV66" s="756"/>
      <c r="JW66" s="756"/>
      <c r="JX66" s="756"/>
      <c r="JY66" s="756"/>
      <c r="JZ66" s="756"/>
      <c r="KA66" s="756"/>
      <c r="KB66" s="756"/>
      <c r="KC66" s="756"/>
      <c r="KD66" s="756"/>
      <c r="KE66" s="756"/>
      <c r="KF66" s="756"/>
      <c r="KG66" s="756"/>
      <c r="KH66" s="756"/>
      <c r="KI66" s="756"/>
      <c r="KJ66" s="756"/>
      <c r="KK66" s="756"/>
      <c r="KL66" s="756"/>
      <c r="KM66" s="756"/>
      <c r="KN66" s="756"/>
      <c r="KO66" s="756"/>
      <c r="KP66" s="756"/>
      <c r="KQ66" s="756"/>
      <c r="KR66" s="756"/>
      <c r="KS66" s="756"/>
      <c r="KT66" s="756"/>
      <c r="KU66" s="756"/>
      <c r="KV66" s="756"/>
      <c r="KW66" s="756"/>
      <c r="KX66" s="756"/>
      <c r="KY66" s="756"/>
      <c r="KZ66" s="756"/>
      <c r="LA66" s="756"/>
      <c r="LB66" s="756"/>
      <c r="LC66" s="756"/>
      <c r="LD66" s="756"/>
      <c r="LE66" s="756"/>
      <c r="LF66" s="756"/>
      <c r="LG66" s="756"/>
      <c r="LH66" s="756"/>
      <c r="LI66" s="756"/>
      <c r="LJ66" s="756"/>
      <c r="LK66" s="756"/>
      <c r="LL66" s="756"/>
      <c r="LM66" s="756"/>
      <c r="LN66" s="756"/>
      <c r="LO66" s="756"/>
      <c r="LP66" s="756"/>
      <c r="LQ66" s="756"/>
      <c r="LR66" s="756"/>
      <c r="LS66" s="756"/>
      <c r="LT66" s="756"/>
      <c r="LU66" s="756"/>
      <c r="LV66" s="756"/>
      <c r="LW66" s="756"/>
      <c r="LX66" s="756"/>
      <c r="LY66" s="756"/>
      <c r="LZ66" s="756"/>
      <c r="MA66" s="756"/>
      <c r="MB66" s="756"/>
      <c r="MC66" s="756"/>
      <c r="MD66" s="756"/>
      <c r="ME66" s="756"/>
      <c r="MF66" s="756"/>
      <c r="MG66" s="756"/>
      <c r="MH66" s="756"/>
      <c r="MI66" s="756"/>
      <c r="MJ66" s="756"/>
      <c r="MK66" s="756"/>
      <c r="ML66" s="756"/>
      <c r="MM66" s="756"/>
      <c r="MN66" s="756"/>
      <c r="MO66" s="756"/>
      <c r="MP66" s="756"/>
      <c r="MQ66" s="756"/>
      <c r="MR66" s="756"/>
      <c r="MS66" s="756"/>
      <c r="MT66" s="756"/>
      <c r="MU66" s="756"/>
      <c r="MV66" s="756"/>
      <c r="MW66" s="756"/>
      <c r="MX66" s="756"/>
      <c r="MY66" s="756"/>
      <c r="MZ66" s="756"/>
      <c r="NA66" s="756"/>
      <c r="NB66" s="756"/>
      <c r="NC66" s="756"/>
      <c r="ND66" s="756"/>
      <c r="NE66" s="756"/>
      <c r="NF66" s="756"/>
      <c r="NG66" s="756"/>
      <c r="NH66" s="756"/>
      <c r="NI66" s="756"/>
      <c r="NJ66" s="756"/>
      <c r="NK66" s="756"/>
      <c r="NL66" s="756"/>
      <c r="NM66" s="756"/>
      <c r="NN66" s="756"/>
      <c r="NO66" s="756"/>
      <c r="NP66" s="756"/>
      <c r="NQ66" s="756"/>
      <c r="NR66" s="756"/>
      <c r="NS66" s="756"/>
      <c r="NT66" s="756"/>
      <c r="NU66" s="756"/>
      <c r="NV66" s="756"/>
      <c r="NW66" s="756"/>
      <c r="NX66" s="756"/>
      <c r="NY66" s="756"/>
      <c r="NZ66" s="756"/>
      <c r="OA66" s="756"/>
      <c r="OB66" s="756"/>
      <c r="OC66" s="756"/>
      <c r="OD66" s="756"/>
      <c r="OE66" s="756"/>
      <c r="OF66" s="756"/>
      <c r="OG66" s="756"/>
      <c r="OH66" s="756"/>
      <c r="OI66" s="756"/>
      <c r="OJ66" s="756"/>
      <c r="OK66" s="756"/>
      <c r="OL66" s="756"/>
      <c r="OM66" s="756"/>
      <c r="ON66" s="756"/>
      <c r="OO66" s="756"/>
      <c r="OP66" s="756"/>
      <c r="OQ66" s="756"/>
      <c r="OR66" s="756"/>
      <c r="OS66" s="756"/>
      <c r="OT66" s="756"/>
      <c r="OU66" s="756"/>
      <c r="OV66" s="756"/>
      <c r="OW66" s="756"/>
      <c r="OX66" s="756"/>
      <c r="OY66" s="756"/>
      <c r="OZ66" s="756"/>
      <c r="PA66" s="756"/>
      <c r="PB66" s="756"/>
      <c r="PC66" s="756"/>
      <c r="PD66" s="756"/>
      <c r="PE66" s="756"/>
      <c r="PF66" s="756"/>
      <c r="PG66" s="756"/>
      <c r="PH66" s="756"/>
      <c r="PI66" s="756"/>
      <c r="PJ66" s="756"/>
      <c r="PK66" s="756"/>
      <c r="PL66" s="756"/>
      <c r="PM66" s="756"/>
      <c r="PN66" s="756"/>
      <c r="PO66" s="756"/>
      <c r="PP66" s="756"/>
      <c r="PQ66" s="756"/>
      <c r="PR66" s="756"/>
      <c r="PS66" s="756"/>
      <c r="PT66" s="756"/>
      <c r="PU66" s="756"/>
      <c r="PV66" s="756"/>
      <c r="PW66" s="756"/>
      <c r="PX66" s="756"/>
      <c r="PY66" s="756"/>
      <c r="PZ66" s="756"/>
      <c r="QA66" s="756"/>
      <c r="QB66" s="756"/>
      <c r="QC66" s="756"/>
      <c r="QD66" s="756"/>
      <c r="QE66" s="756"/>
      <c r="QF66" s="756"/>
      <c r="QG66" s="756"/>
      <c r="QH66" s="756"/>
      <c r="QI66" s="756"/>
      <c r="QJ66" s="756"/>
      <c r="QK66" s="756"/>
      <c r="QL66" s="756"/>
      <c r="QM66" s="756"/>
      <c r="QN66" s="756"/>
      <c r="QO66" s="756"/>
      <c r="QP66" s="756"/>
      <c r="QQ66" s="756"/>
      <c r="QR66" s="756"/>
      <c r="QS66" s="756"/>
      <c r="QT66" s="756"/>
      <c r="QU66" s="756"/>
      <c r="QV66" s="756"/>
      <c r="QW66" s="756"/>
      <c r="QX66" s="756"/>
      <c r="QY66" s="756"/>
      <c r="QZ66" s="756"/>
      <c r="RA66" s="756"/>
      <c r="RB66" s="756"/>
      <c r="RC66" s="756"/>
      <c r="RD66" s="756"/>
      <c r="RE66" s="756"/>
      <c r="RF66" s="756"/>
      <c r="RG66" s="756"/>
      <c r="RH66" s="756"/>
      <c r="RI66" s="756"/>
      <c r="RJ66" s="756"/>
      <c r="RK66" s="756"/>
      <c r="RL66" s="756"/>
      <c r="RM66" s="756"/>
      <c r="RN66" s="756"/>
      <c r="RO66" s="756"/>
      <c r="RP66" s="756"/>
      <c r="RQ66" s="756"/>
      <c r="RR66" s="756"/>
      <c r="RS66" s="756"/>
      <c r="RT66" s="756"/>
      <c r="RU66" s="756"/>
      <c r="RV66" s="756"/>
      <c r="RW66" s="756"/>
      <c r="RX66" s="756"/>
      <c r="RY66" s="756"/>
      <c r="RZ66" s="756"/>
      <c r="SA66" s="756"/>
      <c r="SB66" s="756"/>
      <c r="SC66" s="756"/>
      <c r="SD66" s="756"/>
      <c r="SE66" s="756"/>
      <c r="SF66" s="756"/>
      <c r="SG66" s="756"/>
      <c r="SH66" s="756"/>
      <c r="SI66" s="756"/>
      <c r="SJ66" s="756"/>
      <c r="SK66" s="756"/>
      <c r="SL66" s="756"/>
      <c r="SM66" s="756"/>
      <c r="SN66" s="756"/>
      <c r="SO66" s="756"/>
      <c r="SP66" s="756"/>
      <c r="SQ66" s="756"/>
      <c r="SR66" s="756"/>
    </row>
    <row r="67" spans="1:512" ht="15" customHeight="1">
      <c r="A67" s="969"/>
      <c r="B67" s="969"/>
      <c r="C67" s="969" t="s">
        <v>2421</v>
      </c>
      <c r="D67" s="969"/>
      <c r="E67" s="969" t="s">
        <v>237</v>
      </c>
      <c r="F67" s="969"/>
      <c r="G67" s="756">
        <v>0</v>
      </c>
      <c r="H67" s="1027">
        <v>0</v>
      </c>
      <c r="I67" s="756"/>
      <c r="J67" s="756"/>
      <c r="K67" s="756"/>
      <c r="L67" s="756"/>
      <c r="M67" s="756"/>
      <c r="N67" s="756"/>
      <c r="O67" s="756"/>
      <c r="P67" s="756"/>
      <c r="Q67" s="756"/>
      <c r="R67" s="756"/>
      <c r="S67" s="756"/>
      <c r="T67" s="756"/>
      <c r="U67" s="756"/>
      <c r="V67" s="756"/>
      <c r="W67" s="756"/>
      <c r="X67" s="756"/>
      <c r="Y67" s="756"/>
      <c r="Z67" s="756"/>
      <c r="AA67" s="756"/>
      <c r="AB67" s="756"/>
      <c r="AC67" s="756"/>
      <c r="AD67" s="756"/>
      <c r="AE67" s="756"/>
      <c r="AF67" s="756"/>
      <c r="AG67" s="756"/>
      <c r="AH67" s="756"/>
      <c r="AI67" s="756"/>
      <c r="AJ67" s="756"/>
      <c r="AK67" s="756"/>
      <c r="AL67" s="756"/>
      <c r="AM67" s="756"/>
      <c r="AN67" s="756"/>
      <c r="AO67" s="756"/>
      <c r="AP67" s="756"/>
      <c r="AQ67" s="756"/>
      <c r="AR67" s="756"/>
      <c r="AS67" s="756"/>
      <c r="AT67" s="756"/>
      <c r="AU67" s="756"/>
      <c r="AV67" s="756"/>
      <c r="AW67" s="756"/>
      <c r="AX67" s="756"/>
      <c r="AY67" s="756"/>
      <c r="AZ67" s="756"/>
      <c r="BA67" s="756"/>
      <c r="BB67" s="756"/>
      <c r="BC67" s="756"/>
      <c r="BD67" s="756"/>
      <c r="BE67" s="756"/>
      <c r="BF67" s="756"/>
      <c r="BG67" s="756"/>
      <c r="BH67" s="756"/>
      <c r="BI67" s="756"/>
      <c r="BJ67" s="756"/>
      <c r="BK67" s="756"/>
      <c r="BL67" s="756"/>
      <c r="BM67" s="756"/>
      <c r="BN67" s="756"/>
      <c r="BO67" s="756"/>
      <c r="BP67" s="756"/>
      <c r="BQ67" s="756"/>
      <c r="BR67" s="756"/>
      <c r="BS67" s="756"/>
      <c r="BT67" s="756"/>
      <c r="BU67" s="756"/>
      <c r="BV67" s="756"/>
      <c r="BW67" s="756"/>
      <c r="BX67" s="756"/>
      <c r="BY67" s="756"/>
      <c r="BZ67" s="756"/>
      <c r="CA67" s="756"/>
      <c r="CB67" s="756"/>
      <c r="CC67" s="756"/>
      <c r="CD67" s="756"/>
      <c r="CE67" s="756"/>
      <c r="CF67" s="756"/>
      <c r="CG67" s="756"/>
      <c r="CH67" s="756"/>
      <c r="CI67" s="756"/>
      <c r="CJ67" s="756"/>
      <c r="CK67" s="756"/>
      <c r="CL67" s="756"/>
      <c r="CM67" s="756"/>
      <c r="CN67" s="756"/>
      <c r="CO67" s="756"/>
      <c r="CP67" s="756"/>
      <c r="CQ67" s="756"/>
      <c r="CR67" s="756"/>
      <c r="CS67" s="756"/>
      <c r="CT67" s="756"/>
      <c r="CU67" s="756"/>
      <c r="CV67" s="756"/>
      <c r="CW67" s="756"/>
      <c r="CX67" s="756"/>
      <c r="CY67" s="756"/>
      <c r="CZ67" s="756"/>
      <c r="DA67" s="756"/>
      <c r="DB67" s="756"/>
      <c r="DC67" s="756"/>
      <c r="DD67" s="756"/>
      <c r="DE67" s="756"/>
      <c r="DF67" s="756"/>
      <c r="DG67" s="756"/>
      <c r="DH67" s="756"/>
      <c r="DI67" s="756"/>
      <c r="DJ67" s="756"/>
      <c r="DK67" s="756"/>
      <c r="DL67" s="756"/>
      <c r="DM67" s="756"/>
      <c r="DN67" s="756"/>
      <c r="DO67" s="756"/>
      <c r="DP67" s="756"/>
      <c r="DQ67" s="756"/>
      <c r="DR67" s="756"/>
      <c r="DS67" s="756"/>
      <c r="DT67" s="756"/>
      <c r="DU67" s="756"/>
      <c r="DV67" s="756"/>
      <c r="DW67" s="756"/>
      <c r="DX67" s="756"/>
      <c r="DY67" s="756"/>
      <c r="DZ67" s="756"/>
      <c r="EA67" s="756"/>
      <c r="EB67" s="756"/>
      <c r="EC67" s="756"/>
      <c r="ED67" s="756"/>
      <c r="EE67" s="756"/>
      <c r="EF67" s="756"/>
      <c r="EG67" s="756"/>
      <c r="EH67" s="756"/>
      <c r="EI67" s="756"/>
      <c r="EJ67" s="756"/>
      <c r="EK67" s="756"/>
      <c r="EL67" s="756"/>
      <c r="EM67" s="756"/>
      <c r="EN67" s="756"/>
      <c r="EO67" s="756"/>
      <c r="EP67" s="756"/>
      <c r="EQ67" s="756"/>
      <c r="ER67" s="756"/>
      <c r="ES67" s="756"/>
      <c r="ET67" s="756"/>
      <c r="EU67" s="756"/>
      <c r="EV67" s="756"/>
      <c r="EW67" s="756"/>
      <c r="EX67" s="756"/>
      <c r="EY67" s="756"/>
      <c r="EZ67" s="756"/>
      <c r="FA67" s="756"/>
      <c r="FB67" s="756"/>
      <c r="FC67" s="756"/>
      <c r="FD67" s="756"/>
      <c r="FE67" s="756"/>
      <c r="FF67" s="756"/>
      <c r="FG67" s="756"/>
      <c r="FH67" s="756"/>
      <c r="FI67" s="756"/>
      <c r="FJ67" s="756"/>
      <c r="FK67" s="756"/>
      <c r="FL67" s="756"/>
      <c r="FM67" s="756"/>
      <c r="FN67" s="756"/>
      <c r="FO67" s="756"/>
      <c r="FP67" s="756"/>
      <c r="FQ67" s="756"/>
      <c r="FR67" s="756"/>
      <c r="FS67" s="756"/>
      <c r="FT67" s="756"/>
      <c r="FU67" s="756"/>
      <c r="FV67" s="756"/>
      <c r="FW67" s="756"/>
      <c r="FX67" s="756"/>
      <c r="FY67" s="756"/>
      <c r="FZ67" s="756"/>
      <c r="GA67" s="756"/>
      <c r="GB67" s="756"/>
      <c r="GC67" s="756"/>
      <c r="GD67" s="756"/>
      <c r="GE67" s="756"/>
      <c r="GF67" s="756"/>
      <c r="GG67" s="756"/>
      <c r="GH67" s="756"/>
      <c r="GI67" s="756"/>
      <c r="GJ67" s="756"/>
      <c r="GK67" s="756"/>
      <c r="GL67" s="756"/>
      <c r="GM67" s="756"/>
      <c r="GN67" s="756"/>
      <c r="GO67" s="756"/>
      <c r="GP67" s="756"/>
      <c r="GQ67" s="756"/>
      <c r="GR67" s="756"/>
      <c r="GS67" s="756"/>
      <c r="GT67" s="756"/>
      <c r="GU67" s="756"/>
      <c r="GV67" s="756"/>
      <c r="GW67" s="756"/>
      <c r="GX67" s="756"/>
      <c r="GY67" s="756"/>
      <c r="GZ67" s="756"/>
      <c r="HA67" s="756"/>
      <c r="HB67" s="756"/>
      <c r="HC67" s="756"/>
      <c r="HD67" s="756"/>
      <c r="HE67" s="756"/>
      <c r="HF67" s="756"/>
      <c r="HG67" s="756"/>
      <c r="HH67" s="756"/>
      <c r="HI67" s="756"/>
      <c r="HJ67" s="756"/>
      <c r="HK67" s="756"/>
      <c r="HL67" s="756"/>
      <c r="HM67" s="756"/>
      <c r="HN67" s="756"/>
      <c r="HO67" s="756"/>
      <c r="HP67" s="756"/>
      <c r="HQ67" s="756"/>
      <c r="HR67" s="756"/>
      <c r="HS67" s="756"/>
      <c r="HT67" s="756"/>
      <c r="HU67" s="756"/>
      <c r="HV67" s="756"/>
      <c r="HW67" s="756"/>
      <c r="HX67" s="756"/>
      <c r="HY67" s="756"/>
      <c r="HZ67" s="756"/>
      <c r="IA67" s="756"/>
      <c r="IB67" s="756"/>
      <c r="IC67" s="756"/>
      <c r="ID67" s="756"/>
      <c r="IE67" s="756"/>
      <c r="IF67" s="756"/>
      <c r="IG67" s="756"/>
      <c r="IH67" s="756"/>
      <c r="II67" s="756"/>
      <c r="IJ67" s="756"/>
      <c r="IK67" s="756"/>
      <c r="IL67" s="756"/>
      <c r="IM67" s="756"/>
      <c r="IN67" s="756"/>
      <c r="IO67" s="756"/>
      <c r="IP67" s="756"/>
      <c r="IQ67" s="756"/>
      <c r="IR67" s="756"/>
      <c r="IS67" s="756"/>
      <c r="IT67" s="756"/>
      <c r="IU67" s="756"/>
      <c r="IV67" s="756"/>
      <c r="IW67" s="756"/>
      <c r="IX67" s="756"/>
      <c r="IY67" s="756"/>
      <c r="IZ67" s="756"/>
      <c r="JA67" s="756"/>
      <c r="JB67" s="756"/>
      <c r="JC67" s="756"/>
      <c r="JD67" s="756"/>
      <c r="JE67" s="756"/>
      <c r="JF67" s="756"/>
      <c r="JG67" s="756"/>
      <c r="JH67" s="756"/>
      <c r="JI67" s="756"/>
      <c r="JJ67" s="756"/>
      <c r="JK67" s="756"/>
      <c r="JL67" s="756"/>
      <c r="JM67" s="756"/>
      <c r="JN67" s="756"/>
      <c r="JO67" s="756"/>
      <c r="JP67" s="756"/>
      <c r="JQ67" s="756"/>
      <c r="JR67" s="756"/>
      <c r="JS67" s="756"/>
      <c r="JT67" s="756"/>
      <c r="JU67" s="756"/>
      <c r="JV67" s="756"/>
      <c r="JW67" s="756"/>
      <c r="JX67" s="756"/>
      <c r="JY67" s="756"/>
      <c r="JZ67" s="756"/>
      <c r="KA67" s="756"/>
      <c r="KB67" s="756"/>
      <c r="KC67" s="756"/>
      <c r="KD67" s="756"/>
      <c r="KE67" s="756"/>
      <c r="KF67" s="756"/>
      <c r="KG67" s="756"/>
      <c r="KH67" s="756"/>
      <c r="KI67" s="756"/>
      <c r="KJ67" s="756"/>
      <c r="KK67" s="756"/>
      <c r="KL67" s="756"/>
      <c r="KM67" s="756"/>
      <c r="KN67" s="756"/>
      <c r="KO67" s="756"/>
      <c r="KP67" s="756"/>
      <c r="KQ67" s="756"/>
      <c r="KR67" s="756"/>
      <c r="KS67" s="756"/>
      <c r="KT67" s="756"/>
      <c r="KU67" s="756"/>
      <c r="KV67" s="756"/>
      <c r="KW67" s="756"/>
      <c r="KX67" s="756"/>
      <c r="KY67" s="756"/>
      <c r="KZ67" s="756"/>
      <c r="LA67" s="756"/>
      <c r="LB67" s="756"/>
      <c r="LC67" s="756"/>
      <c r="LD67" s="756"/>
      <c r="LE67" s="756"/>
      <c r="LF67" s="756"/>
      <c r="LG67" s="756"/>
      <c r="LH67" s="756"/>
      <c r="LI67" s="756"/>
      <c r="LJ67" s="756"/>
      <c r="LK67" s="756"/>
      <c r="LL67" s="756"/>
      <c r="LM67" s="756"/>
      <c r="LN67" s="756"/>
      <c r="LO67" s="756"/>
      <c r="LP67" s="756"/>
      <c r="LQ67" s="756"/>
      <c r="LR67" s="756"/>
      <c r="LS67" s="756"/>
      <c r="LT67" s="756"/>
      <c r="LU67" s="756"/>
      <c r="LV67" s="756"/>
      <c r="LW67" s="756"/>
      <c r="LX67" s="756"/>
      <c r="LY67" s="756"/>
      <c r="LZ67" s="756"/>
      <c r="MA67" s="756"/>
      <c r="MB67" s="756"/>
      <c r="MC67" s="756"/>
      <c r="MD67" s="756"/>
      <c r="ME67" s="756"/>
      <c r="MF67" s="756"/>
      <c r="MG67" s="756"/>
      <c r="MH67" s="756"/>
      <c r="MI67" s="756"/>
      <c r="MJ67" s="756"/>
      <c r="MK67" s="756"/>
      <c r="ML67" s="756"/>
      <c r="MM67" s="756"/>
      <c r="MN67" s="756"/>
      <c r="MO67" s="756"/>
      <c r="MP67" s="756"/>
      <c r="MQ67" s="756"/>
      <c r="MR67" s="756"/>
      <c r="MS67" s="756"/>
      <c r="MT67" s="756"/>
      <c r="MU67" s="756"/>
      <c r="MV67" s="756"/>
      <c r="MW67" s="756"/>
      <c r="MX67" s="756"/>
      <c r="MY67" s="756"/>
      <c r="MZ67" s="756"/>
      <c r="NA67" s="756"/>
      <c r="NB67" s="756"/>
      <c r="NC67" s="756"/>
      <c r="ND67" s="756"/>
      <c r="NE67" s="756"/>
      <c r="NF67" s="756"/>
      <c r="NG67" s="756"/>
      <c r="NH67" s="756"/>
      <c r="NI67" s="756"/>
      <c r="NJ67" s="756"/>
      <c r="NK67" s="756"/>
      <c r="NL67" s="756"/>
      <c r="NM67" s="756"/>
      <c r="NN67" s="756"/>
      <c r="NO67" s="756"/>
      <c r="NP67" s="756"/>
      <c r="NQ67" s="756"/>
      <c r="NR67" s="756"/>
      <c r="NS67" s="756"/>
      <c r="NT67" s="756"/>
      <c r="NU67" s="756"/>
      <c r="NV67" s="756"/>
      <c r="NW67" s="756"/>
      <c r="NX67" s="756"/>
      <c r="NY67" s="756"/>
      <c r="NZ67" s="756"/>
      <c r="OA67" s="756"/>
      <c r="OB67" s="756"/>
      <c r="OC67" s="756"/>
      <c r="OD67" s="756"/>
      <c r="OE67" s="756"/>
      <c r="OF67" s="756"/>
      <c r="OG67" s="756"/>
      <c r="OH67" s="756"/>
      <c r="OI67" s="756"/>
      <c r="OJ67" s="756"/>
      <c r="OK67" s="756"/>
      <c r="OL67" s="756"/>
      <c r="OM67" s="756"/>
      <c r="ON67" s="756"/>
      <c r="OO67" s="756"/>
      <c r="OP67" s="756"/>
      <c r="OQ67" s="756"/>
      <c r="OR67" s="756"/>
      <c r="OS67" s="756"/>
      <c r="OT67" s="756"/>
      <c r="OU67" s="756"/>
      <c r="OV67" s="756"/>
      <c r="OW67" s="756"/>
      <c r="OX67" s="756"/>
      <c r="OY67" s="756"/>
      <c r="OZ67" s="756"/>
      <c r="PA67" s="756"/>
      <c r="PB67" s="756"/>
      <c r="PC67" s="756"/>
      <c r="PD67" s="756"/>
      <c r="PE67" s="756"/>
      <c r="PF67" s="756"/>
      <c r="PG67" s="756"/>
      <c r="PH67" s="756"/>
      <c r="PI67" s="756"/>
      <c r="PJ67" s="756"/>
      <c r="PK67" s="756"/>
      <c r="PL67" s="756"/>
      <c r="PM67" s="756"/>
      <c r="PN67" s="756"/>
      <c r="PO67" s="756"/>
      <c r="PP67" s="756"/>
      <c r="PQ67" s="756"/>
      <c r="PR67" s="756"/>
      <c r="PS67" s="756"/>
      <c r="PT67" s="756"/>
      <c r="PU67" s="756"/>
      <c r="PV67" s="756"/>
      <c r="PW67" s="756"/>
      <c r="PX67" s="756"/>
      <c r="PY67" s="756"/>
      <c r="PZ67" s="756"/>
      <c r="QA67" s="756"/>
      <c r="QB67" s="756"/>
      <c r="QC67" s="756"/>
      <c r="QD67" s="756"/>
      <c r="QE67" s="756"/>
      <c r="QF67" s="756"/>
      <c r="QG67" s="756"/>
      <c r="QH67" s="756"/>
      <c r="QI67" s="756"/>
      <c r="QJ67" s="756"/>
      <c r="QK67" s="756"/>
      <c r="QL67" s="756"/>
      <c r="QM67" s="756"/>
      <c r="QN67" s="756"/>
      <c r="QO67" s="756"/>
      <c r="QP67" s="756"/>
      <c r="QQ67" s="756"/>
      <c r="QR67" s="756"/>
      <c r="QS67" s="756"/>
      <c r="QT67" s="756"/>
      <c r="QU67" s="756"/>
      <c r="QV67" s="756"/>
      <c r="QW67" s="756"/>
      <c r="QX67" s="756"/>
      <c r="QY67" s="756"/>
      <c r="QZ67" s="756"/>
      <c r="RA67" s="756"/>
      <c r="RB67" s="756"/>
      <c r="RC67" s="756"/>
      <c r="RD67" s="756"/>
      <c r="RE67" s="756"/>
      <c r="RF67" s="756"/>
      <c r="RG67" s="756"/>
      <c r="RH67" s="756"/>
      <c r="RI67" s="756"/>
      <c r="RJ67" s="756"/>
      <c r="RK67" s="756"/>
      <c r="RL67" s="756"/>
      <c r="RM67" s="756"/>
      <c r="RN67" s="756"/>
      <c r="RO67" s="756"/>
      <c r="RP67" s="756"/>
      <c r="RQ67" s="756"/>
      <c r="RR67" s="756"/>
      <c r="RS67" s="756"/>
      <c r="RT67" s="756"/>
      <c r="RU67" s="756"/>
      <c r="RV67" s="756"/>
      <c r="RW67" s="756"/>
      <c r="RX67" s="756"/>
      <c r="RY67" s="756"/>
      <c r="RZ67" s="756"/>
      <c r="SA67" s="756"/>
      <c r="SB67" s="756"/>
      <c r="SC67" s="756"/>
      <c r="SD67" s="756"/>
      <c r="SE67" s="756"/>
      <c r="SF67" s="756"/>
      <c r="SG67" s="756"/>
      <c r="SH67" s="756"/>
      <c r="SI67" s="756"/>
      <c r="SJ67" s="756"/>
      <c r="SK67" s="756"/>
      <c r="SL67" s="756"/>
      <c r="SM67" s="756"/>
      <c r="SN67" s="756"/>
      <c r="SO67" s="756"/>
      <c r="SP67" s="756"/>
      <c r="SQ67" s="756"/>
      <c r="SR67" s="756"/>
    </row>
    <row r="68" spans="1:512" ht="15" customHeight="1">
      <c r="A68" s="969"/>
      <c r="B68" s="969" t="s">
        <v>2270</v>
      </c>
      <c r="C68" s="969"/>
      <c r="D68" s="969"/>
      <c r="E68" s="969"/>
      <c r="F68" s="969"/>
      <c r="G68" s="767"/>
      <c r="H68" s="1027"/>
      <c r="I68" s="767"/>
      <c r="J68" s="767"/>
      <c r="K68" s="767"/>
      <c r="L68" s="767"/>
      <c r="M68" s="767"/>
      <c r="N68" s="767"/>
      <c r="O68" s="767"/>
      <c r="P68" s="767"/>
      <c r="Q68" s="767"/>
      <c r="R68" s="767"/>
      <c r="S68" s="767"/>
      <c r="T68" s="767"/>
      <c r="U68" s="768"/>
      <c r="V68" s="768"/>
      <c r="W68" s="768"/>
      <c r="X68" s="768"/>
      <c r="Y68" s="768"/>
      <c r="Z68" s="768"/>
      <c r="AA68" s="768"/>
      <c r="AB68" s="768"/>
      <c r="AC68" s="768"/>
      <c r="AD68" s="768"/>
      <c r="AE68" s="768"/>
      <c r="AF68" s="768"/>
      <c r="AG68" s="768"/>
      <c r="AH68" s="768"/>
      <c r="AI68" s="768"/>
      <c r="AJ68" s="768"/>
      <c r="AK68" s="768"/>
      <c r="AL68" s="768"/>
      <c r="AM68" s="768"/>
      <c r="AN68" s="768"/>
      <c r="AO68" s="768"/>
      <c r="AP68" s="768"/>
      <c r="AQ68" s="768"/>
      <c r="AR68" s="768"/>
      <c r="AS68" s="768"/>
      <c r="AT68" s="768"/>
      <c r="AU68" s="768"/>
      <c r="AV68" s="768"/>
      <c r="AW68" s="768"/>
      <c r="AX68" s="768"/>
      <c r="AY68" s="768"/>
      <c r="AZ68" s="768"/>
      <c r="BA68" s="768"/>
      <c r="BB68" s="768"/>
      <c r="BC68" s="768"/>
      <c r="BD68" s="768"/>
      <c r="BE68" s="768"/>
    </row>
    <row r="69" spans="1:512" ht="15" customHeight="1">
      <c r="A69" s="969"/>
      <c r="B69" s="969"/>
      <c r="C69" s="969" t="s">
        <v>2422</v>
      </c>
      <c r="D69" s="969"/>
      <c r="E69" s="969" t="s">
        <v>237</v>
      </c>
      <c r="F69" s="969"/>
      <c r="G69" s="756">
        <v>0</v>
      </c>
      <c r="H69" s="1027">
        <v>1</v>
      </c>
      <c r="I69" s="756"/>
      <c r="J69" s="756"/>
      <c r="K69" s="756"/>
      <c r="L69" s="756"/>
      <c r="M69" s="756"/>
      <c r="N69" s="756"/>
      <c r="O69" s="756"/>
      <c r="P69" s="756"/>
      <c r="Q69" s="756"/>
      <c r="R69" s="756"/>
      <c r="S69" s="756"/>
      <c r="T69" s="756"/>
      <c r="U69" s="756"/>
      <c r="V69" s="756"/>
      <c r="W69" s="756"/>
      <c r="X69" s="756"/>
      <c r="Y69" s="756"/>
      <c r="Z69" s="756"/>
      <c r="AA69" s="756"/>
      <c r="AB69" s="756"/>
      <c r="AC69" s="756"/>
      <c r="AD69" s="756"/>
      <c r="AE69" s="756"/>
      <c r="AF69" s="756"/>
      <c r="AG69" s="756"/>
      <c r="AH69" s="756"/>
      <c r="AI69" s="756"/>
      <c r="AJ69" s="756"/>
      <c r="AK69" s="756"/>
      <c r="AL69" s="756"/>
      <c r="AM69" s="756"/>
      <c r="AN69" s="756"/>
      <c r="AO69" s="756"/>
      <c r="AP69" s="756"/>
      <c r="AQ69" s="756"/>
      <c r="AR69" s="756"/>
      <c r="AS69" s="756"/>
      <c r="AT69" s="756"/>
      <c r="AU69" s="756"/>
      <c r="AV69" s="756"/>
      <c r="AW69" s="756"/>
      <c r="AX69" s="756"/>
      <c r="AY69" s="756"/>
      <c r="AZ69" s="756"/>
      <c r="BA69" s="756"/>
      <c r="BB69" s="756"/>
      <c r="BC69" s="756"/>
      <c r="BD69" s="756"/>
      <c r="BE69" s="756"/>
      <c r="BF69" s="756"/>
      <c r="BG69" s="756"/>
      <c r="BH69" s="756"/>
      <c r="BI69" s="756"/>
      <c r="BJ69" s="756"/>
      <c r="BK69" s="756"/>
      <c r="BL69" s="756"/>
      <c r="BM69" s="756"/>
      <c r="BN69" s="756"/>
      <c r="BO69" s="756"/>
      <c r="BP69" s="756"/>
      <c r="BQ69" s="756"/>
      <c r="BR69" s="756"/>
      <c r="BS69" s="756"/>
      <c r="BT69" s="756"/>
      <c r="BU69" s="756"/>
      <c r="BV69" s="756"/>
      <c r="BW69" s="756"/>
      <c r="BX69" s="756"/>
      <c r="BY69" s="756"/>
      <c r="BZ69" s="756"/>
      <c r="CA69" s="756"/>
      <c r="CB69" s="756"/>
      <c r="CC69" s="756"/>
      <c r="CD69" s="756"/>
      <c r="CE69" s="756"/>
      <c r="CF69" s="756"/>
      <c r="CG69" s="756"/>
      <c r="CH69" s="756"/>
      <c r="CI69" s="756"/>
      <c r="CJ69" s="756"/>
      <c r="CK69" s="756"/>
      <c r="CL69" s="756"/>
      <c r="CM69" s="756"/>
      <c r="CN69" s="756"/>
      <c r="CO69" s="756"/>
      <c r="CP69" s="756"/>
      <c r="CQ69" s="756"/>
      <c r="CR69" s="756"/>
      <c r="CS69" s="756"/>
      <c r="CT69" s="756"/>
      <c r="CU69" s="756"/>
      <c r="CV69" s="756"/>
      <c r="CW69" s="756"/>
      <c r="CX69" s="756"/>
      <c r="CY69" s="756"/>
      <c r="CZ69" s="756"/>
      <c r="DA69" s="756"/>
      <c r="DB69" s="756"/>
      <c r="DC69" s="756"/>
      <c r="DD69" s="756"/>
      <c r="DE69" s="756"/>
      <c r="DF69" s="756"/>
      <c r="DG69" s="756"/>
      <c r="DH69" s="756"/>
      <c r="DI69" s="756"/>
      <c r="DJ69" s="756"/>
      <c r="DK69" s="756"/>
      <c r="DL69" s="756"/>
      <c r="DM69" s="756"/>
      <c r="DN69" s="756"/>
      <c r="DO69" s="756"/>
      <c r="DP69" s="756"/>
      <c r="DQ69" s="756"/>
      <c r="DR69" s="756"/>
      <c r="DS69" s="756"/>
      <c r="DT69" s="756"/>
      <c r="DU69" s="756"/>
      <c r="DV69" s="756"/>
      <c r="DW69" s="756"/>
      <c r="DX69" s="756"/>
      <c r="DY69" s="756"/>
      <c r="DZ69" s="756"/>
      <c r="EA69" s="756"/>
      <c r="EB69" s="756"/>
      <c r="EC69" s="756"/>
      <c r="ED69" s="756"/>
      <c r="EE69" s="756"/>
      <c r="EF69" s="756"/>
      <c r="EG69" s="756"/>
      <c r="EH69" s="756"/>
      <c r="EI69" s="756"/>
      <c r="EJ69" s="756"/>
      <c r="EK69" s="756"/>
      <c r="EL69" s="756"/>
      <c r="EM69" s="756"/>
      <c r="EN69" s="756"/>
      <c r="EO69" s="756"/>
      <c r="EP69" s="756"/>
      <c r="EQ69" s="756"/>
      <c r="ER69" s="756"/>
      <c r="ES69" s="756"/>
      <c r="ET69" s="756"/>
      <c r="EU69" s="756"/>
      <c r="EV69" s="756"/>
      <c r="EW69" s="756"/>
      <c r="EX69" s="756"/>
      <c r="EY69" s="756"/>
      <c r="EZ69" s="756"/>
      <c r="FA69" s="756"/>
      <c r="FB69" s="756"/>
      <c r="FC69" s="756"/>
      <c r="FD69" s="756"/>
      <c r="FE69" s="756"/>
      <c r="FF69" s="756"/>
      <c r="FG69" s="756"/>
      <c r="FH69" s="756"/>
      <c r="FI69" s="756"/>
      <c r="FJ69" s="756"/>
      <c r="FK69" s="756"/>
      <c r="FL69" s="756"/>
      <c r="FM69" s="756"/>
      <c r="FN69" s="756"/>
      <c r="FO69" s="756"/>
      <c r="FP69" s="756"/>
      <c r="FQ69" s="756"/>
      <c r="FR69" s="756"/>
      <c r="FS69" s="756"/>
      <c r="FT69" s="756"/>
      <c r="FU69" s="756"/>
      <c r="FV69" s="756"/>
      <c r="FW69" s="756"/>
      <c r="FX69" s="756"/>
      <c r="FY69" s="756"/>
      <c r="FZ69" s="756"/>
      <c r="GA69" s="756"/>
      <c r="GB69" s="756"/>
      <c r="GC69" s="756"/>
      <c r="GD69" s="756"/>
      <c r="GE69" s="756"/>
      <c r="GF69" s="756"/>
      <c r="GG69" s="756"/>
      <c r="GH69" s="756"/>
      <c r="GI69" s="756"/>
      <c r="GJ69" s="756"/>
      <c r="GK69" s="756"/>
      <c r="GL69" s="756"/>
      <c r="GM69" s="756"/>
      <c r="GN69" s="756"/>
      <c r="GO69" s="756"/>
      <c r="GP69" s="756"/>
      <c r="GQ69" s="756"/>
      <c r="GR69" s="756"/>
      <c r="GS69" s="756"/>
      <c r="GT69" s="756"/>
      <c r="GU69" s="756"/>
      <c r="GV69" s="756"/>
      <c r="GW69" s="756"/>
      <c r="GX69" s="756"/>
      <c r="GY69" s="756"/>
      <c r="GZ69" s="756"/>
      <c r="HA69" s="756"/>
      <c r="HB69" s="756"/>
      <c r="HC69" s="756"/>
      <c r="HD69" s="756"/>
      <c r="HE69" s="756"/>
      <c r="HF69" s="756"/>
      <c r="HG69" s="756"/>
      <c r="HH69" s="756"/>
      <c r="HI69" s="756"/>
      <c r="HJ69" s="756"/>
      <c r="HK69" s="756"/>
      <c r="HL69" s="756"/>
      <c r="HM69" s="756"/>
      <c r="HN69" s="756"/>
      <c r="HO69" s="756"/>
      <c r="HP69" s="756"/>
      <c r="HQ69" s="756"/>
      <c r="HR69" s="756"/>
      <c r="HS69" s="756"/>
      <c r="HT69" s="756"/>
      <c r="HU69" s="756"/>
      <c r="HV69" s="756"/>
      <c r="HW69" s="756"/>
      <c r="HX69" s="756"/>
      <c r="HY69" s="756"/>
      <c r="HZ69" s="756"/>
      <c r="IA69" s="756"/>
      <c r="IB69" s="756"/>
      <c r="IC69" s="756"/>
      <c r="ID69" s="756"/>
      <c r="IE69" s="756"/>
      <c r="IF69" s="756"/>
      <c r="IG69" s="756"/>
      <c r="IH69" s="756"/>
      <c r="II69" s="756"/>
      <c r="IJ69" s="756"/>
      <c r="IK69" s="756"/>
      <c r="IL69" s="756"/>
      <c r="IM69" s="756"/>
      <c r="IN69" s="756"/>
      <c r="IO69" s="756"/>
      <c r="IP69" s="756"/>
      <c r="IQ69" s="756"/>
      <c r="IR69" s="756"/>
      <c r="IS69" s="756"/>
      <c r="IT69" s="756"/>
      <c r="IU69" s="756"/>
      <c r="IV69" s="756"/>
      <c r="IW69" s="756"/>
      <c r="IX69" s="756"/>
      <c r="IY69" s="756"/>
      <c r="IZ69" s="756"/>
      <c r="JA69" s="756"/>
      <c r="JB69" s="756"/>
      <c r="JC69" s="756"/>
      <c r="JD69" s="756"/>
      <c r="JE69" s="756"/>
      <c r="JF69" s="756"/>
      <c r="JG69" s="756"/>
      <c r="JH69" s="756"/>
      <c r="JI69" s="756"/>
      <c r="JJ69" s="756"/>
      <c r="JK69" s="756"/>
      <c r="JL69" s="756"/>
      <c r="JM69" s="756"/>
      <c r="JN69" s="756"/>
      <c r="JO69" s="756"/>
      <c r="JP69" s="756"/>
      <c r="JQ69" s="756"/>
      <c r="JR69" s="756"/>
      <c r="JS69" s="756"/>
      <c r="JT69" s="756"/>
      <c r="JU69" s="756"/>
      <c r="JV69" s="756"/>
      <c r="JW69" s="756"/>
      <c r="JX69" s="756"/>
      <c r="JY69" s="756"/>
      <c r="JZ69" s="756"/>
      <c r="KA69" s="756"/>
      <c r="KB69" s="756"/>
      <c r="KC69" s="756"/>
      <c r="KD69" s="756"/>
      <c r="KE69" s="756"/>
      <c r="KF69" s="756"/>
      <c r="KG69" s="756"/>
      <c r="KH69" s="756"/>
      <c r="KI69" s="756"/>
      <c r="KJ69" s="756"/>
      <c r="KK69" s="756"/>
      <c r="KL69" s="756"/>
      <c r="KM69" s="756"/>
      <c r="KN69" s="756"/>
      <c r="KO69" s="756"/>
      <c r="KP69" s="756"/>
      <c r="KQ69" s="756"/>
      <c r="KR69" s="756"/>
      <c r="KS69" s="756"/>
      <c r="KT69" s="756"/>
      <c r="KU69" s="756"/>
      <c r="KV69" s="756"/>
      <c r="KW69" s="756"/>
      <c r="KX69" s="756"/>
      <c r="KY69" s="756"/>
      <c r="KZ69" s="756"/>
      <c r="LA69" s="756"/>
      <c r="LB69" s="756"/>
      <c r="LC69" s="756"/>
      <c r="LD69" s="756"/>
      <c r="LE69" s="756"/>
      <c r="LF69" s="756"/>
      <c r="LG69" s="756"/>
      <c r="LH69" s="756"/>
      <c r="LI69" s="756"/>
      <c r="LJ69" s="756"/>
      <c r="LK69" s="756"/>
      <c r="LL69" s="756"/>
      <c r="LM69" s="756"/>
      <c r="LN69" s="756"/>
      <c r="LO69" s="756"/>
      <c r="LP69" s="756"/>
      <c r="LQ69" s="756"/>
      <c r="LR69" s="756"/>
      <c r="LS69" s="756"/>
      <c r="LT69" s="756"/>
      <c r="LU69" s="756"/>
      <c r="LV69" s="756"/>
      <c r="LW69" s="756"/>
      <c r="LX69" s="756"/>
      <c r="LY69" s="756"/>
      <c r="LZ69" s="756"/>
      <c r="MA69" s="756"/>
      <c r="MB69" s="756"/>
      <c r="MC69" s="756"/>
      <c r="MD69" s="756"/>
      <c r="ME69" s="756"/>
      <c r="MF69" s="756"/>
      <c r="MG69" s="756"/>
      <c r="MH69" s="756"/>
      <c r="MI69" s="756"/>
      <c r="MJ69" s="756"/>
      <c r="MK69" s="756"/>
      <c r="ML69" s="756"/>
      <c r="MM69" s="756"/>
      <c r="MN69" s="756"/>
      <c r="MO69" s="756"/>
      <c r="MP69" s="756"/>
      <c r="MQ69" s="756"/>
      <c r="MR69" s="756"/>
      <c r="MS69" s="756"/>
      <c r="MT69" s="756"/>
      <c r="MU69" s="756"/>
      <c r="MV69" s="756"/>
      <c r="MW69" s="756"/>
      <c r="MX69" s="756"/>
      <c r="MY69" s="756"/>
      <c r="MZ69" s="756"/>
      <c r="NA69" s="756"/>
      <c r="NB69" s="756"/>
      <c r="NC69" s="756"/>
      <c r="ND69" s="756"/>
      <c r="NE69" s="756"/>
      <c r="NF69" s="756"/>
      <c r="NG69" s="756"/>
      <c r="NH69" s="756"/>
      <c r="NI69" s="756"/>
      <c r="NJ69" s="756"/>
      <c r="NK69" s="756"/>
      <c r="NL69" s="756"/>
      <c r="NM69" s="756"/>
      <c r="NN69" s="756"/>
      <c r="NO69" s="756"/>
      <c r="NP69" s="756"/>
      <c r="NQ69" s="756"/>
      <c r="NR69" s="756"/>
      <c r="NS69" s="756"/>
      <c r="NT69" s="756"/>
      <c r="NU69" s="756"/>
      <c r="NV69" s="756"/>
      <c r="NW69" s="756"/>
      <c r="NX69" s="756"/>
      <c r="NY69" s="756"/>
      <c r="NZ69" s="756"/>
      <c r="OA69" s="756"/>
      <c r="OB69" s="756"/>
      <c r="OC69" s="756"/>
      <c r="OD69" s="756"/>
      <c r="OE69" s="756"/>
      <c r="OF69" s="756"/>
      <c r="OG69" s="756"/>
      <c r="OH69" s="756"/>
      <c r="OI69" s="756"/>
      <c r="OJ69" s="756"/>
      <c r="OK69" s="756"/>
      <c r="OL69" s="756"/>
      <c r="OM69" s="756"/>
      <c r="ON69" s="756"/>
      <c r="OO69" s="756"/>
      <c r="OP69" s="756"/>
      <c r="OQ69" s="756"/>
      <c r="OR69" s="756"/>
      <c r="OS69" s="756"/>
      <c r="OT69" s="756"/>
      <c r="OU69" s="756"/>
      <c r="OV69" s="756"/>
      <c r="OW69" s="756"/>
      <c r="OX69" s="756"/>
      <c r="OY69" s="756"/>
      <c r="OZ69" s="756"/>
      <c r="PA69" s="756"/>
      <c r="PB69" s="756"/>
      <c r="PC69" s="756"/>
      <c r="PD69" s="756"/>
      <c r="PE69" s="756"/>
      <c r="PF69" s="756"/>
      <c r="PG69" s="756"/>
      <c r="PH69" s="756"/>
      <c r="PI69" s="756"/>
      <c r="PJ69" s="756"/>
      <c r="PK69" s="756"/>
      <c r="PL69" s="756"/>
      <c r="PM69" s="756"/>
      <c r="PN69" s="756"/>
      <c r="PO69" s="756"/>
      <c r="PP69" s="756"/>
      <c r="PQ69" s="756"/>
      <c r="PR69" s="756"/>
      <c r="PS69" s="756"/>
      <c r="PT69" s="756"/>
      <c r="PU69" s="756"/>
      <c r="PV69" s="756"/>
      <c r="PW69" s="756"/>
      <c r="PX69" s="756"/>
      <c r="PY69" s="756"/>
      <c r="PZ69" s="756"/>
      <c r="QA69" s="756"/>
      <c r="QB69" s="756"/>
      <c r="QC69" s="756"/>
      <c r="QD69" s="756"/>
      <c r="QE69" s="756"/>
      <c r="QF69" s="756"/>
      <c r="QG69" s="756"/>
      <c r="QH69" s="756"/>
      <c r="QI69" s="756"/>
      <c r="QJ69" s="756"/>
      <c r="QK69" s="756"/>
      <c r="QL69" s="756"/>
      <c r="QM69" s="756"/>
      <c r="QN69" s="756"/>
      <c r="QO69" s="756"/>
      <c r="QP69" s="756"/>
      <c r="QQ69" s="756"/>
      <c r="QR69" s="756"/>
      <c r="QS69" s="756"/>
      <c r="QT69" s="756"/>
      <c r="QU69" s="756"/>
      <c r="QV69" s="756"/>
      <c r="QW69" s="756"/>
      <c r="QX69" s="756"/>
      <c r="QY69" s="756"/>
      <c r="QZ69" s="756"/>
      <c r="RA69" s="756"/>
      <c r="RB69" s="756"/>
      <c r="RC69" s="756"/>
      <c r="RD69" s="756"/>
      <c r="RE69" s="756"/>
      <c r="RF69" s="756"/>
      <c r="RG69" s="756"/>
      <c r="RH69" s="756"/>
      <c r="RI69" s="756"/>
      <c r="RJ69" s="756"/>
      <c r="RK69" s="756"/>
      <c r="RL69" s="756"/>
      <c r="RM69" s="756"/>
      <c r="RN69" s="756"/>
      <c r="RO69" s="756"/>
      <c r="RP69" s="756"/>
      <c r="RQ69" s="756"/>
      <c r="RR69" s="756"/>
      <c r="RS69" s="756"/>
      <c r="RT69" s="756"/>
      <c r="RU69" s="756"/>
      <c r="RV69" s="756"/>
      <c r="RW69" s="756"/>
      <c r="RX69" s="756"/>
      <c r="RY69" s="756"/>
      <c r="RZ69" s="756"/>
      <c r="SA69" s="756"/>
      <c r="SB69" s="756"/>
      <c r="SC69" s="756"/>
      <c r="SD69" s="756"/>
      <c r="SE69" s="756"/>
      <c r="SF69" s="756"/>
      <c r="SG69" s="756"/>
      <c r="SH69" s="756"/>
      <c r="SI69" s="756"/>
      <c r="SJ69" s="756"/>
      <c r="SK69" s="756"/>
      <c r="SL69" s="756"/>
      <c r="SM69" s="756"/>
      <c r="SN69" s="756"/>
      <c r="SO69" s="756"/>
      <c r="SP69" s="756"/>
      <c r="SQ69" s="756"/>
      <c r="SR69" s="756"/>
    </row>
    <row r="70" spans="1:512" ht="15" customHeight="1">
      <c r="A70" s="969"/>
      <c r="B70" s="969"/>
      <c r="C70" s="969" t="s">
        <v>2423</v>
      </c>
      <c r="D70" s="969"/>
      <c r="E70" s="969" t="s">
        <v>237</v>
      </c>
      <c r="F70" s="969"/>
      <c r="G70" s="756">
        <v>1</v>
      </c>
      <c r="H70" s="1027">
        <v>0</v>
      </c>
      <c r="I70" s="756"/>
      <c r="J70" s="756"/>
      <c r="K70" s="756"/>
      <c r="L70" s="756"/>
      <c r="M70" s="756"/>
      <c r="N70" s="756"/>
      <c r="O70" s="756"/>
      <c r="P70" s="756"/>
      <c r="Q70" s="756"/>
      <c r="R70" s="756"/>
      <c r="S70" s="756"/>
      <c r="T70" s="756"/>
      <c r="U70" s="756"/>
      <c r="V70" s="756"/>
      <c r="W70" s="756"/>
      <c r="X70" s="756"/>
      <c r="Y70" s="756"/>
      <c r="Z70" s="756"/>
      <c r="AA70" s="756"/>
      <c r="AB70" s="756"/>
      <c r="AC70" s="756"/>
      <c r="AD70" s="756"/>
      <c r="AE70" s="756"/>
      <c r="AF70" s="756"/>
      <c r="AG70" s="756"/>
      <c r="AH70" s="756"/>
      <c r="AI70" s="756"/>
      <c r="AJ70" s="756"/>
      <c r="AK70" s="756"/>
      <c r="AL70" s="756"/>
      <c r="AM70" s="756"/>
      <c r="AN70" s="756"/>
      <c r="AO70" s="756"/>
      <c r="AP70" s="756"/>
      <c r="AQ70" s="756"/>
      <c r="AR70" s="756"/>
      <c r="AS70" s="756"/>
      <c r="AT70" s="756"/>
      <c r="AU70" s="756"/>
      <c r="AV70" s="756"/>
      <c r="AW70" s="756"/>
      <c r="AX70" s="756"/>
      <c r="AY70" s="756"/>
      <c r="AZ70" s="756"/>
      <c r="BA70" s="756"/>
      <c r="BB70" s="756"/>
      <c r="BC70" s="756"/>
      <c r="BD70" s="756"/>
      <c r="BE70" s="756"/>
      <c r="BF70" s="756"/>
      <c r="BG70" s="756"/>
      <c r="BH70" s="756"/>
      <c r="BI70" s="756"/>
      <c r="BJ70" s="756"/>
      <c r="BK70" s="756"/>
      <c r="BL70" s="756"/>
      <c r="BM70" s="756"/>
      <c r="BN70" s="756"/>
      <c r="BO70" s="756"/>
      <c r="BP70" s="756"/>
      <c r="BQ70" s="756"/>
      <c r="BR70" s="756"/>
      <c r="BS70" s="756"/>
      <c r="BT70" s="756"/>
      <c r="BU70" s="756"/>
      <c r="BV70" s="756"/>
      <c r="BW70" s="756"/>
      <c r="BX70" s="756"/>
      <c r="BY70" s="756"/>
      <c r="BZ70" s="756"/>
      <c r="CA70" s="756"/>
      <c r="CB70" s="756"/>
      <c r="CC70" s="756"/>
      <c r="CD70" s="756"/>
      <c r="CE70" s="756"/>
      <c r="CF70" s="756"/>
      <c r="CG70" s="756"/>
      <c r="CH70" s="756"/>
      <c r="CI70" s="756"/>
      <c r="CJ70" s="756"/>
      <c r="CK70" s="756"/>
      <c r="CL70" s="756"/>
      <c r="CM70" s="756"/>
      <c r="CN70" s="756"/>
      <c r="CO70" s="756"/>
      <c r="CP70" s="756"/>
      <c r="CQ70" s="756"/>
      <c r="CR70" s="756"/>
      <c r="CS70" s="756"/>
      <c r="CT70" s="756"/>
      <c r="CU70" s="756"/>
      <c r="CV70" s="756"/>
      <c r="CW70" s="756"/>
      <c r="CX70" s="756"/>
      <c r="CY70" s="756"/>
      <c r="CZ70" s="756"/>
      <c r="DA70" s="756"/>
      <c r="DB70" s="756"/>
      <c r="DC70" s="756"/>
      <c r="DD70" s="756"/>
      <c r="DE70" s="756"/>
      <c r="DF70" s="756"/>
      <c r="DG70" s="756"/>
      <c r="DH70" s="756"/>
      <c r="DI70" s="756"/>
      <c r="DJ70" s="756"/>
      <c r="DK70" s="756"/>
      <c r="DL70" s="756"/>
      <c r="DM70" s="756"/>
      <c r="DN70" s="756"/>
      <c r="DO70" s="756"/>
      <c r="DP70" s="756"/>
      <c r="DQ70" s="756"/>
      <c r="DR70" s="756"/>
      <c r="DS70" s="756"/>
      <c r="DT70" s="756"/>
      <c r="DU70" s="756"/>
      <c r="DV70" s="756"/>
      <c r="DW70" s="756"/>
      <c r="DX70" s="756"/>
      <c r="DY70" s="756"/>
      <c r="DZ70" s="756"/>
      <c r="EA70" s="756"/>
      <c r="EB70" s="756"/>
      <c r="EC70" s="756"/>
      <c r="ED70" s="756"/>
      <c r="EE70" s="756"/>
      <c r="EF70" s="756"/>
      <c r="EG70" s="756"/>
      <c r="EH70" s="756"/>
      <c r="EI70" s="756"/>
      <c r="EJ70" s="756"/>
      <c r="EK70" s="756"/>
      <c r="EL70" s="756"/>
      <c r="EM70" s="756"/>
      <c r="EN70" s="756"/>
      <c r="EO70" s="756"/>
      <c r="EP70" s="756"/>
      <c r="EQ70" s="756"/>
      <c r="ER70" s="756"/>
      <c r="ES70" s="756"/>
      <c r="ET70" s="756"/>
      <c r="EU70" s="756"/>
      <c r="EV70" s="756"/>
      <c r="EW70" s="756"/>
      <c r="EX70" s="756"/>
      <c r="EY70" s="756"/>
      <c r="EZ70" s="756"/>
      <c r="FA70" s="756"/>
      <c r="FB70" s="756"/>
      <c r="FC70" s="756"/>
      <c r="FD70" s="756"/>
      <c r="FE70" s="756"/>
      <c r="FF70" s="756"/>
      <c r="FG70" s="756"/>
      <c r="FH70" s="756"/>
      <c r="FI70" s="756"/>
      <c r="FJ70" s="756"/>
      <c r="FK70" s="756"/>
      <c r="FL70" s="756"/>
      <c r="FM70" s="756"/>
      <c r="FN70" s="756"/>
      <c r="FO70" s="756"/>
      <c r="FP70" s="756"/>
      <c r="FQ70" s="756"/>
      <c r="FR70" s="756"/>
      <c r="FS70" s="756"/>
      <c r="FT70" s="756"/>
      <c r="FU70" s="756"/>
      <c r="FV70" s="756"/>
      <c r="FW70" s="756"/>
      <c r="FX70" s="756"/>
      <c r="FY70" s="756"/>
      <c r="FZ70" s="756"/>
      <c r="GA70" s="756"/>
      <c r="GB70" s="756"/>
      <c r="GC70" s="756"/>
      <c r="GD70" s="756"/>
      <c r="GE70" s="756"/>
      <c r="GF70" s="756"/>
      <c r="GG70" s="756"/>
      <c r="GH70" s="756"/>
      <c r="GI70" s="756"/>
      <c r="GJ70" s="756"/>
      <c r="GK70" s="756"/>
      <c r="GL70" s="756"/>
      <c r="GM70" s="756"/>
      <c r="GN70" s="756"/>
      <c r="GO70" s="756"/>
      <c r="GP70" s="756"/>
      <c r="GQ70" s="756"/>
      <c r="GR70" s="756"/>
      <c r="GS70" s="756"/>
      <c r="GT70" s="756"/>
      <c r="GU70" s="756"/>
      <c r="GV70" s="756"/>
      <c r="GW70" s="756"/>
      <c r="GX70" s="756"/>
      <c r="GY70" s="756"/>
      <c r="GZ70" s="756"/>
      <c r="HA70" s="756"/>
      <c r="HB70" s="756"/>
      <c r="HC70" s="756"/>
      <c r="HD70" s="756"/>
      <c r="HE70" s="756"/>
      <c r="HF70" s="756"/>
      <c r="HG70" s="756"/>
      <c r="HH70" s="756"/>
      <c r="HI70" s="756"/>
      <c r="HJ70" s="756"/>
      <c r="HK70" s="756"/>
      <c r="HL70" s="756"/>
      <c r="HM70" s="756"/>
      <c r="HN70" s="756"/>
      <c r="HO70" s="756"/>
      <c r="HP70" s="756"/>
      <c r="HQ70" s="756"/>
      <c r="HR70" s="756"/>
      <c r="HS70" s="756"/>
      <c r="HT70" s="756"/>
      <c r="HU70" s="756"/>
      <c r="HV70" s="756"/>
      <c r="HW70" s="756"/>
      <c r="HX70" s="756"/>
      <c r="HY70" s="756"/>
      <c r="HZ70" s="756"/>
      <c r="IA70" s="756"/>
      <c r="IB70" s="756"/>
      <c r="IC70" s="756"/>
      <c r="ID70" s="756"/>
      <c r="IE70" s="756"/>
      <c r="IF70" s="756"/>
      <c r="IG70" s="756"/>
      <c r="IH70" s="756"/>
      <c r="II70" s="756"/>
      <c r="IJ70" s="756"/>
      <c r="IK70" s="756"/>
      <c r="IL70" s="756"/>
      <c r="IM70" s="756"/>
      <c r="IN70" s="756"/>
      <c r="IO70" s="756"/>
      <c r="IP70" s="756"/>
      <c r="IQ70" s="756"/>
      <c r="IR70" s="756"/>
      <c r="IS70" s="756"/>
      <c r="IT70" s="756"/>
      <c r="IU70" s="756"/>
      <c r="IV70" s="756"/>
      <c r="IW70" s="756"/>
      <c r="IX70" s="756"/>
      <c r="IY70" s="756"/>
      <c r="IZ70" s="756"/>
      <c r="JA70" s="756"/>
      <c r="JB70" s="756"/>
      <c r="JC70" s="756"/>
      <c r="JD70" s="756"/>
      <c r="JE70" s="756"/>
      <c r="JF70" s="756"/>
      <c r="JG70" s="756"/>
      <c r="JH70" s="756"/>
      <c r="JI70" s="756"/>
      <c r="JJ70" s="756"/>
      <c r="JK70" s="756"/>
      <c r="JL70" s="756"/>
      <c r="JM70" s="756"/>
      <c r="JN70" s="756"/>
      <c r="JO70" s="756"/>
      <c r="JP70" s="756"/>
      <c r="JQ70" s="756"/>
      <c r="JR70" s="756"/>
      <c r="JS70" s="756"/>
      <c r="JT70" s="756"/>
      <c r="JU70" s="756"/>
      <c r="JV70" s="756"/>
      <c r="JW70" s="756"/>
      <c r="JX70" s="756"/>
      <c r="JY70" s="756"/>
      <c r="JZ70" s="756"/>
      <c r="KA70" s="756"/>
      <c r="KB70" s="756"/>
      <c r="KC70" s="756"/>
      <c r="KD70" s="756"/>
      <c r="KE70" s="756"/>
      <c r="KF70" s="756"/>
      <c r="KG70" s="756"/>
      <c r="KH70" s="756"/>
      <c r="KI70" s="756"/>
      <c r="KJ70" s="756"/>
      <c r="KK70" s="756"/>
      <c r="KL70" s="756"/>
      <c r="KM70" s="756"/>
      <c r="KN70" s="756"/>
      <c r="KO70" s="756"/>
      <c r="KP70" s="756"/>
      <c r="KQ70" s="756"/>
      <c r="KR70" s="756"/>
      <c r="KS70" s="756"/>
      <c r="KT70" s="756"/>
      <c r="KU70" s="756"/>
      <c r="KV70" s="756"/>
      <c r="KW70" s="756"/>
      <c r="KX70" s="756"/>
      <c r="KY70" s="756"/>
      <c r="KZ70" s="756"/>
      <c r="LA70" s="756"/>
      <c r="LB70" s="756"/>
      <c r="LC70" s="756"/>
      <c r="LD70" s="756"/>
      <c r="LE70" s="756"/>
      <c r="LF70" s="756"/>
      <c r="LG70" s="756"/>
      <c r="LH70" s="756"/>
      <c r="LI70" s="756"/>
      <c r="LJ70" s="756"/>
      <c r="LK70" s="756"/>
      <c r="LL70" s="756"/>
      <c r="LM70" s="756"/>
      <c r="LN70" s="756"/>
      <c r="LO70" s="756"/>
      <c r="LP70" s="756"/>
      <c r="LQ70" s="756"/>
      <c r="LR70" s="756"/>
      <c r="LS70" s="756"/>
      <c r="LT70" s="756"/>
      <c r="LU70" s="756"/>
      <c r="LV70" s="756"/>
      <c r="LW70" s="756"/>
      <c r="LX70" s="756"/>
      <c r="LY70" s="756"/>
      <c r="LZ70" s="756"/>
      <c r="MA70" s="756"/>
      <c r="MB70" s="756"/>
      <c r="MC70" s="756"/>
      <c r="MD70" s="756"/>
      <c r="ME70" s="756"/>
      <c r="MF70" s="756"/>
      <c r="MG70" s="756"/>
      <c r="MH70" s="756"/>
      <c r="MI70" s="756"/>
      <c r="MJ70" s="756"/>
      <c r="MK70" s="756"/>
      <c r="ML70" s="756"/>
      <c r="MM70" s="756"/>
      <c r="MN70" s="756"/>
      <c r="MO70" s="756"/>
      <c r="MP70" s="756"/>
      <c r="MQ70" s="756"/>
      <c r="MR70" s="756"/>
      <c r="MS70" s="756"/>
      <c r="MT70" s="756"/>
      <c r="MU70" s="756"/>
      <c r="MV70" s="756"/>
      <c r="MW70" s="756"/>
      <c r="MX70" s="756"/>
      <c r="MY70" s="756"/>
      <c r="MZ70" s="756"/>
      <c r="NA70" s="756"/>
      <c r="NB70" s="756"/>
      <c r="NC70" s="756"/>
      <c r="ND70" s="756"/>
      <c r="NE70" s="756"/>
      <c r="NF70" s="756"/>
      <c r="NG70" s="756"/>
      <c r="NH70" s="756"/>
      <c r="NI70" s="756"/>
      <c r="NJ70" s="756"/>
      <c r="NK70" s="756"/>
      <c r="NL70" s="756"/>
      <c r="NM70" s="756"/>
      <c r="NN70" s="756"/>
      <c r="NO70" s="756"/>
      <c r="NP70" s="756"/>
      <c r="NQ70" s="756"/>
      <c r="NR70" s="756"/>
      <c r="NS70" s="756"/>
      <c r="NT70" s="756"/>
      <c r="NU70" s="756"/>
      <c r="NV70" s="756"/>
      <c r="NW70" s="756"/>
      <c r="NX70" s="756"/>
      <c r="NY70" s="756"/>
      <c r="NZ70" s="756"/>
      <c r="OA70" s="756"/>
      <c r="OB70" s="756"/>
      <c r="OC70" s="756"/>
      <c r="OD70" s="756"/>
      <c r="OE70" s="756"/>
      <c r="OF70" s="756"/>
      <c r="OG70" s="756"/>
      <c r="OH70" s="756"/>
      <c r="OI70" s="756"/>
      <c r="OJ70" s="756"/>
      <c r="OK70" s="756"/>
      <c r="OL70" s="756"/>
      <c r="OM70" s="756"/>
      <c r="ON70" s="756"/>
      <c r="OO70" s="756"/>
      <c r="OP70" s="756"/>
      <c r="OQ70" s="756"/>
      <c r="OR70" s="756"/>
      <c r="OS70" s="756"/>
      <c r="OT70" s="756"/>
      <c r="OU70" s="756"/>
      <c r="OV70" s="756"/>
      <c r="OW70" s="756"/>
      <c r="OX70" s="756"/>
      <c r="OY70" s="756"/>
      <c r="OZ70" s="756"/>
      <c r="PA70" s="756"/>
      <c r="PB70" s="756"/>
      <c r="PC70" s="756"/>
      <c r="PD70" s="756"/>
      <c r="PE70" s="756"/>
      <c r="PF70" s="756"/>
      <c r="PG70" s="756"/>
      <c r="PH70" s="756"/>
      <c r="PI70" s="756"/>
      <c r="PJ70" s="756"/>
      <c r="PK70" s="756"/>
      <c r="PL70" s="756"/>
      <c r="PM70" s="756"/>
      <c r="PN70" s="756"/>
      <c r="PO70" s="756"/>
      <c r="PP70" s="756"/>
      <c r="PQ70" s="756"/>
      <c r="PR70" s="756"/>
      <c r="PS70" s="756"/>
      <c r="PT70" s="756"/>
      <c r="PU70" s="756"/>
      <c r="PV70" s="756"/>
      <c r="PW70" s="756"/>
      <c r="PX70" s="756"/>
      <c r="PY70" s="756"/>
      <c r="PZ70" s="756"/>
      <c r="QA70" s="756"/>
      <c r="QB70" s="756"/>
      <c r="QC70" s="756"/>
      <c r="QD70" s="756"/>
      <c r="QE70" s="756"/>
      <c r="QF70" s="756"/>
      <c r="QG70" s="756"/>
      <c r="QH70" s="756"/>
      <c r="QI70" s="756"/>
      <c r="QJ70" s="756"/>
      <c r="QK70" s="756"/>
      <c r="QL70" s="756"/>
      <c r="QM70" s="756"/>
      <c r="QN70" s="756"/>
      <c r="QO70" s="756"/>
      <c r="QP70" s="756"/>
      <c r="QQ70" s="756"/>
      <c r="QR70" s="756"/>
      <c r="QS70" s="756"/>
      <c r="QT70" s="756"/>
      <c r="QU70" s="756"/>
      <c r="QV70" s="756"/>
      <c r="QW70" s="756"/>
      <c r="QX70" s="756"/>
      <c r="QY70" s="756"/>
      <c r="QZ70" s="756"/>
      <c r="RA70" s="756"/>
      <c r="RB70" s="756"/>
      <c r="RC70" s="756"/>
      <c r="RD70" s="756"/>
      <c r="RE70" s="756"/>
      <c r="RF70" s="756"/>
      <c r="RG70" s="756"/>
      <c r="RH70" s="756"/>
      <c r="RI70" s="756"/>
      <c r="RJ70" s="756"/>
      <c r="RK70" s="756"/>
      <c r="RL70" s="756"/>
      <c r="RM70" s="756"/>
      <c r="RN70" s="756"/>
      <c r="RO70" s="756"/>
      <c r="RP70" s="756"/>
      <c r="RQ70" s="756"/>
      <c r="RR70" s="756"/>
      <c r="RS70" s="756"/>
      <c r="RT70" s="756"/>
      <c r="RU70" s="756"/>
      <c r="RV70" s="756"/>
      <c r="RW70" s="756"/>
      <c r="RX70" s="756"/>
      <c r="RY70" s="756"/>
      <c r="RZ70" s="756"/>
      <c r="SA70" s="756"/>
      <c r="SB70" s="756"/>
      <c r="SC70" s="756"/>
      <c r="SD70" s="756"/>
      <c r="SE70" s="756"/>
      <c r="SF70" s="756"/>
      <c r="SG70" s="756"/>
      <c r="SH70" s="756"/>
      <c r="SI70" s="756"/>
      <c r="SJ70" s="756"/>
      <c r="SK70" s="756"/>
      <c r="SL70" s="756"/>
      <c r="SM70" s="756"/>
      <c r="SN70" s="756"/>
      <c r="SO70" s="756"/>
      <c r="SP70" s="756"/>
      <c r="SQ70" s="756"/>
      <c r="SR70" s="756"/>
    </row>
    <row r="71" spans="1:512" ht="15" customHeight="1">
      <c r="A71" s="969"/>
      <c r="B71" s="969"/>
      <c r="C71" s="969" t="s">
        <v>2424</v>
      </c>
      <c r="D71" s="969"/>
      <c r="E71" s="969" t="s">
        <v>237</v>
      </c>
      <c r="F71" s="969"/>
      <c r="G71" s="756">
        <v>0</v>
      </c>
      <c r="H71" s="1027">
        <v>0</v>
      </c>
      <c r="I71" s="756"/>
      <c r="J71" s="756"/>
      <c r="K71" s="756"/>
      <c r="L71" s="756"/>
      <c r="M71" s="756"/>
      <c r="N71" s="756"/>
      <c r="O71" s="756"/>
      <c r="P71" s="756"/>
      <c r="Q71" s="756"/>
      <c r="R71" s="756"/>
      <c r="S71" s="756"/>
      <c r="T71" s="756"/>
      <c r="U71" s="756"/>
      <c r="V71" s="756"/>
      <c r="W71" s="756"/>
      <c r="X71" s="756"/>
      <c r="Y71" s="756"/>
      <c r="Z71" s="756"/>
      <c r="AA71" s="756"/>
      <c r="AB71" s="756"/>
      <c r="AC71" s="756"/>
      <c r="AD71" s="756"/>
      <c r="AE71" s="756"/>
      <c r="AF71" s="756"/>
      <c r="AG71" s="756"/>
      <c r="AH71" s="756"/>
      <c r="AI71" s="756"/>
      <c r="AJ71" s="756"/>
      <c r="AK71" s="756"/>
      <c r="AL71" s="756"/>
      <c r="AM71" s="756"/>
      <c r="AN71" s="756"/>
      <c r="AO71" s="756"/>
      <c r="AP71" s="756"/>
      <c r="AQ71" s="756"/>
      <c r="AR71" s="756"/>
      <c r="AS71" s="756"/>
      <c r="AT71" s="756"/>
      <c r="AU71" s="756"/>
      <c r="AV71" s="756"/>
      <c r="AW71" s="756"/>
      <c r="AX71" s="756"/>
      <c r="AY71" s="756"/>
      <c r="AZ71" s="756"/>
      <c r="BA71" s="756"/>
      <c r="BB71" s="756"/>
      <c r="BC71" s="756"/>
      <c r="BD71" s="756"/>
      <c r="BE71" s="756"/>
      <c r="BF71" s="756"/>
      <c r="BG71" s="756"/>
      <c r="BH71" s="756"/>
      <c r="BI71" s="756"/>
      <c r="BJ71" s="756"/>
      <c r="BK71" s="756"/>
      <c r="BL71" s="756"/>
      <c r="BM71" s="756"/>
      <c r="BN71" s="756"/>
      <c r="BO71" s="756"/>
      <c r="BP71" s="756"/>
      <c r="BQ71" s="756"/>
      <c r="BR71" s="756"/>
      <c r="BS71" s="756"/>
      <c r="BT71" s="756"/>
      <c r="BU71" s="756"/>
      <c r="BV71" s="756"/>
      <c r="BW71" s="756"/>
      <c r="BX71" s="756"/>
      <c r="BY71" s="756"/>
      <c r="BZ71" s="756"/>
      <c r="CA71" s="756"/>
      <c r="CB71" s="756"/>
      <c r="CC71" s="756"/>
      <c r="CD71" s="756"/>
      <c r="CE71" s="756"/>
      <c r="CF71" s="756"/>
      <c r="CG71" s="756"/>
      <c r="CH71" s="756"/>
      <c r="CI71" s="756"/>
      <c r="CJ71" s="756"/>
      <c r="CK71" s="756"/>
      <c r="CL71" s="756"/>
      <c r="CM71" s="756"/>
      <c r="CN71" s="756"/>
      <c r="CO71" s="756"/>
      <c r="CP71" s="756"/>
      <c r="CQ71" s="756"/>
      <c r="CR71" s="756"/>
      <c r="CS71" s="756"/>
      <c r="CT71" s="756"/>
      <c r="CU71" s="756"/>
      <c r="CV71" s="756"/>
      <c r="CW71" s="756"/>
      <c r="CX71" s="756"/>
      <c r="CY71" s="756"/>
      <c r="CZ71" s="756"/>
      <c r="DA71" s="756"/>
      <c r="DB71" s="756"/>
      <c r="DC71" s="756"/>
      <c r="DD71" s="756"/>
      <c r="DE71" s="756"/>
      <c r="DF71" s="756"/>
      <c r="DG71" s="756"/>
      <c r="DH71" s="756"/>
      <c r="DI71" s="756"/>
      <c r="DJ71" s="756"/>
      <c r="DK71" s="756"/>
      <c r="DL71" s="756"/>
      <c r="DM71" s="756"/>
      <c r="DN71" s="756"/>
      <c r="DO71" s="756"/>
      <c r="DP71" s="756"/>
      <c r="DQ71" s="756"/>
      <c r="DR71" s="756"/>
      <c r="DS71" s="756"/>
      <c r="DT71" s="756"/>
      <c r="DU71" s="756"/>
      <c r="DV71" s="756"/>
      <c r="DW71" s="756"/>
      <c r="DX71" s="756"/>
      <c r="DY71" s="756"/>
      <c r="DZ71" s="756"/>
      <c r="EA71" s="756"/>
      <c r="EB71" s="756"/>
      <c r="EC71" s="756"/>
      <c r="ED71" s="756"/>
      <c r="EE71" s="756"/>
      <c r="EF71" s="756"/>
      <c r="EG71" s="756"/>
      <c r="EH71" s="756"/>
      <c r="EI71" s="756"/>
      <c r="EJ71" s="756"/>
      <c r="EK71" s="756"/>
      <c r="EL71" s="756"/>
      <c r="EM71" s="756"/>
      <c r="EN71" s="756"/>
      <c r="EO71" s="756"/>
      <c r="EP71" s="756"/>
      <c r="EQ71" s="756"/>
      <c r="ER71" s="756"/>
      <c r="ES71" s="756"/>
      <c r="ET71" s="756"/>
      <c r="EU71" s="756"/>
      <c r="EV71" s="756"/>
      <c r="EW71" s="756"/>
      <c r="EX71" s="756"/>
      <c r="EY71" s="756"/>
      <c r="EZ71" s="756"/>
      <c r="FA71" s="756"/>
      <c r="FB71" s="756"/>
      <c r="FC71" s="756"/>
      <c r="FD71" s="756"/>
      <c r="FE71" s="756"/>
      <c r="FF71" s="756"/>
      <c r="FG71" s="756"/>
      <c r="FH71" s="756"/>
      <c r="FI71" s="756"/>
      <c r="FJ71" s="756"/>
      <c r="FK71" s="756"/>
      <c r="FL71" s="756"/>
      <c r="FM71" s="756"/>
      <c r="FN71" s="756"/>
      <c r="FO71" s="756"/>
      <c r="FP71" s="756"/>
      <c r="FQ71" s="756"/>
      <c r="FR71" s="756"/>
      <c r="FS71" s="756"/>
      <c r="FT71" s="756"/>
      <c r="FU71" s="756"/>
      <c r="FV71" s="756"/>
      <c r="FW71" s="756"/>
      <c r="FX71" s="756"/>
      <c r="FY71" s="756"/>
      <c r="FZ71" s="756"/>
      <c r="GA71" s="756"/>
      <c r="GB71" s="756"/>
      <c r="GC71" s="756"/>
      <c r="GD71" s="756"/>
      <c r="GE71" s="756"/>
      <c r="GF71" s="756"/>
      <c r="GG71" s="756"/>
      <c r="GH71" s="756"/>
      <c r="GI71" s="756"/>
      <c r="GJ71" s="756"/>
      <c r="GK71" s="756"/>
      <c r="GL71" s="756"/>
      <c r="GM71" s="756"/>
      <c r="GN71" s="756"/>
      <c r="GO71" s="756"/>
      <c r="GP71" s="756"/>
      <c r="GQ71" s="756"/>
      <c r="GR71" s="756"/>
      <c r="GS71" s="756"/>
      <c r="GT71" s="756"/>
      <c r="GU71" s="756"/>
      <c r="GV71" s="756"/>
      <c r="GW71" s="756"/>
      <c r="GX71" s="756"/>
      <c r="GY71" s="756"/>
      <c r="GZ71" s="756"/>
      <c r="HA71" s="756"/>
      <c r="HB71" s="756"/>
      <c r="HC71" s="756"/>
      <c r="HD71" s="756"/>
      <c r="HE71" s="756"/>
      <c r="HF71" s="756"/>
      <c r="HG71" s="756"/>
      <c r="HH71" s="756"/>
      <c r="HI71" s="756"/>
      <c r="HJ71" s="756"/>
      <c r="HK71" s="756"/>
      <c r="HL71" s="756"/>
      <c r="HM71" s="756"/>
      <c r="HN71" s="756"/>
      <c r="HO71" s="756"/>
      <c r="HP71" s="756"/>
      <c r="HQ71" s="756"/>
      <c r="HR71" s="756"/>
      <c r="HS71" s="756"/>
      <c r="HT71" s="756"/>
      <c r="HU71" s="756"/>
      <c r="HV71" s="756"/>
      <c r="HW71" s="756"/>
      <c r="HX71" s="756"/>
      <c r="HY71" s="756"/>
      <c r="HZ71" s="756"/>
      <c r="IA71" s="756"/>
      <c r="IB71" s="756"/>
      <c r="IC71" s="756"/>
      <c r="ID71" s="756"/>
      <c r="IE71" s="756"/>
      <c r="IF71" s="756"/>
      <c r="IG71" s="756"/>
      <c r="IH71" s="756"/>
      <c r="II71" s="756"/>
      <c r="IJ71" s="756"/>
      <c r="IK71" s="756"/>
      <c r="IL71" s="756"/>
      <c r="IM71" s="756"/>
      <c r="IN71" s="756"/>
      <c r="IO71" s="756"/>
      <c r="IP71" s="756"/>
      <c r="IQ71" s="756"/>
      <c r="IR71" s="756"/>
      <c r="IS71" s="756"/>
      <c r="IT71" s="756"/>
      <c r="IU71" s="756"/>
      <c r="IV71" s="756"/>
      <c r="IW71" s="756"/>
      <c r="IX71" s="756"/>
      <c r="IY71" s="756"/>
      <c r="IZ71" s="756"/>
      <c r="JA71" s="756"/>
      <c r="JB71" s="756"/>
      <c r="JC71" s="756"/>
      <c r="JD71" s="756"/>
      <c r="JE71" s="756"/>
      <c r="JF71" s="756"/>
      <c r="JG71" s="756"/>
      <c r="JH71" s="756"/>
      <c r="JI71" s="756"/>
      <c r="JJ71" s="756"/>
      <c r="JK71" s="756"/>
      <c r="JL71" s="756"/>
      <c r="JM71" s="756"/>
      <c r="JN71" s="756"/>
      <c r="JO71" s="756"/>
      <c r="JP71" s="756"/>
      <c r="JQ71" s="756"/>
      <c r="JR71" s="756"/>
      <c r="JS71" s="756"/>
      <c r="JT71" s="756"/>
      <c r="JU71" s="756"/>
      <c r="JV71" s="756"/>
      <c r="JW71" s="756"/>
      <c r="JX71" s="756"/>
      <c r="JY71" s="756"/>
      <c r="JZ71" s="756"/>
      <c r="KA71" s="756"/>
      <c r="KB71" s="756"/>
      <c r="KC71" s="756"/>
      <c r="KD71" s="756"/>
      <c r="KE71" s="756"/>
      <c r="KF71" s="756"/>
      <c r="KG71" s="756"/>
      <c r="KH71" s="756"/>
      <c r="KI71" s="756"/>
      <c r="KJ71" s="756"/>
      <c r="KK71" s="756"/>
      <c r="KL71" s="756"/>
      <c r="KM71" s="756"/>
      <c r="KN71" s="756"/>
      <c r="KO71" s="756"/>
      <c r="KP71" s="756"/>
      <c r="KQ71" s="756"/>
      <c r="KR71" s="756"/>
      <c r="KS71" s="756"/>
      <c r="KT71" s="756"/>
      <c r="KU71" s="756"/>
      <c r="KV71" s="756"/>
      <c r="KW71" s="756"/>
      <c r="KX71" s="756"/>
      <c r="KY71" s="756"/>
      <c r="KZ71" s="756"/>
      <c r="LA71" s="756"/>
      <c r="LB71" s="756"/>
      <c r="LC71" s="756"/>
      <c r="LD71" s="756"/>
      <c r="LE71" s="756"/>
      <c r="LF71" s="756"/>
      <c r="LG71" s="756"/>
      <c r="LH71" s="756"/>
      <c r="LI71" s="756"/>
      <c r="LJ71" s="756"/>
      <c r="LK71" s="756"/>
      <c r="LL71" s="756"/>
      <c r="LM71" s="756"/>
      <c r="LN71" s="756"/>
      <c r="LO71" s="756"/>
      <c r="LP71" s="756"/>
      <c r="LQ71" s="756"/>
      <c r="LR71" s="756"/>
      <c r="LS71" s="756"/>
      <c r="LT71" s="756"/>
      <c r="LU71" s="756"/>
      <c r="LV71" s="756"/>
      <c r="LW71" s="756"/>
      <c r="LX71" s="756"/>
      <c r="LY71" s="756"/>
      <c r="LZ71" s="756"/>
      <c r="MA71" s="756"/>
      <c r="MB71" s="756"/>
      <c r="MC71" s="756"/>
      <c r="MD71" s="756"/>
      <c r="ME71" s="756"/>
      <c r="MF71" s="756"/>
      <c r="MG71" s="756"/>
      <c r="MH71" s="756"/>
      <c r="MI71" s="756"/>
      <c r="MJ71" s="756"/>
      <c r="MK71" s="756"/>
      <c r="ML71" s="756"/>
      <c r="MM71" s="756"/>
      <c r="MN71" s="756"/>
      <c r="MO71" s="756"/>
      <c r="MP71" s="756"/>
      <c r="MQ71" s="756"/>
      <c r="MR71" s="756"/>
      <c r="MS71" s="756"/>
      <c r="MT71" s="756"/>
      <c r="MU71" s="756"/>
      <c r="MV71" s="756"/>
      <c r="MW71" s="756"/>
      <c r="MX71" s="756"/>
      <c r="MY71" s="756"/>
      <c r="MZ71" s="756"/>
      <c r="NA71" s="756"/>
      <c r="NB71" s="756"/>
      <c r="NC71" s="756"/>
      <c r="ND71" s="756"/>
      <c r="NE71" s="756"/>
      <c r="NF71" s="756"/>
      <c r="NG71" s="756"/>
      <c r="NH71" s="756"/>
      <c r="NI71" s="756"/>
      <c r="NJ71" s="756"/>
      <c r="NK71" s="756"/>
      <c r="NL71" s="756"/>
      <c r="NM71" s="756"/>
      <c r="NN71" s="756"/>
      <c r="NO71" s="756"/>
      <c r="NP71" s="756"/>
      <c r="NQ71" s="756"/>
      <c r="NR71" s="756"/>
      <c r="NS71" s="756"/>
      <c r="NT71" s="756"/>
      <c r="NU71" s="756"/>
      <c r="NV71" s="756"/>
      <c r="NW71" s="756"/>
      <c r="NX71" s="756"/>
      <c r="NY71" s="756"/>
      <c r="NZ71" s="756"/>
      <c r="OA71" s="756"/>
      <c r="OB71" s="756"/>
      <c r="OC71" s="756"/>
      <c r="OD71" s="756"/>
      <c r="OE71" s="756"/>
      <c r="OF71" s="756"/>
      <c r="OG71" s="756"/>
      <c r="OH71" s="756"/>
      <c r="OI71" s="756"/>
      <c r="OJ71" s="756"/>
      <c r="OK71" s="756"/>
      <c r="OL71" s="756"/>
      <c r="OM71" s="756"/>
      <c r="ON71" s="756"/>
      <c r="OO71" s="756"/>
      <c r="OP71" s="756"/>
      <c r="OQ71" s="756"/>
      <c r="OR71" s="756"/>
      <c r="OS71" s="756"/>
      <c r="OT71" s="756"/>
      <c r="OU71" s="756"/>
      <c r="OV71" s="756"/>
      <c r="OW71" s="756"/>
      <c r="OX71" s="756"/>
      <c r="OY71" s="756"/>
      <c r="OZ71" s="756"/>
      <c r="PA71" s="756"/>
      <c r="PB71" s="756"/>
      <c r="PC71" s="756"/>
      <c r="PD71" s="756"/>
      <c r="PE71" s="756"/>
      <c r="PF71" s="756"/>
      <c r="PG71" s="756"/>
      <c r="PH71" s="756"/>
      <c r="PI71" s="756"/>
      <c r="PJ71" s="756"/>
      <c r="PK71" s="756"/>
      <c r="PL71" s="756"/>
      <c r="PM71" s="756"/>
      <c r="PN71" s="756"/>
      <c r="PO71" s="756"/>
      <c r="PP71" s="756"/>
      <c r="PQ71" s="756"/>
      <c r="PR71" s="756"/>
      <c r="PS71" s="756"/>
      <c r="PT71" s="756"/>
      <c r="PU71" s="756"/>
      <c r="PV71" s="756"/>
      <c r="PW71" s="756"/>
      <c r="PX71" s="756"/>
      <c r="PY71" s="756"/>
      <c r="PZ71" s="756"/>
      <c r="QA71" s="756"/>
      <c r="QB71" s="756"/>
      <c r="QC71" s="756"/>
      <c r="QD71" s="756"/>
      <c r="QE71" s="756"/>
      <c r="QF71" s="756"/>
      <c r="QG71" s="756"/>
      <c r="QH71" s="756"/>
      <c r="QI71" s="756"/>
      <c r="QJ71" s="756"/>
      <c r="QK71" s="756"/>
      <c r="QL71" s="756"/>
      <c r="QM71" s="756"/>
      <c r="QN71" s="756"/>
      <c r="QO71" s="756"/>
      <c r="QP71" s="756"/>
      <c r="QQ71" s="756"/>
      <c r="QR71" s="756"/>
      <c r="QS71" s="756"/>
      <c r="QT71" s="756"/>
      <c r="QU71" s="756"/>
      <c r="QV71" s="756"/>
      <c r="QW71" s="756"/>
      <c r="QX71" s="756"/>
      <c r="QY71" s="756"/>
      <c r="QZ71" s="756"/>
      <c r="RA71" s="756"/>
      <c r="RB71" s="756"/>
      <c r="RC71" s="756"/>
      <c r="RD71" s="756"/>
      <c r="RE71" s="756"/>
      <c r="RF71" s="756"/>
      <c r="RG71" s="756"/>
      <c r="RH71" s="756"/>
      <c r="RI71" s="756"/>
      <c r="RJ71" s="756"/>
      <c r="RK71" s="756"/>
      <c r="RL71" s="756"/>
      <c r="RM71" s="756"/>
      <c r="RN71" s="756"/>
      <c r="RO71" s="756"/>
      <c r="RP71" s="756"/>
      <c r="RQ71" s="756"/>
      <c r="RR71" s="756"/>
      <c r="RS71" s="756"/>
      <c r="RT71" s="756"/>
      <c r="RU71" s="756"/>
      <c r="RV71" s="756"/>
      <c r="RW71" s="756"/>
      <c r="RX71" s="756"/>
      <c r="RY71" s="756"/>
      <c r="RZ71" s="756"/>
      <c r="SA71" s="756"/>
      <c r="SB71" s="756"/>
      <c r="SC71" s="756"/>
      <c r="SD71" s="756"/>
      <c r="SE71" s="756"/>
      <c r="SF71" s="756"/>
      <c r="SG71" s="756"/>
      <c r="SH71" s="756"/>
      <c r="SI71" s="756"/>
      <c r="SJ71" s="756"/>
      <c r="SK71" s="756"/>
      <c r="SL71" s="756"/>
      <c r="SM71" s="756"/>
      <c r="SN71" s="756"/>
      <c r="SO71" s="756"/>
      <c r="SP71" s="756"/>
      <c r="SQ71" s="756"/>
      <c r="SR71" s="756"/>
    </row>
    <row r="72" spans="1:512" s="132" customFormat="1" ht="15" customHeight="1">
      <c r="A72" s="969"/>
      <c r="B72" s="969"/>
      <c r="C72" s="969"/>
      <c r="D72" s="969"/>
      <c r="E72" s="969"/>
      <c r="F72" s="969"/>
      <c r="G72" s="769"/>
      <c r="H72" s="1027"/>
      <c r="I72" s="763"/>
      <c r="J72" s="763"/>
      <c r="K72" s="763"/>
      <c r="L72" s="763"/>
      <c r="M72" s="763"/>
      <c r="N72" s="763"/>
      <c r="O72" s="763"/>
      <c r="P72" s="763"/>
      <c r="Q72" s="763"/>
      <c r="R72" s="763"/>
      <c r="S72" s="763"/>
      <c r="T72" s="763"/>
      <c r="U72" s="645"/>
      <c r="V72" s="770"/>
      <c r="W72" s="770"/>
      <c r="X72" s="770"/>
      <c r="Y72" s="770"/>
      <c r="Z72" s="770"/>
      <c r="AA72" s="770"/>
      <c r="AB72" s="770"/>
      <c r="AC72" s="770"/>
      <c r="AD72" s="770"/>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row>
    <row r="73" spans="1:512" ht="15" customHeight="1">
      <c r="A73" s="969" t="s">
        <v>2709</v>
      </c>
      <c r="B73" s="969"/>
      <c r="C73" s="969"/>
      <c r="D73" s="969"/>
      <c r="E73" s="969" t="s">
        <v>237</v>
      </c>
      <c r="F73" s="969"/>
      <c r="G73" s="756">
        <v>0</v>
      </c>
      <c r="H73" s="1027">
        <v>0</v>
      </c>
      <c r="I73" s="756"/>
      <c r="J73" s="756"/>
      <c r="K73" s="756"/>
      <c r="L73" s="756"/>
      <c r="M73" s="756"/>
      <c r="N73" s="756"/>
      <c r="O73" s="756"/>
      <c r="P73" s="756"/>
      <c r="Q73" s="756"/>
      <c r="R73" s="756"/>
      <c r="S73" s="756"/>
      <c r="T73" s="756"/>
      <c r="U73" s="756"/>
      <c r="V73" s="756"/>
      <c r="W73" s="756"/>
      <c r="X73" s="756"/>
      <c r="Y73" s="756"/>
      <c r="Z73" s="756"/>
      <c r="AA73" s="756"/>
      <c r="AB73" s="756"/>
      <c r="AC73" s="756"/>
      <c r="AD73" s="756"/>
      <c r="AE73" s="756"/>
      <c r="AF73" s="756"/>
      <c r="AG73" s="756"/>
      <c r="AH73" s="756"/>
      <c r="AI73" s="756"/>
      <c r="AJ73" s="756"/>
      <c r="AK73" s="756"/>
      <c r="AL73" s="756"/>
      <c r="AM73" s="756"/>
      <c r="AN73" s="756"/>
      <c r="AO73" s="756"/>
      <c r="AP73" s="756"/>
      <c r="AQ73" s="756"/>
      <c r="AR73" s="756"/>
      <c r="AS73" s="756"/>
      <c r="AT73" s="756"/>
      <c r="AU73" s="756"/>
      <c r="AV73" s="756"/>
      <c r="AW73" s="756"/>
      <c r="AX73" s="756"/>
      <c r="AY73" s="756"/>
      <c r="AZ73" s="756"/>
      <c r="BA73" s="756"/>
      <c r="BB73" s="756"/>
      <c r="BC73" s="756"/>
      <c r="BD73" s="756"/>
      <c r="BE73" s="756"/>
      <c r="BF73" s="756"/>
      <c r="BG73" s="756"/>
      <c r="BH73" s="756"/>
      <c r="BI73" s="756"/>
      <c r="BJ73" s="756"/>
      <c r="BK73" s="756"/>
      <c r="BL73" s="756"/>
      <c r="BM73" s="756"/>
      <c r="BN73" s="756"/>
      <c r="BO73" s="756"/>
      <c r="BP73" s="756"/>
      <c r="BQ73" s="756"/>
      <c r="BR73" s="756"/>
      <c r="BS73" s="756"/>
      <c r="BT73" s="756"/>
      <c r="BU73" s="756"/>
      <c r="BV73" s="756"/>
      <c r="BW73" s="756"/>
      <c r="BX73" s="756"/>
      <c r="BY73" s="756"/>
      <c r="BZ73" s="756"/>
      <c r="CA73" s="756"/>
      <c r="CB73" s="756"/>
      <c r="CC73" s="756"/>
      <c r="CD73" s="756"/>
      <c r="CE73" s="756"/>
      <c r="CF73" s="756"/>
      <c r="CG73" s="756"/>
      <c r="CH73" s="756"/>
      <c r="CI73" s="756"/>
      <c r="CJ73" s="756"/>
      <c r="CK73" s="756"/>
      <c r="CL73" s="756"/>
      <c r="CM73" s="756"/>
      <c r="CN73" s="756"/>
      <c r="CO73" s="756"/>
      <c r="CP73" s="756"/>
      <c r="CQ73" s="756"/>
      <c r="CR73" s="756"/>
      <c r="CS73" s="756"/>
      <c r="CT73" s="756"/>
      <c r="CU73" s="756"/>
      <c r="CV73" s="756"/>
      <c r="CW73" s="756"/>
      <c r="CX73" s="756"/>
      <c r="CY73" s="756"/>
      <c r="CZ73" s="756"/>
      <c r="DA73" s="756"/>
      <c r="DB73" s="756"/>
      <c r="DC73" s="756"/>
      <c r="DD73" s="756"/>
      <c r="DE73" s="756"/>
      <c r="DF73" s="756"/>
      <c r="DG73" s="756"/>
      <c r="DH73" s="756"/>
      <c r="DI73" s="756"/>
      <c r="DJ73" s="756"/>
      <c r="DK73" s="756"/>
      <c r="DL73" s="756"/>
      <c r="DM73" s="756"/>
      <c r="DN73" s="756"/>
      <c r="DO73" s="756"/>
      <c r="DP73" s="756"/>
      <c r="DQ73" s="756"/>
      <c r="DR73" s="756"/>
      <c r="DS73" s="756"/>
      <c r="DT73" s="756"/>
      <c r="DU73" s="756"/>
      <c r="DV73" s="756"/>
      <c r="DW73" s="756"/>
      <c r="DX73" s="756"/>
      <c r="DY73" s="756"/>
      <c r="DZ73" s="756"/>
      <c r="EA73" s="756"/>
      <c r="EB73" s="756"/>
      <c r="EC73" s="756"/>
      <c r="ED73" s="756"/>
      <c r="EE73" s="756"/>
      <c r="EF73" s="756"/>
      <c r="EG73" s="756"/>
      <c r="EH73" s="756"/>
      <c r="EI73" s="756"/>
      <c r="EJ73" s="756"/>
      <c r="EK73" s="756"/>
      <c r="EL73" s="756"/>
      <c r="EM73" s="756"/>
      <c r="EN73" s="756"/>
      <c r="EO73" s="756"/>
      <c r="EP73" s="756"/>
      <c r="EQ73" s="756"/>
      <c r="ER73" s="756"/>
      <c r="ES73" s="756"/>
      <c r="ET73" s="756"/>
      <c r="EU73" s="756"/>
      <c r="EV73" s="756"/>
      <c r="EW73" s="756"/>
      <c r="EX73" s="756"/>
      <c r="EY73" s="756"/>
      <c r="EZ73" s="756"/>
      <c r="FA73" s="756"/>
      <c r="FB73" s="756"/>
      <c r="FC73" s="756"/>
      <c r="FD73" s="756"/>
      <c r="FE73" s="756"/>
      <c r="FF73" s="756"/>
      <c r="FG73" s="756"/>
      <c r="FH73" s="756"/>
      <c r="FI73" s="756"/>
      <c r="FJ73" s="756"/>
      <c r="FK73" s="756"/>
      <c r="FL73" s="756"/>
      <c r="FM73" s="756"/>
      <c r="FN73" s="756"/>
      <c r="FO73" s="756"/>
      <c r="FP73" s="756"/>
      <c r="FQ73" s="756"/>
      <c r="FR73" s="756"/>
      <c r="FS73" s="756"/>
      <c r="FT73" s="756"/>
      <c r="FU73" s="756"/>
      <c r="FV73" s="756"/>
      <c r="FW73" s="756"/>
      <c r="FX73" s="756"/>
      <c r="FY73" s="756"/>
      <c r="FZ73" s="756"/>
      <c r="GA73" s="756"/>
      <c r="GB73" s="756"/>
      <c r="GC73" s="756"/>
      <c r="GD73" s="756"/>
      <c r="GE73" s="756"/>
      <c r="GF73" s="756"/>
      <c r="GG73" s="756"/>
      <c r="GH73" s="756"/>
      <c r="GI73" s="756"/>
      <c r="GJ73" s="756"/>
      <c r="GK73" s="756"/>
      <c r="GL73" s="756"/>
      <c r="GM73" s="756"/>
      <c r="GN73" s="756"/>
      <c r="GO73" s="756"/>
      <c r="GP73" s="756"/>
      <c r="GQ73" s="756"/>
      <c r="GR73" s="756"/>
      <c r="GS73" s="756"/>
      <c r="GT73" s="756"/>
      <c r="GU73" s="756"/>
      <c r="GV73" s="756"/>
      <c r="GW73" s="756"/>
      <c r="GX73" s="756"/>
      <c r="GY73" s="756"/>
      <c r="GZ73" s="756"/>
      <c r="HA73" s="756"/>
      <c r="HB73" s="756"/>
      <c r="HC73" s="756"/>
      <c r="HD73" s="756"/>
      <c r="HE73" s="756"/>
      <c r="HF73" s="756"/>
      <c r="HG73" s="756"/>
      <c r="HH73" s="756"/>
      <c r="HI73" s="756"/>
      <c r="HJ73" s="756"/>
      <c r="HK73" s="756"/>
      <c r="HL73" s="756"/>
      <c r="HM73" s="756"/>
      <c r="HN73" s="756"/>
      <c r="HO73" s="756"/>
      <c r="HP73" s="756"/>
      <c r="HQ73" s="756"/>
      <c r="HR73" s="756"/>
      <c r="HS73" s="756"/>
      <c r="HT73" s="756"/>
      <c r="HU73" s="756"/>
      <c r="HV73" s="756"/>
      <c r="HW73" s="756"/>
      <c r="HX73" s="756"/>
      <c r="HY73" s="756"/>
      <c r="HZ73" s="756"/>
      <c r="IA73" s="756"/>
      <c r="IB73" s="756"/>
      <c r="IC73" s="756"/>
      <c r="ID73" s="756"/>
      <c r="IE73" s="756"/>
      <c r="IF73" s="756"/>
      <c r="IG73" s="756"/>
      <c r="IH73" s="756"/>
      <c r="II73" s="756"/>
      <c r="IJ73" s="756"/>
      <c r="IK73" s="756"/>
      <c r="IL73" s="756"/>
      <c r="IM73" s="756"/>
      <c r="IN73" s="756"/>
      <c r="IO73" s="756"/>
      <c r="IP73" s="756"/>
      <c r="IQ73" s="756"/>
      <c r="IR73" s="756"/>
      <c r="IS73" s="756"/>
      <c r="IT73" s="756"/>
      <c r="IU73" s="756"/>
      <c r="IV73" s="756"/>
      <c r="IW73" s="756"/>
      <c r="IX73" s="756"/>
      <c r="IY73" s="756"/>
      <c r="IZ73" s="756"/>
      <c r="JA73" s="756"/>
      <c r="JB73" s="756"/>
      <c r="JC73" s="756"/>
      <c r="JD73" s="756"/>
      <c r="JE73" s="756"/>
      <c r="JF73" s="756"/>
      <c r="JG73" s="756"/>
      <c r="JH73" s="756"/>
      <c r="JI73" s="756"/>
      <c r="JJ73" s="756"/>
      <c r="JK73" s="756"/>
      <c r="JL73" s="756"/>
      <c r="JM73" s="756"/>
      <c r="JN73" s="756"/>
      <c r="JO73" s="756"/>
      <c r="JP73" s="756"/>
      <c r="JQ73" s="756"/>
      <c r="JR73" s="756"/>
      <c r="JS73" s="756"/>
      <c r="JT73" s="756"/>
      <c r="JU73" s="756"/>
      <c r="JV73" s="756"/>
      <c r="JW73" s="756"/>
      <c r="JX73" s="756"/>
      <c r="JY73" s="756"/>
      <c r="JZ73" s="756"/>
      <c r="KA73" s="756"/>
      <c r="KB73" s="756"/>
      <c r="KC73" s="756"/>
      <c r="KD73" s="756"/>
      <c r="KE73" s="756"/>
      <c r="KF73" s="756"/>
      <c r="KG73" s="756"/>
      <c r="KH73" s="756"/>
      <c r="KI73" s="756"/>
      <c r="KJ73" s="756"/>
      <c r="KK73" s="756"/>
      <c r="KL73" s="756"/>
      <c r="KM73" s="756"/>
      <c r="KN73" s="756"/>
      <c r="KO73" s="756"/>
      <c r="KP73" s="756"/>
      <c r="KQ73" s="756"/>
      <c r="KR73" s="756"/>
      <c r="KS73" s="756"/>
      <c r="KT73" s="756"/>
      <c r="KU73" s="756"/>
      <c r="KV73" s="756"/>
      <c r="KW73" s="756"/>
      <c r="KX73" s="756"/>
      <c r="KY73" s="756"/>
      <c r="KZ73" s="756"/>
      <c r="LA73" s="756"/>
      <c r="LB73" s="756"/>
      <c r="LC73" s="756"/>
      <c r="LD73" s="756"/>
      <c r="LE73" s="756"/>
      <c r="LF73" s="756"/>
      <c r="LG73" s="756"/>
      <c r="LH73" s="756"/>
      <c r="LI73" s="756"/>
      <c r="LJ73" s="756"/>
      <c r="LK73" s="756"/>
      <c r="LL73" s="756"/>
      <c r="LM73" s="756"/>
      <c r="LN73" s="756"/>
      <c r="LO73" s="756"/>
      <c r="LP73" s="756"/>
      <c r="LQ73" s="756"/>
      <c r="LR73" s="756"/>
      <c r="LS73" s="756"/>
      <c r="LT73" s="756"/>
      <c r="LU73" s="756"/>
      <c r="LV73" s="756"/>
      <c r="LW73" s="756"/>
      <c r="LX73" s="756"/>
      <c r="LY73" s="756"/>
      <c r="LZ73" s="756"/>
      <c r="MA73" s="756"/>
      <c r="MB73" s="756"/>
      <c r="MC73" s="756"/>
      <c r="MD73" s="756"/>
      <c r="ME73" s="756"/>
      <c r="MF73" s="756"/>
      <c r="MG73" s="756"/>
      <c r="MH73" s="756"/>
      <c r="MI73" s="756"/>
      <c r="MJ73" s="756"/>
      <c r="MK73" s="756"/>
      <c r="ML73" s="756"/>
      <c r="MM73" s="756"/>
      <c r="MN73" s="756"/>
      <c r="MO73" s="756"/>
      <c r="MP73" s="756"/>
      <c r="MQ73" s="756"/>
      <c r="MR73" s="756"/>
      <c r="MS73" s="756"/>
      <c r="MT73" s="756"/>
      <c r="MU73" s="756"/>
      <c r="MV73" s="756"/>
      <c r="MW73" s="756"/>
      <c r="MX73" s="756"/>
      <c r="MY73" s="756"/>
      <c r="MZ73" s="756"/>
      <c r="NA73" s="756"/>
      <c r="NB73" s="756"/>
      <c r="NC73" s="756"/>
      <c r="ND73" s="756"/>
      <c r="NE73" s="756"/>
      <c r="NF73" s="756"/>
      <c r="NG73" s="756"/>
      <c r="NH73" s="756"/>
      <c r="NI73" s="756"/>
      <c r="NJ73" s="756"/>
      <c r="NK73" s="756"/>
      <c r="NL73" s="756"/>
      <c r="NM73" s="756"/>
      <c r="NN73" s="756"/>
      <c r="NO73" s="756"/>
      <c r="NP73" s="756"/>
      <c r="NQ73" s="756"/>
      <c r="NR73" s="756"/>
      <c r="NS73" s="756"/>
      <c r="NT73" s="756"/>
      <c r="NU73" s="756"/>
      <c r="NV73" s="756"/>
      <c r="NW73" s="756"/>
      <c r="NX73" s="756"/>
      <c r="NY73" s="756"/>
      <c r="NZ73" s="756"/>
      <c r="OA73" s="756"/>
      <c r="OB73" s="756"/>
      <c r="OC73" s="756"/>
      <c r="OD73" s="756"/>
      <c r="OE73" s="756"/>
      <c r="OF73" s="756"/>
      <c r="OG73" s="756"/>
      <c r="OH73" s="756"/>
      <c r="OI73" s="756"/>
      <c r="OJ73" s="756"/>
      <c r="OK73" s="756"/>
      <c r="OL73" s="756"/>
      <c r="OM73" s="756"/>
      <c r="ON73" s="756"/>
      <c r="OO73" s="756"/>
      <c r="OP73" s="756"/>
      <c r="OQ73" s="756"/>
      <c r="OR73" s="756"/>
      <c r="OS73" s="756"/>
      <c r="OT73" s="756"/>
      <c r="OU73" s="756"/>
      <c r="OV73" s="756"/>
      <c r="OW73" s="756"/>
      <c r="OX73" s="756"/>
      <c r="OY73" s="756"/>
      <c r="OZ73" s="756"/>
      <c r="PA73" s="756"/>
      <c r="PB73" s="756"/>
      <c r="PC73" s="756"/>
      <c r="PD73" s="756"/>
      <c r="PE73" s="756"/>
      <c r="PF73" s="756"/>
      <c r="PG73" s="756"/>
      <c r="PH73" s="756"/>
      <c r="PI73" s="756"/>
      <c r="PJ73" s="756"/>
      <c r="PK73" s="756"/>
      <c r="PL73" s="756"/>
      <c r="PM73" s="756"/>
      <c r="PN73" s="756"/>
      <c r="PO73" s="756"/>
      <c r="PP73" s="756"/>
      <c r="PQ73" s="756"/>
      <c r="PR73" s="756"/>
      <c r="PS73" s="756"/>
      <c r="PT73" s="756"/>
      <c r="PU73" s="756"/>
      <c r="PV73" s="756"/>
      <c r="PW73" s="756"/>
      <c r="PX73" s="756"/>
      <c r="PY73" s="756"/>
      <c r="PZ73" s="756"/>
      <c r="QA73" s="756"/>
      <c r="QB73" s="756"/>
      <c r="QC73" s="756"/>
      <c r="QD73" s="756"/>
      <c r="QE73" s="756"/>
      <c r="QF73" s="756"/>
      <c r="QG73" s="756"/>
      <c r="QH73" s="756"/>
      <c r="QI73" s="756"/>
      <c r="QJ73" s="756"/>
      <c r="QK73" s="756"/>
      <c r="QL73" s="756"/>
      <c r="QM73" s="756"/>
      <c r="QN73" s="756"/>
      <c r="QO73" s="756"/>
      <c r="QP73" s="756"/>
      <c r="QQ73" s="756"/>
      <c r="QR73" s="756"/>
      <c r="QS73" s="756"/>
      <c r="QT73" s="756"/>
      <c r="QU73" s="756"/>
      <c r="QV73" s="756"/>
      <c r="QW73" s="756"/>
      <c r="QX73" s="756"/>
      <c r="QY73" s="756"/>
      <c r="QZ73" s="756"/>
      <c r="RA73" s="756"/>
      <c r="RB73" s="756"/>
      <c r="RC73" s="756"/>
      <c r="RD73" s="756"/>
      <c r="RE73" s="756"/>
      <c r="RF73" s="756"/>
      <c r="RG73" s="756"/>
      <c r="RH73" s="756"/>
      <c r="RI73" s="756"/>
      <c r="RJ73" s="756"/>
      <c r="RK73" s="756"/>
      <c r="RL73" s="756"/>
      <c r="RM73" s="756"/>
      <c r="RN73" s="756"/>
      <c r="RO73" s="756"/>
      <c r="RP73" s="756"/>
      <c r="RQ73" s="756"/>
      <c r="RR73" s="756"/>
      <c r="RS73" s="756"/>
      <c r="RT73" s="756"/>
      <c r="RU73" s="756"/>
      <c r="RV73" s="756"/>
      <c r="RW73" s="756"/>
      <c r="RX73" s="756"/>
      <c r="RY73" s="756"/>
      <c r="RZ73" s="756"/>
      <c r="SA73" s="756"/>
      <c r="SB73" s="756"/>
      <c r="SC73" s="756"/>
      <c r="SD73" s="756"/>
      <c r="SE73" s="756"/>
      <c r="SF73" s="756"/>
      <c r="SG73" s="756"/>
      <c r="SH73" s="756"/>
      <c r="SI73" s="756"/>
      <c r="SJ73" s="756"/>
      <c r="SK73" s="756"/>
      <c r="SL73" s="756"/>
      <c r="SM73" s="756"/>
      <c r="SN73" s="756"/>
      <c r="SO73" s="756"/>
      <c r="SP73" s="756"/>
      <c r="SQ73" s="756"/>
      <c r="SR73" s="756"/>
    </row>
    <row r="74" spans="1:512" ht="15" customHeight="1">
      <c r="A74" s="969"/>
      <c r="B74" s="969"/>
      <c r="C74" s="969"/>
      <c r="D74" s="969"/>
      <c r="E74" s="969"/>
      <c r="F74" s="969"/>
      <c r="G74" s="771"/>
      <c r="H74" s="1027"/>
      <c r="I74" s="771"/>
      <c r="J74" s="771"/>
      <c r="K74" s="771"/>
      <c r="L74" s="771"/>
      <c r="M74" s="771"/>
      <c r="N74" s="771"/>
      <c r="O74" s="771"/>
      <c r="P74" s="771"/>
      <c r="Q74" s="771"/>
      <c r="R74" s="771"/>
      <c r="S74" s="771"/>
      <c r="T74" s="771"/>
      <c r="U74" s="772"/>
      <c r="V74" s="772"/>
      <c r="W74" s="772"/>
      <c r="X74" s="772"/>
      <c r="Y74" s="772"/>
      <c r="Z74" s="772"/>
      <c r="AA74" s="772"/>
      <c r="AB74" s="772"/>
      <c r="AC74" s="772"/>
      <c r="AD74" s="772"/>
      <c r="AE74" s="772"/>
      <c r="AF74" s="772"/>
      <c r="AG74" s="772"/>
      <c r="AH74" s="772"/>
      <c r="AI74" s="772"/>
      <c r="AJ74" s="772"/>
      <c r="AK74" s="772"/>
      <c r="AL74" s="772"/>
      <c r="AM74" s="772"/>
      <c r="AN74" s="772"/>
      <c r="AO74" s="772"/>
      <c r="AP74" s="772"/>
      <c r="AQ74" s="772"/>
      <c r="AR74" s="772"/>
      <c r="AS74" s="772"/>
      <c r="AT74" s="772"/>
      <c r="AU74" s="772"/>
      <c r="AV74" s="772"/>
      <c r="AW74" s="772"/>
      <c r="AX74" s="772"/>
      <c r="AY74" s="772"/>
      <c r="AZ74" s="772"/>
      <c r="BA74" s="772"/>
      <c r="BB74" s="772"/>
      <c r="BC74" s="772"/>
      <c r="BD74" s="772"/>
      <c r="BE74" s="772"/>
    </row>
    <row r="75" spans="1:512" ht="15" customHeight="1">
      <c r="A75" s="969" t="s">
        <v>2710</v>
      </c>
      <c r="B75" s="969"/>
      <c r="C75" s="969"/>
      <c r="D75" s="969"/>
      <c r="E75" s="969"/>
      <c r="F75" s="969"/>
      <c r="G75" s="645"/>
      <c r="H75" s="1027"/>
      <c r="I75" s="645"/>
      <c r="J75" s="645"/>
      <c r="K75" s="645"/>
      <c r="L75" s="645"/>
      <c r="M75" s="645"/>
      <c r="N75" s="645"/>
      <c r="O75" s="645"/>
      <c r="P75" s="645"/>
      <c r="Q75" s="645"/>
      <c r="R75" s="645"/>
      <c r="S75" s="645"/>
      <c r="T75" s="645"/>
      <c r="U75" s="773"/>
      <c r="V75" s="773"/>
      <c r="W75" s="773"/>
      <c r="X75" s="773"/>
      <c r="Y75" s="773"/>
      <c r="Z75" s="773"/>
      <c r="AA75" s="773"/>
      <c r="AB75" s="773"/>
      <c r="AC75" s="773"/>
      <c r="AD75" s="773"/>
      <c r="AE75" s="773"/>
      <c r="AF75" s="773"/>
      <c r="AG75" s="773"/>
      <c r="AH75" s="773"/>
      <c r="AI75" s="773"/>
      <c r="AJ75" s="773"/>
      <c r="AK75" s="773"/>
      <c r="AL75" s="773"/>
      <c r="AM75" s="773"/>
      <c r="AN75" s="773"/>
      <c r="AO75" s="773"/>
      <c r="AP75" s="773"/>
      <c r="AQ75" s="773"/>
      <c r="AR75" s="773"/>
      <c r="AS75" s="773"/>
      <c r="AT75" s="773"/>
      <c r="AU75" s="773"/>
      <c r="AV75" s="773"/>
      <c r="AW75" s="773"/>
      <c r="AX75" s="773"/>
      <c r="AY75" s="773"/>
      <c r="AZ75" s="773"/>
      <c r="BA75" s="773"/>
      <c r="BB75" s="773"/>
      <c r="BC75" s="773"/>
      <c r="BD75" s="773"/>
      <c r="BE75" s="773"/>
    </row>
    <row r="76" spans="1:512" ht="15" customHeight="1">
      <c r="A76" s="969"/>
      <c r="B76" s="969" t="s">
        <v>2711</v>
      </c>
      <c r="C76" s="969"/>
      <c r="D76" s="969"/>
      <c r="E76" s="969"/>
      <c r="F76" s="969"/>
      <c r="G76" s="774"/>
      <c r="H76" s="1027"/>
      <c r="I76" s="774"/>
      <c r="J76" s="774"/>
      <c r="K76" s="774"/>
      <c r="L76" s="774"/>
      <c r="M76" s="774"/>
      <c r="N76" s="774"/>
      <c r="O76" s="774"/>
      <c r="P76" s="774"/>
      <c r="Q76" s="774"/>
      <c r="R76" s="774"/>
      <c r="S76" s="774"/>
      <c r="T76" s="774"/>
      <c r="U76" s="775"/>
      <c r="V76" s="775"/>
      <c r="W76" s="775"/>
      <c r="X76" s="775"/>
      <c r="Y76" s="775"/>
      <c r="Z76" s="775"/>
      <c r="AA76" s="775"/>
      <c r="AB76" s="775"/>
      <c r="AC76" s="775"/>
      <c r="AD76" s="775"/>
      <c r="AE76" s="775"/>
      <c r="AF76" s="775"/>
      <c r="AG76" s="775"/>
      <c r="AH76" s="775"/>
      <c r="AI76" s="775"/>
      <c r="AJ76" s="775"/>
      <c r="AK76" s="775"/>
      <c r="AL76" s="775"/>
      <c r="AM76" s="775"/>
      <c r="AN76" s="775"/>
      <c r="AO76" s="775"/>
      <c r="AP76" s="775"/>
      <c r="AQ76" s="775"/>
      <c r="AR76" s="775"/>
      <c r="AS76" s="775"/>
      <c r="AT76" s="775"/>
      <c r="AU76" s="775"/>
      <c r="AV76" s="775"/>
      <c r="AW76" s="775"/>
      <c r="AX76" s="775"/>
      <c r="AY76" s="775"/>
      <c r="AZ76" s="775"/>
      <c r="BA76" s="775"/>
      <c r="BB76" s="775"/>
      <c r="BC76" s="775"/>
      <c r="BD76" s="775"/>
      <c r="BE76" s="775"/>
    </row>
    <row r="77" spans="1:512" ht="15" customHeight="1">
      <c r="A77" s="969"/>
      <c r="B77" s="969"/>
      <c r="C77" s="969" t="s">
        <v>2712</v>
      </c>
      <c r="D77" s="969"/>
      <c r="E77" s="969" t="s">
        <v>2119</v>
      </c>
      <c r="F77" s="969"/>
      <c r="G77" s="756">
        <v>1</v>
      </c>
      <c r="H77" s="1027">
        <v>1</v>
      </c>
      <c r="I77" s="756"/>
      <c r="J77" s="756"/>
      <c r="K77" s="756"/>
      <c r="L77" s="756"/>
      <c r="M77" s="756"/>
      <c r="N77" s="756"/>
      <c r="O77" s="756"/>
      <c r="P77" s="756"/>
      <c r="Q77" s="756"/>
      <c r="R77" s="756"/>
      <c r="S77" s="756"/>
      <c r="T77" s="756"/>
      <c r="U77" s="756"/>
      <c r="V77" s="756"/>
      <c r="W77" s="756"/>
      <c r="X77" s="756"/>
      <c r="Y77" s="756"/>
      <c r="Z77" s="756"/>
      <c r="AA77" s="756"/>
      <c r="AB77" s="756"/>
      <c r="AC77" s="756"/>
      <c r="AD77" s="756"/>
      <c r="AE77" s="756"/>
      <c r="AF77" s="756"/>
      <c r="AG77" s="756"/>
      <c r="AH77" s="756"/>
      <c r="AI77" s="756"/>
      <c r="AJ77" s="756"/>
      <c r="AK77" s="756"/>
      <c r="AL77" s="756"/>
      <c r="AM77" s="756"/>
      <c r="AN77" s="756"/>
      <c r="AO77" s="756"/>
      <c r="AP77" s="756"/>
      <c r="AQ77" s="756"/>
      <c r="AR77" s="756"/>
      <c r="AS77" s="756"/>
      <c r="AT77" s="756"/>
      <c r="AU77" s="756"/>
      <c r="AV77" s="756"/>
      <c r="AW77" s="756"/>
      <c r="AX77" s="756"/>
      <c r="AY77" s="756"/>
      <c r="AZ77" s="756"/>
      <c r="BA77" s="756"/>
      <c r="BB77" s="756"/>
      <c r="BC77" s="756"/>
      <c r="BD77" s="756"/>
      <c r="BE77" s="756"/>
      <c r="BF77" s="756"/>
      <c r="BG77" s="756"/>
      <c r="BH77" s="756"/>
      <c r="BI77" s="756"/>
      <c r="BJ77" s="756"/>
      <c r="BK77" s="756"/>
      <c r="BL77" s="756"/>
      <c r="BM77" s="756"/>
      <c r="BN77" s="756"/>
      <c r="BO77" s="756"/>
      <c r="BP77" s="756"/>
      <c r="BQ77" s="756"/>
      <c r="BR77" s="756"/>
      <c r="BS77" s="756"/>
      <c r="BT77" s="756"/>
      <c r="BU77" s="756"/>
      <c r="BV77" s="756"/>
      <c r="BW77" s="756"/>
      <c r="BX77" s="756"/>
      <c r="BY77" s="756"/>
      <c r="BZ77" s="756"/>
      <c r="CA77" s="756"/>
      <c r="CB77" s="756"/>
      <c r="CC77" s="756"/>
      <c r="CD77" s="756"/>
      <c r="CE77" s="756"/>
      <c r="CF77" s="756"/>
      <c r="CG77" s="756"/>
      <c r="CH77" s="756"/>
      <c r="CI77" s="756"/>
      <c r="CJ77" s="756"/>
      <c r="CK77" s="756"/>
      <c r="CL77" s="756"/>
      <c r="CM77" s="756"/>
      <c r="CN77" s="756"/>
      <c r="CO77" s="756"/>
      <c r="CP77" s="756"/>
      <c r="CQ77" s="756"/>
      <c r="CR77" s="756"/>
      <c r="CS77" s="756"/>
      <c r="CT77" s="756"/>
      <c r="CU77" s="756"/>
      <c r="CV77" s="756"/>
      <c r="CW77" s="756"/>
      <c r="CX77" s="756"/>
      <c r="CY77" s="756"/>
      <c r="CZ77" s="756"/>
      <c r="DA77" s="756"/>
      <c r="DB77" s="756"/>
      <c r="DC77" s="756"/>
      <c r="DD77" s="756"/>
      <c r="DE77" s="756"/>
      <c r="DF77" s="756"/>
      <c r="DG77" s="756"/>
      <c r="DH77" s="756"/>
      <c r="DI77" s="756"/>
      <c r="DJ77" s="756"/>
      <c r="DK77" s="756"/>
      <c r="DL77" s="756"/>
      <c r="DM77" s="756"/>
      <c r="DN77" s="756"/>
      <c r="DO77" s="756"/>
      <c r="DP77" s="756"/>
      <c r="DQ77" s="756"/>
      <c r="DR77" s="756"/>
      <c r="DS77" s="756"/>
      <c r="DT77" s="756"/>
      <c r="DU77" s="756"/>
      <c r="DV77" s="756"/>
      <c r="DW77" s="756"/>
      <c r="DX77" s="756"/>
      <c r="DY77" s="756"/>
      <c r="DZ77" s="756"/>
      <c r="EA77" s="756"/>
      <c r="EB77" s="756"/>
      <c r="EC77" s="756"/>
      <c r="ED77" s="756"/>
      <c r="EE77" s="756"/>
      <c r="EF77" s="756"/>
      <c r="EG77" s="756"/>
      <c r="EH77" s="756"/>
      <c r="EI77" s="756"/>
      <c r="EJ77" s="756"/>
      <c r="EK77" s="756"/>
      <c r="EL77" s="756"/>
      <c r="EM77" s="756"/>
      <c r="EN77" s="756"/>
      <c r="EO77" s="756"/>
      <c r="EP77" s="756"/>
      <c r="EQ77" s="756"/>
      <c r="ER77" s="756"/>
      <c r="ES77" s="756"/>
      <c r="ET77" s="756"/>
      <c r="EU77" s="756"/>
      <c r="EV77" s="756"/>
      <c r="EW77" s="756"/>
      <c r="EX77" s="756"/>
      <c r="EY77" s="756"/>
      <c r="EZ77" s="756"/>
      <c r="FA77" s="756"/>
      <c r="FB77" s="756"/>
      <c r="FC77" s="756"/>
      <c r="FD77" s="756"/>
      <c r="FE77" s="756"/>
      <c r="FF77" s="756"/>
      <c r="FG77" s="756"/>
      <c r="FH77" s="756"/>
      <c r="FI77" s="756"/>
      <c r="FJ77" s="756"/>
      <c r="FK77" s="756"/>
      <c r="FL77" s="756"/>
      <c r="FM77" s="756"/>
      <c r="FN77" s="756"/>
      <c r="FO77" s="756"/>
      <c r="FP77" s="756"/>
      <c r="FQ77" s="756"/>
      <c r="FR77" s="756"/>
      <c r="FS77" s="756"/>
      <c r="FT77" s="756"/>
      <c r="FU77" s="756"/>
      <c r="FV77" s="756"/>
      <c r="FW77" s="756"/>
      <c r="FX77" s="756"/>
      <c r="FY77" s="756"/>
      <c r="FZ77" s="756"/>
      <c r="GA77" s="756"/>
      <c r="GB77" s="756"/>
      <c r="GC77" s="756"/>
      <c r="GD77" s="756"/>
      <c r="GE77" s="756"/>
      <c r="GF77" s="756"/>
      <c r="GG77" s="756"/>
      <c r="GH77" s="756"/>
      <c r="GI77" s="756"/>
      <c r="GJ77" s="756"/>
      <c r="GK77" s="756"/>
      <c r="GL77" s="756"/>
      <c r="GM77" s="756"/>
      <c r="GN77" s="756"/>
      <c r="GO77" s="756"/>
      <c r="GP77" s="756"/>
      <c r="GQ77" s="756"/>
      <c r="GR77" s="756"/>
      <c r="GS77" s="756"/>
      <c r="GT77" s="756"/>
      <c r="GU77" s="756"/>
      <c r="GV77" s="756"/>
      <c r="GW77" s="756"/>
      <c r="GX77" s="756"/>
      <c r="GY77" s="756"/>
      <c r="GZ77" s="756"/>
      <c r="HA77" s="756"/>
      <c r="HB77" s="756"/>
      <c r="HC77" s="756"/>
      <c r="HD77" s="756"/>
      <c r="HE77" s="756"/>
      <c r="HF77" s="756"/>
      <c r="HG77" s="756"/>
      <c r="HH77" s="756"/>
      <c r="HI77" s="756"/>
      <c r="HJ77" s="756"/>
      <c r="HK77" s="756"/>
      <c r="HL77" s="756"/>
      <c r="HM77" s="756"/>
      <c r="HN77" s="756"/>
      <c r="HO77" s="756"/>
      <c r="HP77" s="756"/>
      <c r="HQ77" s="756"/>
      <c r="HR77" s="756"/>
      <c r="HS77" s="756"/>
      <c r="HT77" s="756"/>
      <c r="HU77" s="756"/>
      <c r="HV77" s="756"/>
      <c r="HW77" s="756"/>
      <c r="HX77" s="756"/>
      <c r="HY77" s="756"/>
      <c r="HZ77" s="756"/>
      <c r="IA77" s="756"/>
      <c r="IB77" s="756"/>
      <c r="IC77" s="756"/>
      <c r="ID77" s="756"/>
      <c r="IE77" s="756"/>
      <c r="IF77" s="756"/>
      <c r="IG77" s="756"/>
      <c r="IH77" s="756"/>
      <c r="II77" s="756"/>
      <c r="IJ77" s="756"/>
      <c r="IK77" s="756"/>
      <c r="IL77" s="756"/>
      <c r="IM77" s="756"/>
      <c r="IN77" s="756"/>
      <c r="IO77" s="756"/>
      <c r="IP77" s="756"/>
      <c r="IQ77" s="756"/>
      <c r="IR77" s="756"/>
      <c r="IS77" s="756"/>
      <c r="IT77" s="756"/>
      <c r="IU77" s="756"/>
      <c r="IV77" s="756"/>
      <c r="IW77" s="756"/>
      <c r="IX77" s="756"/>
      <c r="IY77" s="756"/>
      <c r="IZ77" s="756"/>
      <c r="JA77" s="756"/>
      <c r="JB77" s="756"/>
      <c r="JC77" s="756"/>
      <c r="JD77" s="756"/>
      <c r="JE77" s="756"/>
      <c r="JF77" s="756"/>
      <c r="JG77" s="756"/>
      <c r="JH77" s="756"/>
      <c r="JI77" s="756"/>
      <c r="JJ77" s="756"/>
      <c r="JK77" s="756"/>
      <c r="JL77" s="756"/>
      <c r="JM77" s="756"/>
      <c r="JN77" s="756"/>
      <c r="JO77" s="756"/>
      <c r="JP77" s="756"/>
      <c r="JQ77" s="756"/>
      <c r="JR77" s="756"/>
      <c r="JS77" s="756"/>
      <c r="JT77" s="756"/>
      <c r="JU77" s="756"/>
      <c r="JV77" s="756"/>
      <c r="JW77" s="756"/>
      <c r="JX77" s="756"/>
      <c r="JY77" s="756"/>
      <c r="JZ77" s="756"/>
      <c r="KA77" s="756"/>
      <c r="KB77" s="756"/>
      <c r="KC77" s="756"/>
      <c r="KD77" s="756"/>
      <c r="KE77" s="756"/>
      <c r="KF77" s="756"/>
      <c r="KG77" s="756"/>
      <c r="KH77" s="756"/>
      <c r="KI77" s="756"/>
      <c r="KJ77" s="756"/>
      <c r="KK77" s="756"/>
      <c r="KL77" s="756"/>
      <c r="KM77" s="756"/>
      <c r="KN77" s="756"/>
      <c r="KO77" s="756"/>
      <c r="KP77" s="756"/>
      <c r="KQ77" s="756"/>
      <c r="KR77" s="756"/>
      <c r="KS77" s="756"/>
      <c r="KT77" s="756"/>
      <c r="KU77" s="756"/>
      <c r="KV77" s="756"/>
      <c r="KW77" s="756"/>
      <c r="KX77" s="756"/>
      <c r="KY77" s="756"/>
      <c r="KZ77" s="756"/>
      <c r="LA77" s="756"/>
      <c r="LB77" s="756"/>
      <c r="LC77" s="756"/>
      <c r="LD77" s="756"/>
      <c r="LE77" s="756"/>
      <c r="LF77" s="756"/>
      <c r="LG77" s="756"/>
      <c r="LH77" s="756"/>
      <c r="LI77" s="756"/>
      <c r="LJ77" s="756"/>
      <c r="LK77" s="756"/>
      <c r="LL77" s="756"/>
      <c r="LM77" s="756"/>
      <c r="LN77" s="756"/>
      <c r="LO77" s="756"/>
      <c r="LP77" s="756"/>
      <c r="LQ77" s="756"/>
      <c r="LR77" s="756"/>
      <c r="LS77" s="756"/>
      <c r="LT77" s="756"/>
      <c r="LU77" s="756"/>
      <c r="LV77" s="756"/>
      <c r="LW77" s="756"/>
      <c r="LX77" s="756"/>
      <c r="LY77" s="756"/>
      <c r="LZ77" s="756"/>
      <c r="MA77" s="756"/>
      <c r="MB77" s="756"/>
      <c r="MC77" s="756"/>
      <c r="MD77" s="756"/>
      <c r="ME77" s="756"/>
      <c r="MF77" s="756"/>
      <c r="MG77" s="756"/>
      <c r="MH77" s="756"/>
      <c r="MI77" s="756"/>
      <c r="MJ77" s="756"/>
      <c r="MK77" s="756"/>
      <c r="ML77" s="756"/>
      <c r="MM77" s="756"/>
      <c r="MN77" s="756"/>
      <c r="MO77" s="756"/>
      <c r="MP77" s="756"/>
      <c r="MQ77" s="756"/>
      <c r="MR77" s="756"/>
      <c r="MS77" s="756"/>
      <c r="MT77" s="756"/>
      <c r="MU77" s="756"/>
      <c r="MV77" s="756"/>
      <c r="MW77" s="756"/>
      <c r="MX77" s="756"/>
      <c r="MY77" s="756"/>
      <c r="MZ77" s="756"/>
      <c r="NA77" s="756"/>
      <c r="NB77" s="756"/>
      <c r="NC77" s="756"/>
      <c r="ND77" s="756"/>
      <c r="NE77" s="756"/>
      <c r="NF77" s="756"/>
      <c r="NG77" s="756"/>
      <c r="NH77" s="756"/>
      <c r="NI77" s="756"/>
      <c r="NJ77" s="756"/>
      <c r="NK77" s="756"/>
      <c r="NL77" s="756"/>
      <c r="NM77" s="756"/>
      <c r="NN77" s="756"/>
      <c r="NO77" s="756"/>
      <c r="NP77" s="756"/>
      <c r="NQ77" s="756"/>
      <c r="NR77" s="756"/>
      <c r="NS77" s="756"/>
      <c r="NT77" s="756"/>
      <c r="NU77" s="756"/>
      <c r="NV77" s="756"/>
      <c r="NW77" s="756"/>
      <c r="NX77" s="756"/>
      <c r="NY77" s="756"/>
      <c r="NZ77" s="756"/>
      <c r="OA77" s="756"/>
      <c r="OB77" s="756"/>
      <c r="OC77" s="756"/>
      <c r="OD77" s="756"/>
      <c r="OE77" s="756"/>
      <c r="OF77" s="756"/>
      <c r="OG77" s="756"/>
      <c r="OH77" s="756"/>
      <c r="OI77" s="756"/>
      <c r="OJ77" s="756"/>
      <c r="OK77" s="756"/>
      <c r="OL77" s="756"/>
      <c r="OM77" s="756"/>
      <c r="ON77" s="756"/>
      <c r="OO77" s="756"/>
      <c r="OP77" s="756"/>
      <c r="OQ77" s="756"/>
      <c r="OR77" s="756"/>
      <c r="OS77" s="756"/>
      <c r="OT77" s="756"/>
      <c r="OU77" s="756"/>
      <c r="OV77" s="756"/>
      <c r="OW77" s="756"/>
      <c r="OX77" s="756"/>
      <c r="OY77" s="756"/>
      <c r="OZ77" s="756"/>
      <c r="PA77" s="756"/>
      <c r="PB77" s="756"/>
      <c r="PC77" s="756"/>
      <c r="PD77" s="756"/>
      <c r="PE77" s="756"/>
      <c r="PF77" s="756"/>
      <c r="PG77" s="756"/>
      <c r="PH77" s="756"/>
      <c r="PI77" s="756"/>
      <c r="PJ77" s="756"/>
      <c r="PK77" s="756"/>
      <c r="PL77" s="756"/>
      <c r="PM77" s="756"/>
      <c r="PN77" s="756"/>
      <c r="PO77" s="756"/>
      <c r="PP77" s="756"/>
      <c r="PQ77" s="756"/>
      <c r="PR77" s="756"/>
      <c r="PS77" s="756"/>
      <c r="PT77" s="756"/>
      <c r="PU77" s="756"/>
      <c r="PV77" s="756"/>
      <c r="PW77" s="756"/>
      <c r="PX77" s="756"/>
      <c r="PY77" s="756"/>
      <c r="PZ77" s="756"/>
      <c r="QA77" s="756"/>
      <c r="QB77" s="756"/>
      <c r="QC77" s="756"/>
      <c r="QD77" s="756"/>
      <c r="QE77" s="756"/>
      <c r="QF77" s="756"/>
      <c r="QG77" s="756"/>
      <c r="QH77" s="756"/>
      <c r="QI77" s="756"/>
      <c r="QJ77" s="756"/>
      <c r="QK77" s="756"/>
      <c r="QL77" s="756"/>
      <c r="QM77" s="756"/>
      <c r="QN77" s="756"/>
      <c r="QO77" s="756"/>
      <c r="QP77" s="756"/>
      <c r="QQ77" s="756"/>
      <c r="QR77" s="756"/>
      <c r="QS77" s="756"/>
      <c r="QT77" s="756"/>
      <c r="QU77" s="756"/>
      <c r="QV77" s="756"/>
      <c r="QW77" s="756"/>
      <c r="QX77" s="756"/>
      <c r="QY77" s="756"/>
      <c r="QZ77" s="756"/>
      <c r="RA77" s="756"/>
      <c r="RB77" s="756"/>
      <c r="RC77" s="756"/>
      <c r="RD77" s="756"/>
      <c r="RE77" s="756"/>
      <c r="RF77" s="756"/>
      <c r="RG77" s="756"/>
      <c r="RH77" s="756"/>
      <c r="RI77" s="756"/>
      <c r="RJ77" s="756"/>
      <c r="RK77" s="756"/>
      <c r="RL77" s="756"/>
      <c r="RM77" s="756"/>
      <c r="RN77" s="756"/>
      <c r="RO77" s="756"/>
      <c r="RP77" s="756"/>
      <c r="RQ77" s="756"/>
      <c r="RR77" s="756"/>
      <c r="RS77" s="756"/>
      <c r="RT77" s="756"/>
      <c r="RU77" s="756"/>
      <c r="RV77" s="756"/>
      <c r="RW77" s="756"/>
      <c r="RX77" s="756"/>
      <c r="RY77" s="756"/>
      <c r="RZ77" s="756"/>
      <c r="SA77" s="756"/>
      <c r="SB77" s="756"/>
      <c r="SC77" s="756"/>
      <c r="SD77" s="756"/>
      <c r="SE77" s="756"/>
      <c r="SF77" s="756"/>
      <c r="SG77" s="756"/>
      <c r="SH77" s="756"/>
      <c r="SI77" s="756"/>
      <c r="SJ77" s="756"/>
      <c r="SK77" s="756"/>
      <c r="SL77" s="756"/>
      <c r="SM77" s="756"/>
      <c r="SN77" s="756"/>
      <c r="SO77" s="756"/>
      <c r="SP77" s="756"/>
      <c r="SQ77" s="756"/>
      <c r="SR77" s="756"/>
    </row>
    <row r="78" spans="1:512" ht="15" customHeight="1">
      <c r="A78" s="969"/>
      <c r="B78" s="969"/>
      <c r="C78" s="969" t="s">
        <v>2713</v>
      </c>
      <c r="D78" s="969"/>
      <c r="E78" s="969" t="s">
        <v>2119</v>
      </c>
      <c r="F78" s="969"/>
      <c r="G78" s="756">
        <v>0</v>
      </c>
      <c r="H78" s="1027">
        <v>0</v>
      </c>
      <c r="I78" s="756"/>
      <c r="J78" s="756"/>
      <c r="K78" s="756"/>
      <c r="L78" s="756"/>
      <c r="M78" s="756"/>
      <c r="N78" s="756"/>
      <c r="O78" s="756"/>
      <c r="P78" s="756"/>
      <c r="Q78" s="756"/>
      <c r="R78" s="756"/>
      <c r="S78" s="756"/>
      <c r="T78" s="756"/>
      <c r="U78" s="756"/>
      <c r="V78" s="756"/>
      <c r="W78" s="756"/>
      <c r="X78" s="756"/>
      <c r="Y78" s="756"/>
      <c r="Z78" s="756"/>
      <c r="AA78" s="756"/>
      <c r="AB78" s="756"/>
      <c r="AC78" s="756"/>
      <c r="AD78" s="756"/>
      <c r="AE78" s="756"/>
      <c r="AF78" s="756"/>
      <c r="AG78" s="756"/>
      <c r="AH78" s="756"/>
      <c r="AI78" s="756"/>
      <c r="AJ78" s="756"/>
      <c r="AK78" s="756"/>
      <c r="AL78" s="756"/>
      <c r="AM78" s="756"/>
      <c r="AN78" s="756"/>
      <c r="AO78" s="756"/>
      <c r="AP78" s="756"/>
      <c r="AQ78" s="756"/>
      <c r="AR78" s="756"/>
      <c r="AS78" s="756"/>
      <c r="AT78" s="756"/>
      <c r="AU78" s="756"/>
      <c r="AV78" s="756"/>
      <c r="AW78" s="756"/>
      <c r="AX78" s="756"/>
      <c r="AY78" s="756"/>
      <c r="AZ78" s="756"/>
      <c r="BA78" s="756"/>
      <c r="BB78" s="756"/>
      <c r="BC78" s="756"/>
      <c r="BD78" s="756"/>
      <c r="BE78" s="756"/>
      <c r="BF78" s="756"/>
      <c r="BG78" s="756"/>
      <c r="BH78" s="756"/>
      <c r="BI78" s="756"/>
      <c r="BJ78" s="756"/>
      <c r="BK78" s="756"/>
      <c r="BL78" s="756"/>
      <c r="BM78" s="756"/>
      <c r="BN78" s="756"/>
      <c r="BO78" s="756"/>
      <c r="BP78" s="756"/>
      <c r="BQ78" s="756"/>
      <c r="BR78" s="756"/>
      <c r="BS78" s="756"/>
      <c r="BT78" s="756"/>
      <c r="BU78" s="756"/>
      <c r="BV78" s="756"/>
      <c r="BW78" s="756"/>
      <c r="BX78" s="756"/>
      <c r="BY78" s="756"/>
      <c r="BZ78" s="756"/>
      <c r="CA78" s="756"/>
      <c r="CB78" s="756"/>
      <c r="CC78" s="756"/>
      <c r="CD78" s="756"/>
      <c r="CE78" s="756"/>
      <c r="CF78" s="756"/>
      <c r="CG78" s="756"/>
      <c r="CH78" s="756"/>
      <c r="CI78" s="756"/>
      <c r="CJ78" s="756"/>
      <c r="CK78" s="756"/>
      <c r="CL78" s="756"/>
      <c r="CM78" s="756"/>
      <c r="CN78" s="756"/>
      <c r="CO78" s="756"/>
      <c r="CP78" s="756"/>
      <c r="CQ78" s="756"/>
      <c r="CR78" s="756"/>
      <c r="CS78" s="756"/>
      <c r="CT78" s="756"/>
      <c r="CU78" s="756"/>
      <c r="CV78" s="756"/>
      <c r="CW78" s="756"/>
      <c r="CX78" s="756"/>
      <c r="CY78" s="756"/>
      <c r="CZ78" s="756"/>
      <c r="DA78" s="756"/>
      <c r="DB78" s="756"/>
      <c r="DC78" s="756"/>
      <c r="DD78" s="756"/>
      <c r="DE78" s="756"/>
      <c r="DF78" s="756"/>
      <c r="DG78" s="756"/>
      <c r="DH78" s="756"/>
      <c r="DI78" s="756"/>
      <c r="DJ78" s="756"/>
      <c r="DK78" s="756"/>
      <c r="DL78" s="756"/>
      <c r="DM78" s="756"/>
      <c r="DN78" s="756"/>
      <c r="DO78" s="756"/>
      <c r="DP78" s="756"/>
      <c r="DQ78" s="756"/>
      <c r="DR78" s="756"/>
      <c r="DS78" s="756"/>
      <c r="DT78" s="756"/>
      <c r="DU78" s="756"/>
      <c r="DV78" s="756"/>
      <c r="DW78" s="756"/>
      <c r="DX78" s="756"/>
      <c r="DY78" s="756"/>
      <c r="DZ78" s="756"/>
      <c r="EA78" s="756"/>
      <c r="EB78" s="756"/>
      <c r="EC78" s="756"/>
      <c r="ED78" s="756"/>
      <c r="EE78" s="756"/>
      <c r="EF78" s="756"/>
      <c r="EG78" s="756"/>
      <c r="EH78" s="756"/>
      <c r="EI78" s="756"/>
      <c r="EJ78" s="756"/>
      <c r="EK78" s="756"/>
      <c r="EL78" s="756"/>
      <c r="EM78" s="756"/>
      <c r="EN78" s="756"/>
      <c r="EO78" s="756"/>
      <c r="EP78" s="756"/>
      <c r="EQ78" s="756"/>
      <c r="ER78" s="756"/>
      <c r="ES78" s="756"/>
      <c r="ET78" s="756"/>
      <c r="EU78" s="756"/>
      <c r="EV78" s="756"/>
      <c r="EW78" s="756"/>
      <c r="EX78" s="756"/>
      <c r="EY78" s="756"/>
      <c r="EZ78" s="756"/>
      <c r="FA78" s="756"/>
      <c r="FB78" s="756"/>
      <c r="FC78" s="756"/>
      <c r="FD78" s="756"/>
      <c r="FE78" s="756"/>
      <c r="FF78" s="756"/>
      <c r="FG78" s="756"/>
      <c r="FH78" s="756"/>
      <c r="FI78" s="756"/>
      <c r="FJ78" s="756"/>
      <c r="FK78" s="756"/>
      <c r="FL78" s="756"/>
      <c r="FM78" s="756"/>
      <c r="FN78" s="756"/>
      <c r="FO78" s="756"/>
      <c r="FP78" s="756"/>
      <c r="FQ78" s="756"/>
      <c r="FR78" s="756"/>
      <c r="FS78" s="756"/>
      <c r="FT78" s="756"/>
      <c r="FU78" s="756"/>
      <c r="FV78" s="756"/>
      <c r="FW78" s="756"/>
      <c r="FX78" s="756"/>
      <c r="FY78" s="756"/>
      <c r="FZ78" s="756"/>
      <c r="GA78" s="756"/>
      <c r="GB78" s="756"/>
      <c r="GC78" s="756"/>
      <c r="GD78" s="756"/>
      <c r="GE78" s="756"/>
      <c r="GF78" s="756"/>
      <c r="GG78" s="756"/>
      <c r="GH78" s="756"/>
      <c r="GI78" s="756"/>
      <c r="GJ78" s="756"/>
      <c r="GK78" s="756"/>
      <c r="GL78" s="756"/>
      <c r="GM78" s="756"/>
      <c r="GN78" s="756"/>
      <c r="GO78" s="756"/>
      <c r="GP78" s="756"/>
      <c r="GQ78" s="756"/>
      <c r="GR78" s="756"/>
      <c r="GS78" s="756"/>
      <c r="GT78" s="756"/>
      <c r="GU78" s="756"/>
      <c r="GV78" s="756"/>
      <c r="GW78" s="756"/>
      <c r="GX78" s="756"/>
      <c r="GY78" s="756"/>
      <c r="GZ78" s="756"/>
      <c r="HA78" s="756"/>
      <c r="HB78" s="756"/>
      <c r="HC78" s="756"/>
      <c r="HD78" s="756"/>
      <c r="HE78" s="756"/>
      <c r="HF78" s="756"/>
      <c r="HG78" s="756"/>
      <c r="HH78" s="756"/>
      <c r="HI78" s="756"/>
      <c r="HJ78" s="756"/>
      <c r="HK78" s="756"/>
      <c r="HL78" s="756"/>
      <c r="HM78" s="756"/>
      <c r="HN78" s="756"/>
      <c r="HO78" s="756"/>
      <c r="HP78" s="756"/>
      <c r="HQ78" s="756"/>
      <c r="HR78" s="756"/>
      <c r="HS78" s="756"/>
      <c r="HT78" s="756"/>
      <c r="HU78" s="756"/>
      <c r="HV78" s="756"/>
      <c r="HW78" s="756"/>
      <c r="HX78" s="756"/>
      <c r="HY78" s="756"/>
      <c r="HZ78" s="756"/>
      <c r="IA78" s="756"/>
      <c r="IB78" s="756"/>
      <c r="IC78" s="756"/>
      <c r="ID78" s="756"/>
      <c r="IE78" s="756"/>
      <c r="IF78" s="756"/>
      <c r="IG78" s="756"/>
      <c r="IH78" s="756"/>
      <c r="II78" s="756"/>
      <c r="IJ78" s="756"/>
      <c r="IK78" s="756"/>
      <c r="IL78" s="756"/>
      <c r="IM78" s="756"/>
      <c r="IN78" s="756"/>
      <c r="IO78" s="756"/>
      <c r="IP78" s="756"/>
      <c r="IQ78" s="756"/>
      <c r="IR78" s="756"/>
      <c r="IS78" s="756"/>
      <c r="IT78" s="756"/>
      <c r="IU78" s="756"/>
      <c r="IV78" s="756"/>
      <c r="IW78" s="756"/>
      <c r="IX78" s="756"/>
      <c r="IY78" s="756"/>
      <c r="IZ78" s="756"/>
      <c r="JA78" s="756"/>
      <c r="JB78" s="756"/>
      <c r="JC78" s="756"/>
      <c r="JD78" s="756"/>
      <c r="JE78" s="756"/>
      <c r="JF78" s="756"/>
      <c r="JG78" s="756"/>
      <c r="JH78" s="756"/>
      <c r="JI78" s="756"/>
      <c r="JJ78" s="756"/>
      <c r="JK78" s="756"/>
      <c r="JL78" s="756"/>
      <c r="JM78" s="756"/>
      <c r="JN78" s="756"/>
      <c r="JO78" s="756"/>
      <c r="JP78" s="756"/>
      <c r="JQ78" s="756"/>
      <c r="JR78" s="756"/>
      <c r="JS78" s="756"/>
      <c r="JT78" s="756"/>
      <c r="JU78" s="756"/>
      <c r="JV78" s="756"/>
      <c r="JW78" s="756"/>
      <c r="JX78" s="756"/>
      <c r="JY78" s="756"/>
      <c r="JZ78" s="756"/>
      <c r="KA78" s="756"/>
      <c r="KB78" s="756"/>
      <c r="KC78" s="756"/>
      <c r="KD78" s="756"/>
      <c r="KE78" s="756"/>
      <c r="KF78" s="756"/>
      <c r="KG78" s="756"/>
      <c r="KH78" s="756"/>
      <c r="KI78" s="756"/>
      <c r="KJ78" s="756"/>
      <c r="KK78" s="756"/>
      <c r="KL78" s="756"/>
      <c r="KM78" s="756"/>
      <c r="KN78" s="756"/>
      <c r="KO78" s="756"/>
      <c r="KP78" s="756"/>
      <c r="KQ78" s="756"/>
      <c r="KR78" s="756"/>
      <c r="KS78" s="756"/>
      <c r="KT78" s="756"/>
      <c r="KU78" s="756"/>
      <c r="KV78" s="756"/>
      <c r="KW78" s="756"/>
      <c r="KX78" s="756"/>
      <c r="KY78" s="756"/>
      <c r="KZ78" s="756"/>
      <c r="LA78" s="756"/>
      <c r="LB78" s="756"/>
      <c r="LC78" s="756"/>
      <c r="LD78" s="756"/>
      <c r="LE78" s="756"/>
      <c r="LF78" s="756"/>
      <c r="LG78" s="756"/>
      <c r="LH78" s="756"/>
      <c r="LI78" s="756"/>
      <c r="LJ78" s="756"/>
      <c r="LK78" s="756"/>
      <c r="LL78" s="756"/>
      <c r="LM78" s="756"/>
      <c r="LN78" s="756"/>
      <c r="LO78" s="756"/>
      <c r="LP78" s="756"/>
      <c r="LQ78" s="756"/>
      <c r="LR78" s="756"/>
      <c r="LS78" s="756"/>
      <c r="LT78" s="756"/>
      <c r="LU78" s="756"/>
      <c r="LV78" s="756"/>
      <c r="LW78" s="756"/>
      <c r="LX78" s="756"/>
      <c r="LY78" s="756"/>
      <c r="LZ78" s="756"/>
      <c r="MA78" s="756"/>
      <c r="MB78" s="756"/>
      <c r="MC78" s="756"/>
      <c r="MD78" s="756"/>
      <c r="ME78" s="756"/>
      <c r="MF78" s="756"/>
      <c r="MG78" s="756"/>
      <c r="MH78" s="756"/>
      <c r="MI78" s="756"/>
      <c r="MJ78" s="756"/>
      <c r="MK78" s="756"/>
      <c r="ML78" s="756"/>
      <c r="MM78" s="756"/>
      <c r="MN78" s="756"/>
      <c r="MO78" s="756"/>
      <c r="MP78" s="756"/>
      <c r="MQ78" s="756"/>
      <c r="MR78" s="756"/>
      <c r="MS78" s="756"/>
      <c r="MT78" s="756"/>
      <c r="MU78" s="756"/>
      <c r="MV78" s="756"/>
      <c r="MW78" s="756"/>
      <c r="MX78" s="756"/>
      <c r="MY78" s="756"/>
      <c r="MZ78" s="756"/>
      <c r="NA78" s="756"/>
      <c r="NB78" s="756"/>
      <c r="NC78" s="756"/>
      <c r="ND78" s="756"/>
      <c r="NE78" s="756"/>
      <c r="NF78" s="756"/>
      <c r="NG78" s="756"/>
      <c r="NH78" s="756"/>
      <c r="NI78" s="756"/>
      <c r="NJ78" s="756"/>
      <c r="NK78" s="756"/>
      <c r="NL78" s="756"/>
      <c r="NM78" s="756"/>
      <c r="NN78" s="756"/>
      <c r="NO78" s="756"/>
      <c r="NP78" s="756"/>
      <c r="NQ78" s="756"/>
      <c r="NR78" s="756"/>
      <c r="NS78" s="756"/>
      <c r="NT78" s="756"/>
      <c r="NU78" s="756"/>
      <c r="NV78" s="756"/>
      <c r="NW78" s="756"/>
      <c r="NX78" s="756"/>
      <c r="NY78" s="756"/>
      <c r="NZ78" s="756"/>
      <c r="OA78" s="756"/>
      <c r="OB78" s="756"/>
      <c r="OC78" s="756"/>
      <c r="OD78" s="756"/>
      <c r="OE78" s="756"/>
      <c r="OF78" s="756"/>
      <c r="OG78" s="756"/>
      <c r="OH78" s="756"/>
      <c r="OI78" s="756"/>
      <c r="OJ78" s="756"/>
      <c r="OK78" s="756"/>
      <c r="OL78" s="756"/>
      <c r="OM78" s="756"/>
      <c r="ON78" s="756"/>
      <c r="OO78" s="756"/>
      <c r="OP78" s="756"/>
      <c r="OQ78" s="756"/>
      <c r="OR78" s="756"/>
      <c r="OS78" s="756"/>
      <c r="OT78" s="756"/>
      <c r="OU78" s="756"/>
      <c r="OV78" s="756"/>
      <c r="OW78" s="756"/>
      <c r="OX78" s="756"/>
      <c r="OY78" s="756"/>
      <c r="OZ78" s="756"/>
      <c r="PA78" s="756"/>
      <c r="PB78" s="756"/>
      <c r="PC78" s="756"/>
      <c r="PD78" s="756"/>
      <c r="PE78" s="756"/>
      <c r="PF78" s="756"/>
      <c r="PG78" s="756"/>
      <c r="PH78" s="756"/>
      <c r="PI78" s="756"/>
      <c r="PJ78" s="756"/>
      <c r="PK78" s="756"/>
      <c r="PL78" s="756"/>
      <c r="PM78" s="756"/>
      <c r="PN78" s="756"/>
      <c r="PO78" s="756"/>
      <c r="PP78" s="756"/>
      <c r="PQ78" s="756"/>
      <c r="PR78" s="756"/>
      <c r="PS78" s="756"/>
      <c r="PT78" s="756"/>
      <c r="PU78" s="756"/>
      <c r="PV78" s="756"/>
      <c r="PW78" s="756"/>
      <c r="PX78" s="756"/>
      <c r="PY78" s="756"/>
      <c r="PZ78" s="756"/>
      <c r="QA78" s="756"/>
      <c r="QB78" s="756"/>
      <c r="QC78" s="756"/>
      <c r="QD78" s="756"/>
      <c r="QE78" s="756"/>
      <c r="QF78" s="756"/>
      <c r="QG78" s="756"/>
      <c r="QH78" s="756"/>
      <c r="QI78" s="756"/>
      <c r="QJ78" s="756"/>
      <c r="QK78" s="756"/>
      <c r="QL78" s="756"/>
      <c r="QM78" s="756"/>
      <c r="QN78" s="756"/>
      <c r="QO78" s="756"/>
      <c r="QP78" s="756"/>
      <c r="QQ78" s="756"/>
      <c r="QR78" s="756"/>
      <c r="QS78" s="756"/>
      <c r="QT78" s="756"/>
      <c r="QU78" s="756"/>
      <c r="QV78" s="756"/>
      <c r="QW78" s="756"/>
      <c r="QX78" s="756"/>
      <c r="QY78" s="756"/>
      <c r="QZ78" s="756"/>
      <c r="RA78" s="756"/>
      <c r="RB78" s="756"/>
      <c r="RC78" s="756"/>
      <c r="RD78" s="756"/>
      <c r="RE78" s="756"/>
      <c r="RF78" s="756"/>
      <c r="RG78" s="756"/>
      <c r="RH78" s="756"/>
      <c r="RI78" s="756"/>
      <c r="RJ78" s="756"/>
      <c r="RK78" s="756"/>
      <c r="RL78" s="756"/>
      <c r="RM78" s="756"/>
      <c r="RN78" s="756"/>
      <c r="RO78" s="756"/>
      <c r="RP78" s="756"/>
      <c r="RQ78" s="756"/>
      <c r="RR78" s="756"/>
      <c r="RS78" s="756"/>
      <c r="RT78" s="756"/>
      <c r="RU78" s="756"/>
      <c r="RV78" s="756"/>
      <c r="RW78" s="756"/>
      <c r="RX78" s="756"/>
      <c r="RY78" s="756"/>
      <c r="RZ78" s="756"/>
      <c r="SA78" s="756"/>
      <c r="SB78" s="756"/>
      <c r="SC78" s="756"/>
      <c r="SD78" s="756"/>
      <c r="SE78" s="756"/>
      <c r="SF78" s="756"/>
      <c r="SG78" s="756"/>
      <c r="SH78" s="756"/>
      <c r="SI78" s="756"/>
      <c r="SJ78" s="756"/>
      <c r="SK78" s="756"/>
      <c r="SL78" s="756"/>
      <c r="SM78" s="756"/>
      <c r="SN78" s="756"/>
      <c r="SO78" s="756"/>
      <c r="SP78" s="756"/>
      <c r="SQ78" s="756"/>
      <c r="SR78" s="756"/>
    </row>
    <row r="79" spans="1:512" ht="15" customHeight="1">
      <c r="A79" s="969"/>
      <c r="B79" s="969"/>
      <c r="C79" s="969" t="s">
        <v>2714</v>
      </c>
      <c r="D79" s="969"/>
      <c r="E79" s="969" t="s">
        <v>2119</v>
      </c>
      <c r="F79" s="969"/>
      <c r="G79" s="756">
        <v>1</v>
      </c>
      <c r="H79" s="1027">
        <v>0</v>
      </c>
      <c r="I79" s="756"/>
      <c r="J79" s="756"/>
      <c r="K79" s="756"/>
      <c r="L79" s="756"/>
      <c r="M79" s="756"/>
      <c r="N79" s="756"/>
      <c r="O79" s="756"/>
      <c r="P79" s="756"/>
      <c r="Q79" s="756"/>
      <c r="R79" s="756"/>
      <c r="S79" s="756"/>
      <c r="T79" s="756"/>
      <c r="U79" s="756"/>
      <c r="V79" s="756"/>
      <c r="W79" s="756"/>
      <c r="X79" s="756"/>
      <c r="Y79" s="756"/>
      <c r="Z79" s="756"/>
      <c r="AA79" s="756"/>
      <c r="AB79" s="756"/>
      <c r="AC79" s="756"/>
      <c r="AD79" s="756"/>
      <c r="AE79" s="756"/>
      <c r="AF79" s="756"/>
      <c r="AG79" s="756"/>
      <c r="AH79" s="756"/>
      <c r="AI79" s="756"/>
      <c r="AJ79" s="756"/>
      <c r="AK79" s="756"/>
      <c r="AL79" s="756"/>
      <c r="AM79" s="756"/>
      <c r="AN79" s="756"/>
      <c r="AO79" s="756"/>
      <c r="AP79" s="756"/>
      <c r="AQ79" s="756"/>
      <c r="AR79" s="756"/>
      <c r="AS79" s="756"/>
      <c r="AT79" s="756"/>
      <c r="AU79" s="756"/>
      <c r="AV79" s="756"/>
      <c r="AW79" s="756"/>
      <c r="AX79" s="756"/>
      <c r="AY79" s="756"/>
      <c r="AZ79" s="756"/>
      <c r="BA79" s="756"/>
      <c r="BB79" s="756"/>
      <c r="BC79" s="756"/>
      <c r="BD79" s="756"/>
      <c r="BE79" s="756"/>
      <c r="BF79" s="756"/>
      <c r="BG79" s="756"/>
      <c r="BH79" s="756"/>
      <c r="BI79" s="756"/>
      <c r="BJ79" s="756"/>
      <c r="BK79" s="756"/>
      <c r="BL79" s="756"/>
      <c r="BM79" s="756"/>
      <c r="BN79" s="756"/>
      <c r="BO79" s="756"/>
      <c r="BP79" s="756"/>
      <c r="BQ79" s="756"/>
      <c r="BR79" s="756"/>
      <c r="BS79" s="756"/>
      <c r="BT79" s="756"/>
      <c r="BU79" s="756"/>
      <c r="BV79" s="756"/>
      <c r="BW79" s="756"/>
      <c r="BX79" s="756"/>
      <c r="BY79" s="756"/>
      <c r="BZ79" s="756"/>
      <c r="CA79" s="756"/>
      <c r="CB79" s="756"/>
      <c r="CC79" s="756"/>
      <c r="CD79" s="756"/>
      <c r="CE79" s="756"/>
      <c r="CF79" s="756"/>
      <c r="CG79" s="756"/>
      <c r="CH79" s="756"/>
      <c r="CI79" s="756"/>
      <c r="CJ79" s="756"/>
      <c r="CK79" s="756"/>
      <c r="CL79" s="756"/>
      <c r="CM79" s="756"/>
      <c r="CN79" s="756"/>
      <c r="CO79" s="756"/>
      <c r="CP79" s="756"/>
      <c r="CQ79" s="756"/>
      <c r="CR79" s="756"/>
      <c r="CS79" s="756"/>
      <c r="CT79" s="756"/>
      <c r="CU79" s="756"/>
      <c r="CV79" s="756"/>
      <c r="CW79" s="756"/>
      <c r="CX79" s="756"/>
      <c r="CY79" s="756"/>
      <c r="CZ79" s="756"/>
      <c r="DA79" s="756"/>
      <c r="DB79" s="756"/>
      <c r="DC79" s="756"/>
      <c r="DD79" s="756"/>
      <c r="DE79" s="756"/>
      <c r="DF79" s="756"/>
      <c r="DG79" s="756"/>
      <c r="DH79" s="756"/>
      <c r="DI79" s="756"/>
      <c r="DJ79" s="756"/>
      <c r="DK79" s="756"/>
      <c r="DL79" s="756"/>
      <c r="DM79" s="756"/>
      <c r="DN79" s="756"/>
      <c r="DO79" s="756"/>
      <c r="DP79" s="756"/>
      <c r="DQ79" s="756"/>
      <c r="DR79" s="756"/>
      <c r="DS79" s="756"/>
      <c r="DT79" s="756"/>
      <c r="DU79" s="756"/>
      <c r="DV79" s="756"/>
      <c r="DW79" s="756"/>
      <c r="DX79" s="756"/>
      <c r="DY79" s="756"/>
      <c r="DZ79" s="756"/>
      <c r="EA79" s="756"/>
      <c r="EB79" s="756"/>
      <c r="EC79" s="756"/>
      <c r="ED79" s="756"/>
      <c r="EE79" s="756"/>
      <c r="EF79" s="756"/>
      <c r="EG79" s="756"/>
      <c r="EH79" s="756"/>
      <c r="EI79" s="756"/>
      <c r="EJ79" s="756"/>
      <c r="EK79" s="756"/>
      <c r="EL79" s="756"/>
      <c r="EM79" s="756"/>
      <c r="EN79" s="756"/>
      <c r="EO79" s="756"/>
      <c r="EP79" s="756"/>
      <c r="EQ79" s="756"/>
      <c r="ER79" s="756"/>
      <c r="ES79" s="756"/>
      <c r="ET79" s="756"/>
      <c r="EU79" s="756"/>
      <c r="EV79" s="756"/>
      <c r="EW79" s="756"/>
      <c r="EX79" s="756"/>
      <c r="EY79" s="756"/>
      <c r="EZ79" s="756"/>
      <c r="FA79" s="756"/>
      <c r="FB79" s="756"/>
      <c r="FC79" s="756"/>
      <c r="FD79" s="756"/>
      <c r="FE79" s="756"/>
      <c r="FF79" s="756"/>
      <c r="FG79" s="756"/>
      <c r="FH79" s="756"/>
      <c r="FI79" s="756"/>
      <c r="FJ79" s="756"/>
      <c r="FK79" s="756"/>
      <c r="FL79" s="756"/>
      <c r="FM79" s="756"/>
      <c r="FN79" s="756"/>
      <c r="FO79" s="756"/>
      <c r="FP79" s="756"/>
      <c r="FQ79" s="756"/>
      <c r="FR79" s="756"/>
      <c r="FS79" s="756"/>
      <c r="FT79" s="756"/>
      <c r="FU79" s="756"/>
      <c r="FV79" s="756"/>
      <c r="FW79" s="756"/>
      <c r="FX79" s="756"/>
      <c r="FY79" s="756"/>
      <c r="FZ79" s="756"/>
      <c r="GA79" s="756"/>
      <c r="GB79" s="756"/>
      <c r="GC79" s="756"/>
      <c r="GD79" s="756"/>
      <c r="GE79" s="756"/>
      <c r="GF79" s="756"/>
      <c r="GG79" s="756"/>
      <c r="GH79" s="756"/>
      <c r="GI79" s="756"/>
      <c r="GJ79" s="756"/>
      <c r="GK79" s="756"/>
      <c r="GL79" s="756"/>
      <c r="GM79" s="756"/>
      <c r="GN79" s="756"/>
      <c r="GO79" s="756"/>
      <c r="GP79" s="756"/>
      <c r="GQ79" s="756"/>
      <c r="GR79" s="756"/>
      <c r="GS79" s="756"/>
      <c r="GT79" s="756"/>
      <c r="GU79" s="756"/>
      <c r="GV79" s="756"/>
      <c r="GW79" s="756"/>
      <c r="GX79" s="756"/>
      <c r="GY79" s="756"/>
      <c r="GZ79" s="756"/>
      <c r="HA79" s="756"/>
      <c r="HB79" s="756"/>
      <c r="HC79" s="756"/>
      <c r="HD79" s="756"/>
      <c r="HE79" s="756"/>
      <c r="HF79" s="756"/>
      <c r="HG79" s="756"/>
      <c r="HH79" s="756"/>
      <c r="HI79" s="756"/>
      <c r="HJ79" s="756"/>
      <c r="HK79" s="756"/>
      <c r="HL79" s="756"/>
      <c r="HM79" s="756"/>
      <c r="HN79" s="756"/>
      <c r="HO79" s="756"/>
      <c r="HP79" s="756"/>
      <c r="HQ79" s="756"/>
      <c r="HR79" s="756"/>
      <c r="HS79" s="756"/>
      <c r="HT79" s="756"/>
      <c r="HU79" s="756"/>
      <c r="HV79" s="756"/>
      <c r="HW79" s="756"/>
      <c r="HX79" s="756"/>
      <c r="HY79" s="756"/>
      <c r="HZ79" s="756"/>
      <c r="IA79" s="756"/>
      <c r="IB79" s="756"/>
      <c r="IC79" s="756"/>
      <c r="ID79" s="756"/>
      <c r="IE79" s="756"/>
      <c r="IF79" s="756"/>
      <c r="IG79" s="756"/>
      <c r="IH79" s="756"/>
      <c r="II79" s="756"/>
      <c r="IJ79" s="756"/>
      <c r="IK79" s="756"/>
      <c r="IL79" s="756"/>
      <c r="IM79" s="756"/>
      <c r="IN79" s="756"/>
      <c r="IO79" s="756"/>
      <c r="IP79" s="756"/>
      <c r="IQ79" s="756"/>
      <c r="IR79" s="756"/>
      <c r="IS79" s="756"/>
      <c r="IT79" s="756"/>
      <c r="IU79" s="756"/>
      <c r="IV79" s="756"/>
      <c r="IW79" s="756"/>
      <c r="IX79" s="756"/>
      <c r="IY79" s="756"/>
      <c r="IZ79" s="756"/>
      <c r="JA79" s="756"/>
      <c r="JB79" s="756"/>
      <c r="JC79" s="756"/>
      <c r="JD79" s="756"/>
      <c r="JE79" s="756"/>
      <c r="JF79" s="756"/>
      <c r="JG79" s="756"/>
      <c r="JH79" s="756"/>
      <c r="JI79" s="756"/>
      <c r="JJ79" s="756"/>
      <c r="JK79" s="756"/>
      <c r="JL79" s="756"/>
      <c r="JM79" s="756"/>
      <c r="JN79" s="756"/>
      <c r="JO79" s="756"/>
      <c r="JP79" s="756"/>
      <c r="JQ79" s="756"/>
      <c r="JR79" s="756"/>
      <c r="JS79" s="756"/>
      <c r="JT79" s="756"/>
      <c r="JU79" s="756"/>
      <c r="JV79" s="756"/>
      <c r="JW79" s="756"/>
      <c r="JX79" s="756"/>
      <c r="JY79" s="756"/>
      <c r="JZ79" s="756"/>
      <c r="KA79" s="756"/>
      <c r="KB79" s="756"/>
      <c r="KC79" s="756"/>
      <c r="KD79" s="756"/>
      <c r="KE79" s="756"/>
      <c r="KF79" s="756"/>
      <c r="KG79" s="756"/>
      <c r="KH79" s="756"/>
      <c r="KI79" s="756"/>
      <c r="KJ79" s="756"/>
      <c r="KK79" s="756"/>
      <c r="KL79" s="756"/>
      <c r="KM79" s="756"/>
      <c r="KN79" s="756"/>
      <c r="KO79" s="756"/>
      <c r="KP79" s="756"/>
      <c r="KQ79" s="756"/>
      <c r="KR79" s="756"/>
      <c r="KS79" s="756"/>
      <c r="KT79" s="756"/>
      <c r="KU79" s="756"/>
      <c r="KV79" s="756"/>
      <c r="KW79" s="756"/>
      <c r="KX79" s="756"/>
      <c r="KY79" s="756"/>
      <c r="KZ79" s="756"/>
      <c r="LA79" s="756"/>
      <c r="LB79" s="756"/>
      <c r="LC79" s="756"/>
      <c r="LD79" s="756"/>
      <c r="LE79" s="756"/>
      <c r="LF79" s="756"/>
      <c r="LG79" s="756"/>
      <c r="LH79" s="756"/>
      <c r="LI79" s="756"/>
      <c r="LJ79" s="756"/>
      <c r="LK79" s="756"/>
      <c r="LL79" s="756"/>
      <c r="LM79" s="756"/>
      <c r="LN79" s="756"/>
      <c r="LO79" s="756"/>
      <c r="LP79" s="756"/>
      <c r="LQ79" s="756"/>
      <c r="LR79" s="756"/>
      <c r="LS79" s="756"/>
      <c r="LT79" s="756"/>
      <c r="LU79" s="756"/>
      <c r="LV79" s="756"/>
      <c r="LW79" s="756"/>
      <c r="LX79" s="756"/>
      <c r="LY79" s="756"/>
      <c r="LZ79" s="756"/>
      <c r="MA79" s="756"/>
      <c r="MB79" s="756"/>
      <c r="MC79" s="756"/>
      <c r="MD79" s="756"/>
      <c r="ME79" s="756"/>
      <c r="MF79" s="756"/>
      <c r="MG79" s="756"/>
      <c r="MH79" s="756"/>
      <c r="MI79" s="756"/>
      <c r="MJ79" s="756"/>
      <c r="MK79" s="756"/>
      <c r="ML79" s="756"/>
      <c r="MM79" s="756"/>
      <c r="MN79" s="756"/>
      <c r="MO79" s="756"/>
      <c r="MP79" s="756"/>
      <c r="MQ79" s="756"/>
      <c r="MR79" s="756"/>
      <c r="MS79" s="756"/>
      <c r="MT79" s="756"/>
      <c r="MU79" s="756"/>
      <c r="MV79" s="756"/>
      <c r="MW79" s="756"/>
      <c r="MX79" s="756"/>
      <c r="MY79" s="756"/>
      <c r="MZ79" s="756"/>
      <c r="NA79" s="756"/>
      <c r="NB79" s="756"/>
      <c r="NC79" s="756"/>
      <c r="ND79" s="756"/>
      <c r="NE79" s="756"/>
      <c r="NF79" s="756"/>
      <c r="NG79" s="756"/>
      <c r="NH79" s="756"/>
      <c r="NI79" s="756"/>
      <c r="NJ79" s="756"/>
      <c r="NK79" s="756"/>
      <c r="NL79" s="756"/>
      <c r="NM79" s="756"/>
      <c r="NN79" s="756"/>
      <c r="NO79" s="756"/>
      <c r="NP79" s="756"/>
      <c r="NQ79" s="756"/>
      <c r="NR79" s="756"/>
      <c r="NS79" s="756"/>
      <c r="NT79" s="756"/>
      <c r="NU79" s="756"/>
      <c r="NV79" s="756"/>
      <c r="NW79" s="756"/>
      <c r="NX79" s="756"/>
      <c r="NY79" s="756"/>
      <c r="NZ79" s="756"/>
      <c r="OA79" s="756"/>
      <c r="OB79" s="756"/>
      <c r="OC79" s="756"/>
      <c r="OD79" s="756"/>
      <c r="OE79" s="756"/>
      <c r="OF79" s="756"/>
      <c r="OG79" s="756"/>
      <c r="OH79" s="756"/>
      <c r="OI79" s="756"/>
      <c r="OJ79" s="756"/>
      <c r="OK79" s="756"/>
      <c r="OL79" s="756"/>
      <c r="OM79" s="756"/>
      <c r="ON79" s="756"/>
      <c r="OO79" s="756"/>
      <c r="OP79" s="756"/>
      <c r="OQ79" s="756"/>
      <c r="OR79" s="756"/>
      <c r="OS79" s="756"/>
      <c r="OT79" s="756"/>
      <c r="OU79" s="756"/>
      <c r="OV79" s="756"/>
      <c r="OW79" s="756"/>
      <c r="OX79" s="756"/>
      <c r="OY79" s="756"/>
      <c r="OZ79" s="756"/>
      <c r="PA79" s="756"/>
      <c r="PB79" s="756"/>
      <c r="PC79" s="756"/>
      <c r="PD79" s="756"/>
      <c r="PE79" s="756"/>
      <c r="PF79" s="756"/>
      <c r="PG79" s="756"/>
      <c r="PH79" s="756"/>
      <c r="PI79" s="756"/>
      <c r="PJ79" s="756"/>
      <c r="PK79" s="756"/>
      <c r="PL79" s="756"/>
      <c r="PM79" s="756"/>
      <c r="PN79" s="756"/>
      <c r="PO79" s="756"/>
      <c r="PP79" s="756"/>
      <c r="PQ79" s="756"/>
      <c r="PR79" s="756"/>
      <c r="PS79" s="756"/>
      <c r="PT79" s="756"/>
      <c r="PU79" s="756"/>
      <c r="PV79" s="756"/>
      <c r="PW79" s="756"/>
      <c r="PX79" s="756"/>
      <c r="PY79" s="756"/>
      <c r="PZ79" s="756"/>
      <c r="QA79" s="756"/>
      <c r="QB79" s="756"/>
      <c r="QC79" s="756"/>
      <c r="QD79" s="756"/>
      <c r="QE79" s="756"/>
      <c r="QF79" s="756"/>
      <c r="QG79" s="756"/>
      <c r="QH79" s="756"/>
      <c r="QI79" s="756"/>
      <c r="QJ79" s="756"/>
      <c r="QK79" s="756"/>
      <c r="QL79" s="756"/>
      <c r="QM79" s="756"/>
      <c r="QN79" s="756"/>
      <c r="QO79" s="756"/>
      <c r="QP79" s="756"/>
      <c r="QQ79" s="756"/>
      <c r="QR79" s="756"/>
      <c r="QS79" s="756"/>
      <c r="QT79" s="756"/>
      <c r="QU79" s="756"/>
      <c r="QV79" s="756"/>
      <c r="QW79" s="756"/>
      <c r="QX79" s="756"/>
      <c r="QY79" s="756"/>
      <c r="QZ79" s="756"/>
      <c r="RA79" s="756"/>
      <c r="RB79" s="756"/>
      <c r="RC79" s="756"/>
      <c r="RD79" s="756"/>
      <c r="RE79" s="756"/>
      <c r="RF79" s="756"/>
      <c r="RG79" s="756"/>
      <c r="RH79" s="756"/>
      <c r="RI79" s="756"/>
      <c r="RJ79" s="756"/>
      <c r="RK79" s="756"/>
      <c r="RL79" s="756"/>
      <c r="RM79" s="756"/>
      <c r="RN79" s="756"/>
      <c r="RO79" s="756"/>
      <c r="RP79" s="756"/>
      <c r="RQ79" s="756"/>
      <c r="RR79" s="756"/>
      <c r="RS79" s="756"/>
      <c r="RT79" s="756"/>
      <c r="RU79" s="756"/>
      <c r="RV79" s="756"/>
      <c r="RW79" s="756"/>
      <c r="RX79" s="756"/>
      <c r="RY79" s="756"/>
      <c r="RZ79" s="756"/>
      <c r="SA79" s="756"/>
      <c r="SB79" s="756"/>
      <c r="SC79" s="756"/>
      <c r="SD79" s="756"/>
      <c r="SE79" s="756"/>
      <c r="SF79" s="756"/>
      <c r="SG79" s="756"/>
      <c r="SH79" s="756"/>
      <c r="SI79" s="756"/>
      <c r="SJ79" s="756"/>
      <c r="SK79" s="756"/>
      <c r="SL79" s="756"/>
      <c r="SM79" s="756"/>
      <c r="SN79" s="756"/>
      <c r="SO79" s="756"/>
      <c r="SP79" s="756"/>
      <c r="SQ79" s="756"/>
      <c r="SR79" s="756"/>
    </row>
    <row r="80" spans="1:512" ht="15" customHeight="1">
      <c r="A80" s="969"/>
      <c r="B80" s="969"/>
      <c r="C80" s="969" t="s">
        <v>2715</v>
      </c>
      <c r="D80" s="969"/>
      <c r="E80" s="969" t="s">
        <v>2119</v>
      </c>
      <c r="F80" s="969"/>
      <c r="G80" s="756">
        <v>0</v>
      </c>
      <c r="H80" s="1027">
        <v>0</v>
      </c>
      <c r="I80" s="756"/>
      <c r="J80" s="756"/>
      <c r="K80" s="756"/>
      <c r="L80" s="756"/>
      <c r="M80" s="756"/>
      <c r="N80" s="756"/>
      <c r="O80" s="756"/>
      <c r="P80" s="756"/>
      <c r="Q80" s="756"/>
      <c r="R80" s="756"/>
      <c r="S80" s="756"/>
      <c r="T80" s="756"/>
      <c r="U80" s="756"/>
      <c r="V80" s="756"/>
      <c r="W80" s="756"/>
      <c r="X80" s="756"/>
      <c r="Y80" s="756"/>
      <c r="Z80" s="756"/>
      <c r="AA80" s="756"/>
      <c r="AB80" s="756"/>
      <c r="AC80" s="756"/>
      <c r="AD80" s="756"/>
      <c r="AE80" s="756"/>
      <c r="AF80" s="756"/>
      <c r="AG80" s="756"/>
      <c r="AH80" s="756"/>
      <c r="AI80" s="756"/>
      <c r="AJ80" s="756"/>
      <c r="AK80" s="756"/>
      <c r="AL80" s="756"/>
      <c r="AM80" s="756"/>
      <c r="AN80" s="756"/>
      <c r="AO80" s="756"/>
      <c r="AP80" s="756"/>
      <c r="AQ80" s="756"/>
      <c r="AR80" s="756"/>
      <c r="AS80" s="756"/>
      <c r="AT80" s="756"/>
      <c r="AU80" s="756"/>
      <c r="AV80" s="756"/>
      <c r="AW80" s="756"/>
      <c r="AX80" s="756"/>
      <c r="AY80" s="756"/>
      <c r="AZ80" s="756"/>
      <c r="BA80" s="756"/>
      <c r="BB80" s="756"/>
      <c r="BC80" s="756"/>
      <c r="BD80" s="756"/>
      <c r="BE80" s="756"/>
      <c r="BF80" s="756"/>
      <c r="BG80" s="756"/>
      <c r="BH80" s="756"/>
      <c r="BI80" s="756"/>
      <c r="BJ80" s="756"/>
      <c r="BK80" s="756"/>
      <c r="BL80" s="756"/>
      <c r="BM80" s="756"/>
      <c r="BN80" s="756"/>
      <c r="BO80" s="756"/>
      <c r="BP80" s="756"/>
      <c r="BQ80" s="756"/>
      <c r="BR80" s="756"/>
      <c r="BS80" s="756"/>
      <c r="BT80" s="756"/>
      <c r="BU80" s="756"/>
      <c r="BV80" s="756"/>
      <c r="BW80" s="756"/>
      <c r="BX80" s="756"/>
      <c r="BY80" s="756"/>
      <c r="BZ80" s="756"/>
      <c r="CA80" s="756"/>
      <c r="CB80" s="756"/>
      <c r="CC80" s="756"/>
      <c r="CD80" s="756"/>
      <c r="CE80" s="756"/>
      <c r="CF80" s="756"/>
      <c r="CG80" s="756"/>
      <c r="CH80" s="756"/>
      <c r="CI80" s="756"/>
      <c r="CJ80" s="756"/>
      <c r="CK80" s="756"/>
      <c r="CL80" s="756"/>
      <c r="CM80" s="756"/>
      <c r="CN80" s="756"/>
      <c r="CO80" s="756"/>
      <c r="CP80" s="756"/>
      <c r="CQ80" s="756"/>
      <c r="CR80" s="756"/>
      <c r="CS80" s="756"/>
      <c r="CT80" s="756"/>
      <c r="CU80" s="756"/>
      <c r="CV80" s="756"/>
      <c r="CW80" s="756"/>
      <c r="CX80" s="756"/>
      <c r="CY80" s="756"/>
      <c r="CZ80" s="756"/>
      <c r="DA80" s="756"/>
      <c r="DB80" s="756"/>
      <c r="DC80" s="756"/>
      <c r="DD80" s="756"/>
      <c r="DE80" s="756"/>
      <c r="DF80" s="756"/>
      <c r="DG80" s="756"/>
      <c r="DH80" s="756"/>
      <c r="DI80" s="756"/>
      <c r="DJ80" s="756"/>
      <c r="DK80" s="756"/>
      <c r="DL80" s="756"/>
      <c r="DM80" s="756"/>
      <c r="DN80" s="756"/>
      <c r="DO80" s="756"/>
      <c r="DP80" s="756"/>
      <c r="DQ80" s="756"/>
      <c r="DR80" s="756"/>
      <c r="DS80" s="756"/>
      <c r="DT80" s="756"/>
      <c r="DU80" s="756"/>
      <c r="DV80" s="756"/>
      <c r="DW80" s="756"/>
      <c r="DX80" s="756"/>
      <c r="DY80" s="756"/>
      <c r="DZ80" s="756"/>
      <c r="EA80" s="756"/>
      <c r="EB80" s="756"/>
      <c r="EC80" s="756"/>
      <c r="ED80" s="756"/>
      <c r="EE80" s="756"/>
      <c r="EF80" s="756"/>
      <c r="EG80" s="756"/>
      <c r="EH80" s="756"/>
      <c r="EI80" s="756"/>
      <c r="EJ80" s="756"/>
      <c r="EK80" s="756"/>
      <c r="EL80" s="756"/>
      <c r="EM80" s="756"/>
      <c r="EN80" s="756"/>
      <c r="EO80" s="756"/>
      <c r="EP80" s="756"/>
      <c r="EQ80" s="756"/>
      <c r="ER80" s="756"/>
      <c r="ES80" s="756"/>
      <c r="ET80" s="756"/>
      <c r="EU80" s="756"/>
      <c r="EV80" s="756"/>
      <c r="EW80" s="756"/>
      <c r="EX80" s="756"/>
      <c r="EY80" s="756"/>
      <c r="EZ80" s="756"/>
      <c r="FA80" s="756"/>
      <c r="FB80" s="756"/>
      <c r="FC80" s="756"/>
      <c r="FD80" s="756"/>
      <c r="FE80" s="756"/>
      <c r="FF80" s="756"/>
      <c r="FG80" s="756"/>
      <c r="FH80" s="756"/>
      <c r="FI80" s="756"/>
      <c r="FJ80" s="756"/>
      <c r="FK80" s="756"/>
      <c r="FL80" s="756"/>
      <c r="FM80" s="756"/>
      <c r="FN80" s="756"/>
      <c r="FO80" s="756"/>
      <c r="FP80" s="756"/>
      <c r="FQ80" s="756"/>
      <c r="FR80" s="756"/>
      <c r="FS80" s="756"/>
      <c r="FT80" s="756"/>
      <c r="FU80" s="756"/>
      <c r="FV80" s="756"/>
      <c r="FW80" s="756"/>
      <c r="FX80" s="756"/>
      <c r="FY80" s="756"/>
      <c r="FZ80" s="756"/>
      <c r="GA80" s="756"/>
      <c r="GB80" s="756"/>
      <c r="GC80" s="756"/>
      <c r="GD80" s="756"/>
      <c r="GE80" s="756"/>
      <c r="GF80" s="756"/>
      <c r="GG80" s="756"/>
      <c r="GH80" s="756"/>
      <c r="GI80" s="756"/>
      <c r="GJ80" s="756"/>
      <c r="GK80" s="756"/>
      <c r="GL80" s="756"/>
      <c r="GM80" s="756"/>
      <c r="GN80" s="756"/>
      <c r="GO80" s="756"/>
      <c r="GP80" s="756"/>
      <c r="GQ80" s="756"/>
      <c r="GR80" s="756"/>
      <c r="GS80" s="756"/>
      <c r="GT80" s="756"/>
      <c r="GU80" s="756"/>
      <c r="GV80" s="756"/>
      <c r="GW80" s="756"/>
      <c r="GX80" s="756"/>
      <c r="GY80" s="756"/>
      <c r="GZ80" s="756"/>
      <c r="HA80" s="756"/>
      <c r="HB80" s="756"/>
      <c r="HC80" s="756"/>
      <c r="HD80" s="756"/>
      <c r="HE80" s="756"/>
      <c r="HF80" s="756"/>
      <c r="HG80" s="756"/>
      <c r="HH80" s="756"/>
      <c r="HI80" s="756"/>
      <c r="HJ80" s="756"/>
      <c r="HK80" s="756"/>
      <c r="HL80" s="756"/>
      <c r="HM80" s="756"/>
      <c r="HN80" s="756"/>
      <c r="HO80" s="756"/>
      <c r="HP80" s="756"/>
      <c r="HQ80" s="756"/>
      <c r="HR80" s="756"/>
      <c r="HS80" s="756"/>
      <c r="HT80" s="756"/>
      <c r="HU80" s="756"/>
      <c r="HV80" s="756"/>
      <c r="HW80" s="756"/>
      <c r="HX80" s="756"/>
      <c r="HY80" s="756"/>
      <c r="HZ80" s="756"/>
      <c r="IA80" s="756"/>
      <c r="IB80" s="756"/>
      <c r="IC80" s="756"/>
      <c r="ID80" s="756"/>
      <c r="IE80" s="756"/>
      <c r="IF80" s="756"/>
      <c r="IG80" s="756"/>
      <c r="IH80" s="756"/>
      <c r="II80" s="756"/>
      <c r="IJ80" s="756"/>
      <c r="IK80" s="756"/>
      <c r="IL80" s="756"/>
      <c r="IM80" s="756"/>
      <c r="IN80" s="756"/>
      <c r="IO80" s="756"/>
      <c r="IP80" s="756"/>
      <c r="IQ80" s="756"/>
      <c r="IR80" s="756"/>
      <c r="IS80" s="756"/>
      <c r="IT80" s="756"/>
      <c r="IU80" s="756"/>
      <c r="IV80" s="756"/>
      <c r="IW80" s="756"/>
      <c r="IX80" s="756"/>
      <c r="IY80" s="756"/>
      <c r="IZ80" s="756"/>
      <c r="JA80" s="756"/>
      <c r="JB80" s="756"/>
      <c r="JC80" s="756"/>
      <c r="JD80" s="756"/>
      <c r="JE80" s="756"/>
      <c r="JF80" s="756"/>
      <c r="JG80" s="756"/>
      <c r="JH80" s="756"/>
      <c r="JI80" s="756"/>
      <c r="JJ80" s="756"/>
      <c r="JK80" s="756"/>
      <c r="JL80" s="756"/>
      <c r="JM80" s="756"/>
      <c r="JN80" s="756"/>
      <c r="JO80" s="756"/>
      <c r="JP80" s="756"/>
      <c r="JQ80" s="756"/>
      <c r="JR80" s="756"/>
      <c r="JS80" s="756"/>
      <c r="JT80" s="756"/>
      <c r="JU80" s="756"/>
      <c r="JV80" s="756"/>
      <c r="JW80" s="756"/>
      <c r="JX80" s="756"/>
      <c r="JY80" s="756"/>
      <c r="JZ80" s="756"/>
      <c r="KA80" s="756"/>
      <c r="KB80" s="756"/>
      <c r="KC80" s="756"/>
      <c r="KD80" s="756"/>
      <c r="KE80" s="756"/>
      <c r="KF80" s="756"/>
      <c r="KG80" s="756"/>
      <c r="KH80" s="756"/>
      <c r="KI80" s="756"/>
      <c r="KJ80" s="756"/>
      <c r="KK80" s="756"/>
      <c r="KL80" s="756"/>
      <c r="KM80" s="756"/>
      <c r="KN80" s="756"/>
      <c r="KO80" s="756"/>
      <c r="KP80" s="756"/>
      <c r="KQ80" s="756"/>
      <c r="KR80" s="756"/>
      <c r="KS80" s="756"/>
      <c r="KT80" s="756"/>
      <c r="KU80" s="756"/>
      <c r="KV80" s="756"/>
      <c r="KW80" s="756"/>
      <c r="KX80" s="756"/>
      <c r="KY80" s="756"/>
      <c r="KZ80" s="756"/>
      <c r="LA80" s="756"/>
      <c r="LB80" s="756"/>
      <c r="LC80" s="756"/>
      <c r="LD80" s="756"/>
      <c r="LE80" s="756"/>
      <c r="LF80" s="756"/>
      <c r="LG80" s="756"/>
      <c r="LH80" s="756"/>
      <c r="LI80" s="756"/>
      <c r="LJ80" s="756"/>
      <c r="LK80" s="756"/>
      <c r="LL80" s="756"/>
      <c r="LM80" s="756"/>
      <c r="LN80" s="756"/>
      <c r="LO80" s="756"/>
      <c r="LP80" s="756"/>
      <c r="LQ80" s="756"/>
      <c r="LR80" s="756"/>
      <c r="LS80" s="756"/>
      <c r="LT80" s="756"/>
      <c r="LU80" s="756"/>
      <c r="LV80" s="756"/>
      <c r="LW80" s="756"/>
      <c r="LX80" s="756"/>
      <c r="LY80" s="756"/>
      <c r="LZ80" s="756"/>
      <c r="MA80" s="756"/>
      <c r="MB80" s="756"/>
      <c r="MC80" s="756"/>
      <c r="MD80" s="756"/>
      <c r="ME80" s="756"/>
      <c r="MF80" s="756"/>
      <c r="MG80" s="756"/>
      <c r="MH80" s="756"/>
      <c r="MI80" s="756"/>
      <c r="MJ80" s="756"/>
      <c r="MK80" s="756"/>
      <c r="ML80" s="756"/>
      <c r="MM80" s="756"/>
      <c r="MN80" s="756"/>
      <c r="MO80" s="756"/>
      <c r="MP80" s="756"/>
      <c r="MQ80" s="756"/>
      <c r="MR80" s="756"/>
      <c r="MS80" s="756"/>
      <c r="MT80" s="756"/>
      <c r="MU80" s="756"/>
      <c r="MV80" s="756"/>
      <c r="MW80" s="756"/>
      <c r="MX80" s="756"/>
      <c r="MY80" s="756"/>
      <c r="MZ80" s="756"/>
      <c r="NA80" s="756"/>
      <c r="NB80" s="756"/>
      <c r="NC80" s="756"/>
      <c r="ND80" s="756"/>
      <c r="NE80" s="756"/>
      <c r="NF80" s="756"/>
      <c r="NG80" s="756"/>
      <c r="NH80" s="756"/>
      <c r="NI80" s="756"/>
      <c r="NJ80" s="756"/>
      <c r="NK80" s="756"/>
      <c r="NL80" s="756"/>
      <c r="NM80" s="756"/>
      <c r="NN80" s="756"/>
      <c r="NO80" s="756"/>
      <c r="NP80" s="756"/>
      <c r="NQ80" s="756"/>
      <c r="NR80" s="756"/>
      <c r="NS80" s="756"/>
      <c r="NT80" s="756"/>
      <c r="NU80" s="756"/>
      <c r="NV80" s="756"/>
      <c r="NW80" s="756"/>
      <c r="NX80" s="756"/>
      <c r="NY80" s="756"/>
      <c r="NZ80" s="756"/>
      <c r="OA80" s="756"/>
      <c r="OB80" s="756"/>
      <c r="OC80" s="756"/>
      <c r="OD80" s="756"/>
      <c r="OE80" s="756"/>
      <c r="OF80" s="756"/>
      <c r="OG80" s="756"/>
      <c r="OH80" s="756"/>
      <c r="OI80" s="756"/>
      <c r="OJ80" s="756"/>
      <c r="OK80" s="756"/>
      <c r="OL80" s="756"/>
      <c r="OM80" s="756"/>
      <c r="ON80" s="756"/>
      <c r="OO80" s="756"/>
      <c r="OP80" s="756"/>
      <c r="OQ80" s="756"/>
      <c r="OR80" s="756"/>
      <c r="OS80" s="756"/>
      <c r="OT80" s="756"/>
      <c r="OU80" s="756"/>
      <c r="OV80" s="756"/>
      <c r="OW80" s="756"/>
      <c r="OX80" s="756"/>
      <c r="OY80" s="756"/>
      <c r="OZ80" s="756"/>
      <c r="PA80" s="756"/>
      <c r="PB80" s="756"/>
      <c r="PC80" s="756"/>
      <c r="PD80" s="756"/>
      <c r="PE80" s="756"/>
      <c r="PF80" s="756"/>
      <c r="PG80" s="756"/>
      <c r="PH80" s="756"/>
      <c r="PI80" s="756"/>
      <c r="PJ80" s="756"/>
      <c r="PK80" s="756"/>
      <c r="PL80" s="756"/>
      <c r="PM80" s="756"/>
      <c r="PN80" s="756"/>
      <c r="PO80" s="756"/>
      <c r="PP80" s="756"/>
      <c r="PQ80" s="756"/>
      <c r="PR80" s="756"/>
      <c r="PS80" s="756"/>
      <c r="PT80" s="756"/>
      <c r="PU80" s="756"/>
      <c r="PV80" s="756"/>
      <c r="PW80" s="756"/>
      <c r="PX80" s="756"/>
      <c r="PY80" s="756"/>
      <c r="PZ80" s="756"/>
      <c r="QA80" s="756"/>
      <c r="QB80" s="756"/>
      <c r="QC80" s="756"/>
      <c r="QD80" s="756"/>
      <c r="QE80" s="756"/>
      <c r="QF80" s="756"/>
      <c r="QG80" s="756"/>
      <c r="QH80" s="756"/>
      <c r="QI80" s="756"/>
      <c r="QJ80" s="756"/>
      <c r="QK80" s="756"/>
      <c r="QL80" s="756"/>
      <c r="QM80" s="756"/>
      <c r="QN80" s="756"/>
      <c r="QO80" s="756"/>
      <c r="QP80" s="756"/>
      <c r="QQ80" s="756"/>
      <c r="QR80" s="756"/>
      <c r="QS80" s="756"/>
      <c r="QT80" s="756"/>
      <c r="QU80" s="756"/>
      <c r="QV80" s="756"/>
      <c r="QW80" s="756"/>
      <c r="QX80" s="756"/>
      <c r="QY80" s="756"/>
      <c r="QZ80" s="756"/>
      <c r="RA80" s="756"/>
      <c r="RB80" s="756"/>
      <c r="RC80" s="756"/>
      <c r="RD80" s="756"/>
      <c r="RE80" s="756"/>
      <c r="RF80" s="756"/>
      <c r="RG80" s="756"/>
      <c r="RH80" s="756"/>
      <c r="RI80" s="756"/>
      <c r="RJ80" s="756"/>
      <c r="RK80" s="756"/>
      <c r="RL80" s="756"/>
      <c r="RM80" s="756"/>
      <c r="RN80" s="756"/>
      <c r="RO80" s="756"/>
      <c r="RP80" s="756"/>
      <c r="RQ80" s="756"/>
      <c r="RR80" s="756"/>
      <c r="RS80" s="756"/>
      <c r="RT80" s="756"/>
      <c r="RU80" s="756"/>
      <c r="RV80" s="756"/>
      <c r="RW80" s="756"/>
      <c r="RX80" s="756"/>
      <c r="RY80" s="756"/>
      <c r="RZ80" s="756"/>
      <c r="SA80" s="756"/>
      <c r="SB80" s="756"/>
      <c r="SC80" s="756"/>
      <c r="SD80" s="756"/>
      <c r="SE80" s="756"/>
      <c r="SF80" s="756"/>
      <c r="SG80" s="756"/>
      <c r="SH80" s="756"/>
      <c r="SI80" s="756"/>
      <c r="SJ80" s="756"/>
      <c r="SK80" s="756"/>
      <c r="SL80" s="756"/>
      <c r="SM80" s="756"/>
      <c r="SN80" s="756"/>
      <c r="SO80" s="756"/>
      <c r="SP80" s="756"/>
      <c r="SQ80" s="756"/>
      <c r="SR80" s="756"/>
    </row>
    <row r="81" spans="1:512" ht="15" customHeight="1">
      <c r="A81" s="969"/>
      <c r="B81" s="969" t="s">
        <v>2716</v>
      </c>
      <c r="C81" s="969"/>
      <c r="D81" s="969"/>
      <c r="E81" s="969"/>
      <c r="F81" s="969"/>
      <c r="G81" s="769"/>
      <c r="H81" s="1027"/>
      <c r="I81" s="769"/>
      <c r="J81" s="769"/>
      <c r="K81" s="769"/>
      <c r="L81" s="769"/>
      <c r="M81" s="769"/>
      <c r="N81" s="769"/>
      <c r="O81" s="769"/>
      <c r="P81" s="769"/>
      <c r="Q81" s="769"/>
      <c r="R81" s="769"/>
      <c r="S81" s="769"/>
      <c r="T81" s="769"/>
      <c r="U81" s="770"/>
      <c r="V81" s="770"/>
      <c r="W81" s="770"/>
      <c r="X81" s="770"/>
      <c r="Y81" s="770"/>
      <c r="Z81" s="770"/>
      <c r="AA81" s="770"/>
      <c r="AB81" s="770"/>
      <c r="AC81" s="770"/>
      <c r="AD81" s="770"/>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row>
    <row r="82" spans="1:512" ht="15" customHeight="1">
      <c r="A82" s="969"/>
      <c r="B82" s="969"/>
      <c r="C82" s="969" t="s">
        <v>2717</v>
      </c>
      <c r="D82" s="969"/>
      <c r="E82" s="969" t="s">
        <v>2265</v>
      </c>
      <c r="F82" s="969"/>
      <c r="G82" s="756">
        <v>5082</v>
      </c>
      <c r="H82" s="1027">
        <v>765</v>
      </c>
      <c r="I82" s="756"/>
      <c r="J82" s="756"/>
      <c r="K82" s="756"/>
      <c r="L82" s="756"/>
      <c r="M82" s="756"/>
      <c r="N82" s="756"/>
      <c r="O82" s="756"/>
      <c r="P82" s="756"/>
      <c r="Q82" s="756"/>
      <c r="R82" s="756"/>
      <c r="S82" s="756"/>
      <c r="T82" s="756"/>
      <c r="U82" s="756"/>
      <c r="V82" s="756"/>
      <c r="W82" s="756"/>
      <c r="X82" s="756"/>
      <c r="Y82" s="756"/>
      <c r="Z82" s="756"/>
      <c r="AA82" s="756"/>
      <c r="AB82" s="756"/>
      <c r="AC82" s="756"/>
      <c r="AD82" s="756"/>
      <c r="AE82" s="756"/>
      <c r="AF82" s="756"/>
      <c r="AG82" s="756"/>
      <c r="AH82" s="756"/>
      <c r="AI82" s="756"/>
      <c r="AJ82" s="756"/>
      <c r="AK82" s="756"/>
      <c r="AL82" s="756"/>
      <c r="AM82" s="756"/>
      <c r="AN82" s="756"/>
      <c r="AO82" s="756"/>
      <c r="AP82" s="756"/>
      <c r="AQ82" s="756"/>
      <c r="AR82" s="756"/>
      <c r="AS82" s="756"/>
      <c r="AT82" s="756"/>
      <c r="AU82" s="756"/>
      <c r="AV82" s="756"/>
      <c r="AW82" s="756"/>
      <c r="AX82" s="756"/>
      <c r="AY82" s="756"/>
      <c r="AZ82" s="756"/>
      <c r="BA82" s="756"/>
      <c r="BB82" s="756"/>
      <c r="BC82" s="756"/>
      <c r="BD82" s="756"/>
      <c r="BE82" s="756"/>
      <c r="BF82" s="756"/>
      <c r="BG82" s="756"/>
      <c r="BH82" s="756"/>
      <c r="BI82" s="756"/>
      <c r="BJ82" s="756"/>
      <c r="BK82" s="756"/>
      <c r="BL82" s="756"/>
      <c r="BM82" s="756"/>
      <c r="BN82" s="756"/>
      <c r="BO82" s="756"/>
      <c r="BP82" s="756"/>
      <c r="BQ82" s="756"/>
      <c r="BR82" s="756"/>
      <c r="BS82" s="756"/>
      <c r="BT82" s="756"/>
      <c r="BU82" s="756"/>
      <c r="BV82" s="756"/>
      <c r="BW82" s="756"/>
      <c r="BX82" s="756"/>
      <c r="BY82" s="756"/>
      <c r="BZ82" s="756"/>
      <c r="CA82" s="756"/>
      <c r="CB82" s="756"/>
      <c r="CC82" s="756"/>
      <c r="CD82" s="756"/>
      <c r="CE82" s="756"/>
      <c r="CF82" s="756"/>
      <c r="CG82" s="756"/>
      <c r="CH82" s="756"/>
      <c r="CI82" s="756"/>
      <c r="CJ82" s="756"/>
      <c r="CK82" s="756"/>
      <c r="CL82" s="756"/>
      <c r="CM82" s="756"/>
      <c r="CN82" s="756"/>
      <c r="CO82" s="756"/>
      <c r="CP82" s="756"/>
      <c r="CQ82" s="756"/>
      <c r="CR82" s="756"/>
      <c r="CS82" s="756"/>
      <c r="CT82" s="756"/>
      <c r="CU82" s="756"/>
      <c r="CV82" s="756"/>
      <c r="CW82" s="756"/>
      <c r="CX82" s="756"/>
      <c r="CY82" s="756"/>
      <c r="CZ82" s="756"/>
      <c r="DA82" s="756"/>
      <c r="DB82" s="756"/>
      <c r="DC82" s="756"/>
      <c r="DD82" s="756"/>
      <c r="DE82" s="756"/>
      <c r="DF82" s="756"/>
      <c r="DG82" s="756"/>
      <c r="DH82" s="756"/>
      <c r="DI82" s="756"/>
      <c r="DJ82" s="756"/>
      <c r="DK82" s="756"/>
      <c r="DL82" s="756"/>
      <c r="DM82" s="756"/>
      <c r="DN82" s="756"/>
      <c r="DO82" s="756"/>
      <c r="DP82" s="756"/>
      <c r="DQ82" s="756"/>
      <c r="DR82" s="756"/>
      <c r="DS82" s="756"/>
      <c r="DT82" s="756"/>
      <c r="DU82" s="756"/>
      <c r="DV82" s="756"/>
      <c r="DW82" s="756"/>
      <c r="DX82" s="756"/>
      <c r="DY82" s="756"/>
      <c r="DZ82" s="756"/>
      <c r="EA82" s="756"/>
      <c r="EB82" s="756"/>
      <c r="EC82" s="756"/>
      <c r="ED82" s="756"/>
      <c r="EE82" s="756"/>
      <c r="EF82" s="756"/>
      <c r="EG82" s="756"/>
      <c r="EH82" s="756"/>
      <c r="EI82" s="756"/>
      <c r="EJ82" s="756"/>
      <c r="EK82" s="756"/>
      <c r="EL82" s="756"/>
      <c r="EM82" s="756"/>
      <c r="EN82" s="756"/>
      <c r="EO82" s="756"/>
      <c r="EP82" s="756"/>
      <c r="EQ82" s="756"/>
      <c r="ER82" s="756"/>
      <c r="ES82" s="756"/>
      <c r="ET82" s="756"/>
      <c r="EU82" s="756"/>
      <c r="EV82" s="756"/>
      <c r="EW82" s="756"/>
      <c r="EX82" s="756"/>
      <c r="EY82" s="756"/>
      <c r="EZ82" s="756"/>
      <c r="FA82" s="756"/>
      <c r="FB82" s="756"/>
      <c r="FC82" s="756"/>
      <c r="FD82" s="756"/>
      <c r="FE82" s="756"/>
      <c r="FF82" s="756"/>
      <c r="FG82" s="756"/>
      <c r="FH82" s="756"/>
      <c r="FI82" s="756"/>
      <c r="FJ82" s="756"/>
      <c r="FK82" s="756"/>
      <c r="FL82" s="756"/>
      <c r="FM82" s="756"/>
      <c r="FN82" s="756"/>
      <c r="FO82" s="756"/>
      <c r="FP82" s="756"/>
      <c r="FQ82" s="756"/>
      <c r="FR82" s="756"/>
      <c r="FS82" s="756"/>
      <c r="FT82" s="756"/>
      <c r="FU82" s="756"/>
      <c r="FV82" s="756"/>
      <c r="FW82" s="756"/>
      <c r="FX82" s="756"/>
      <c r="FY82" s="756"/>
      <c r="FZ82" s="756"/>
      <c r="GA82" s="756"/>
      <c r="GB82" s="756"/>
      <c r="GC82" s="756"/>
      <c r="GD82" s="756"/>
      <c r="GE82" s="756"/>
      <c r="GF82" s="756"/>
      <c r="GG82" s="756"/>
      <c r="GH82" s="756"/>
      <c r="GI82" s="756"/>
      <c r="GJ82" s="756"/>
      <c r="GK82" s="756"/>
      <c r="GL82" s="756"/>
      <c r="GM82" s="756"/>
      <c r="GN82" s="756"/>
      <c r="GO82" s="756"/>
      <c r="GP82" s="756"/>
      <c r="GQ82" s="756"/>
      <c r="GR82" s="756"/>
      <c r="GS82" s="756"/>
      <c r="GT82" s="756"/>
      <c r="GU82" s="756"/>
      <c r="GV82" s="756"/>
      <c r="GW82" s="756"/>
      <c r="GX82" s="756"/>
      <c r="GY82" s="756"/>
      <c r="GZ82" s="756"/>
      <c r="HA82" s="756"/>
      <c r="HB82" s="756"/>
      <c r="HC82" s="756"/>
      <c r="HD82" s="756"/>
      <c r="HE82" s="756"/>
      <c r="HF82" s="756"/>
      <c r="HG82" s="756"/>
      <c r="HH82" s="756"/>
      <c r="HI82" s="756"/>
      <c r="HJ82" s="756"/>
      <c r="HK82" s="756"/>
      <c r="HL82" s="756"/>
      <c r="HM82" s="756"/>
      <c r="HN82" s="756"/>
      <c r="HO82" s="756"/>
      <c r="HP82" s="756"/>
      <c r="HQ82" s="756"/>
      <c r="HR82" s="756"/>
      <c r="HS82" s="756"/>
      <c r="HT82" s="756"/>
      <c r="HU82" s="756"/>
      <c r="HV82" s="756"/>
      <c r="HW82" s="756"/>
      <c r="HX82" s="756"/>
      <c r="HY82" s="756"/>
      <c r="HZ82" s="756"/>
      <c r="IA82" s="756"/>
      <c r="IB82" s="756"/>
      <c r="IC82" s="756"/>
      <c r="ID82" s="756"/>
      <c r="IE82" s="756"/>
      <c r="IF82" s="756"/>
      <c r="IG82" s="756"/>
      <c r="IH82" s="756"/>
      <c r="II82" s="756"/>
      <c r="IJ82" s="756"/>
      <c r="IK82" s="756"/>
      <c r="IL82" s="756"/>
      <c r="IM82" s="756"/>
      <c r="IN82" s="756"/>
      <c r="IO82" s="756"/>
      <c r="IP82" s="756"/>
      <c r="IQ82" s="756"/>
      <c r="IR82" s="756"/>
      <c r="IS82" s="756"/>
      <c r="IT82" s="756"/>
      <c r="IU82" s="756"/>
      <c r="IV82" s="756"/>
      <c r="IW82" s="756"/>
      <c r="IX82" s="756"/>
      <c r="IY82" s="756"/>
      <c r="IZ82" s="756"/>
      <c r="JA82" s="756"/>
      <c r="JB82" s="756"/>
      <c r="JC82" s="756"/>
      <c r="JD82" s="756"/>
      <c r="JE82" s="756"/>
      <c r="JF82" s="756"/>
      <c r="JG82" s="756"/>
      <c r="JH82" s="756"/>
      <c r="JI82" s="756"/>
      <c r="JJ82" s="756"/>
      <c r="JK82" s="756"/>
      <c r="JL82" s="756"/>
      <c r="JM82" s="756"/>
      <c r="JN82" s="756"/>
      <c r="JO82" s="756"/>
      <c r="JP82" s="756"/>
      <c r="JQ82" s="756"/>
      <c r="JR82" s="756"/>
      <c r="JS82" s="756"/>
      <c r="JT82" s="756"/>
      <c r="JU82" s="756"/>
      <c r="JV82" s="756"/>
      <c r="JW82" s="756"/>
      <c r="JX82" s="756"/>
      <c r="JY82" s="756"/>
      <c r="JZ82" s="756"/>
      <c r="KA82" s="756"/>
      <c r="KB82" s="756"/>
      <c r="KC82" s="756"/>
      <c r="KD82" s="756"/>
      <c r="KE82" s="756"/>
      <c r="KF82" s="756"/>
      <c r="KG82" s="756"/>
      <c r="KH82" s="756"/>
      <c r="KI82" s="756"/>
      <c r="KJ82" s="756"/>
      <c r="KK82" s="756"/>
      <c r="KL82" s="756"/>
      <c r="KM82" s="756"/>
      <c r="KN82" s="756"/>
      <c r="KO82" s="756"/>
      <c r="KP82" s="756"/>
      <c r="KQ82" s="756"/>
      <c r="KR82" s="756"/>
      <c r="KS82" s="756"/>
      <c r="KT82" s="756"/>
      <c r="KU82" s="756"/>
      <c r="KV82" s="756"/>
      <c r="KW82" s="756"/>
      <c r="KX82" s="756"/>
      <c r="KY82" s="756"/>
      <c r="KZ82" s="756"/>
      <c r="LA82" s="756"/>
      <c r="LB82" s="756"/>
      <c r="LC82" s="756"/>
      <c r="LD82" s="756"/>
      <c r="LE82" s="756"/>
      <c r="LF82" s="756"/>
      <c r="LG82" s="756"/>
      <c r="LH82" s="756"/>
      <c r="LI82" s="756"/>
      <c r="LJ82" s="756"/>
      <c r="LK82" s="756"/>
      <c r="LL82" s="756"/>
      <c r="LM82" s="756"/>
      <c r="LN82" s="756"/>
      <c r="LO82" s="756"/>
      <c r="LP82" s="756"/>
      <c r="LQ82" s="756"/>
      <c r="LR82" s="756"/>
      <c r="LS82" s="756"/>
      <c r="LT82" s="756"/>
      <c r="LU82" s="756"/>
      <c r="LV82" s="756"/>
      <c r="LW82" s="756"/>
      <c r="LX82" s="756"/>
      <c r="LY82" s="756"/>
      <c r="LZ82" s="756"/>
      <c r="MA82" s="756"/>
      <c r="MB82" s="756"/>
      <c r="MC82" s="756"/>
      <c r="MD82" s="756"/>
      <c r="ME82" s="756"/>
      <c r="MF82" s="756"/>
      <c r="MG82" s="756"/>
      <c r="MH82" s="756"/>
      <c r="MI82" s="756"/>
      <c r="MJ82" s="756"/>
      <c r="MK82" s="756"/>
      <c r="ML82" s="756"/>
      <c r="MM82" s="756"/>
      <c r="MN82" s="756"/>
      <c r="MO82" s="756"/>
      <c r="MP82" s="756"/>
      <c r="MQ82" s="756"/>
      <c r="MR82" s="756"/>
      <c r="MS82" s="756"/>
      <c r="MT82" s="756"/>
      <c r="MU82" s="756"/>
      <c r="MV82" s="756"/>
      <c r="MW82" s="756"/>
      <c r="MX82" s="756"/>
      <c r="MY82" s="756"/>
      <c r="MZ82" s="756"/>
      <c r="NA82" s="756"/>
      <c r="NB82" s="756"/>
      <c r="NC82" s="756"/>
      <c r="ND82" s="756"/>
      <c r="NE82" s="756"/>
      <c r="NF82" s="756"/>
      <c r="NG82" s="756"/>
      <c r="NH82" s="756"/>
      <c r="NI82" s="756"/>
      <c r="NJ82" s="756"/>
      <c r="NK82" s="756"/>
      <c r="NL82" s="756"/>
      <c r="NM82" s="756"/>
      <c r="NN82" s="756"/>
      <c r="NO82" s="756"/>
      <c r="NP82" s="756"/>
      <c r="NQ82" s="756"/>
      <c r="NR82" s="756"/>
      <c r="NS82" s="756"/>
      <c r="NT82" s="756"/>
      <c r="NU82" s="756"/>
      <c r="NV82" s="756"/>
      <c r="NW82" s="756"/>
      <c r="NX82" s="756"/>
      <c r="NY82" s="756"/>
      <c r="NZ82" s="756"/>
      <c r="OA82" s="756"/>
      <c r="OB82" s="756"/>
      <c r="OC82" s="756"/>
      <c r="OD82" s="756"/>
      <c r="OE82" s="756"/>
      <c r="OF82" s="756"/>
      <c r="OG82" s="756"/>
      <c r="OH82" s="756"/>
      <c r="OI82" s="756"/>
      <c r="OJ82" s="756"/>
      <c r="OK82" s="756"/>
      <c r="OL82" s="756"/>
      <c r="OM82" s="756"/>
      <c r="ON82" s="756"/>
      <c r="OO82" s="756"/>
      <c r="OP82" s="756"/>
      <c r="OQ82" s="756"/>
      <c r="OR82" s="756"/>
      <c r="OS82" s="756"/>
      <c r="OT82" s="756"/>
      <c r="OU82" s="756"/>
      <c r="OV82" s="756"/>
      <c r="OW82" s="756"/>
      <c r="OX82" s="756"/>
      <c r="OY82" s="756"/>
      <c r="OZ82" s="756"/>
      <c r="PA82" s="756"/>
      <c r="PB82" s="756"/>
      <c r="PC82" s="756"/>
      <c r="PD82" s="756"/>
      <c r="PE82" s="756"/>
      <c r="PF82" s="756"/>
      <c r="PG82" s="756"/>
      <c r="PH82" s="756"/>
      <c r="PI82" s="756"/>
      <c r="PJ82" s="756"/>
      <c r="PK82" s="756"/>
      <c r="PL82" s="756"/>
      <c r="PM82" s="756"/>
      <c r="PN82" s="756"/>
      <c r="PO82" s="756"/>
      <c r="PP82" s="756"/>
      <c r="PQ82" s="756"/>
      <c r="PR82" s="756"/>
      <c r="PS82" s="756"/>
      <c r="PT82" s="756"/>
      <c r="PU82" s="756"/>
      <c r="PV82" s="756"/>
      <c r="PW82" s="756"/>
      <c r="PX82" s="756"/>
      <c r="PY82" s="756"/>
      <c r="PZ82" s="756"/>
      <c r="QA82" s="756"/>
      <c r="QB82" s="756"/>
      <c r="QC82" s="756"/>
      <c r="QD82" s="756"/>
      <c r="QE82" s="756"/>
      <c r="QF82" s="756"/>
      <c r="QG82" s="756"/>
      <c r="QH82" s="756"/>
      <c r="QI82" s="756"/>
      <c r="QJ82" s="756"/>
      <c r="QK82" s="756"/>
      <c r="QL82" s="756"/>
      <c r="QM82" s="756"/>
      <c r="QN82" s="756"/>
      <c r="QO82" s="756"/>
      <c r="QP82" s="756"/>
      <c r="QQ82" s="756"/>
      <c r="QR82" s="756"/>
      <c r="QS82" s="756"/>
      <c r="QT82" s="756"/>
      <c r="QU82" s="756"/>
      <c r="QV82" s="756"/>
      <c r="QW82" s="756"/>
      <c r="QX82" s="756"/>
      <c r="QY82" s="756"/>
      <c r="QZ82" s="756"/>
      <c r="RA82" s="756"/>
      <c r="RB82" s="756"/>
      <c r="RC82" s="756"/>
      <c r="RD82" s="756"/>
      <c r="RE82" s="756"/>
      <c r="RF82" s="756"/>
      <c r="RG82" s="756"/>
      <c r="RH82" s="756"/>
      <c r="RI82" s="756"/>
      <c r="RJ82" s="756"/>
      <c r="RK82" s="756"/>
      <c r="RL82" s="756"/>
      <c r="RM82" s="756"/>
      <c r="RN82" s="756"/>
      <c r="RO82" s="756"/>
      <c r="RP82" s="756"/>
      <c r="RQ82" s="756"/>
      <c r="RR82" s="756"/>
      <c r="RS82" s="756"/>
      <c r="RT82" s="756"/>
      <c r="RU82" s="756"/>
      <c r="RV82" s="756"/>
      <c r="RW82" s="756"/>
      <c r="RX82" s="756"/>
      <c r="RY82" s="756"/>
      <c r="RZ82" s="756"/>
      <c r="SA82" s="756"/>
      <c r="SB82" s="756"/>
      <c r="SC82" s="756"/>
      <c r="SD82" s="756"/>
      <c r="SE82" s="756"/>
      <c r="SF82" s="756"/>
      <c r="SG82" s="756"/>
      <c r="SH82" s="756"/>
      <c r="SI82" s="756"/>
      <c r="SJ82" s="756"/>
      <c r="SK82" s="756"/>
      <c r="SL82" s="756"/>
      <c r="SM82" s="756"/>
      <c r="SN82" s="756"/>
      <c r="SO82" s="756"/>
      <c r="SP82" s="756"/>
      <c r="SQ82" s="756"/>
      <c r="SR82" s="756"/>
    </row>
    <row r="83" spans="1:512" ht="15" customHeight="1">
      <c r="A83" s="969"/>
      <c r="B83" s="969"/>
      <c r="C83" s="969" t="s">
        <v>2718</v>
      </c>
      <c r="D83" s="969"/>
      <c r="E83" s="969" t="s">
        <v>2265</v>
      </c>
      <c r="F83" s="969"/>
      <c r="G83" s="756">
        <v>500</v>
      </c>
      <c r="H83" s="1027"/>
      <c r="I83" s="756"/>
      <c r="J83" s="756"/>
      <c r="K83" s="756"/>
      <c r="L83" s="756"/>
      <c r="M83" s="756"/>
      <c r="N83" s="756"/>
      <c r="O83" s="756"/>
      <c r="P83" s="756"/>
      <c r="Q83" s="756"/>
      <c r="R83" s="756"/>
      <c r="S83" s="756"/>
      <c r="T83" s="756"/>
      <c r="U83" s="756"/>
      <c r="V83" s="756"/>
      <c r="W83" s="756"/>
      <c r="X83" s="756"/>
      <c r="Y83" s="756"/>
      <c r="Z83" s="756"/>
      <c r="AA83" s="756"/>
      <c r="AB83" s="756"/>
      <c r="AC83" s="756"/>
      <c r="AD83" s="756"/>
      <c r="AE83" s="756"/>
      <c r="AF83" s="756"/>
      <c r="AG83" s="756"/>
      <c r="AH83" s="756"/>
      <c r="AI83" s="756"/>
      <c r="AJ83" s="756"/>
      <c r="AK83" s="756"/>
      <c r="AL83" s="756"/>
      <c r="AM83" s="756"/>
      <c r="AN83" s="756"/>
      <c r="AO83" s="756"/>
      <c r="AP83" s="756"/>
      <c r="AQ83" s="756"/>
      <c r="AR83" s="756"/>
      <c r="AS83" s="756"/>
      <c r="AT83" s="756"/>
      <c r="AU83" s="756"/>
      <c r="AV83" s="756"/>
      <c r="AW83" s="756"/>
      <c r="AX83" s="756"/>
      <c r="AY83" s="756"/>
      <c r="AZ83" s="756"/>
      <c r="BA83" s="756"/>
      <c r="BB83" s="756"/>
      <c r="BC83" s="756"/>
      <c r="BD83" s="756"/>
      <c r="BE83" s="756"/>
      <c r="BF83" s="756"/>
      <c r="BG83" s="756"/>
      <c r="BH83" s="756"/>
      <c r="BI83" s="756"/>
      <c r="BJ83" s="756"/>
      <c r="BK83" s="756"/>
      <c r="BL83" s="756"/>
      <c r="BM83" s="756"/>
      <c r="BN83" s="756"/>
      <c r="BO83" s="756"/>
      <c r="BP83" s="756"/>
      <c r="BQ83" s="756"/>
      <c r="BR83" s="756"/>
      <c r="BS83" s="756"/>
      <c r="BT83" s="756"/>
      <c r="BU83" s="756"/>
      <c r="BV83" s="756"/>
      <c r="BW83" s="756"/>
      <c r="BX83" s="756"/>
      <c r="BY83" s="756"/>
      <c r="BZ83" s="756"/>
      <c r="CA83" s="756"/>
      <c r="CB83" s="756"/>
      <c r="CC83" s="756"/>
      <c r="CD83" s="756"/>
      <c r="CE83" s="756"/>
      <c r="CF83" s="756"/>
      <c r="CG83" s="756"/>
      <c r="CH83" s="756"/>
      <c r="CI83" s="756"/>
      <c r="CJ83" s="756"/>
      <c r="CK83" s="756"/>
      <c r="CL83" s="756"/>
      <c r="CM83" s="756"/>
      <c r="CN83" s="756"/>
      <c r="CO83" s="756"/>
      <c r="CP83" s="756"/>
      <c r="CQ83" s="756"/>
      <c r="CR83" s="756"/>
      <c r="CS83" s="756"/>
      <c r="CT83" s="756"/>
      <c r="CU83" s="756"/>
      <c r="CV83" s="756"/>
      <c r="CW83" s="756"/>
      <c r="CX83" s="756"/>
      <c r="CY83" s="756"/>
      <c r="CZ83" s="756"/>
      <c r="DA83" s="756"/>
      <c r="DB83" s="756"/>
      <c r="DC83" s="756"/>
      <c r="DD83" s="756"/>
      <c r="DE83" s="756"/>
      <c r="DF83" s="756"/>
      <c r="DG83" s="756"/>
      <c r="DH83" s="756"/>
      <c r="DI83" s="756"/>
      <c r="DJ83" s="756"/>
      <c r="DK83" s="756"/>
      <c r="DL83" s="756"/>
      <c r="DM83" s="756"/>
      <c r="DN83" s="756"/>
      <c r="DO83" s="756"/>
      <c r="DP83" s="756"/>
      <c r="DQ83" s="756"/>
      <c r="DR83" s="756"/>
      <c r="DS83" s="756"/>
      <c r="DT83" s="756"/>
      <c r="DU83" s="756"/>
      <c r="DV83" s="756"/>
      <c r="DW83" s="756"/>
      <c r="DX83" s="756"/>
      <c r="DY83" s="756"/>
      <c r="DZ83" s="756"/>
      <c r="EA83" s="756"/>
      <c r="EB83" s="756"/>
      <c r="EC83" s="756"/>
      <c r="ED83" s="756"/>
      <c r="EE83" s="756"/>
      <c r="EF83" s="756"/>
      <c r="EG83" s="756"/>
      <c r="EH83" s="756"/>
      <c r="EI83" s="756"/>
      <c r="EJ83" s="756"/>
      <c r="EK83" s="756"/>
      <c r="EL83" s="756"/>
      <c r="EM83" s="756"/>
      <c r="EN83" s="756"/>
      <c r="EO83" s="756"/>
      <c r="EP83" s="756"/>
      <c r="EQ83" s="756"/>
      <c r="ER83" s="756"/>
      <c r="ES83" s="756"/>
      <c r="ET83" s="756"/>
      <c r="EU83" s="756"/>
      <c r="EV83" s="756"/>
      <c r="EW83" s="756"/>
      <c r="EX83" s="756"/>
      <c r="EY83" s="756"/>
      <c r="EZ83" s="756"/>
      <c r="FA83" s="756"/>
      <c r="FB83" s="756"/>
      <c r="FC83" s="756"/>
      <c r="FD83" s="756"/>
      <c r="FE83" s="756"/>
      <c r="FF83" s="756"/>
      <c r="FG83" s="756"/>
      <c r="FH83" s="756"/>
      <c r="FI83" s="756"/>
      <c r="FJ83" s="756"/>
      <c r="FK83" s="756"/>
      <c r="FL83" s="756"/>
      <c r="FM83" s="756"/>
      <c r="FN83" s="756"/>
      <c r="FO83" s="756"/>
      <c r="FP83" s="756"/>
      <c r="FQ83" s="756"/>
      <c r="FR83" s="756"/>
      <c r="FS83" s="756"/>
      <c r="FT83" s="756"/>
      <c r="FU83" s="756"/>
      <c r="FV83" s="756"/>
      <c r="FW83" s="756"/>
      <c r="FX83" s="756"/>
      <c r="FY83" s="756"/>
      <c r="FZ83" s="756"/>
      <c r="GA83" s="756"/>
      <c r="GB83" s="756"/>
      <c r="GC83" s="756"/>
      <c r="GD83" s="756"/>
      <c r="GE83" s="756"/>
      <c r="GF83" s="756"/>
      <c r="GG83" s="756"/>
      <c r="GH83" s="756"/>
      <c r="GI83" s="756"/>
      <c r="GJ83" s="756"/>
      <c r="GK83" s="756"/>
      <c r="GL83" s="756"/>
      <c r="GM83" s="756"/>
      <c r="GN83" s="756"/>
      <c r="GO83" s="756"/>
      <c r="GP83" s="756"/>
      <c r="GQ83" s="756"/>
      <c r="GR83" s="756"/>
      <c r="GS83" s="756"/>
      <c r="GT83" s="756"/>
      <c r="GU83" s="756"/>
      <c r="GV83" s="756"/>
      <c r="GW83" s="756"/>
      <c r="GX83" s="756"/>
      <c r="GY83" s="756"/>
      <c r="GZ83" s="756"/>
      <c r="HA83" s="756"/>
      <c r="HB83" s="756"/>
      <c r="HC83" s="756"/>
      <c r="HD83" s="756"/>
      <c r="HE83" s="756"/>
      <c r="HF83" s="756"/>
      <c r="HG83" s="756"/>
      <c r="HH83" s="756"/>
      <c r="HI83" s="756"/>
      <c r="HJ83" s="756"/>
      <c r="HK83" s="756"/>
      <c r="HL83" s="756"/>
      <c r="HM83" s="756"/>
      <c r="HN83" s="756"/>
      <c r="HO83" s="756"/>
      <c r="HP83" s="756"/>
      <c r="HQ83" s="756"/>
      <c r="HR83" s="756"/>
      <c r="HS83" s="756"/>
      <c r="HT83" s="756"/>
      <c r="HU83" s="756"/>
      <c r="HV83" s="756"/>
      <c r="HW83" s="756"/>
      <c r="HX83" s="756"/>
      <c r="HY83" s="756"/>
      <c r="HZ83" s="756"/>
      <c r="IA83" s="756"/>
      <c r="IB83" s="756"/>
      <c r="IC83" s="756"/>
      <c r="ID83" s="756"/>
      <c r="IE83" s="756"/>
      <c r="IF83" s="756"/>
      <c r="IG83" s="756"/>
      <c r="IH83" s="756"/>
      <c r="II83" s="756"/>
      <c r="IJ83" s="756"/>
      <c r="IK83" s="756"/>
      <c r="IL83" s="756"/>
      <c r="IM83" s="756"/>
      <c r="IN83" s="756"/>
      <c r="IO83" s="756"/>
      <c r="IP83" s="756"/>
      <c r="IQ83" s="756"/>
      <c r="IR83" s="756"/>
      <c r="IS83" s="756"/>
      <c r="IT83" s="756"/>
      <c r="IU83" s="756"/>
      <c r="IV83" s="756"/>
      <c r="IW83" s="756"/>
      <c r="IX83" s="756"/>
      <c r="IY83" s="756"/>
      <c r="IZ83" s="756"/>
      <c r="JA83" s="756"/>
      <c r="JB83" s="756"/>
      <c r="JC83" s="756"/>
      <c r="JD83" s="756"/>
      <c r="JE83" s="756"/>
      <c r="JF83" s="756"/>
      <c r="JG83" s="756"/>
      <c r="JH83" s="756"/>
      <c r="JI83" s="756"/>
      <c r="JJ83" s="756"/>
      <c r="JK83" s="756"/>
      <c r="JL83" s="756"/>
      <c r="JM83" s="756"/>
      <c r="JN83" s="756"/>
      <c r="JO83" s="756"/>
      <c r="JP83" s="756"/>
      <c r="JQ83" s="756"/>
      <c r="JR83" s="756"/>
      <c r="JS83" s="756"/>
      <c r="JT83" s="756"/>
      <c r="JU83" s="756"/>
      <c r="JV83" s="756"/>
      <c r="JW83" s="756"/>
      <c r="JX83" s="756"/>
      <c r="JY83" s="756"/>
      <c r="JZ83" s="756"/>
      <c r="KA83" s="756"/>
      <c r="KB83" s="756"/>
      <c r="KC83" s="756"/>
      <c r="KD83" s="756"/>
      <c r="KE83" s="756"/>
      <c r="KF83" s="756"/>
      <c r="KG83" s="756"/>
      <c r="KH83" s="756"/>
      <c r="KI83" s="756"/>
      <c r="KJ83" s="756"/>
      <c r="KK83" s="756"/>
      <c r="KL83" s="756"/>
      <c r="KM83" s="756"/>
      <c r="KN83" s="756"/>
      <c r="KO83" s="756"/>
      <c r="KP83" s="756"/>
      <c r="KQ83" s="756"/>
      <c r="KR83" s="756"/>
      <c r="KS83" s="756"/>
      <c r="KT83" s="756"/>
      <c r="KU83" s="756"/>
      <c r="KV83" s="756"/>
      <c r="KW83" s="756"/>
      <c r="KX83" s="756"/>
      <c r="KY83" s="756"/>
      <c r="KZ83" s="756"/>
      <c r="LA83" s="756"/>
      <c r="LB83" s="756"/>
      <c r="LC83" s="756"/>
      <c r="LD83" s="756"/>
      <c r="LE83" s="756"/>
      <c r="LF83" s="756"/>
      <c r="LG83" s="756"/>
      <c r="LH83" s="756"/>
      <c r="LI83" s="756"/>
      <c r="LJ83" s="756"/>
      <c r="LK83" s="756"/>
      <c r="LL83" s="756"/>
      <c r="LM83" s="756"/>
      <c r="LN83" s="756"/>
      <c r="LO83" s="756"/>
      <c r="LP83" s="756"/>
      <c r="LQ83" s="756"/>
      <c r="LR83" s="756"/>
      <c r="LS83" s="756"/>
      <c r="LT83" s="756"/>
      <c r="LU83" s="756"/>
      <c r="LV83" s="756"/>
      <c r="LW83" s="756"/>
      <c r="LX83" s="756"/>
      <c r="LY83" s="756"/>
      <c r="LZ83" s="756"/>
      <c r="MA83" s="756"/>
      <c r="MB83" s="756"/>
      <c r="MC83" s="756"/>
      <c r="MD83" s="756"/>
      <c r="ME83" s="756"/>
      <c r="MF83" s="756"/>
      <c r="MG83" s="756"/>
      <c r="MH83" s="756"/>
      <c r="MI83" s="756"/>
      <c r="MJ83" s="756"/>
      <c r="MK83" s="756"/>
      <c r="ML83" s="756"/>
      <c r="MM83" s="756"/>
      <c r="MN83" s="756"/>
      <c r="MO83" s="756"/>
      <c r="MP83" s="756"/>
      <c r="MQ83" s="756"/>
      <c r="MR83" s="756"/>
      <c r="MS83" s="756"/>
      <c r="MT83" s="756"/>
      <c r="MU83" s="756"/>
      <c r="MV83" s="756"/>
      <c r="MW83" s="756"/>
      <c r="MX83" s="756"/>
      <c r="MY83" s="756"/>
      <c r="MZ83" s="756"/>
      <c r="NA83" s="756"/>
      <c r="NB83" s="756"/>
      <c r="NC83" s="756"/>
      <c r="ND83" s="756"/>
      <c r="NE83" s="756"/>
      <c r="NF83" s="756"/>
      <c r="NG83" s="756"/>
      <c r="NH83" s="756"/>
      <c r="NI83" s="756"/>
      <c r="NJ83" s="756"/>
      <c r="NK83" s="756"/>
      <c r="NL83" s="756"/>
      <c r="NM83" s="756"/>
      <c r="NN83" s="756"/>
      <c r="NO83" s="756"/>
      <c r="NP83" s="756"/>
      <c r="NQ83" s="756"/>
      <c r="NR83" s="756"/>
      <c r="NS83" s="756"/>
      <c r="NT83" s="756"/>
      <c r="NU83" s="756"/>
      <c r="NV83" s="756"/>
      <c r="NW83" s="756"/>
      <c r="NX83" s="756"/>
      <c r="NY83" s="756"/>
      <c r="NZ83" s="756"/>
      <c r="OA83" s="756"/>
      <c r="OB83" s="756"/>
      <c r="OC83" s="756"/>
      <c r="OD83" s="756"/>
      <c r="OE83" s="756"/>
      <c r="OF83" s="756"/>
      <c r="OG83" s="756"/>
      <c r="OH83" s="756"/>
      <c r="OI83" s="756"/>
      <c r="OJ83" s="756"/>
      <c r="OK83" s="756"/>
      <c r="OL83" s="756"/>
      <c r="OM83" s="756"/>
      <c r="ON83" s="756"/>
      <c r="OO83" s="756"/>
      <c r="OP83" s="756"/>
      <c r="OQ83" s="756"/>
      <c r="OR83" s="756"/>
      <c r="OS83" s="756"/>
      <c r="OT83" s="756"/>
      <c r="OU83" s="756"/>
      <c r="OV83" s="756"/>
      <c r="OW83" s="756"/>
      <c r="OX83" s="756"/>
      <c r="OY83" s="756"/>
      <c r="OZ83" s="756"/>
      <c r="PA83" s="756"/>
      <c r="PB83" s="756"/>
      <c r="PC83" s="756"/>
      <c r="PD83" s="756"/>
      <c r="PE83" s="756"/>
      <c r="PF83" s="756"/>
      <c r="PG83" s="756"/>
      <c r="PH83" s="756"/>
      <c r="PI83" s="756"/>
      <c r="PJ83" s="756"/>
      <c r="PK83" s="756"/>
      <c r="PL83" s="756"/>
      <c r="PM83" s="756"/>
      <c r="PN83" s="756"/>
      <c r="PO83" s="756"/>
      <c r="PP83" s="756"/>
      <c r="PQ83" s="756"/>
      <c r="PR83" s="756"/>
      <c r="PS83" s="756"/>
      <c r="PT83" s="756"/>
      <c r="PU83" s="756"/>
      <c r="PV83" s="756"/>
      <c r="PW83" s="756"/>
      <c r="PX83" s="756"/>
      <c r="PY83" s="756"/>
      <c r="PZ83" s="756"/>
      <c r="QA83" s="756"/>
      <c r="QB83" s="756"/>
      <c r="QC83" s="756"/>
      <c r="QD83" s="756"/>
      <c r="QE83" s="756"/>
      <c r="QF83" s="756"/>
      <c r="QG83" s="756"/>
      <c r="QH83" s="756"/>
      <c r="QI83" s="756"/>
      <c r="QJ83" s="756"/>
      <c r="QK83" s="756"/>
      <c r="QL83" s="756"/>
      <c r="QM83" s="756"/>
      <c r="QN83" s="756"/>
      <c r="QO83" s="756"/>
      <c r="QP83" s="756"/>
      <c r="QQ83" s="756"/>
      <c r="QR83" s="756"/>
      <c r="QS83" s="756"/>
      <c r="QT83" s="756"/>
      <c r="QU83" s="756"/>
      <c r="QV83" s="756"/>
      <c r="QW83" s="756"/>
      <c r="QX83" s="756"/>
      <c r="QY83" s="756"/>
      <c r="QZ83" s="756"/>
      <c r="RA83" s="756"/>
      <c r="RB83" s="756"/>
      <c r="RC83" s="756"/>
      <c r="RD83" s="756"/>
      <c r="RE83" s="756"/>
      <c r="RF83" s="756"/>
      <c r="RG83" s="756"/>
      <c r="RH83" s="756"/>
      <c r="RI83" s="756"/>
      <c r="RJ83" s="756"/>
      <c r="RK83" s="756"/>
      <c r="RL83" s="756"/>
      <c r="RM83" s="756"/>
      <c r="RN83" s="756"/>
      <c r="RO83" s="756"/>
      <c r="RP83" s="756"/>
      <c r="RQ83" s="756"/>
      <c r="RR83" s="756"/>
      <c r="RS83" s="756"/>
      <c r="RT83" s="756"/>
      <c r="RU83" s="756"/>
      <c r="RV83" s="756"/>
      <c r="RW83" s="756"/>
      <c r="RX83" s="756"/>
      <c r="RY83" s="756"/>
      <c r="RZ83" s="756"/>
      <c r="SA83" s="756"/>
      <c r="SB83" s="756"/>
      <c r="SC83" s="756"/>
      <c r="SD83" s="756"/>
      <c r="SE83" s="756"/>
      <c r="SF83" s="756"/>
      <c r="SG83" s="756"/>
      <c r="SH83" s="756"/>
      <c r="SI83" s="756"/>
      <c r="SJ83" s="756"/>
      <c r="SK83" s="756"/>
      <c r="SL83" s="756"/>
      <c r="SM83" s="756"/>
      <c r="SN83" s="756"/>
      <c r="SO83" s="756"/>
      <c r="SP83" s="756"/>
      <c r="SQ83" s="756"/>
      <c r="SR83" s="756"/>
    </row>
    <row r="84" spans="1:512" ht="15" customHeight="1">
      <c r="A84" s="969"/>
      <c r="B84" s="969"/>
      <c r="C84" s="969" t="s">
        <v>2719</v>
      </c>
      <c r="D84" s="969"/>
      <c r="E84" s="969" t="s">
        <v>2265</v>
      </c>
      <c r="F84" s="969"/>
      <c r="G84" s="756">
        <v>750</v>
      </c>
      <c r="H84" s="1027"/>
      <c r="I84" s="756"/>
      <c r="J84" s="756"/>
      <c r="K84" s="756"/>
      <c r="L84" s="756"/>
      <c r="M84" s="756"/>
      <c r="N84" s="756"/>
      <c r="O84" s="756"/>
      <c r="P84" s="756"/>
      <c r="Q84" s="756"/>
      <c r="R84" s="756"/>
      <c r="S84" s="756"/>
      <c r="T84" s="756"/>
      <c r="U84" s="756"/>
      <c r="V84" s="756"/>
      <c r="W84" s="756"/>
      <c r="X84" s="756"/>
      <c r="Y84" s="756"/>
      <c r="Z84" s="756"/>
      <c r="AA84" s="756"/>
      <c r="AB84" s="756"/>
      <c r="AC84" s="756"/>
      <c r="AD84" s="756"/>
      <c r="AE84" s="756"/>
      <c r="AF84" s="756"/>
      <c r="AG84" s="756"/>
      <c r="AH84" s="756"/>
      <c r="AI84" s="756"/>
      <c r="AJ84" s="756"/>
      <c r="AK84" s="756"/>
      <c r="AL84" s="756"/>
      <c r="AM84" s="756"/>
      <c r="AN84" s="756"/>
      <c r="AO84" s="756"/>
      <c r="AP84" s="756"/>
      <c r="AQ84" s="756"/>
      <c r="AR84" s="756"/>
      <c r="AS84" s="756"/>
      <c r="AT84" s="756"/>
      <c r="AU84" s="756"/>
      <c r="AV84" s="756"/>
      <c r="AW84" s="756"/>
      <c r="AX84" s="756"/>
      <c r="AY84" s="756"/>
      <c r="AZ84" s="756"/>
      <c r="BA84" s="756"/>
      <c r="BB84" s="756"/>
      <c r="BC84" s="756"/>
      <c r="BD84" s="756"/>
      <c r="BE84" s="756"/>
      <c r="BF84" s="756"/>
      <c r="BG84" s="756"/>
      <c r="BH84" s="756"/>
      <c r="BI84" s="756"/>
      <c r="BJ84" s="756"/>
      <c r="BK84" s="756"/>
      <c r="BL84" s="756"/>
      <c r="BM84" s="756"/>
      <c r="BN84" s="756"/>
      <c r="BO84" s="756"/>
      <c r="BP84" s="756"/>
      <c r="BQ84" s="756"/>
      <c r="BR84" s="756"/>
      <c r="BS84" s="756"/>
      <c r="BT84" s="756"/>
      <c r="BU84" s="756"/>
      <c r="BV84" s="756"/>
      <c r="BW84" s="756"/>
      <c r="BX84" s="756"/>
      <c r="BY84" s="756"/>
      <c r="BZ84" s="756"/>
      <c r="CA84" s="756"/>
      <c r="CB84" s="756"/>
      <c r="CC84" s="756"/>
      <c r="CD84" s="756"/>
      <c r="CE84" s="756"/>
      <c r="CF84" s="756"/>
      <c r="CG84" s="756"/>
      <c r="CH84" s="756"/>
      <c r="CI84" s="756"/>
      <c r="CJ84" s="756"/>
      <c r="CK84" s="756"/>
      <c r="CL84" s="756"/>
      <c r="CM84" s="756"/>
      <c r="CN84" s="756"/>
      <c r="CO84" s="756"/>
      <c r="CP84" s="756"/>
      <c r="CQ84" s="756"/>
      <c r="CR84" s="756"/>
      <c r="CS84" s="756"/>
      <c r="CT84" s="756"/>
      <c r="CU84" s="756"/>
      <c r="CV84" s="756"/>
      <c r="CW84" s="756"/>
      <c r="CX84" s="756"/>
      <c r="CY84" s="756"/>
      <c r="CZ84" s="756"/>
      <c r="DA84" s="756"/>
      <c r="DB84" s="756"/>
      <c r="DC84" s="756"/>
      <c r="DD84" s="756"/>
      <c r="DE84" s="756"/>
      <c r="DF84" s="756"/>
      <c r="DG84" s="756"/>
      <c r="DH84" s="756"/>
      <c r="DI84" s="756"/>
      <c r="DJ84" s="756"/>
      <c r="DK84" s="756"/>
      <c r="DL84" s="756"/>
      <c r="DM84" s="756"/>
      <c r="DN84" s="756"/>
      <c r="DO84" s="756"/>
      <c r="DP84" s="756"/>
      <c r="DQ84" s="756"/>
      <c r="DR84" s="756"/>
      <c r="DS84" s="756"/>
      <c r="DT84" s="756"/>
      <c r="DU84" s="756"/>
      <c r="DV84" s="756"/>
      <c r="DW84" s="756"/>
      <c r="DX84" s="756"/>
      <c r="DY84" s="756"/>
      <c r="DZ84" s="756"/>
      <c r="EA84" s="756"/>
      <c r="EB84" s="756"/>
      <c r="EC84" s="756"/>
      <c r="ED84" s="756"/>
      <c r="EE84" s="756"/>
      <c r="EF84" s="756"/>
      <c r="EG84" s="756"/>
      <c r="EH84" s="756"/>
      <c r="EI84" s="756"/>
      <c r="EJ84" s="756"/>
      <c r="EK84" s="756"/>
      <c r="EL84" s="756"/>
      <c r="EM84" s="756"/>
      <c r="EN84" s="756"/>
      <c r="EO84" s="756"/>
      <c r="EP84" s="756"/>
      <c r="EQ84" s="756"/>
      <c r="ER84" s="756"/>
      <c r="ES84" s="756"/>
      <c r="ET84" s="756"/>
      <c r="EU84" s="756"/>
      <c r="EV84" s="756"/>
      <c r="EW84" s="756"/>
      <c r="EX84" s="756"/>
      <c r="EY84" s="756"/>
      <c r="EZ84" s="756"/>
      <c r="FA84" s="756"/>
      <c r="FB84" s="756"/>
      <c r="FC84" s="756"/>
      <c r="FD84" s="756"/>
      <c r="FE84" s="756"/>
      <c r="FF84" s="756"/>
      <c r="FG84" s="756"/>
      <c r="FH84" s="756"/>
      <c r="FI84" s="756"/>
      <c r="FJ84" s="756"/>
      <c r="FK84" s="756"/>
      <c r="FL84" s="756"/>
      <c r="FM84" s="756"/>
      <c r="FN84" s="756"/>
      <c r="FO84" s="756"/>
      <c r="FP84" s="756"/>
      <c r="FQ84" s="756"/>
      <c r="FR84" s="756"/>
      <c r="FS84" s="756"/>
      <c r="FT84" s="756"/>
      <c r="FU84" s="756"/>
      <c r="FV84" s="756"/>
      <c r="FW84" s="756"/>
      <c r="FX84" s="756"/>
      <c r="FY84" s="756"/>
      <c r="FZ84" s="756"/>
      <c r="GA84" s="756"/>
      <c r="GB84" s="756"/>
      <c r="GC84" s="756"/>
      <c r="GD84" s="756"/>
      <c r="GE84" s="756"/>
      <c r="GF84" s="756"/>
      <c r="GG84" s="756"/>
      <c r="GH84" s="756"/>
      <c r="GI84" s="756"/>
      <c r="GJ84" s="756"/>
      <c r="GK84" s="756"/>
      <c r="GL84" s="756"/>
      <c r="GM84" s="756"/>
      <c r="GN84" s="756"/>
      <c r="GO84" s="756"/>
      <c r="GP84" s="756"/>
      <c r="GQ84" s="756"/>
      <c r="GR84" s="756"/>
      <c r="GS84" s="756"/>
      <c r="GT84" s="756"/>
      <c r="GU84" s="756"/>
      <c r="GV84" s="756"/>
      <c r="GW84" s="756"/>
      <c r="GX84" s="756"/>
      <c r="GY84" s="756"/>
      <c r="GZ84" s="756"/>
      <c r="HA84" s="756"/>
      <c r="HB84" s="756"/>
      <c r="HC84" s="756"/>
      <c r="HD84" s="756"/>
      <c r="HE84" s="756"/>
      <c r="HF84" s="756"/>
      <c r="HG84" s="756"/>
      <c r="HH84" s="756"/>
      <c r="HI84" s="756"/>
      <c r="HJ84" s="756"/>
      <c r="HK84" s="756"/>
      <c r="HL84" s="756"/>
      <c r="HM84" s="756"/>
      <c r="HN84" s="756"/>
      <c r="HO84" s="756"/>
      <c r="HP84" s="756"/>
      <c r="HQ84" s="756"/>
      <c r="HR84" s="756"/>
      <c r="HS84" s="756"/>
      <c r="HT84" s="756"/>
      <c r="HU84" s="756"/>
      <c r="HV84" s="756"/>
      <c r="HW84" s="756"/>
      <c r="HX84" s="756"/>
      <c r="HY84" s="756"/>
      <c r="HZ84" s="756"/>
      <c r="IA84" s="756"/>
      <c r="IB84" s="756"/>
      <c r="IC84" s="756"/>
      <c r="ID84" s="756"/>
      <c r="IE84" s="756"/>
      <c r="IF84" s="756"/>
      <c r="IG84" s="756"/>
      <c r="IH84" s="756"/>
      <c r="II84" s="756"/>
      <c r="IJ84" s="756"/>
      <c r="IK84" s="756"/>
      <c r="IL84" s="756"/>
      <c r="IM84" s="756"/>
      <c r="IN84" s="756"/>
      <c r="IO84" s="756"/>
      <c r="IP84" s="756"/>
      <c r="IQ84" s="756"/>
      <c r="IR84" s="756"/>
      <c r="IS84" s="756"/>
      <c r="IT84" s="756"/>
      <c r="IU84" s="756"/>
      <c r="IV84" s="756"/>
      <c r="IW84" s="756"/>
      <c r="IX84" s="756"/>
      <c r="IY84" s="756"/>
      <c r="IZ84" s="756"/>
      <c r="JA84" s="756"/>
      <c r="JB84" s="756"/>
      <c r="JC84" s="756"/>
      <c r="JD84" s="756"/>
      <c r="JE84" s="756"/>
      <c r="JF84" s="756"/>
      <c r="JG84" s="756"/>
      <c r="JH84" s="756"/>
      <c r="JI84" s="756"/>
      <c r="JJ84" s="756"/>
      <c r="JK84" s="756"/>
      <c r="JL84" s="756"/>
      <c r="JM84" s="756"/>
      <c r="JN84" s="756"/>
      <c r="JO84" s="756"/>
      <c r="JP84" s="756"/>
      <c r="JQ84" s="756"/>
      <c r="JR84" s="756"/>
      <c r="JS84" s="756"/>
      <c r="JT84" s="756"/>
      <c r="JU84" s="756"/>
      <c r="JV84" s="756"/>
      <c r="JW84" s="756"/>
      <c r="JX84" s="756"/>
      <c r="JY84" s="756"/>
      <c r="JZ84" s="756"/>
      <c r="KA84" s="756"/>
      <c r="KB84" s="756"/>
      <c r="KC84" s="756"/>
      <c r="KD84" s="756"/>
      <c r="KE84" s="756"/>
      <c r="KF84" s="756"/>
      <c r="KG84" s="756"/>
      <c r="KH84" s="756"/>
      <c r="KI84" s="756"/>
      <c r="KJ84" s="756"/>
      <c r="KK84" s="756"/>
      <c r="KL84" s="756"/>
      <c r="KM84" s="756"/>
      <c r="KN84" s="756"/>
      <c r="KO84" s="756"/>
      <c r="KP84" s="756"/>
      <c r="KQ84" s="756"/>
      <c r="KR84" s="756"/>
      <c r="KS84" s="756"/>
      <c r="KT84" s="756"/>
      <c r="KU84" s="756"/>
      <c r="KV84" s="756"/>
      <c r="KW84" s="756"/>
      <c r="KX84" s="756"/>
      <c r="KY84" s="756"/>
      <c r="KZ84" s="756"/>
      <c r="LA84" s="756"/>
      <c r="LB84" s="756"/>
      <c r="LC84" s="756"/>
      <c r="LD84" s="756"/>
      <c r="LE84" s="756"/>
      <c r="LF84" s="756"/>
      <c r="LG84" s="756"/>
      <c r="LH84" s="756"/>
      <c r="LI84" s="756"/>
      <c r="LJ84" s="756"/>
      <c r="LK84" s="756"/>
      <c r="LL84" s="756"/>
      <c r="LM84" s="756"/>
      <c r="LN84" s="756"/>
      <c r="LO84" s="756"/>
      <c r="LP84" s="756"/>
      <c r="LQ84" s="756"/>
      <c r="LR84" s="756"/>
      <c r="LS84" s="756"/>
      <c r="LT84" s="756"/>
      <c r="LU84" s="756"/>
      <c r="LV84" s="756"/>
      <c r="LW84" s="756"/>
      <c r="LX84" s="756"/>
      <c r="LY84" s="756"/>
      <c r="LZ84" s="756"/>
      <c r="MA84" s="756"/>
      <c r="MB84" s="756"/>
      <c r="MC84" s="756"/>
      <c r="MD84" s="756"/>
      <c r="ME84" s="756"/>
      <c r="MF84" s="756"/>
      <c r="MG84" s="756"/>
      <c r="MH84" s="756"/>
      <c r="MI84" s="756"/>
      <c r="MJ84" s="756"/>
      <c r="MK84" s="756"/>
      <c r="ML84" s="756"/>
      <c r="MM84" s="756"/>
      <c r="MN84" s="756"/>
      <c r="MO84" s="756"/>
      <c r="MP84" s="756"/>
      <c r="MQ84" s="756"/>
      <c r="MR84" s="756"/>
      <c r="MS84" s="756"/>
      <c r="MT84" s="756"/>
      <c r="MU84" s="756"/>
      <c r="MV84" s="756"/>
      <c r="MW84" s="756"/>
      <c r="MX84" s="756"/>
      <c r="MY84" s="756"/>
      <c r="MZ84" s="756"/>
      <c r="NA84" s="756"/>
      <c r="NB84" s="756"/>
      <c r="NC84" s="756"/>
      <c r="ND84" s="756"/>
      <c r="NE84" s="756"/>
      <c r="NF84" s="756"/>
      <c r="NG84" s="756"/>
      <c r="NH84" s="756"/>
      <c r="NI84" s="756"/>
      <c r="NJ84" s="756"/>
      <c r="NK84" s="756"/>
      <c r="NL84" s="756"/>
      <c r="NM84" s="756"/>
      <c r="NN84" s="756"/>
      <c r="NO84" s="756"/>
      <c r="NP84" s="756"/>
      <c r="NQ84" s="756"/>
      <c r="NR84" s="756"/>
      <c r="NS84" s="756"/>
      <c r="NT84" s="756"/>
      <c r="NU84" s="756"/>
      <c r="NV84" s="756"/>
      <c r="NW84" s="756"/>
      <c r="NX84" s="756"/>
      <c r="NY84" s="756"/>
      <c r="NZ84" s="756"/>
      <c r="OA84" s="756"/>
      <c r="OB84" s="756"/>
      <c r="OC84" s="756"/>
      <c r="OD84" s="756"/>
      <c r="OE84" s="756"/>
      <c r="OF84" s="756"/>
      <c r="OG84" s="756"/>
      <c r="OH84" s="756"/>
      <c r="OI84" s="756"/>
      <c r="OJ84" s="756"/>
      <c r="OK84" s="756"/>
      <c r="OL84" s="756"/>
      <c r="OM84" s="756"/>
      <c r="ON84" s="756"/>
      <c r="OO84" s="756"/>
      <c r="OP84" s="756"/>
      <c r="OQ84" s="756"/>
      <c r="OR84" s="756"/>
      <c r="OS84" s="756"/>
      <c r="OT84" s="756"/>
      <c r="OU84" s="756"/>
      <c r="OV84" s="756"/>
      <c r="OW84" s="756"/>
      <c r="OX84" s="756"/>
      <c r="OY84" s="756"/>
      <c r="OZ84" s="756"/>
      <c r="PA84" s="756"/>
      <c r="PB84" s="756"/>
      <c r="PC84" s="756"/>
      <c r="PD84" s="756"/>
      <c r="PE84" s="756"/>
      <c r="PF84" s="756"/>
      <c r="PG84" s="756"/>
      <c r="PH84" s="756"/>
      <c r="PI84" s="756"/>
      <c r="PJ84" s="756"/>
      <c r="PK84" s="756"/>
      <c r="PL84" s="756"/>
      <c r="PM84" s="756"/>
      <c r="PN84" s="756"/>
      <c r="PO84" s="756"/>
      <c r="PP84" s="756"/>
      <c r="PQ84" s="756"/>
      <c r="PR84" s="756"/>
      <c r="PS84" s="756"/>
      <c r="PT84" s="756"/>
      <c r="PU84" s="756"/>
      <c r="PV84" s="756"/>
      <c r="PW84" s="756"/>
      <c r="PX84" s="756"/>
      <c r="PY84" s="756"/>
      <c r="PZ84" s="756"/>
      <c r="QA84" s="756"/>
      <c r="QB84" s="756"/>
      <c r="QC84" s="756"/>
      <c r="QD84" s="756"/>
      <c r="QE84" s="756"/>
      <c r="QF84" s="756"/>
      <c r="QG84" s="756"/>
      <c r="QH84" s="756"/>
      <c r="QI84" s="756"/>
      <c r="QJ84" s="756"/>
      <c r="QK84" s="756"/>
      <c r="QL84" s="756"/>
      <c r="QM84" s="756"/>
      <c r="QN84" s="756"/>
      <c r="QO84" s="756"/>
      <c r="QP84" s="756"/>
      <c r="QQ84" s="756"/>
      <c r="QR84" s="756"/>
      <c r="QS84" s="756"/>
      <c r="QT84" s="756"/>
      <c r="QU84" s="756"/>
      <c r="QV84" s="756"/>
      <c r="QW84" s="756"/>
      <c r="QX84" s="756"/>
      <c r="QY84" s="756"/>
      <c r="QZ84" s="756"/>
      <c r="RA84" s="756"/>
      <c r="RB84" s="756"/>
      <c r="RC84" s="756"/>
      <c r="RD84" s="756"/>
      <c r="RE84" s="756"/>
      <c r="RF84" s="756"/>
      <c r="RG84" s="756"/>
      <c r="RH84" s="756"/>
      <c r="RI84" s="756"/>
      <c r="RJ84" s="756"/>
      <c r="RK84" s="756"/>
      <c r="RL84" s="756"/>
      <c r="RM84" s="756"/>
      <c r="RN84" s="756"/>
      <c r="RO84" s="756"/>
      <c r="RP84" s="756"/>
      <c r="RQ84" s="756"/>
      <c r="RR84" s="756"/>
      <c r="RS84" s="756"/>
      <c r="RT84" s="756"/>
      <c r="RU84" s="756"/>
      <c r="RV84" s="756"/>
      <c r="RW84" s="756"/>
      <c r="RX84" s="756"/>
      <c r="RY84" s="756"/>
      <c r="RZ84" s="756"/>
      <c r="SA84" s="756"/>
      <c r="SB84" s="756"/>
      <c r="SC84" s="756"/>
      <c r="SD84" s="756"/>
      <c r="SE84" s="756"/>
      <c r="SF84" s="756"/>
      <c r="SG84" s="756"/>
      <c r="SH84" s="756"/>
      <c r="SI84" s="756"/>
      <c r="SJ84" s="756"/>
      <c r="SK84" s="756"/>
      <c r="SL84" s="756"/>
      <c r="SM84" s="756"/>
      <c r="SN84" s="756"/>
      <c r="SO84" s="756"/>
      <c r="SP84" s="756"/>
      <c r="SQ84" s="756"/>
      <c r="SR84" s="756"/>
    </row>
    <row r="85" spans="1:512" ht="15" customHeight="1">
      <c r="A85" s="969"/>
      <c r="B85" s="969"/>
      <c r="C85" s="969" t="s">
        <v>2720</v>
      </c>
      <c r="D85" s="969"/>
      <c r="E85" s="969" t="s">
        <v>2265</v>
      </c>
      <c r="F85" s="969"/>
      <c r="G85" s="756">
        <v>800</v>
      </c>
      <c r="H85" s="1027"/>
      <c r="I85" s="756"/>
      <c r="J85" s="756"/>
      <c r="K85" s="756"/>
      <c r="L85" s="756"/>
      <c r="M85" s="756"/>
      <c r="N85" s="756"/>
      <c r="O85" s="756"/>
      <c r="P85" s="756"/>
      <c r="Q85" s="756"/>
      <c r="R85" s="756"/>
      <c r="S85" s="756"/>
      <c r="T85" s="756"/>
      <c r="U85" s="756"/>
      <c r="V85" s="756"/>
      <c r="W85" s="756"/>
      <c r="X85" s="756"/>
      <c r="Y85" s="756"/>
      <c r="Z85" s="756"/>
      <c r="AA85" s="756"/>
      <c r="AB85" s="756"/>
      <c r="AC85" s="756"/>
      <c r="AD85" s="756"/>
      <c r="AE85" s="756"/>
      <c r="AF85" s="756"/>
      <c r="AG85" s="756"/>
      <c r="AH85" s="756"/>
      <c r="AI85" s="756"/>
      <c r="AJ85" s="756"/>
      <c r="AK85" s="756"/>
      <c r="AL85" s="756"/>
      <c r="AM85" s="756"/>
      <c r="AN85" s="756"/>
      <c r="AO85" s="756"/>
      <c r="AP85" s="756"/>
      <c r="AQ85" s="756"/>
      <c r="AR85" s="756"/>
      <c r="AS85" s="756"/>
      <c r="AT85" s="756"/>
      <c r="AU85" s="756"/>
      <c r="AV85" s="756"/>
      <c r="AW85" s="756"/>
      <c r="AX85" s="756"/>
      <c r="AY85" s="756"/>
      <c r="AZ85" s="756"/>
      <c r="BA85" s="756"/>
      <c r="BB85" s="756"/>
      <c r="BC85" s="756"/>
      <c r="BD85" s="756"/>
      <c r="BE85" s="756"/>
      <c r="BF85" s="756"/>
      <c r="BG85" s="756"/>
      <c r="BH85" s="756"/>
      <c r="BI85" s="756"/>
      <c r="BJ85" s="756"/>
      <c r="BK85" s="756"/>
      <c r="BL85" s="756"/>
      <c r="BM85" s="756"/>
      <c r="BN85" s="756"/>
      <c r="BO85" s="756"/>
      <c r="BP85" s="756"/>
      <c r="BQ85" s="756"/>
      <c r="BR85" s="756"/>
      <c r="BS85" s="756"/>
      <c r="BT85" s="756"/>
      <c r="BU85" s="756"/>
      <c r="BV85" s="756"/>
      <c r="BW85" s="756"/>
      <c r="BX85" s="756"/>
      <c r="BY85" s="756"/>
      <c r="BZ85" s="756"/>
      <c r="CA85" s="756"/>
      <c r="CB85" s="756"/>
      <c r="CC85" s="756"/>
      <c r="CD85" s="756"/>
      <c r="CE85" s="756"/>
      <c r="CF85" s="756"/>
      <c r="CG85" s="756"/>
      <c r="CH85" s="756"/>
      <c r="CI85" s="756"/>
      <c r="CJ85" s="756"/>
      <c r="CK85" s="756"/>
      <c r="CL85" s="756"/>
      <c r="CM85" s="756"/>
      <c r="CN85" s="756"/>
      <c r="CO85" s="756"/>
      <c r="CP85" s="756"/>
      <c r="CQ85" s="756"/>
      <c r="CR85" s="756"/>
      <c r="CS85" s="756"/>
      <c r="CT85" s="756"/>
      <c r="CU85" s="756"/>
      <c r="CV85" s="756"/>
      <c r="CW85" s="756"/>
      <c r="CX85" s="756"/>
      <c r="CY85" s="756"/>
      <c r="CZ85" s="756"/>
      <c r="DA85" s="756"/>
      <c r="DB85" s="756"/>
      <c r="DC85" s="756"/>
      <c r="DD85" s="756"/>
      <c r="DE85" s="756"/>
      <c r="DF85" s="756"/>
      <c r="DG85" s="756"/>
      <c r="DH85" s="756"/>
      <c r="DI85" s="756"/>
      <c r="DJ85" s="756"/>
      <c r="DK85" s="756"/>
      <c r="DL85" s="756"/>
      <c r="DM85" s="756"/>
      <c r="DN85" s="756"/>
      <c r="DO85" s="756"/>
      <c r="DP85" s="756"/>
      <c r="DQ85" s="756"/>
      <c r="DR85" s="756"/>
      <c r="DS85" s="756"/>
      <c r="DT85" s="756"/>
      <c r="DU85" s="756"/>
      <c r="DV85" s="756"/>
      <c r="DW85" s="756"/>
      <c r="DX85" s="756"/>
      <c r="DY85" s="756"/>
      <c r="DZ85" s="756"/>
      <c r="EA85" s="756"/>
      <c r="EB85" s="756"/>
      <c r="EC85" s="756"/>
      <c r="ED85" s="756"/>
      <c r="EE85" s="756"/>
      <c r="EF85" s="756"/>
      <c r="EG85" s="756"/>
      <c r="EH85" s="756"/>
      <c r="EI85" s="756"/>
      <c r="EJ85" s="756"/>
      <c r="EK85" s="756"/>
      <c r="EL85" s="756"/>
      <c r="EM85" s="756"/>
      <c r="EN85" s="756"/>
      <c r="EO85" s="756"/>
      <c r="EP85" s="756"/>
      <c r="EQ85" s="756"/>
      <c r="ER85" s="756"/>
      <c r="ES85" s="756"/>
      <c r="ET85" s="756"/>
      <c r="EU85" s="756"/>
      <c r="EV85" s="756"/>
      <c r="EW85" s="756"/>
      <c r="EX85" s="756"/>
      <c r="EY85" s="756"/>
      <c r="EZ85" s="756"/>
      <c r="FA85" s="756"/>
      <c r="FB85" s="756"/>
      <c r="FC85" s="756"/>
      <c r="FD85" s="756"/>
      <c r="FE85" s="756"/>
      <c r="FF85" s="756"/>
      <c r="FG85" s="756"/>
      <c r="FH85" s="756"/>
      <c r="FI85" s="756"/>
      <c r="FJ85" s="756"/>
      <c r="FK85" s="756"/>
      <c r="FL85" s="756"/>
      <c r="FM85" s="756"/>
      <c r="FN85" s="756"/>
      <c r="FO85" s="756"/>
      <c r="FP85" s="756"/>
      <c r="FQ85" s="756"/>
      <c r="FR85" s="756"/>
      <c r="FS85" s="756"/>
      <c r="FT85" s="756"/>
      <c r="FU85" s="756"/>
      <c r="FV85" s="756"/>
      <c r="FW85" s="756"/>
      <c r="FX85" s="756"/>
      <c r="FY85" s="756"/>
      <c r="FZ85" s="756"/>
      <c r="GA85" s="756"/>
      <c r="GB85" s="756"/>
      <c r="GC85" s="756"/>
      <c r="GD85" s="756"/>
      <c r="GE85" s="756"/>
      <c r="GF85" s="756"/>
      <c r="GG85" s="756"/>
      <c r="GH85" s="756"/>
      <c r="GI85" s="756"/>
      <c r="GJ85" s="756"/>
      <c r="GK85" s="756"/>
      <c r="GL85" s="756"/>
      <c r="GM85" s="756"/>
      <c r="GN85" s="756"/>
      <c r="GO85" s="756"/>
      <c r="GP85" s="756"/>
      <c r="GQ85" s="756"/>
      <c r="GR85" s="756"/>
      <c r="GS85" s="756"/>
      <c r="GT85" s="756"/>
      <c r="GU85" s="756"/>
      <c r="GV85" s="756"/>
      <c r="GW85" s="756"/>
      <c r="GX85" s="756"/>
      <c r="GY85" s="756"/>
      <c r="GZ85" s="756"/>
      <c r="HA85" s="756"/>
      <c r="HB85" s="756"/>
      <c r="HC85" s="756"/>
      <c r="HD85" s="756"/>
      <c r="HE85" s="756"/>
      <c r="HF85" s="756"/>
      <c r="HG85" s="756"/>
      <c r="HH85" s="756"/>
      <c r="HI85" s="756"/>
      <c r="HJ85" s="756"/>
      <c r="HK85" s="756"/>
      <c r="HL85" s="756"/>
      <c r="HM85" s="756"/>
      <c r="HN85" s="756"/>
      <c r="HO85" s="756"/>
      <c r="HP85" s="756"/>
      <c r="HQ85" s="756"/>
      <c r="HR85" s="756"/>
      <c r="HS85" s="756"/>
      <c r="HT85" s="756"/>
      <c r="HU85" s="756"/>
      <c r="HV85" s="756"/>
      <c r="HW85" s="756"/>
      <c r="HX85" s="756"/>
      <c r="HY85" s="756"/>
      <c r="HZ85" s="756"/>
      <c r="IA85" s="756"/>
      <c r="IB85" s="756"/>
      <c r="IC85" s="756"/>
      <c r="ID85" s="756"/>
      <c r="IE85" s="756"/>
      <c r="IF85" s="756"/>
      <c r="IG85" s="756"/>
      <c r="IH85" s="756"/>
      <c r="II85" s="756"/>
      <c r="IJ85" s="756"/>
      <c r="IK85" s="756"/>
      <c r="IL85" s="756"/>
      <c r="IM85" s="756"/>
      <c r="IN85" s="756"/>
      <c r="IO85" s="756"/>
      <c r="IP85" s="756"/>
      <c r="IQ85" s="756"/>
      <c r="IR85" s="756"/>
      <c r="IS85" s="756"/>
      <c r="IT85" s="756"/>
      <c r="IU85" s="756"/>
      <c r="IV85" s="756"/>
      <c r="IW85" s="756"/>
      <c r="IX85" s="756"/>
      <c r="IY85" s="756"/>
      <c r="IZ85" s="756"/>
      <c r="JA85" s="756"/>
      <c r="JB85" s="756"/>
      <c r="JC85" s="756"/>
      <c r="JD85" s="756"/>
      <c r="JE85" s="756"/>
      <c r="JF85" s="756"/>
      <c r="JG85" s="756"/>
      <c r="JH85" s="756"/>
      <c r="JI85" s="756"/>
      <c r="JJ85" s="756"/>
      <c r="JK85" s="756"/>
      <c r="JL85" s="756"/>
      <c r="JM85" s="756"/>
      <c r="JN85" s="756"/>
      <c r="JO85" s="756"/>
      <c r="JP85" s="756"/>
      <c r="JQ85" s="756"/>
      <c r="JR85" s="756"/>
      <c r="JS85" s="756"/>
      <c r="JT85" s="756"/>
      <c r="JU85" s="756"/>
      <c r="JV85" s="756"/>
      <c r="JW85" s="756"/>
      <c r="JX85" s="756"/>
      <c r="JY85" s="756"/>
      <c r="JZ85" s="756"/>
      <c r="KA85" s="756"/>
      <c r="KB85" s="756"/>
      <c r="KC85" s="756"/>
      <c r="KD85" s="756"/>
      <c r="KE85" s="756"/>
      <c r="KF85" s="756"/>
      <c r="KG85" s="756"/>
      <c r="KH85" s="756"/>
      <c r="KI85" s="756"/>
      <c r="KJ85" s="756"/>
      <c r="KK85" s="756"/>
      <c r="KL85" s="756"/>
      <c r="KM85" s="756"/>
      <c r="KN85" s="756"/>
      <c r="KO85" s="756"/>
      <c r="KP85" s="756"/>
      <c r="KQ85" s="756"/>
      <c r="KR85" s="756"/>
      <c r="KS85" s="756"/>
      <c r="KT85" s="756"/>
      <c r="KU85" s="756"/>
      <c r="KV85" s="756"/>
      <c r="KW85" s="756"/>
      <c r="KX85" s="756"/>
      <c r="KY85" s="756"/>
      <c r="KZ85" s="756"/>
      <c r="LA85" s="756"/>
      <c r="LB85" s="756"/>
      <c r="LC85" s="756"/>
      <c r="LD85" s="756"/>
      <c r="LE85" s="756"/>
      <c r="LF85" s="756"/>
      <c r="LG85" s="756"/>
      <c r="LH85" s="756"/>
      <c r="LI85" s="756"/>
      <c r="LJ85" s="756"/>
      <c r="LK85" s="756"/>
      <c r="LL85" s="756"/>
      <c r="LM85" s="756"/>
      <c r="LN85" s="756"/>
      <c r="LO85" s="756"/>
      <c r="LP85" s="756"/>
      <c r="LQ85" s="756"/>
      <c r="LR85" s="756"/>
      <c r="LS85" s="756"/>
      <c r="LT85" s="756"/>
      <c r="LU85" s="756"/>
      <c r="LV85" s="756"/>
      <c r="LW85" s="756"/>
      <c r="LX85" s="756"/>
      <c r="LY85" s="756"/>
      <c r="LZ85" s="756"/>
      <c r="MA85" s="756"/>
      <c r="MB85" s="756"/>
      <c r="MC85" s="756"/>
      <c r="MD85" s="756"/>
      <c r="ME85" s="756"/>
      <c r="MF85" s="756"/>
      <c r="MG85" s="756"/>
      <c r="MH85" s="756"/>
      <c r="MI85" s="756"/>
      <c r="MJ85" s="756"/>
      <c r="MK85" s="756"/>
      <c r="ML85" s="756"/>
      <c r="MM85" s="756"/>
      <c r="MN85" s="756"/>
      <c r="MO85" s="756"/>
      <c r="MP85" s="756"/>
      <c r="MQ85" s="756"/>
      <c r="MR85" s="756"/>
      <c r="MS85" s="756"/>
      <c r="MT85" s="756"/>
      <c r="MU85" s="756"/>
      <c r="MV85" s="756"/>
      <c r="MW85" s="756"/>
      <c r="MX85" s="756"/>
      <c r="MY85" s="756"/>
      <c r="MZ85" s="756"/>
      <c r="NA85" s="756"/>
      <c r="NB85" s="756"/>
      <c r="NC85" s="756"/>
      <c r="ND85" s="756"/>
      <c r="NE85" s="756"/>
      <c r="NF85" s="756"/>
      <c r="NG85" s="756"/>
      <c r="NH85" s="756"/>
      <c r="NI85" s="756"/>
      <c r="NJ85" s="756"/>
      <c r="NK85" s="756"/>
      <c r="NL85" s="756"/>
      <c r="NM85" s="756"/>
      <c r="NN85" s="756"/>
      <c r="NO85" s="756"/>
      <c r="NP85" s="756"/>
      <c r="NQ85" s="756"/>
      <c r="NR85" s="756"/>
      <c r="NS85" s="756"/>
      <c r="NT85" s="756"/>
      <c r="NU85" s="756"/>
      <c r="NV85" s="756"/>
      <c r="NW85" s="756"/>
      <c r="NX85" s="756"/>
      <c r="NY85" s="756"/>
      <c r="NZ85" s="756"/>
      <c r="OA85" s="756"/>
      <c r="OB85" s="756"/>
      <c r="OC85" s="756"/>
      <c r="OD85" s="756"/>
      <c r="OE85" s="756"/>
      <c r="OF85" s="756"/>
      <c r="OG85" s="756"/>
      <c r="OH85" s="756"/>
      <c r="OI85" s="756"/>
      <c r="OJ85" s="756"/>
      <c r="OK85" s="756"/>
      <c r="OL85" s="756"/>
      <c r="OM85" s="756"/>
      <c r="ON85" s="756"/>
      <c r="OO85" s="756"/>
      <c r="OP85" s="756"/>
      <c r="OQ85" s="756"/>
      <c r="OR85" s="756"/>
      <c r="OS85" s="756"/>
      <c r="OT85" s="756"/>
      <c r="OU85" s="756"/>
      <c r="OV85" s="756"/>
      <c r="OW85" s="756"/>
      <c r="OX85" s="756"/>
      <c r="OY85" s="756"/>
      <c r="OZ85" s="756"/>
      <c r="PA85" s="756"/>
      <c r="PB85" s="756"/>
      <c r="PC85" s="756"/>
      <c r="PD85" s="756"/>
      <c r="PE85" s="756"/>
      <c r="PF85" s="756"/>
      <c r="PG85" s="756"/>
      <c r="PH85" s="756"/>
      <c r="PI85" s="756"/>
      <c r="PJ85" s="756"/>
      <c r="PK85" s="756"/>
      <c r="PL85" s="756"/>
      <c r="PM85" s="756"/>
      <c r="PN85" s="756"/>
      <c r="PO85" s="756"/>
      <c r="PP85" s="756"/>
      <c r="PQ85" s="756"/>
      <c r="PR85" s="756"/>
      <c r="PS85" s="756"/>
      <c r="PT85" s="756"/>
      <c r="PU85" s="756"/>
      <c r="PV85" s="756"/>
      <c r="PW85" s="756"/>
      <c r="PX85" s="756"/>
      <c r="PY85" s="756"/>
      <c r="PZ85" s="756"/>
      <c r="QA85" s="756"/>
      <c r="QB85" s="756"/>
      <c r="QC85" s="756"/>
      <c r="QD85" s="756"/>
      <c r="QE85" s="756"/>
      <c r="QF85" s="756"/>
      <c r="QG85" s="756"/>
      <c r="QH85" s="756"/>
      <c r="QI85" s="756"/>
      <c r="QJ85" s="756"/>
      <c r="QK85" s="756"/>
      <c r="QL85" s="756"/>
      <c r="QM85" s="756"/>
      <c r="QN85" s="756"/>
      <c r="QO85" s="756"/>
      <c r="QP85" s="756"/>
      <c r="QQ85" s="756"/>
      <c r="QR85" s="756"/>
      <c r="QS85" s="756"/>
      <c r="QT85" s="756"/>
      <c r="QU85" s="756"/>
      <c r="QV85" s="756"/>
      <c r="QW85" s="756"/>
      <c r="QX85" s="756"/>
      <c r="QY85" s="756"/>
      <c r="QZ85" s="756"/>
      <c r="RA85" s="756"/>
      <c r="RB85" s="756"/>
      <c r="RC85" s="756"/>
      <c r="RD85" s="756"/>
      <c r="RE85" s="756"/>
      <c r="RF85" s="756"/>
      <c r="RG85" s="756"/>
      <c r="RH85" s="756"/>
      <c r="RI85" s="756"/>
      <c r="RJ85" s="756"/>
      <c r="RK85" s="756"/>
      <c r="RL85" s="756"/>
      <c r="RM85" s="756"/>
      <c r="RN85" s="756"/>
      <c r="RO85" s="756"/>
      <c r="RP85" s="756"/>
      <c r="RQ85" s="756"/>
      <c r="RR85" s="756"/>
      <c r="RS85" s="756"/>
      <c r="RT85" s="756"/>
      <c r="RU85" s="756"/>
      <c r="RV85" s="756"/>
      <c r="RW85" s="756"/>
      <c r="RX85" s="756"/>
      <c r="RY85" s="756"/>
      <c r="RZ85" s="756"/>
      <c r="SA85" s="756"/>
      <c r="SB85" s="756"/>
      <c r="SC85" s="756"/>
      <c r="SD85" s="756"/>
      <c r="SE85" s="756"/>
      <c r="SF85" s="756"/>
      <c r="SG85" s="756"/>
      <c r="SH85" s="756"/>
      <c r="SI85" s="756"/>
      <c r="SJ85" s="756"/>
      <c r="SK85" s="756"/>
      <c r="SL85" s="756"/>
      <c r="SM85" s="756"/>
      <c r="SN85" s="756"/>
      <c r="SO85" s="756"/>
      <c r="SP85" s="756"/>
      <c r="SQ85" s="756"/>
      <c r="SR85" s="756"/>
    </row>
    <row r="86" spans="1:512" ht="15" customHeight="1">
      <c r="A86" s="969"/>
      <c r="B86" s="969" t="s">
        <v>2723</v>
      </c>
      <c r="C86" s="969"/>
      <c r="D86" s="969"/>
      <c r="E86" s="969" t="s">
        <v>2722</v>
      </c>
      <c r="F86" s="969"/>
      <c r="G86" s="756">
        <v>250000</v>
      </c>
      <c r="H86" s="970"/>
      <c r="I86" s="756"/>
      <c r="J86" s="756"/>
      <c r="K86" s="756"/>
      <c r="L86" s="756"/>
      <c r="M86" s="756"/>
      <c r="N86" s="756"/>
      <c r="O86" s="756"/>
      <c r="P86" s="756"/>
      <c r="Q86" s="756"/>
      <c r="R86" s="756"/>
      <c r="S86" s="756"/>
      <c r="T86" s="756"/>
      <c r="U86" s="756"/>
      <c r="V86" s="756"/>
      <c r="W86" s="756"/>
      <c r="X86" s="756"/>
      <c r="Y86" s="756"/>
      <c r="Z86" s="756"/>
      <c r="AA86" s="756"/>
      <c r="AB86" s="756"/>
      <c r="AC86" s="756"/>
      <c r="AD86" s="756"/>
      <c r="AE86" s="756"/>
      <c r="AF86" s="756"/>
      <c r="AG86" s="756"/>
      <c r="AH86" s="756"/>
      <c r="AI86" s="756"/>
      <c r="AJ86" s="756"/>
      <c r="AK86" s="756"/>
      <c r="AL86" s="756"/>
      <c r="AM86" s="756"/>
      <c r="AN86" s="756"/>
      <c r="AO86" s="756"/>
      <c r="AP86" s="756"/>
      <c r="AQ86" s="756"/>
      <c r="AR86" s="756"/>
      <c r="AS86" s="756"/>
      <c r="AT86" s="756"/>
      <c r="AU86" s="756"/>
      <c r="AV86" s="756"/>
      <c r="AW86" s="756"/>
      <c r="AX86" s="756"/>
      <c r="AY86" s="756"/>
      <c r="AZ86" s="756"/>
      <c r="BA86" s="756"/>
      <c r="BB86" s="756"/>
      <c r="BC86" s="756"/>
      <c r="BD86" s="756"/>
      <c r="BE86" s="756"/>
      <c r="BF86" s="756"/>
      <c r="BG86" s="756"/>
      <c r="BH86" s="756"/>
      <c r="BI86" s="756"/>
      <c r="BJ86" s="756"/>
      <c r="BK86" s="756"/>
      <c r="BL86" s="756"/>
      <c r="BM86" s="756"/>
      <c r="BN86" s="756"/>
      <c r="BO86" s="756"/>
      <c r="BP86" s="756"/>
      <c r="BQ86" s="756"/>
      <c r="BR86" s="756"/>
      <c r="BS86" s="756"/>
      <c r="BT86" s="756"/>
      <c r="BU86" s="756"/>
      <c r="BV86" s="756"/>
      <c r="BW86" s="756"/>
      <c r="BX86" s="756"/>
      <c r="BY86" s="756"/>
      <c r="BZ86" s="756"/>
      <c r="CA86" s="756"/>
      <c r="CB86" s="756"/>
      <c r="CC86" s="756"/>
      <c r="CD86" s="756"/>
      <c r="CE86" s="756"/>
      <c r="CF86" s="756"/>
      <c r="CG86" s="756"/>
      <c r="CH86" s="756"/>
      <c r="CI86" s="756"/>
      <c r="CJ86" s="756"/>
      <c r="CK86" s="756"/>
      <c r="CL86" s="756"/>
      <c r="CM86" s="756"/>
      <c r="CN86" s="756"/>
      <c r="CO86" s="756"/>
      <c r="CP86" s="756"/>
      <c r="CQ86" s="756"/>
      <c r="CR86" s="756"/>
      <c r="CS86" s="756"/>
      <c r="CT86" s="756"/>
      <c r="CU86" s="756"/>
      <c r="CV86" s="756"/>
      <c r="CW86" s="756"/>
      <c r="CX86" s="756"/>
      <c r="CY86" s="756"/>
      <c r="CZ86" s="756"/>
      <c r="DA86" s="756"/>
      <c r="DB86" s="756"/>
      <c r="DC86" s="756"/>
      <c r="DD86" s="756"/>
      <c r="DE86" s="756"/>
      <c r="DF86" s="756"/>
      <c r="DG86" s="756"/>
      <c r="DH86" s="756"/>
      <c r="DI86" s="756"/>
      <c r="DJ86" s="756"/>
      <c r="DK86" s="756"/>
      <c r="DL86" s="756"/>
      <c r="DM86" s="756"/>
      <c r="DN86" s="756"/>
      <c r="DO86" s="756"/>
      <c r="DP86" s="756"/>
      <c r="DQ86" s="756"/>
      <c r="DR86" s="756"/>
      <c r="DS86" s="756"/>
      <c r="DT86" s="756"/>
      <c r="DU86" s="756"/>
      <c r="DV86" s="756"/>
      <c r="DW86" s="756"/>
      <c r="DX86" s="756"/>
      <c r="DY86" s="756"/>
      <c r="DZ86" s="756"/>
      <c r="EA86" s="756"/>
      <c r="EB86" s="756"/>
      <c r="EC86" s="756"/>
      <c r="ED86" s="756"/>
      <c r="EE86" s="756"/>
      <c r="EF86" s="756"/>
      <c r="EG86" s="756"/>
      <c r="EH86" s="756"/>
      <c r="EI86" s="756"/>
      <c r="EJ86" s="756"/>
      <c r="EK86" s="756"/>
      <c r="EL86" s="756"/>
      <c r="EM86" s="756"/>
      <c r="EN86" s="756"/>
      <c r="EO86" s="756"/>
      <c r="EP86" s="756"/>
      <c r="EQ86" s="756"/>
      <c r="ER86" s="756"/>
      <c r="ES86" s="756"/>
      <c r="ET86" s="756"/>
      <c r="EU86" s="756"/>
      <c r="EV86" s="756"/>
      <c r="EW86" s="756"/>
      <c r="EX86" s="756"/>
      <c r="EY86" s="756"/>
      <c r="EZ86" s="756"/>
      <c r="FA86" s="756"/>
      <c r="FB86" s="756"/>
      <c r="FC86" s="756"/>
      <c r="FD86" s="756"/>
      <c r="FE86" s="756"/>
      <c r="FF86" s="756"/>
      <c r="FG86" s="756"/>
      <c r="FH86" s="756"/>
      <c r="FI86" s="756"/>
      <c r="FJ86" s="756"/>
      <c r="FK86" s="756"/>
      <c r="FL86" s="756"/>
      <c r="FM86" s="756"/>
      <c r="FN86" s="756"/>
      <c r="FO86" s="756"/>
      <c r="FP86" s="756"/>
      <c r="FQ86" s="756"/>
      <c r="FR86" s="756"/>
      <c r="FS86" s="756"/>
      <c r="FT86" s="756"/>
      <c r="FU86" s="756"/>
      <c r="FV86" s="756"/>
      <c r="FW86" s="756"/>
      <c r="FX86" s="756"/>
      <c r="FY86" s="756"/>
      <c r="FZ86" s="756"/>
      <c r="GA86" s="756"/>
      <c r="GB86" s="756"/>
      <c r="GC86" s="756"/>
      <c r="GD86" s="756"/>
      <c r="GE86" s="756"/>
      <c r="GF86" s="756"/>
      <c r="GG86" s="756"/>
      <c r="GH86" s="756"/>
      <c r="GI86" s="756"/>
      <c r="GJ86" s="756"/>
      <c r="GK86" s="756"/>
      <c r="GL86" s="756"/>
      <c r="GM86" s="756"/>
      <c r="GN86" s="756"/>
      <c r="GO86" s="756"/>
      <c r="GP86" s="756"/>
      <c r="GQ86" s="756"/>
      <c r="GR86" s="756"/>
      <c r="GS86" s="756"/>
      <c r="GT86" s="756"/>
      <c r="GU86" s="756"/>
      <c r="GV86" s="756"/>
      <c r="GW86" s="756"/>
      <c r="GX86" s="756"/>
      <c r="GY86" s="756"/>
      <c r="GZ86" s="756"/>
      <c r="HA86" s="756"/>
      <c r="HB86" s="756"/>
      <c r="HC86" s="756"/>
      <c r="HD86" s="756"/>
      <c r="HE86" s="756"/>
      <c r="HF86" s="756"/>
      <c r="HG86" s="756"/>
      <c r="HH86" s="756"/>
      <c r="HI86" s="756"/>
      <c r="HJ86" s="756"/>
      <c r="HK86" s="756"/>
      <c r="HL86" s="756"/>
      <c r="HM86" s="756"/>
      <c r="HN86" s="756"/>
      <c r="HO86" s="756"/>
      <c r="HP86" s="756"/>
      <c r="HQ86" s="756"/>
      <c r="HR86" s="756"/>
      <c r="HS86" s="756"/>
      <c r="HT86" s="756"/>
      <c r="HU86" s="756"/>
      <c r="HV86" s="756"/>
      <c r="HW86" s="756"/>
      <c r="HX86" s="756"/>
      <c r="HY86" s="756"/>
      <c r="HZ86" s="756"/>
      <c r="IA86" s="756"/>
      <c r="IB86" s="756"/>
      <c r="IC86" s="756"/>
      <c r="ID86" s="756"/>
      <c r="IE86" s="756"/>
      <c r="IF86" s="756"/>
      <c r="IG86" s="756"/>
      <c r="IH86" s="756"/>
      <c r="II86" s="756"/>
      <c r="IJ86" s="756"/>
      <c r="IK86" s="756"/>
      <c r="IL86" s="756"/>
      <c r="IM86" s="756"/>
      <c r="IN86" s="756"/>
      <c r="IO86" s="756"/>
      <c r="IP86" s="756"/>
      <c r="IQ86" s="756"/>
      <c r="IR86" s="756"/>
      <c r="IS86" s="756"/>
      <c r="IT86" s="756"/>
      <c r="IU86" s="756"/>
      <c r="IV86" s="756"/>
      <c r="IW86" s="756"/>
      <c r="IX86" s="756"/>
      <c r="IY86" s="756"/>
      <c r="IZ86" s="756"/>
      <c r="JA86" s="756"/>
      <c r="JB86" s="756"/>
      <c r="JC86" s="756"/>
      <c r="JD86" s="756"/>
      <c r="JE86" s="756"/>
      <c r="JF86" s="756"/>
      <c r="JG86" s="756"/>
      <c r="JH86" s="756"/>
      <c r="JI86" s="756"/>
      <c r="JJ86" s="756"/>
      <c r="JK86" s="756"/>
      <c r="JL86" s="756"/>
      <c r="JM86" s="756"/>
      <c r="JN86" s="756"/>
      <c r="JO86" s="756"/>
      <c r="JP86" s="756"/>
      <c r="JQ86" s="756"/>
      <c r="JR86" s="756"/>
      <c r="JS86" s="756"/>
      <c r="JT86" s="756"/>
      <c r="JU86" s="756"/>
      <c r="JV86" s="756"/>
      <c r="JW86" s="756"/>
      <c r="JX86" s="756"/>
      <c r="JY86" s="756"/>
      <c r="JZ86" s="756"/>
      <c r="KA86" s="756"/>
      <c r="KB86" s="756"/>
      <c r="KC86" s="756"/>
      <c r="KD86" s="756"/>
      <c r="KE86" s="756"/>
      <c r="KF86" s="756"/>
      <c r="KG86" s="756"/>
      <c r="KH86" s="756"/>
      <c r="KI86" s="756"/>
      <c r="KJ86" s="756"/>
      <c r="KK86" s="756"/>
      <c r="KL86" s="756"/>
      <c r="KM86" s="756"/>
      <c r="KN86" s="756"/>
      <c r="KO86" s="756"/>
      <c r="KP86" s="756"/>
      <c r="KQ86" s="756"/>
      <c r="KR86" s="756"/>
      <c r="KS86" s="756"/>
      <c r="KT86" s="756"/>
      <c r="KU86" s="756"/>
      <c r="KV86" s="756"/>
      <c r="KW86" s="756"/>
      <c r="KX86" s="756"/>
      <c r="KY86" s="756"/>
      <c r="KZ86" s="756"/>
      <c r="LA86" s="756"/>
      <c r="LB86" s="756"/>
      <c r="LC86" s="756"/>
      <c r="LD86" s="756"/>
      <c r="LE86" s="756"/>
      <c r="LF86" s="756"/>
      <c r="LG86" s="756"/>
      <c r="LH86" s="756"/>
      <c r="LI86" s="756"/>
      <c r="LJ86" s="756"/>
      <c r="LK86" s="756"/>
      <c r="LL86" s="756"/>
      <c r="LM86" s="756"/>
      <c r="LN86" s="756"/>
      <c r="LO86" s="756"/>
      <c r="LP86" s="756"/>
      <c r="LQ86" s="756"/>
      <c r="LR86" s="756"/>
      <c r="LS86" s="756"/>
      <c r="LT86" s="756"/>
      <c r="LU86" s="756"/>
      <c r="LV86" s="756"/>
      <c r="LW86" s="756"/>
      <c r="LX86" s="756"/>
      <c r="LY86" s="756"/>
      <c r="LZ86" s="756"/>
      <c r="MA86" s="756"/>
      <c r="MB86" s="756"/>
      <c r="MC86" s="756"/>
      <c r="MD86" s="756"/>
      <c r="ME86" s="756"/>
      <c r="MF86" s="756"/>
      <c r="MG86" s="756"/>
      <c r="MH86" s="756"/>
      <c r="MI86" s="756"/>
      <c r="MJ86" s="756"/>
      <c r="MK86" s="756"/>
      <c r="ML86" s="756"/>
      <c r="MM86" s="756"/>
      <c r="MN86" s="756"/>
      <c r="MO86" s="756"/>
      <c r="MP86" s="756"/>
      <c r="MQ86" s="756"/>
      <c r="MR86" s="756"/>
      <c r="MS86" s="756"/>
      <c r="MT86" s="756"/>
      <c r="MU86" s="756"/>
      <c r="MV86" s="756"/>
      <c r="MW86" s="756"/>
      <c r="MX86" s="756"/>
      <c r="MY86" s="756"/>
      <c r="MZ86" s="756"/>
      <c r="NA86" s="756"/>
      <c r="NB86" s="756"/>
      <c r="NC86" s="756"/>
      <c r="ND86" s="756"/>
      <c r="NE86" s="756"/>
      <c r="NF86" s="756"/>
      <c r="NG86" s="756"/>
      <c r="NH86" s="756"/>
      <c r="NI86" s="756"/>
      <c r="NJ86" s="756"/>
      <c r="NK86" s="756"/>
      <c r="NL86" s="756"/>
      <c r="NM86" s="756"/>
      <c r="NN86" s="756"/>
      <c r="NO86" s="756"/>
      <c r="NP86" s="756"/>
      <c r="NQ86" s="756"/>
      <c r="NR86" s="756"/>
      <c r="NS86" s="756"/>
      <c r="NT86" s="756"/>
      <c r="NU86" s="756"/>
      <c r="NV86" s="756"/>
      <c r="NW86" s="756"/>
      <c r="NX86" s="756"/>
      <c r="NY86" s="756"/>
      <c r="NZ86" s="756"/>
      <c r="OA86" s="756"/>
      <c r="OB86" s="756"/>
      <c r="OC86" s="756"/>
      <c r="OD86" s="756"/>
      <c r="OE86" s="756"/>
      <c r="OF86" s="756"/>
      <c r="OG86" s="756"/>
      <c r="OH86" s="756"/>
      <c r="OI86" s="756"/>
      <c r="OJ86" s="756"/>
      <c r="OK86" s="756"/>
      <c r="OL86" s="756"/>
      <c r="OM86" s="756"/>
      <c r="ON86" s="756"/>
      <c r="OO86" s="756"/>
      <c r="OP86" s="756"/>
      <c r="OQ86" s="756"/>
      <c r="OR86" s="756"/>
      <c r="OS86" s="756"/>
      <c r="OT86" s="756"/>
      <c r="OU86" s="756"/>
      <c r="OV86" s="756"/>
      <c r="OW86" s="756"/>
      <c r="OX86" s="756"/>
      <c r="OY86" s="756"/>
      <c r="OZ86" s="756"/>
      <c r="PA86" s="756"/>
      <c r="PB86" s="756"/>
      <c r="PC86" s="756"/>
      <c r="PD86" s="756"/>
      <c r="PE86" s="756"/>
      <c r="PF86" s="756"/>
      <c r="PG86" s="756"/>
      <c r="PH86" s="756"/>
      <c r="PI86" s="756"/>
      <c r="PJ86" s="756"/>
      <c r="PK86" s="756"/>
      <c r="PL86" s="756"/>
      <c r="PM86" s="756"/>
      <c r="PN86" s="756"/>
      <c r="PO86" s="756"/>
      <c r="PP86" s="756"/>
      <c r="PQ86" s="756"/>
      <c r="PR86" s="756"/>
      <c r="PS86" s="756"/>
      <c r="PT86" s="756"/>
      <c r="PU86" s="756"/>
      <c r="PV86" s="756"/>
      <c r="PW86" s="756"/>
      <c r="PX86" s="756"/>
      <c r="PY86" s="756"/>
      <c r="PZ86" s="756"/>
      <c r="QA86" s="756"/>
      <c r="QB86" s="756"/>
      <c r="QC86" s="756"/>
      <c r="QD86" s="756"/>
      <c r="QE86" s="756"/>
      <c r="QF86" s="756"/>
      <c r="QG86" s="756"/>
      <c r="QH86" s="756"/>
      <c r="QI86" s="756"/>
      <c r="QJ86" s="756"/>
      <c r="QK86" s="756"/>
      <c r="QL86" s="756"/>
      <c r="QM86" s="756"/>
      <c r="QN86" s="756"/>
      <c r="QO86" s="756"/>
      <c r="QP86" s="756"/>
      <c r="QQ86" s="756"/>
      <c r="QR86" s="756"/>
      <c r="QS86" s="756"/>
      <c r="QT86" s="756"/>
      <c r="QU86" s="756"/>
      <c r="QV86" s="756"/>
      <c r="QW86" s="756"/>
      <c r="QX86" s="756"/>
      <c r="QY86" s="756"/>
      <c r="QZ86" s="756"/>
      <c r="RA86" s="756"/>
      <c r="RB86" s="756"/>
      <c r="RC86" s="756"/>
      <c r="RD86" s="756"/>
      <c r="RE86" s="756"/>
      <c r="RF86" s="756"/>
      <c r="RG86" s="756"/>
      <c r="RH86" s="756"/>
      <c r="RI86" s="756"/>
      <c r="RJ86" s="756"/>
      <c r="RK86" s="756"/>
      <c r="RL86" s="756"/>
      <c r="RM86" s="756"/>
      <c r="RN86" s="756"/>
      <c r="RO86" s="756"/>
      <c r="RP86" s="756"/>
      <c r="RQ86" s="756"/>
      <c r="RR86" s="756"/>
      <c r="RS86" s="756"/>
      <c r="RT86" s="756"/>
      <c r="RU86" s="756"/>
      <c r="RV86" s="756"/>
      <c r="RW86" s="756"/>
      <c r="RX86" s="756"/>
      <c r="RY86" s="756"/>
      <c r="RZ86" s="756"/>
      <c r="SA86" s="756"/>
      <c r="SB86" s="756"/>
      <c r="SC86" s="756"/>
      <c r="SD86" s="756"/>
      <c r="SE86" s="756"/>
      <c r="SF86" s="756"/>
      <c r="SG86" s="756"/>
      <c r="SH86" s="756"/>
      <c r="SI86" s="756"/>
      <c r="SJ86" s="756"/>
      <c r="SK86" s="756"/>
      <c r="SL86" s="756"/>
      <c r="SM86" s="756"/>
      <c r="SN86" s="756"/>
      <c r="SO86" s="756"/>
      <c r="SP86" s="756"/>
      <c r="SQ86" s="756"/>
      <c r="SR86" s="756"/>
    </row>
    <row r="87" spans="1:512" ht="15" customHeight="1">
      <c r="A87" s="969"/>
      <c r="B87" s="969"/>
      <c r="C87" s="969"/>
      <c r="D87" s="969"/>
      <c r="E87" s="969"/>
      <c r="F87" s="969"/>
      <c r="G87" s="773"/>
      <c r="H87" s="983"/>
      <c r="I87" s="773"/>
      <c r="J87" s="773"/>
      <c r="K87" s="773"/>
      <c r="L87" s="773"/>
      <c r="M87" s="773"/>
      <c r="N87" s="773"/>
      <c r="O87" s="773"/>
      <c r="P87" s="773"/>
      <c r="Q87" s="773"/>
      <c r="R87" s="773"/>
      <c r="S87" s="773"/>
      <c r="T87" s="773"/>
      <c r="U87" s="773"/>
      <c r="V87" s="773"/>
      <c r="W87" s="768"/>
      <c r="X87" s="768"/>
      <c r="Y87" s="768"/>
      <c r="Z87" s="768"/>
      <c r="AA87" s="768"/>
      <c r="AB87" s="768"/>
      <c r="AC87" s="768"/>
      <c r="AD87" s="768"/>
      <c r="AE87" s="768"/>
      <c r="AF87" s="768"/>
      <c r="AG87" s="768"/>
      <c r="AH87" s="768"/>
      <c r="AI87" s="768"/>
      <c r="AJ87" s="768"/>
      <c r="AK87" s="768"/>
      <c r="AL87" s="768"/>
      <c r="AM87" s="768"/>
      <c r="AN87" s="768"/>
      <c r="AO87" s="768"/>
      <c r="AP87" s="768"/>
      <c r="AQ87" s="768"/>
      <c r="AR87" s="768"/>
      <c r="AS87" s="768"/>
      <c r="AT87" s="768"/>
      <c r="AU87" s="768"/>
      <c r="AV87" s="768"/>
      <c r="AW87" s="768"/>
      <c r="AX87" s="768"/>
      <c r="AY87" s="768"/>
      <c r="AZ87" s="768"/>
      <c r="BA87" s="768"/>
      <c r="BB87" s="768"/>
      <c r="BC87" s="768"/>
      <c r="BD87" s="768"/>
      <c r="BE87" s="768"/>
    </row>
    <row r="88" spans="1:512" ht="15" customHeight="1">
      <c r="A88" s="969" t="s">
        <v>2721</v>
      </c>
      <c r="B88" s="969"/>
      <c r="C88" s="969"/>
      <c r="D88" s="969"/>
      <c r="E88" s="969" t="s">
        <v>173</v>
      </c>
      <c r="F88" s="969"/>
      <c r="G88" s="756">
        <v>0.5</v>
      </c>
      <c r="H88" s="970"/>
      <c r="I88" s="756"/>
      <c r="J88" s="756"/>
      <c r="K88" s="756"/>
      <c r="L88" s="756"/>
      <c r="M88" s="756"/>
      <c r="N88" s="756"/>
      <c r="O88" s="756"/>
      <c r="P88" s="756"/>
      <c r="Q88" s="756"/>
      <c r="R88" s="756"/>
      <c r="S88" s="756"/>
      <c r="T88" s="756"/>
      <c r="U88" s="756"/>
      <c r="V88" s="756"/>
      <c r="W88" s="756"/>
      <c r="X88" s="756"/>
      <c r="Y88" s="756"/>
      <c r="Z88" s="756"/>
      <c r="AA88" s="756"/>
      <c r="AB88" s="756"/>
      <c r="AC88" s="756"/>
      <c r="AD88" s="756"/>
      <c r="AE88" s="756"/>
      <c r="AF88" s="756"/>
      <c r="AG88" s="756"/>
      <c r="AH88" s="756"/>
      <c r="AI88" s="756"/>
      <c r="AJ88" s="756"/>
      <c r="AK88" s="756"/>
      <c r="AL88" s="756"/>
      <c r="AM88" s="756"/>
      <c r="AN88" s="756"/>
      <c r="AO88" s="756"/>
      <c r="AP88" s="756"/>
      <c r="AQ88" s="756"/>
      <c r="AR88" s="756"/>
      <c r="AS88" s="756"/>
      <c r="AT88" s="756"/>
      <c r="AU88" s="756"/>
      <c r="AV88" s="756"/>
      <c r="AW88" s="756"/>
      <c r="AX88" s="756"/>
      <c r="AY88" s="756"/>
      <c r="AZ88" s="756"/>
      <c r="BA88" s="756"/>
      <c r="BB88" s="756"/>
      <c r="BC88" s="756"/>
      <c r="BD88" s="756"/>
      <c r="BE88" s="756"/>
      <c r="BF88" s="756"/>
      <c r="BG88" s="756"/>
      <c r="BH88" s="756"/>
      <c r="BI88" s="756"/>
      <c r="BJ88" s="756"/>
      <c r="BK88" s="756"/>
      <c r="BL88" s="756"/>
      <c r="BM88" s="756"/>
      <c r="BN88" s="756"/>
      <c r="BO88" s="756"/>
      <c r="BP88" s="756"/>
      <c r="BQ88" s="756"/>
      <c r="BR88" s="756"/>
      <c r="BS88" s="756"/>
      <c r="BT88" s="756"/>
      <c r="BU88" s="756"/>
      <c r="BV88" s="756"/>
      <c r="BW88" s="756"/>
      <c r="BX88" s="756"/>
      <c r="BY88" s="756"/>
      <c r="BZ88" s="756"/>
      <c r="CA88" s="756"/>
      <c r="CB88" s="756"/>
      <c r="CC88" s="756"/>
      <c r="CD88" s="756"/>
      <c r="CE88" s="756"/>
      <c r="CF88" s="756"/>
      <c r="CG88" s="756"/>
      <c r="CH88" s="756"/>
      <c r="CI88" s="756"/>
      <c r="CJ88" s="756"/>
      <c r="CK88" s="756"/>
      <c r="CL88" s="756"/>
      <c r="CM88" s="756"/>
      <c r="CN88" s="756"/>
      <c r="CO88" s="756"/>
      <c r="CP88" s="756"/>
      <c r="CQ88" s="756"/>
      <c r="CR88" s="756"/>
      <c r="CS88" s="756"/>
      <c r="CT88" s="756"/>
      <c r="CU88" s="756"/>
      <c r="CV88" s="756"/>
      <c r="CW88" s="756"/>
      <c r="CX88" s="756"/>
      <c r="CY88" s="756"/>
      <c r="CZ88" s="756"/>
      <c r="DA88" s="756"/>
      <c r="DB88" s="756"/>
      <c r="DC88" s="756"/>
      <c r="DD88" s="756"/>
      <c r="DE88" s="756"/>
      <c r="DF88" s="756"/>
      <c r="DG88" s="756"/>
      <c r="DH88" s="756"/>
      <c r="DI88" s="756"/>
      <c r="DJ88" s="756"/>
      <c r="DK88" s="756"/>
      <c r="DL88" s="756"/>
      <c r="DM88" s="756"/>
      <c r="DN88" s="756"/>
      <c r="DO88" s="756"/>
      <c r="DP88" s="756"/>
      <c r="DQ88" s="756"/>
      <c r="DR88" s="756"/>
      <c r="DS88" s="756"/>
      <c r="DT88" s="756"/>
      <c r="DU88" s="756"/>
      <c r="DV88" s="756"/>
      <c r="DW88" s="756"/>
      <c r="DX88" s="756"/>
      <c r="DY88" s="756"/>
      <c r="DZ88" s="756"/>
      <c r="EA88" s="756"/>
      <c r="EB88" s="756"/>
      <c r="EC88" s="756"/>
      <c r="ED88" s="756"/>
      <c r="EE88" s="756"/>
      <c r="EF88" s="756"/>
      <c r="EG88" s="756"/>
      <c r="EH88" s="756"/>
      <c r="EI88" s="756"/>
      <c r="EJ88" s="756"/>
      <c r="EK88" s="756"/>
      <c r="EL88" s="756"/>
      <c r="EM88" s="756"/>
      <c r="EN88" s="756"/>
      <c r="EO88" s="756"/>
      <c r="EP88" s="756"/>
      <c r="EQ88" s="756"/>
      <c r="ER88" s="756"/>
      <c r="ES88" s="756"/>
      <c r="ET88" s="756"/>
      <c r="EU88" s="756"/>
      <c r="EV88" s="756"/>
      <c r="EW88" s="756"/>
      <c r="EX88" s="756"/>
      <c r="EY88" s="756"/>
      <c r="EZ88" s="756"/>
      <c r="FA88" s="756"/>
      <c r="FB88" s="756"/>
      <c r="FC88" s="756"/>
      <c r="FD88" s="756"/>
      <c r="FE88" s="756"/>
      <c r="FF88" s="756"/>
      <c r="FG88" s="756"/>
      <c r="FH88" s="756"/>
      <c r="FI88" s="756"/>
      <c r="FJ88" s="756"/>
      <c r="FK88" s="756"/>
      <c r="FL88" s="756"/>
      <c r="FM88" s="756"/>
      <c r="FN88" s="756"/>
      <c r="FO88" s="756"/>
      <c r="FP88" s="756"/>
      <c r="FQ88" s="756"/>
      <c r="FR88" s="756"/>
      <c r="FS88" s="756"/>
      <c r="FT88" s="756"/>
      <c r="FU88" s="756"/>
      <c r="FV88" s="756"/>
      <c r="FW88" s="756"/>
      <c r="FX88" s="756"/>
      <c r="FY88" s="756"/>
      <c r="FZ88" s="756"/>
      <c r="GA88" s="756"/>
      <c r="GB88" s="756"/>
      <c r="GC88" s="756"/>
      <c r="GD88" s="756"/>
      <c r="GE88" s="756"/>
      <c r="GF88" s="756"/>
      <c r="GG88" s="756"/>
      <c r="GH88" s="756"/>
      <c r="GI88" s="756"/>
      <c r="GJ88" s="756"/>
      <c r="GK88" s="756"/>
      <c r="GL88" s="756"/>
      <c r="GM88" s="756"/>
      <c r="GN88" s="756"/>
      <c r="GO88" s="756"/>
      <c r="GP88" s="756"/>
      <c r="GQ88" s="756"/>
      <c r="GR88" s="756"/>
      <c r="GS88" s="756"/>
      <c r="GT88" s="756"/>
      <c r="GU88" s="756"/>
      <c r="GV88" s="756"/>
      <c r="GW88" s="756"/>
      <c r="GX88" s="756"/>
      <c r="GY88" s="756"/>
      <c r="GZ88" s="756"/>
      <c r="HA88" s="756"/>
      <c r="HB88" s="756"/>
      <c r="HC88" s="756"/>
      <c r="HD88" s="756"/>
      <c r="HE88" s="756"/>
      <c r="HF88" s="756"/>
      <c r="HG88" s="756"/>
      <c r="HH88" s="756"/>
      <c r="HI88" s="756"/>
      <c r="HJ88" s="756"/>
      <c r="HK88" s="756"/>
      <c r="HL88" s="756"/>
      <c r="HM88" s="756"/>
      <c r="HN88" s="756"/>
      <c r="HO88" s="756"/>
      <c r="HP88" s="756"/>
      <c r="HQ88" s="756"/>
      <c r="HR88" s="756"/>
      <c r="HS88" s="756"/>
      <c r="HT88" s="756"/>
      <c r="HU88" s="756"/>
      <c r="HV88" s="756"/>
      <c r="HW88" s="756"/>
      <c r="HX88" s="756"/>
      <c r="HY88" s="756"/>
      <c r="HZ88" s="756"/>
      <c r="IA88" s="756"/>
      <c r="IB88" s="756"/>
      <c r="IC88" s="756"/>
      <c r="ID88" s="756"/>
      <c r="IE88" s="756"/>
      <c r="IF88" s="756"/>
      <c r="IG88" s="756"/>
      <c r="IH88" s="756"/>
      <c r="II88" s="756"/>
      <c r="IJ88" s="756"/>
      <c r="IK88" s="756"/>
      <c r="IL88" s="756"/>
      <c r="IM88" s="756"/>
      <c r="IN88" s="756"/>
      <c r="IO88" s="756"/>
      <c r="IP88" s="756"/>
      <c r="IQ88" s="756"/>
      <c r="IR88" s="756"/>
      <c r="IS88" s="756"/>
      <c r="IT88" s="756"/>
      <c r="IU88" s="756"/>
      <c r="IV88" s="756"/>
      <c r="IW88" s="756"/>
      <c r="IX88" s="756"/>
      <c r="IY88" s="756"/>
      <c r="IZ88" s="756"/>
      <c r="JA88" s="756"/>
      <c r="JB88" s="756"/>
      <c r="JC88" s="756"/>
      <c r="JD88" s="756"/>
      <c r="JE88" s="756"/>
      <c r="JF88" s="756"/>
      <c r="JG88" s="756"/>
      <c r="JH88" s="756"/>
      <c r="JI88" s="756"/>
      <c r="JJ88" s="756"/>
      <c r="JK88" s="756"/>
      <c r="JL88" s="756"/>
      <c r="JM88" s="756"/>
      <c r="JN88" s="756"/>
      <c r="JO88" s="756"/>
      <c r="JP88" s="756"/>
      <c r="JQ88" s="756"/>
      <c r="JR88" s="756"/>
      <c r="JS88" s="756"/>
      <c r="JT88" s="756"/>
      <c r="JU88" s="756"/>
      <c r="JV88" s="756"/>
      <c r="JW88" s="756"/>
      <c r="JX88" s="756"/>
      <c r="JY88" s="756"/>
      <c r="JZ88" s="756"/>
      <c r="KA88" s="756"/>
      <c r="KB88" s="756"/>
      <c r="KC88" s="756"/>
      <c r="KD88" s="756"/>
      <c r="KE88" s="756"/>
      <c r="KF88" s="756"/>
      <c r="KG88" s="756"/>
      <c r="KH88" s="756"/>
      <c r="KI88" s="756"/>
      <c r="KJ88" s="756"/>
      <c r="KK88" s="756"/>
      <c r="KL88" s="756"/>
      <c r="KM88" s="756"/>
      <c r="KN88" s="756"/>
      <c r="KO88" s="756"/>
      <c r="KP88" s="756"/>
      <c r="KQ88" s="756"/>
      <c r="KR88" s="756"/>
      <c r="KS88" s="756"/>
      <c r="KT88" s="756"/>
      <c r="KU88" s="756"/>
      <c r="KV88" s="756"/>
      <c r="KW88" s="756"/>
      <c r="KX88" s="756"/>
      <c r="KY88" s="756"/>
      <c r="KZ88" s="756"/>
      <c r="LA88" s="756"/>
      <c r="LB88" s="756"/>
      <c r="LC88" s="756"/>
      <c r="LD88" s="756"/>
      <c r="LE88" s="756"/>
      <c r="LF88" s="756"/>
      <c r="LG88" s="756"/>
      <c r="LH88" s="756"/>
      <c r="LI88" s="756"/>
      <c r="LJ88" s="756"/>
      <c r="LK88" s="756"/>
      <c r="LL88" s="756"/>
      <c r="LM88" s="756"/>
      <c r="LN88" s="756"/>
      <c r="LO88" s="756"/>
      <c r="LP88" s="756"/>
      <c r="LQ88" s="756"/>
      <c r="LR88" s="756"/>
      <c r="LS88" s="756"/>
      <c r="LT88" s="756"/>
      <c r="LU88" s="756"/>
      <c r="LV88" s="756"/>
      <c r="LW88" s="756"/>
      <c r="LX88" s="756"/>
      <c r="LY88" s="756"/>
      <c r="LZ88" s="756"/>
      <c r="MA88" s="756"/>
      <c r="MB88" s="756"/>
      <c r="MC88" s="756"/>
      <c r="MD88" s="756"/>
      <c r="ME88" s="756"/>
      <c r="MF88" s="756"/>
      <c r="MG88" s="756"/>
      <c r="MH88" s="756"/>
      <c r="MI88" s="756"/>
      <c r="MJ88" s="756"/>
      <c r="MK88" s="756"/>
      <c r="ML88" s="756"/>
      <c r="MM88" s="756"/>
      <c r="MN88" s="756"/>
      <c r="MO88" s="756"/>
      <c r="MP88" s="756"/>
      <c r="MQ88" s="756"/>
      <c r="MR88" s="756"/>
      <c r="MS88" s="756"/>
      <c r="MT88" s="756"/>
      <c r="MU88" s="756"/>
      <c r="MV88" s="756"/>
      <c r="MW88" s="756"/>
      <c r="MX88" s="756"/>
      <c r="MY88" s="756"/>
      <c r="MZ88" s="756"/>
      <c r="NA88" s="756"/>
      <c r="NB88" s="756"/>
      <c r="NC88" s="756"/>
      <c r="ND88" s="756"/>
      <c r="NE88" s="756"/>
      <c r="NF88" s="756"/>
      <c r="NG88" s="756"/>
      <c r="NH88" s="756"/>
      <c r="NI88" s="756"/>
      <c r="NJ88" s="756"/>
      <c r="NK88" s="756"/>
      <c r="NL88" s="756"/>
      <c r="NM88" s="756"/>
      <c r="NN88" s="756"/>
      <c r="NO88" s="756"/>
      <c r="NP88" s="756"/>
      <c r="NQ88" s="756"/>
      <c r="NR88" s="756"/>
      <c r="NS88" s="756"/>
      <c r="NT88" s="756"/>
      <c r="NU88" s="756"/>
      <c r="NV88" s="756"/>
      <c r="NW88" s="756"/>
      <c r="NX88" s="756"/>
      <c r="NY88" s="756"/>
      <c r="NZ88" s="756"/>
      <c r="OA88" s="756"/>
      <c r="OB88" s="756"/>
      <c r="OC88" s="756"/>
      <c r="OD88" s="756"/>
      <c r="OE88" s="756"/>
      <c r="OF88" s="756"/>
      <c r="OG88" s="756"/>
      <c r="OH88" s="756"/>
      <c r="OI88" s="756"/>
      <c r="OJ88" s="756"/>
      <c r="OK88" s="756"/>
      <c r="OL88" s="756"/>
      <c r="OM88" s="756"/>
      <c r="ON88" s="756"/>
      <c r="OO88" s="756"/>
      <c r="OP88" s="756"/>
      <c r="OQ88" s="756"/>
      <c r="OR88" s="756"/>
      <c r="OS88" s="756"/>
      <c r="OT88" s="756"/>
      <c r="OU88" s="756"/>
      <c r="OV88" s="756"/>
      <c r="OW88" s="756"/>
      <c r="OX88" s="756"/>
      <c r="OY88" s="756"/>
      <c r="OZ88" s="756"/>
      <c r="PA88" s="756"/>
      <c r="PB88" s="756"/>
      <c r="PC88" s="756"/>
      <c r="PD88" s="756"/>
      <c r="PE88" s="756"/>
      <c r="PF88" s="756"/>
      <c r="PG88" s="756"/>
      <c r="PH88" s="756"/>
      <c r="PI88" s="756"/>
      <c r="PJ88" s="756"/>
      <c r="PK88" s="756"/>
      <c r="PL88" s="756"/>
      <c r="PM88" s="756"/>
      <c r="PN88" s="756"/>
      <c r="PO88" s="756"/>
      <c r="PP88" s="756"/>
      <c r="PQ88" s="756"/>
      <c r="PR88" s="756"/>
      <c r="PS88" s="756"/>
      <c r="PT88" s="756"/>
      <c r="PU88" s="756"/>
      <c r="PV88" s="756"/>
      <c r="PW88" s="756"/>
      <c r="PX88" s="756"/>
      <c r="PY88" s="756"/>
      <c r="PZ88" s="756"/>
      <c r="QA88" s="756"/>
      <c r="QB88" s="756"/>
      <c r="QC88" s="756"/>
      <c r="QD88" s="756"/>
      <c r="QE88" s="756"/>
      <c r="QF88" s="756"/>
      <c r="QG88" s="756"/>
      <c r="QH88" s="756"/>
      <c r="QI88" s="756"/>
      <c r="QJ88" s="756"/>
      <c r="QK88" s="756"/>
      <c r="QL88" s="756"/>
      <c r="QM88" s="756"/>
      <c r="QN88" s="756"/>
      <c r="QO88" s="756"/>
      <c r="QP88" s="756"/>
      <c r="QQ88" s="756"/>
      <c r="QR88" s="756"/>
      <c r="QS88" s="756"/>
      <c r="QT88" s="756"/>
      <c r="QU88" s="756"/>
      <c r="QV88" s="756"/>
      <c r="QW88" s="756"/>
      <c r="QX88" s="756"/>
      <c r="QY88" s="756"/>
      <c r="QZ88" s="756"/>
      <c r="RA88" s="756"/>
      <c r="RB88" s="756"/>
      <c r="RC88" s="756"/>
      <c r="RD88" s="756"/>
      <c r="RE88" s="756"/>
      <c r="RF88" s="756"/>
      <c r="RG88" s="756"/>
      <c r="RH88" s="756"/>
      <c r="RI88" s="756"/>
      <c r="RJ88" s="756"/>
      <c r="RK88" s="756"/>
      <c r="RL88" s="756"/>
      <c r="RM88" s="756"/>
      <c r="RN88" s="756"/>
      <c r="RO88" s="756"/>
      <c r="RP88" s="756"/>
      <c r="RQ88" s="756"/>
      <c r="RR88" s="756"/>
      <c r="RS88" s="756"/>
      <c r="RT88" s="756"/>
      <c r="RU88" s="756"/>
      <c r="RV88" s="756"/>
      <c r="RW88" s="756"/>
      <c r="RX88" s="756"/>
      <c r="RY88" s="756"/>
      <c r="RZ88" s="756"/>
      <c r="SA88" s="756"/>
      <c r="SB88" s="756"/>
      <c r="SC88" s="756"/>
      <c r="SD88" s="756"/>
      <c r="SE88" s="756"/>
      <c r="SF88" s="756"/>
      <c r="SG88" s="756"/>
      <c r="SH88" s="756"/>
      <c r="SI88" s="756"/>
      <c r="SJ88" s="756"/>
      <c r="SK88" s="756"/>
      <c r="SL88" s="756"/>
      <c r="SM88" s="756"/>
      <c r="SN88" s="756"/>
      <c r="SO88" s="756"/>
      <c r="SP88" s="756"/>
      <c r="SQ88" s="756"/>
      <c r="SR88" s="756"/>
    </row>
    <row r="89" spans="1:512" ht="12.75" customHeight="1">
      <c r="A89" s="755"/>
      <c r="B89" s="120"/>
      <c r="C89" s="755"/>
      <c r="D89" s="755"/>
      <c r="E89" s="755"/>
      <c r="F89" s="969"/>
      <c r="G89" s="645"/>
      <c r="H89" s="645"/>
      <c r="I89" s="645"/>
      <c r="J89" s="645"/>
      <c r="K89" s="645"/>
      <c r="L89" s="645"/>
      <c r="M89" s="645"/>
      <c r="N89" s="645"/>
      <c r="O89" s="645"/>
      <c r="P89" s="645"/>
      <c r="Q89" s="645"/>
      <c r="R89" s="645"/>
      <c r="S89" s="645"/>
      <c r="T89" s="645"/>
    </row>
    <row r="90" spans="1:512" ht="12.75" customHeight="1">
      <c r="A90" s="755"/>
      <c r="B90" s="120"/>
      <c r="C90" s="755"/>
      <c r="D90" s="755"/>
      <c r="E90" s="755"/>
      <c r="F90" s="645"/>
      <c r="G90" s="645"/>
      <c r="H90" s="645"/>
      <c r="I90" s="645"/>
      <c r="J90" s="645"/>
      <c r="K90" s="645"/>
      <c r="L90" s="645"/>
      <c r="M90" s="645"/>
      <c r="N90" s="645"/>
      <c r="O90" s="645"/>
      <c r="P90" s="645"/>
      <c r="Q90" s="645"/>
      <c r="R90" s="645"/>
      <c r="S90" s="645"/>
      <c r="T90" s="645"/>
    </row>
    <row r="91" spans="1:512" ht="12.75" customHeight="1">
      <c r="B91" s="120"/>
      <c r="C91" s="755"/>
      <c r="D91" s="755"/>
      <c r="E91" s="755"/>
      <c r="F91" s="645"/>
      <c r="G91" s="645"/>
      <c r="H91" s="645"/>
      <c r="I91" s="645"/>
      <c r="J91" s="645"/>
      <c r="K91" s="645"/>
      <c r="L91" s="645"/>
      <c r="M91" s="645"/>
      <c r="N91" s="645"/>
      <c r="O91" s="645"/>
      <c r="P91" s="645"/>
      <c r="Q91" s="645"/>
      <c r="R91" s="645"/>
      <c r="S91" s="645"/>
      <c r="T91" s="645"/>
    </row>
    <row r="92" spans="1:512" ht="12.75" customHeight="1">
      <c r="A92" s="969" t="s">
        <v>3703</v>
      </c>
      <c r="B92" s="969"/>
      <c r="C92" s="755"/>
      <c r="D92" s="755"/>
      <c r="E92" s="755"/>
      <c r="F92" s="645"/>
      <c r="G92" s="645"/>
      <c r="H92" s="645"/>
      <c r="I92" s="645"/>
      <c r="J92" s="645"/>
      <c r="K92" s="645"/>
      <c r="L92" s="645"/>
      <c r="M92" s="645"/>
      <c r="N92" s="645"/>
      <c r="O92" s="645"/>
      <c r="P92" s="645"/>
      <c r="Q92" s="645"/>
      <c r="R92" s="645"/>
      <c r="S92" s="645"/>
      <c r="T92" s="645"/>
    </row>
    <row r="93" spans="1:512" ht="12.75" customHeight="1">
      <c r="A93" s="755"/>
      <c r="B93" s="120"/>
      <c r="C93" s="121"/>
      <c r="D93" s="755"/>
      <c r="E93" s="755"/>
      <c r="F93" s="645"/>
      <c r="G93" s="645"/>
      <c r="H93" s="645"/>
      <c r="I93" s="645"/>
      <c r="J93" s="645"/>
      <c r="K93" s="645"/>
      <c r="L93" s="645"/>
      <c r="M93" s="645"/>
      <c r="N93" s="645"/>
      <c r="O93" s="645"/>
      <c r="P93" s="645"/>
      <c r="Q93" s="645"/>
      <c r="R93" s="645"/>
      <c r="S93" s="645"/>
      <c r="T93" s="645"/>
    </row>
    <row r="94" spans="1:512" ht="12.75" customHeight="1"/>
    <row r="95" spans="1:512" ht="15" customHeight="1"/>
    <row r="96" spans="1:512" ht="12.75" customHeight="1"/>
    <row r="97" ht="12.75" customHeight="1"/>
    <row r="98" ht="12.7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9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sheetData>
  <mergeCells count="1">
    <mergeCell ref="A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UltraBulk_assessment">
                <anchor moveWithCells="1" sizeWithCells="1">
                  <from>
                    <xdr:col>5</xdr:col>
                    <xdr:colOff>190500</xdr:colOff>
                    <xdr:row>89</xdr:row>
                    <xdr:rowOff>142875</xdr:rowOff>
                  </from>
                  <to>
                    <xdr:col>7</xdr:col>
                    <xdr:colOff>0</xdr:colOff>
                    <xdr:row>92</xdr:row>
                    <xdr:rowOff>0</xdr:rowOff>
                  </to>
                </anchor>
              </controlPr>
            </control>
          </mc:Choice>
        </mc:AlternateContent>
        <mc:AlternateContent xmlns:mc="http://schemas.openxmlformats.org/markup-compatibility/2006">
          <mc:Choice Requires="x14">
            <control shapeId="86019" r:id="rId5" name="Button 3">
              <controlPr defaultSize="0" print="0" autoFill="0" autoPict="0" macro="[0]!UltraBulk_assessment">
                <anchor moveWithCells="1" sizeWithCells="1">
                  <from>
                    <xdr:col>3</xdr:col>
                    <xdr:colOff>104775</xdr:colOff>
                    <xdr:row>1</xdr:row>
                    <xdr:rowOff>9525</xdr:rowOff>
                  </from>
                  <to>
                    <xdr:col>4</xdr:col>
                    <xdr:colOff>657225</xdr:colOff>
                    <xdr:row>1</xdr:row>
                    <xdr:rowOff>352425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8"/>
  </sheetPr>
  <dimension ref="A1:SR170"/>
  <sheetViews>
    <sheetView tabSelected="1" workbookViewId="0">
      <selection activeCell="H9" sqref="H9:H161"/>
    </sheetView>
  </sheetViews>
  <sheetFormatPr defaultColWidth="8.5546875" defaultRowHeight="12.75"/>
  <cols>
    <col min="1" max="1" width="8.5546875" style="166"/>
    <col min="2" max="2" width="9.88671875" style="166" customWidth="1"/>
    <col min="3" max="6" width="8.5546875" style="166"/>
    <col min="7" max="20" width="8.88671875" style="166" customWidth="1"/>
    <col min="21" max="16384" width="8.5546875" style="166"/>
  </cols>
  <sheetData>
    <row r="1" spans="1:512" s="336" customFormat="1" ht="24" customHeight="1" thickBot="1">
      <c r="A1" s="336" t="s">
        <v>4130</v>
      </c>
      <c r="C1" s="752"/>
    </row>
    <row r="2" spans="1:512" s="241" customFormat="1" ht="19.5" customHeight="1" thickBot="1">
      <c r="A2" s="750" t="s">
        <v>2557</v>
      </c>
      <c r="B2" s="750"/>
      <c r="C2" s="751">
        <v>1</v>
      </c>
      <c r="G2" s="483" t="s">
        <v>3784</v>
      </c>
      <c r="H2" s="845"/>
      <c r="I2" s="846" t="s">
        <v>3785</v>
      </c>
      <c r="L2" s="847"/>
      <c r="M2" s="846" t="s">
        <v>3786</v>
      </c>
      <c r="Q2" s="848"/>
      <c r="R2" s="846" t="s">
        <v>3787</v>
      </c>
    </row>
    <row r="3" spans="1:512" s="338" customFormat="1" ht="14.1" customHeight="1">
      <c r="A3" s="338" t="s">
        <v>2150</v>
      </c>
    </row>
    <row r="4" spans="1:512" s="241" customFormat="1" ht="12.75" customHeight="1"/>
    <row r="5" spans="1:512" ht="12.75" customHeight="1">
      <c r="A5" s="1040" t="s">
        <v>2151</v>
      </c>
      <c r="B5" s="1040"/>
      <c r="C5" s="1040"/>
      <c r="D5" s="1040"/>
      <c r="E5" s="116" t="s">
        <v>239</v>
      </c>
      <c r="G5" s="753" t="s">
        <v>221</v>
      </c>
      <c r="H5" s="780" t="s">
        <v>3783</v>
      </c>
      <c r="I5" s="780" t="s">
        <v>2152</v>
      </c>
      <c r="J5" s="780" t="s">
        <v>2153</v>
      </c>
      <c r="K5" s="780" t="s">
        <v>2154</v>
      </c>
      <c r="L5" s="780" t="s">
        <v>2155</v>
      </c>
      <c r="M5" s="780" t="s">
        <v>2156</v>
      </c>
      <c r="N5" s="780" t="s">
        <v>2157</v>
      </c>
      <c r="O5" s="780" t="s">
        <v>2158</v>
      </c>
      <c r="P5" s="780" t="s">
        <v>2159</v>
      </c>
      <c r="Q5" s="780" t="s">
        <v>2160</v>
      </c>
      <c r="R5" s="780" t="s">
        <v>2161</v>
      </c>
      <c r="S5" s="780" t="s">
        <v>2162</v>
      </c>
      <c r="T5" s="780" t="s">
        <v>2163</v>
      </c>
      <c r="U5" s="753" t="s">
        <v>2164</v>
      </c>
      <c r="V5" s="753" t="s">
        <v>2165</v>
      </c>
      <c r="W5" s="753" t="s">
        <v>2166</v>
      </c>
      <c r="X5" s="753" t="s">
        <v>2167</v>
      </c>
      <c r="Y5" s="753" t="s">
        <v>2168</v>
      </c>
      <c r="Z5" s="753" t="s">
        <v>2169</v>
      </c>
      <c r="AA5" s="753" t="s">
        <v>2170</v>
      </c>
      <c r="AB5" s="753" t="s">
        <v>2171</v>
      </c>
      <c r="AC5" s="753" t="s">
        <v>2172</v>
      </c>
      <c r="AD5" s="753" t="s">
        <v>2173</v>
      </c>
      <c r="AE5" s="753" t="s">
        <v>2174</v>
      </c>
      <c r="AF5" s="753" t="s">
        <v>2175</v>
      </c>
      <c r="AG5" s="753" t="s">
        <v>2176</v>
      </c>
      <c r="AH5" s="753" t="s">
        <v>2177</v>
      </c>
      <c r="AI5" s="753" t="s">
        <v>2178</v>
      </c>
      <c r="AJ5" s="753" t="s">
        <v>2179</v>
      </c>
      <c r="AK5" s="753" t="s">
        <v>2180</v>
      </c>
      <c r="AL5" s="753" t="s">
        <v>2181</v>
      </c>
      <c r="AM5" s="753" t="s">
        <v>2182</v>
      </c>
      <c r="AN5" s="753" t="s">
        <v>2183</v>
      </c>
      <c r="AO5" s="753" t="s">
        <v>2184</v>
      </c>
      <c r="AP5" s="753" t="s">
        <v>2185</v>
      </c>
      <c r="AQ5" s="753" t="s">
        <v>2186</v>
      </c>
      <c r="AR5" s="753" t="s">
        <v>2187</v>
      </c>
      <c r="AS5" s="753" t="s">
        <v>2188</v>
      </c>
      <c r="AT5" s="753" t="s">
        <v>2189</v>
      </c>
      <c r="AU5" s="753" t="s">
        <v>2190</v>
      </c>
      <c r="AV5" s="753" t="s">
        <v>2191</v>
      </c>
      <c r="AW5" s="753" t="s">
        <v>2192</v>
      </c>
      <c r="AX5" s="753" t="s">
        <v>2193</v>
      </c>
      <c r="AY5" s="753" t="s">
        <v>2194</v>
      </c>
      <c r="AZ5" s="753" t="s">
        <v>2195</v>
      </c>
      <c r="BA5" s="753" t="s">
        <v>2196</v>
      </c>
      <c r="BB5" s="753" t="s">
        <v>2197</v>
      </c>
      <c r="BC5" s="753" t="s">
        <v>2198</v>
      </c>
      <c r="BD5" s="753" t="s">
        <v>2199</v>
      </c>
      <c r="BE5" s="753" t="s">
        <v>2200</v>
      </c>
      <c r="BF5" s="753" t="s">
        <v>2790</v>
      </c>
      <c r="BG5" s="753" t="s">
        <v>2791</v>
      </c>
      <c r="BH5" s="753" t="s">
        <v>2792</v>
      </c>
      <c r="BI5" s="753" t="s">
        <v>2793</v>
      </c>
      <c r="BJ5" s="753" t="s">
        <v>2794</v>
      </c>
      <c r="BK5" s="753" t="s">
        <v>2795</v>
      </c>
      <c r="BL5" s="753" t="s">
        <v>2796</v>
      </c>
      <c r="BM5" s="753" t="s">
        <v>2797</v>
      </c>
      <c r="BN5" s="753" t="s">
        <v>2798</v>
      </c>
      <c r="BO5" s="753" t="s">
        <v>2799</v>
      </c>
      <c r="BP5" s="753" t="s">
        <v>2800</v>
      </c>
      <c r="BQ5" s="753" t="s">
        <v>2801</v>
      </c>
      <c r="BR5" s="753" t="s">
        <v>2802</v>
      </c>
      <c r="BS5" s="753" t="s">
        <v>2803</v>
      </c>
      <c r="BT5" s="753" t="s">
        <v>2804</v>
      </c>
      <c r="BU5" s="753" t="s">
        <v>2805</v>
      </c>
      <c r="BV5" s="753" t="s">
        <v>2806</v>
      </c>
      <c r="BW5" s="753" t="s">
        <v>2807</v>
      </c>
      <c r="BX5" s="753" t="s">
        <v>2808</v>
      </c>
      <c r="BY5" s="753" t="s">
        <v>2809</v>
      </c>
      <c r="BZ5" s="753" t="s">
        <v>2810</v>
      </c>
      <c r="CA5" s="753" t="s">
        <v>2811</v>
      </c>
      <c r="CB5" s="753" t="s">
        <v>2812</v>
      </c>
      <c r="CC5" s="753" t="s">
        <v>2813</v>
      </c>
      <c r="CD5" s="753" t="s">
        <v>2814</v>
      </c>
      <c r="CE5" s="753" t="s">
        <v>2815</v>
      </c>
      <c r="CF5" s="753" t="s">
        <v>2816</v>
      </c>
      <c r="CG5" s="753" t="s">
        <v>2817</v>
      </c>
      <c r="CH5" s="753" t="s">
        <v>2818</v>
      </c>
      <c r="CI5" s="753" t="s">
        <v>2819</v>
      </c>
      <c r="CJ5" s="753" t="s">
        <v>2820</v>
      </c>
      <c r="CK5" s="753" t="s">
        <v>2821</v>
      </c>
      <c r="CL5" s="753" t="s">
        <v>2822</v>
      </c>
      <c r="CM5" s="753" t="s">
        <v>2823</v>
      </c>
      <c r="CN5" s="753" t="s">
        <v>2824</v>
      </c>
      <c r="CO5" s="753" t="s">
        <v>2825</v>
      </c>
      <c r="CP5" s="753" t="s">
        <v>2826</v>
      </c>
      <c r="CQ5" s="753" t="s">
        <v>2827</v>
      </c>
      <c r="CR5" s="753" t="s">
        <v>2828</v>
      </c>
      <c r="CS5" s="753" t="s">
        <v>2829</v>
      </c>
      <c r="CT5" s="753" t="s">
        <v>2830</v>
      </c>
      <c r="CU5" s="753" t="s">
        <v>2831</v>
      </c>
      <c r="CV5" s="753" t="s">
        <v>2832</v>
      </c>
      <c r="CW5" s="753" t="s">
        <v>2833</v>
      </c>
      <c r="CX5" s="753" t="s">
        <v>2834</v>
      </c>
      <c r="CY5" s="753" t="s">
        <v>2835</v>
      </c>
      <c r="CZ5" s="753" t="s">
        <v>2836</v>
      </c>
      <c r="DA5" s="753" t="s">
        <v>2837</v>
      </c>
      <c r="DB5" s="753" t="s">
        <v>2838</v>
      </c>
      <c r="DC5" s="753" t="s">
        <v>2839</v>
      </c>
      <c r="DD5" s="753" t="s">
        <v>2840</v>
      </c>
      <c r="DE5" s="753" t="s">
        <v>2841</v>
      </c>
      <c r="DF5" s="753" t="s">
        <v>2842</v>
      </c>
      <c r="DG5" s="753" t="s">
        <v>2843</v>
      </c>
      <c r="DH5" s="753" t="s">
        <v>2844</v>
      </c>
      <c r="DI5" s="753" t="s">
        <v>2845</v>
      </c>
      <c r="DJ5" s="753" t="s">
        <v>2846</v>
      </c>
      <c r="DK5" s="753" t="s">
        <v>2847</v>
      </c>
      <c r="DL5" s="753" t="s">
        <v>2848</v>
      </c>
      <c r="DM5" s="753" t="s">
        <v>2849</v>
      </c>
      <c r="DN5" s="753" t="s">
        <v>2850</v>
      </c>
      <c r="DO5" s="753" t="s">
        <v>2851</v>
      </c>
      <c r="DP5" s="753" t="s">
        <v>2852</v>
      </c>
      <c r="DQ5" s="753" t="s">
        <v>2853</v>
      </c>
      <c r="DR5" s="753" t="s">
        <v>2854</v>
      </c>
      <c r="DS5" s="753" t="s">
        <v>2855</v>
      </c>
      <c r="DT5" s="753" t="s">
        <v>2856</v>
      </c>
      <c r="DU5" s="753" t="s">
        <v>2857</v>
      </c>
      <c r="DV5" s="753" t="s">
        <v>2858</v>
      </c>
      <c r="DW5" s="753" t="s">
        <v>2859</v>
      </c>
      <c r="DX5" s="753" t="s">
        <v>2860</v>
      </c>
      <c r="DY5" s="753" t="s">
        <v>2861</v>
      </c>
      <c r="DZ5" s="753" t="s">
        <v>2862</v>
      </c>
      <c r="EA5" s="753" t="s">
        <v>2863</v>
      </c>
      <c r="EB5" s="753" t="s">
        <v>2864</v>
      </c>
      <c r="EC5" s="753" t="s">
        <v>2865</v>
      </c>
      <c r="ED5" s="753" t="s">
        <v>2866</v>
      </c>
      <c r="EE5" s="753" t="s">
        <v>2867</v>
      </c>
      <c r="EF5" s="753" t="s">
        <v>2868</v>
      </c>
      <c r="EG5" s="753" t="s">
        <v>2869</v>
      </c>
      <c r="EH5" s="753" t="s">
        <v>2870</v>
      </c>
      <c r="EI5" s="753" t="s">
        <v>2871</v>
      </c>
      <c r="EJ5" s="753" t="s">
        <v>2872</v>
      </c>
      <c r="EK5" s="753" t="s">
        <v>2873</v>
      </c>
      <c r="EL5" s="753" t="s">
        <v>2874</v>
      </c>
      <c r="EM5" s="753" t="s">
        <v>2875</v>
      </c>
      <c r="EN5" s="753" t="s">
        <v>2876</v>
      </c>
      <c r="EO5" s="753" t="s">
        <v>2877</v>
      </c>
      <c r="EP5" s="753" t="s">
        <v>2878</v>
      </c>
      <c r="EQ5" s="753" t="s">
        <v>2879</v>
      </c>
      <c r="ER5" s="753" t="s">
        <v>2880</v>
      </c>
      <c r="ES5" s="753" t="s">
        <v>2881</v>
      </c>
      <c r="ET5" s="753" t="s">
        <v>2882</v>
      </c>
      <c r="EU5" s="753" t="s">
        <v>2883</v>
      </c>
      <c r="EV5" s="753" t="s">
        <v>2884</v>
      </c>
      <c r="EW5" s="753" t="s">
        <v>2885</v>
      </c>
      <c r="EX5" s="753" t="s">
        <v>2886</v>
      </c>
      <c r="EY5" s="753" t="s">
        <v>2887</v>
      </c>
      <c r="EZ5" s="753" t="s">
        <v>2888</v>
      </c>
      <c r="FA5" s="753" t="s">
        <v>2889</v>
      </c>
      <c r="FB5" s="753" t="s">
        <v>2890</v>
      </c>
      <c r="FC5" s="753" t="s">
        <v>2891</v>
      </c>
      <c r="FD5" s="753" t="s">
        <v>2892</v>
      </c>
      <c r="FE5" s="753" t="s">
        <v>2893</v>
      </c>
      <c r="FF5" s="753" t="s">
        <v>2894</v>
      </c>
      <c r="FG5" s="753" t="s">
        <v>2895</v>
      </c>
      <c r="FH5" s="753" t="s">
        <v>2896</v>
      </c>
      <c r="FI5" s="753" t="s">
        <v>2897</v>
      </c>
      <c r="FJ5" s="753" t="s">
        <v>2898</v>
      </c>
      <c r="FK5" s="753" t="s">
        <v>2899</v>
      </c>
      <c r="FL5" s="753" t="s">
        <v>2900</v>
      </c>
      <c r="FM5" s="753" t="s">
        <v>2901</v>
      </c>
      <c r="FN5" s="753" t="s">
        <v>2902</v>
      </c>
      <c r="FO5" s="753" t="s">
        <v>2903</v>
      </c>
      <c r="FP5" s="753" t="s">
        <v>2904</v>
      </c>
      <c r="FQ5" s="753" t="s">
        <v>2905</v>
      </c>
      <c r="FR5" s="753" t="s">
        <v>2906</v>
      </c>
      <c r="FS5" s="753" t="s">
        <v>2907</v>
      </c>
      <c r="FT5" s="753" t="s">
        <v>2908</v>
      </c>
      <c r="FU5" s="753" t="s">
        <v>2909</v>
      </c>
      <c r="FV5" s="753" t="s">
        <v>2910</v>
      </c>
      <c r="FW5" s="753" t="s">
        <v>2911</v>
      </c>
      <c r="FX5" s="753" t="s">
        <v>2912</v>
      </c>
      <c r="FY5" s="753" t="s">
        <v>2913</v>
      </c>
      <c r="FZ5" s="753" t="s">
        <v>2914</v>
      </c>
      <c r="GA5" s="753" t="s">
        <v>2915</v>
      </c>
      <c r="GB5" s="753" t="s">
        <v>2916</v>
      </c>
      <c r="GC5" s="753" t="s">
        <v>2917</v>
      </c>
      <c r="GD5" s="753" t="s">
        <v>2918</v>
      </c>
      <c r="GE5" s="753" t="s">
        <v>2919</v>
      </c>
      <c r="GF5" s="753" t="s">
        <v>2920</v>
      </c>
      <c r="GG5" s="753" t="s">
        <v>2921</v>
      </c>
      <c r="GH5" s="753" t="s">
        <v>2922</v>
      </c>
      <c r="GI5" s="753" t="s">
        <v>2923</v>
      </c>
      <c r="GJ5" s="753" t="s">
        <v>2924</v>
      </c>
      <c r="GK5" s="753" t="s">
        <v>2925</v>
      </c>
      <c r="GL5" s="753" t="s">
        <v>2926</v>
      </c>
      <c r="GM5" s="753" t="s">
        <v>2927</v>
      </c>
      <c r="GN5" s="753" t="s">
        <v>2928</v>
      </c>
      <c r="GO5" s="753" t="s">
        <v>2929</v>
      </c>
      <c r="GP5" s="753" t="s">
        <v>2930</v>
      </c>
      <c r="GQ5" s="753" t="s">
        <v>2931</v>
      </c>
      <c r="GR5" s="753" t="s">
        <v>2932</v>
      </c>
      <c r="GS5" s="753" t="s">
        <v>2933</v>
      </c>
      <c r="GT5" s="753" t="s">
        <v>2934</v>
      </c>
      <c r="GU5" s="753" t="s">
        <v>2935</v>
      </c>
      <c r="GV5" s="753" t="s">
        <v>2936</v>
      </c>
      <c r="GW5" s="753" t="s">
        <v>2937</v>
      </c>
      <c r="GX5" s="753" t="s">
        <v>2938</v>
      </c>
      <c r="GY5" s="753" t="s">
        <v>2939</v>
      </c>
      <c r="GZ5" s="753" t="s">
        <v>2940</v>
      </c>
      <c r="HA5" s="753" t="s">
        <v>2941</v>
      </c>
      <c r="HB5" s="753" t="s">
        <v>2942</v>
      </c>
      <c r="HC5" s="753" t="s">
        <v>2943</v>
      </c>
      <c r="HD5" s="753" t="s">
        <v>2944</v>
      </c>
      <c r="HE5" s="753" t="s">
        <v>2945</v>
      </c>
      <c r="HF5" s="753" t="s">
        <v>2946</v>
      </c>
      <c r="HG5" s="753" t="s">
        <v>2947</v>
      </c>
      <c r="HH5" s="753" t="s">
        <v>2948</v>
      </c>
      <c r="HI5" s="753" t="s">
        <v>2949</v>
      </c>
      <c r="HJ5" s="753" t="s">
        <v>2950</v>
      </c>
      <c r="HK5" s="753" t="s">
        <v>2951</v>
      </c>
      <c r="HL5" s="753" t="s">
        <v>2952</v>
      </c>
      <c r="HM5" s="753" t="s">
        <v>2953</v>
      </c>
      <c r="HN5" s="753" t="s">
        <v>2954</v>
      </c>
      <c r="HO5" s="753" t="s">
        <v>2955</v>
      </c>
      <c r="HP5" s="753" t="s">
        <v>2956</v>
      </c>
      <c r="HQ5" s="753" t="s">
        <v>2957</v>
      </c>
      <c r="HR5" s="753" t="s">
        <v>2958</v>
      </c>
      <c r="HS5" s="753" t="s">
        <v>2959</v>
      </c>
      <c r="HT5" s="753" t="s">
        <v>2960</v>
      </c>
      <c r="HU5" s="753" t="s">
        <v>2961</v>
      </c>
      <c r="HV5" s="753" t="s">
        <v>2962</v>
      </c>
      <c r="HW5" s="753" t="s">
        <v>2963</v>
      </c>
      <c r="HX5" s="753" t="s">
        <v>2964</v>
      </c>
      <c r="HY5" s="753" t="s">
        <v>2965</v>
      </c>
      <c r="HZ5" s="753" t="s">
        <v>2966</v>
      </c>
      <c r="IA5" s="753" t="s">
        <v>2967</v>
      </c>
      <c r="IB5" s="753" t="s">
        <v>2968</v>
      </c>
      <c r="IC5" s="753" t="s">
        <v>2969</v>
      </c>
      <c r="ID5" s="753" t="s">
        <v>2970</v>
      </c>
      <c r="IE5" s="753" t="s">
        <v>2971</v>
      </c>
      <c r="IF5" s="753" t="s">
        <v>2972</v>
      </c>
      <c r="IG5" s="753" t="s">
        <v>2973</v>
      </c>
      <c r="IH5" s="753" t="s">
        <v>2974</v>
      </c>
      <c r="II5" s="753" t="s">
        <v>2975</v>
      </c>
      <c r="IJ5" s="753" t="s">
        <v>2976</v>
      </c>
      <c r="IK5" s="753" t="s">
        <v>2977</v>
      </c>
      <c r="IL5" s="753" t="s">
        <v>2978</v>
      </c>
      <c r="IM5" s="753" t="s">
        <v>2979</v>
      </c>
      <c r="IN5" s="753" t="s">
        <v>2980</v>
      </c>
      <c r="IO5" s="753" t="s">
        <v>2981</v>
      </c>
      <c r="IP5" s="753" t="s">
        <v>2982</v>
      </c>
      <c r="IQ5" s="753" t="s">
        <v>2983</v>
      </c>
      <c r="IR5" s="753" t="s">
        <v>2984</v>
      </c>
      <c r="IS5" s="753" t="s">
        <v>2985</v>
      </c>
      <c r="IT5" s="753" t="s">
        <v>2986</v>
      </c>
      <c r="IU5" s="753" t="s">
        <v>2987</v>
      </c>
      <c r="IV5" s="753" t="s">
        <v>2988</v>
      </c>
      <c r="IW5" s="753" t="s">
        <v>2989</v>
      </c>
      <c r="IX5" s="753" t="s">
        <v>2990</v>
      </c>
      <c r="IY5" s="753" t="s">
        <v>2991</v>
      </c>
      <c r="IZ5" s="753" t="s">
        <v>2992</v>
      </c>
      <c r="JA5" s="753" t="s">
        <v>2993</v>
      </c>
      <c r="JB5" s="753" t="s">
        <v>2994</v>
      </c>
      <c r="JC5" s="753" t="s">
        <v>2995</v>
      </c>
      <c r="JD5" s="753" t="s">
        <v>2996</v>
      </c>
      <c r="JE5" s="753" t="s">
        <v>2997</v>
      </c>
      <c r="JF5" s="753" t="s">
        <v>2998</v>
      </c>
      <c r="JG5" s="753" t="s">
        <v>2999</v>
      </c>
      <c r="JH5" s="753" t="s">
        <v>3000</v>
      </c>
      <c r="JI5" s="753" t="s">
        <v>3001</v>
      </c>
      <c r="JJ5" s="753" t="s">
        <v>3002</v>
      </c>
      <c r="JK5" s="753" t="s">
        <v>3003</v>
      </c>
      <c r="JL5" s="753" t="s">
        <v>3004</v>
      </c>
      <c r="JM5" s="753" t="s">
        <v>3005</v>
      </c>
      <c r="JN5" s="753" t="s">
        <v>3006</v>
      </c>
      <c r="JO5" s="753" t="s">
        <v>3007</v>
      </c>
      <c r="JP5" s="753" t="s">
        <v>3008</v>
      </c>
      <c r="JQ5" s="753" t="s">
        <v>3009</v>
      </c>
      <c r="JR5" s="753" t="s">
        <v>3010</v>
      </c>
      <c r="JS5" s="753" t="s">
        <v>3011</v>
      </c>
      <c r="JT5" s="753" t="s">
        <v>3012</v>
      </c>
      <c r="JU5" s="753" t="s">
        <v>3013</v>
      </c>
      <c r="JV5" s="753" t="s">
        <v>3014</v>
      </c>
      <c r="JW5" s="753" t="s">
        <v>3015</v>
      </c>
      <c r="JX5" s="753" t="s">
        <v>3016</v>
      </c>
      <c r="JY5" s="753" t="s">
        <v>3017</v>
      </c>
      <c r="JZ5" s="753" t="s">
        <v>3018</v>
      </c>
      <c r="KA5" s="753" t="s">
        <v>3019</v>
      </c>
      <c r="KB5" s="753" t="s">
        <v>3020</v>
      </c>
      <c r="KC5" s="753" t="s">
        <v>3021</v>
      </c>
      <c r="KD5" s="753" t="s">
        <v>3022</v>
      </c>
      <c r="KE5" s="753" t="s">
        <v>3023</v>
      </c>
      <c r="KF5" s="753" t="s">
        <v>3024</v>
      </c>
      <c r="KG5" s="753" t="s">
        <v>3025</v>
      </c>
      <c r="KH5" s="753" t="s">
        <v>3026</v>
      </c>
      <c r="KI5" s="753" t="s">
        <v>3027</v>
      </c>
      <c r="KJ5" s="753" t="s">
        <v>3028</v>
      </c>
      <c r="KK5" s="753" t="s">
        <v>3029</v>
      </c>
      <c r="KL5" s="753" t="s">
        <v>3030</v>
      </c>
      <c r="KM5" s="753" t="s">
        <v>3031</v>
      </c>
      <c r="KN5" s="753" t="s">
        <v>3032</v>
      </c>
      <c r="KO5" s="753" t="s">
        <v>3033</v>
      </c>
      <c r="KP5" s="753" t="s">
        <v>3034</v>
      </c>
      <c r="KQ5" s="753" t="s">
        <v>3035</v>
      </c>
      <c r="KR5" s="753" t="s">
        <v>3036</v>
      </c>
      <c r="KS5" s="753" t="s">
        <v>3037</v>
      </c>
      <c r="KT5" s="753" t="s">
        <v>3038</v>
      </c>
      <c r="KU5" s="753" t="s">
        <v>3039</v>
      </c>
      <c r="KV5" s="753" t="s">
        <v>3040</v>
      </c>
      <c r="KW5" s="753" t="s">
        <v>3041</v>
      </c>
      <c r="KX5" s="753" t="s">
        <v>3042</v>
      </c>
      <c r="KY5" s="753" t="s">
        <v>3043</v>
      </c>
      <c r="KZ5" s="753" t="s">
        <v>3044</v>
      </c>
      <c r="LA5" s="753" t="s">
        <v>3045</v>
      </c>
      <c r="LB5" s="753" t="s">
        <v>3046</v>
      </c>
      <c r="LC5" s="753" t="s">
        <v>3047</v>
      </c>
      <c r="LD5" s="753" t="s">
        <v>3048</v>
      </c>
      <c r="LE5" s="753" t="s">
        <v>3049</v>
      </c>
      <c r="LF5" s="753" t="s">
        <v>3050</v>
      </c>
      <c r="LG5" s="753" t="s">
        <v>3051</v>
      </c>
      <c r="LH5" s="753" t="s">
        <v>3052</v>
      </c>
      <c r="LI5" s="753" t="s">
        <v>3053</v>
      </c>
      <c r="LJ5" s="753" t="s">
        <v>3054</v>
      </c>
      <c r="LK5" s="753" t="s">
        <v>3055</v>
      </c>
      <c r="LL5" s="753" t="s">
        <v>3056</v>
      </c>
      <c r="LM5" s="753" t="s">
        <v>3057</v>
      </c>
      <c r="LN5" s="753" t="s">
        <v>3058</v>
      </c>
      <c r="LO5" s="753" t="s">
        <v>3059</v>
      </c>
      <c r="LP5" s="753" t="s">
        <v>3060</v>
      </c>
      <c r="LQ5" s="753" t="s">
        <v>3061</v>
      </c>
      <c r="LR5" s="753" t="s">
        <v>3062</v>
      </c>
      <c r="LS5" s="753" t="s">
        <v>3063</v>
      </c>
      <c r="LT5" s="753" t="s">
        <v>3064</v>
      </c>
      <c r="LU5" s="753" t="s">
        <v>3065</v>
      </c>
      <c r="LV5" s="753" t="s">
        <v>3066</v>
      </c>
      <c r="LW5" s="753" t="s">
        <v>3067</v>
      </c>
      <c r="LX5" s="753" t="s">
        <v>3068</v>
      </c>
      <c r="LY5" s="753" t="s">
        <v>3069</v>
      </c>
      <c r="LZ5" s="753" t="s">
        <v>3070</v>
      </c>
      <c r="MA5" s="753" t="s">
        <v>3071</v>
      </c>
      <c r="MB5" s="753" t="s">
        <v>3072</v>
      </c>
      <c r="MC5" s="753" t="s">
        <v>3073</v>
      </c>
      <c r="MD5" s="753" t="s">
        <v>3074</v>
      </c>
      <c r="ME5" s="753" t="s">
        <v>3075</v>
      </c>
      <c r="MF5" s="753" t="s">
        <v>3076</v>
      </c>
      <c r="MG5" s="753" t="s">
        <v>3077</v>
      </c>
      <c r="MH5" s="753" t="s">
        <v>3078</v>
      </c>
      <c r="MI5" s="753" t="s">
        <v>3079</v>
      </c>
      <c r="MJ5" s="753" t="s">
        <v>3080</v>
      </c>
      <c r="MK5" s="753" t="s">
        <v>3081</v>
      </c>
      <c r="ML5" s="753" t="s">
        <v>3082</v>
      </c>
      <c r="MM5" s="753" t="s">
        <v>3083</v>
      </c>
      <c r="MN5" s="753" t="s">
        <v>3084</v>
      </c>
      <c r="MO5" s="753" t="s">
        <v>3085</v>
      </c>
      <c r="MP5" s="753" t="s">
        <v>3086</v>
      </c>
      <c r="MQ5" s="753" t="s">
        <v>3087</v>
      </c>
      <c r="MR5" s="753" t="s">
        <v>3088</v>
      </c>
      <c r="MS5" s="753" t="s">
        <v>3089</v>
      </c>
      <c r="MT5" s="753" t="s">
        <v>3090</v>
      </c>
      <c r="MU5" s="753" t="s">
        <v>3091</v>
      </c>
      <c r="MV5" s="753" t="s">
        <v>3092</v>
      </c>
      <c r="MW5" s="753" t="s">
        <v>3093</v>
      </c>
      <c r="MX5" s="753" t="s">
        <v>3094</v>
      </c>
      <c r="MY5" s="753" t="s">
        <v>3095</v>
      </c>
      <c r="MZ5" s="753" t="s">
        <v>3096</v>
      </c>
      <c r="NA5" s="753" t="s">
        <v>3097</v>
      </c>
      <c r="NB5" s="753" t="s">
        <v>3098</v>
      </c>
      <c r="NC5" s="753" t="s">
        <v>3099</v>
      </c>
      <c r="ND5" s="753" t="s">
        <v>3100</v>
      </c>
      <c r="NE5" s="753" t="s">
        <v>3101</v>
      </c>
      <c r="NF5" s="753" t="s">
        <v>3102</v>
      </c>
      <c r="NG5" s="753" t="s">
        <v>3103</v>
      </c>
      <c r="NH5" s="753" t="s">
        <v>3104</v>
      </c>
      <c r="NI5" s="753" t="s">
        <v>3105</v>
      </c>
      <c r="NJ5" s="753" t="s">
        <v>3106</v>
      </c>
      <c r="NK5" s="753" t="s">
        <v>3107</v>
      </c>
      <c r="NL5" s="753" t="s">
        <v>3108</v>
      </c>
      <c r="NM5" s="753" t="s">
        <v>3109</v>
      </c>
      <c r="NN5" s="753" t="s">
        <v>3110</v>
      </c>
      <c r="NO5" s="753" t="s">
        <v>3111</v>
      </c>
      <c r="NP5" s="753" t="s">
        <v>3112</v>
      </c>
      <c r="NQ5" s="753" t="s">
        <v>3113</v>
      </c>
      <c r="NR5" s="753" t="s">
        <v>3114</v>
      </c>
      <c r="NS5" s="753" t="s">
        <v>3115</v>
      </c>
      <c r="NT5" s="753" t="s">
        <v>3116</v>
      </c>
      <c r="NU5" s="753" t="s">
        <v>3117</v>
      </c>
      <c r="NV5" s="753" t="s">
        <v>3118</v>
      </c>
      <c r="NW5" s="753" t="s">
        <v>3119</v>
      </c>
      <c r="NX5" s="753" t="s">
        <v>3120</v>
      </c>
      <c r="NY5" s="753" t="s">
        <v>3121</v>
      </c>
      <c r="NZ5" s="753" t="s">
        <v>3122</v>
      </c>
      <c r="OA5" s="753" t="s">
        <v>3123</v>
      </c>
      <c r="OB5" s="753" t="s">
        <v>3124</v>
      </c>
      <c r="OC5" s="753" t="s">
        <v>3125</v>
      </c>
      <c r="OD5" s="753" t="s">
        <v>3126</v>
      </c>
      <c r="OE5" s="753" t="s">
        <v>3127</v>
      </c>
      <c r="OF5" s="753" t="s">
        <v>3128</v>
      </c>
      <c r="OG5" s="753" t="s">
        <v>3129</v>
      </c>
      <c r="OH5" s="753" t="s">
        <v>3130</v>
      </c>
      <c r="OI5" s="753" t="s">
        <v>3131</v>
      </c>
      <c r="OJ5" s="753" t="s">
        <v>3132</v>
      </c>
      <c r="OK5" s="753" t="s">
        <v>3133</v>
      </c>
      <c r="OL5" s="753" t="s">
        <v>3134</v>
      </c>
      <c r="OM5" s="753" t="s">
        <v>3135</v>
      </c>
      <c r="ON5" s="753" t="s">
        <v>3136</v>
      </c>
      <c r="OO5" s="753" t="s">
        <v>3137</v>
      </c>
      <c r="OP5" s="753" t="s">
        <v>3138</v>
      </c>
      <c r="OQ5" s="753" t="s">
        <v>3139</v>
      </c>
      <c r="OR5" s="753" t="s">
        <v>3140</v>
      </c>
      <c r="OS5" s="753" t="s">
        <v>3141</v>
      </c>
      <c r="OT5" s="753" t="s">
        <v>3142</v>
      </c>
      <c r="OU5" s="753" t="s">
        <v>3143</v>
      </c>
      <c r="OV5" s="753" t="s">
        <v>3144</v>
      </c>
      <c r="OW5" s="753" t="s">
        <v>3145</v>
      </c>
      <c r="OX5" s="753" t="s">
        <v>3146</v>
      </c>
      <c r="OY5" s="753" t="s">
        <v>3147</v>
      </c>
      <c r="OZ5" s="753" t="s">
        <v>3148</v>
      </c>
      <c r="PA5" s="753" t="s">
        <v>3149</v>
      </c>
      <c r="PB5" s="753" t="s">
        <v>3150</v>
      </c>
      <c r="PC5" s="753" t="s">
        <v>3151</v>
      </c>
      <c r="PD5" s="753" t="s">
        <v>3152</v>
      </c>
      <c r="PE5" s="753" t="s">
        <v>3153</v>
      </c>
      <c r="PF5" s="753" t="s">
        <v>3154</v>
      </c>
      <c r="PG5" s="753" t="s">
        <v>3155</v>
      </c>
      <c r="PH5" s="753" t="s">
        <v>3156</v>
      </c>
      <c r="PI5" s="753" t="s">
        <v>3157</v>
      </c>
      <c r="PJ5" s="753" t="s">
        <v>3158</v>
      </c>
      <c r="PK5" s="753" t="s">
        <v>3159</v>
      </c>
      <c r="PL5" s="753" t="s">
        <v>3160</v>
      </c>
      <c r="PM5" s="753" t="s">
        <v>3161</v>
      </c>
      <c r="PN5" s="753" t="s">
        <v>3162</v>
      </c>
      <c r="PO5" s="753" t="s">
        <v>3163</v>
      </c>
      <c r="PP5" s="753" t="s">
        <v>3164</v>
      </c>
      <c r="PQ5" s="753" t="s">
        <v>3165</v>
      </c>
      <c r="PR5" s="753" t="s">
        <v>3166</v>
      </c>
      <c r="PS5" s="753" t="s">
        <v>3167</v>
      </c>
      <c r="PT5" s="753" t="s">
        <v>3168</v>
      </c>
      <c r="PU5" s="753" t="s">
        <v>3169</v>
      </c>
      <c r="PV5" s="753" t="s">
        <v>3170</v>
      </c>
      <c r="PW5" s="753" t="s">
        <v>3171</v>
      </c>
      <c r="PX5" s="753" t="s">
        <v>3172</v>
      </c>
      <c r="PY5" s="753" t="s">
        <v>3173</v>
      </c>
      <c r="PZ5" s="753" t="s">
        <v>3174</v>
      </c>
      <c r="QA5" s="753" t="s">
        <v>3175</v>
      </c>
      <c r="QB5" s="753" t="s">
        <v>3176</v>
      </c>
      <c r="QC5" s="753" t="s">
        <v>3177</v>
      </c>
      <c r="QD5" s="753" t="s">
        <v>3178</v>
      </c>
      <c r="QE5" s="753" t="s">
        <v>3179</v>
      </c>
      <c r="QF5" s="753" t="s">
        <v>3180</v>
      </c>
      <c r="QG5" s="753" t="s">
        <v>3181</v>
      </c>
      <c r="QH5" s="753" t="s">
        <v>3182</v>
      </c>
      <c r="QI5" s="753" t="s">
        <v>3183</v>
      </c>
      <c r="QJ5" s="753" t="s">
        <v>3184</v>
      </c>
      <c r="QK5" s="753" t="s">
        <v>3185</v>
      </c>
      <c r="QL5" s="753" t="s">
        <v>3186</v>
      </c>
      <c r="QM5" s="753" t="s">
        <v>3187</v>
      </c>
      <c r="QN5" s="753" t="s">
        <v>3188</v>
      </c>
      <c r="QO5" s="753" t="s">
        <v>3189</v>
      </c>
      <c r="QP5" s="753" t="s">
        <v>3190</v>
      </c>
      <c r="QQ5" s="753" t="s">
        <v>3191</v>
      </c>
      <c r="QR5" s="753" t="s">
        <v>3192</v>
      </c>
      <c r="QS5" s="753" t="s">
        <v>3193</v>
      </c>
      <c r="QT5" s="753" t="s">
        <v>3194</v>
      </c>
      <c r="QU5" s="753" t="s">
        <v>3195</v>
      </c>
      <c r="QV5" s="753" t="s">
        <v>3196</v>
      </c>
      <c r="QW5" s="753" t="s">
        <v>3197</v>
      </c>
      <c r="QX5" s="753" t="s">
        <v>3198</v>
      </c>
      <c r="QY5" s="753" t="s">
        <v>3199</v>
      </c>
      <c r="QZ5" s="753" t="s">
        <v>3200</v>
      </c>
      <c r="RA5" s="753" t="s">
        <v>3201</v>
      </c>
      <c r="RB5" s="753" t="s">
        <v>3202</v>
      </c>
      <c r="RC5" s="753" t="s">
        <v>3203</v>
      </c>
      <c r="RD5" s="753" t="s">
        <v>3204</v>
      </c>
      <c r="RE5" s="753" t="s">
        <v>3205</v>
      </c>
      <c r="RF5" s="753" t="s">
        <v>3206</v>
      </c>
      <c r="RG5" s="753" t="s">
        <v>3207</v>
      </c>
      <c r="RH5" s="753" t="s">
        <v>3208</v>
      </c>
      <c r="RI5" s="753" t="s">
        <v>3209</v>
      </c>
      <c r="RJ5" s="753" t="s">
        <v>3210</v>
      </c>
      <c r="RK5" s="753" t="s">
        <v>3211</v>
      </c>
      <c r="RL5" s="753" t="s">
        <v>3212</v>
      </c>
      <c r="RM5" s="753" t="s">
        <v>3213</v>
      </c>
      <c r="RN5" s="753" t="s">
        <v>3214</v>
      </c>
      <c r="RO5" s="753" t="s">
        <v>3215</v>
      </c>
      <c r="RP5" s="753" t="s">
        <v>3216</v>
      </c>
      <c r="RQ5" s="753" t="s">
        <v>3217</v>
      </c>
      <c r="RR5" s="753" t="s">
        <v>3218</v>
      </c>
      <c r="RS5" s="753" t="s">
        <v>3219</v>
      </c>
      <c r="RT5" s="753" t="s">
        <v>3220</v>
      </c>
      <c r="RU5" s="753" t="s">
        <v>3221</v>
      </c>
      <c r="RV5" s="753" t="s">
        <v>3222</v>
      </c>
      <c r="RW5" s="753" t="s">
        <v>3223</v>
      </c>
      <c r="RX5" s="753" t="s">
        <v>3224</v>
      </c>
      <c r="RY5" s="753" t="s">
        <v>3225</v>
      </c>
      <c r="RZ5" s="753" t="s">
        <v>3226</v>
      </c>
      <c r="SA5" s="753" t="s">
        <v>3227</v>
      </c>
      <c r="SB5" s="753" t="s">
        <v>3228</v>
      </c>
      <c r="SC5" s="753" t="s">
        <v>3229</v>
      </c>
      <c r="SD5" s="753" t="s">
        <v>3230</v>
      </c>
      <c r="SE5" s="753" t="s">
        <v>3231</v>
      </c>
      <c r="SF5" s="753" t="s">
        <v>3232</v>
      </c>
      <c r="SG5" s="753" t="s">
        <v>3233</v>
      </c>
      <c r="SH5" s="753" t="s">
        <v>3234</v>
      </c>
      <c r="SI5" s="753" t="s">
        <v>3235</v>
      </c>
      <c r="SJ5" s="753" t="s">
        <v>3236</v>
      </c>
      <c r="SK5" s="753" t="s">
        <v>3237</v>
      </c>
      <c r="SL5" s="753" t="s">
        <v>3238</v>
      </c>
      <c r="SM5" s="753" t="s">
        <v>3239</v>
      </c>
      <c r="SN5" s="753" t="s">
        <v>3240</v>
      </c>
      <c r="SO5" s="753" t="s">
        <v>3241</v>
      </c>
      <c r="SP5" s="753" t="s">
        <v>3242</v>
      </c>
      <c r="SQ5" s="753" t="s">
        <v>3243</v>
      </c>
      <c r="SR5" s="753" t="s">
        <v>3244</v>
      </c>
    </row>
    <row r="6" spans="1:512" ht="12.75" customHeight="1">
      <c r="A6" s="753"/>
      <c r="B6" s="753"/>
      <c r="C6" s="753"/>
      <c r="D6" s="753"/>
      <c r="F6"/>
      <c r="G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row>
    <row r="7" spans="1:512" ht="15" customHeight="1">
      <c r="A7" t="s">
        <v>1390</v>
      </c>
      <c r="B7"/>
      <c r="C7"/>
      <c r="D7"/>
      <c r="E7"/>
      <c r="F7"/>
      <c r="H7" s="1025" t="s">
        <v>4141</v>
      </c>
      <c r="I7" s="1026"/>
      <c r="J7" s="1026"/>
      <c r="K7" s="1026"/>
      <c r="L7" s="1026"/>
      <c r="M7" s="1026"/>
      <c r="N7" s="1026"/>
      <c r="O7" s="1026"/>
      <c r="P7" s="1026"/>
      <c r="Q7" s="1026"/>
      <c r="R7" s="1026"/>
      <c r="S7" s="1026"/>
      <c r="T7" s="1026"/>
    </row>
    <row r="8" spans="1:512" ht="15" customHeight="1">
      <c r="A8" t="s">
        <v>918</v>
      </c>
      <c r="B8"/>
      <c r="C8"/>
      <c r="D8"/>
      <c r="E8"/>
      <c r="F8"/>
    </row>
    <row r="9" spans="1:512" ht="15" customHeight="1">
      <c r="A9"/>
      <c r="B9" t="s">
        <v>1391</v>
      </c>
      <c r="C9"/>
      <c r="D9"/>
      <c r="E9" t="s">
        <v>237</v>
      </c>
      <c r="F9"/>
      <c r="G9" s="970">
        <v>1</v>
      </c>
      <c r="H9" s="970">
        <v>0</v>
      </c>
      <c r="I9" s="970"/>
      <c r="J9" s="970"/>
      <c r="K9" s="970"/>
      <c r="L9" s="970"/>
      <c r="M9" s="970"/>
      <c r="N9" s="970"/>
      <c r="O9" s="970"/>
      <c r="P9" s="970"/>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970"/>
      <c r="AQ9" s="970"/>
      <c r="AR9" s="970"/>
      <c r="AS9" s="970"/>
      <c r="AT9" s="970"/>
      <c r="AU9" s="970"/>
      <c r="AV9" s="970"/>
      <c r="AW9" s="970"/>
      <c r="AX9" s="970"/>
      <c r="AY9" s="970"/>
      <c r="AZ9" s="970"/>
      <c r="BA9" s="970"/>
      <c r="BB9" s="970"/>
      <c r="BC9" s="970"/>
      <c r="BD9" s="970"/>
      <c r="BE9" s="970"/>
      <c r="BF9" s="970"/>
      <c r="BG9" s="970"/>
      <c r="BH9" s="970"/>
      <c r="BI9" s="970"/>
      <c r="BJ9" s="970"/>
      <c r="BK9" s="970"/>
      <c r="BL9" s="970"/>
      <c r="BM9" s="970"/>
      <c r="BN9" s="970"/>
      <c r="BO9" s="970"/>
      <c r="BP9" s="970"/>
      <c r="BQ9" s="970"/>
      <c r="BR9" s="970"/>
      <c r="BS9" s="970"/>
      <c r="BT9" s="970"/>
      <c r="BU9" s="970"/>
      <c r="BV9" s="970"/>
      <c r="BW9" s="970"/>
      <c r="BX9" s="970"/>
      <c r="BY9" s="970"/>
      <c r="BZ9" s="970"/>
      <c r="CA9" s="970"/>
      <c r="CB9" s="970"/>
      <c r="CC9" s="970"/>
      <c r="CD9" s="970"/>
      <c r="CE9" s="970"/>
      <c r="CF9" s="970"/>
      <c r="CG9" s="970"/>
      <c r="CH9" s="970"/>
      <c r="CI9" s="970"/>
      <c r="CJ9" s="970"/>
      <c r="CK9" s="970"/>
      <c r="CL9" s="970"/>
      <c r="CM9" s="970"/>
      <c r="CN9" s="970"/>
      <c r="CO9" s="970"/>
      <c r="CP9" s="970"/>
      <c r="CQ9" s="970"/>
      <c r="CR9" s="970"/>
      <c r="CS9" s="970"/>
      <c r="CT9" s="970"/>
      <c r="CU9" s="970"/>
      <c r="CV9" s="970"/>
      <c r="CW9" s="970"/>
      <c r="CX9" s="970"/>
      <c r="CY9" s="970"/>
      <c r="CZ9" s="970"/>
      <c r="DA9" s="970"/>
      <c r="DB9" s="970"/>
      <c r="DC9" s="970"/>
      <c r="DD9" s="970"/>
      <c r="DE9" s="970"/>
      <c r="DF9" s="970"/>
      <c r="DG9" s="970"/>
      <c r="DH9" s="970"/>
      <c r="DI9" s="970"/>
      <c r="DJ9" s="970"/>
      <c r="DK9" s="970"/>
      <c r="DL9" s="970"/>
      <c r="DM9" s="970"/>
      <c r="DN9" s="970"/>
      <c r="DO9" s="970"/>
      <c r="DP9" s="970"/>
      <c r="DQ9" s="970"/>
      <c r="DR9" s="970"/>
      <c r="DS9" s="970"/>
      <c r="DT9" s="970"/>
      <c r="DU9" s="970"/>
      <c r="DV9" s="970"/>
      <c r="DW9" s="970"/>
      <c r="DX9" s="970"/>
      <c r="DY9" s="970"/>
      <c r="DZ9" s="970"/>
      <c r="EA9" s="970"/>
      <c r="EB9" s="970"/>
      <c r="EC9" s="970"/>
      <c r="ED9" s="970"/>
      <c r="EE9" s="970"/>
      <c r="EF9" s="970"/>
      <c r="EG9" s="970"/>
      <c r="EH9" s="970"/>
      <c r="EI9" s="970"/>
      <c r="EJ9" s="970"/>
      <c r="EK9" s="970"/>
      <c r="EL9" s="970"/>
      <c r="EM9" s="970"/>
      <c r="EN9" s="970"/>
      <c r="EO9" s="970"/>
      <c r="EP9" s="970"/>
      <c r="EQ9" s="970"/>
      <c r="ER9" s="970"/>
      <c r="ES9" s="970"/>
      <c r="ET9" s="970"/>
      <c r="EU9" s="970"/>
      <c r="EV9" s="970"/>
      <c r="EW9" s="970"/>
      <c r="EX9" s="970"/>
      <c r="EY9" s="970"/>
      <c r="EZ9" s="970"/>
      <c r="FA9" s="970"/>
      <c r="FB9" s="970"/>
      <c r="FC9" s="970"/>
      <c r="FD9" s="970"/>
      <c r="FE9" s="970"/>
      <c r="FF9" s="970"/>
      <c r="FG9" s="970"/>
      <c r="FH9" s="970"/>
      <c r="FI9" s="970"/>
      <c r="FJ9" s="970"/>
      <c r="FK9" s="970"/>
      <c r="FL9" s="970"/>
      <c r="FM9" s="970"/>
      <c r="FN9" s="970"/>
      <c r="FO9" s="970"/>
      <c r="FP9" s="970"/>
      <c r="FQ9" s="970"/>
      <c r="FR9" s="970"/>
      <c r="FS9" s="970"/>
      <c r="FT9" s="970"/>
      <c r="FU9" s="970"/>
      <c r="FV9" s="970"/>
      <c r="FW9" s="970"/>
      <c r="FX9" s="970"/>
      <c r="FY9" s="970"/>
      <c r="FZ9" s="970"/>
      <c r="GA9" s="970"/>
      <c r="GB9" s="970"/>
      <c r="GC9" s="970"/>
      <c r="GD9" s="970"/>
      <c r="GE9" s="970"/>
      <c r="GF9" s="970"/>
      <c r="GG9" s="970"/>
      <c r="GH9" s="970"/>
      <c r="GI9" s="970"/>
      <c r="GJ9" s="970"/>
      <c r="GK9" s="970"/>
      <c r="GL9" s="970"/>
      <c r="GM9" s="970"/>
      <c r="GN9" s="970"/>
      <c r="GO9" s="970"/>
      <c r="GP9" s="970"/>
      <c r="GQ9" s="970"/>
      <c r="GR9" s="970"/>
      <c r="GS9" s="970"/>
      <c r="GT9" s="970"/>
      <c r="GU9" s="970"/>
      <c r="GV9" s="970"/>
      <c r="GW9" s="970"/>
      <c r="GX9" s="970"/>
      <c r="GY9" s="970"/>
      <c r="GZ9" s="970"/>
      <c r="HA9" s="970"/>
      <c r="HB9" s="970"/>
      <c r="HC9" s="970"/>
      <c r="HD9" s="970"/>
      <c r="HE9" s="970"/>
      <c r="HF9" s="970"/>
      <c r="HG9" s="970"/>
      <c r="HH9" s="970"/>
      <c r="HI9" s="970"/>
      <c r="HJ9" s="970"/>
      <c r="HK9" s="970"/>
      <c r="HL9" s="970"/>
      <c r="HM9" s="970"/>
      <c r="HN9" s="970"/>
      <c r="HO9" s="970"/>
      <c r="HP9" s="970"/>
      <c r="HQ9" s="970"/>
      <c r="HR9" s="970"/>
      <c r="HS9" s="970"/>
      <c r="HT9" s="970"/>
      <c r="HU9" s="970"/>
      <c r="HV9" s="970"/>
      <c r="HW9" s="970"/>
      <c r="HX9" s="970"/>
      <c r="HY9" s="970"/>
      <c r="HZ9" s="970"/>
      <c r="IA9" s="970"/>
      <c r="IB9" s="970"/>
      <c r="IC9" s="970"/>
      <c r="ID9" s="970"/>
      <c r="IE9" s="970"/>
      <c r="IF9" s="970"/>
      <c r="IG9" s="970"/>
      <c r="IH9" s="970"/>
      <c r="II9" s="970"/>
      <c r="IJ9" s="970"/>
      <c r="IK9" s="970"/>
      <c r="IL9" s="970"/>
      <c r="IM9" s="970"/>
      <c r="IN9" s="970"/>
      <c r="IO9" s="970"/>
      <c r="IP9" s="970"/>
      <c r="IQ9" s="970"/>
      <c r="IR9" s="970"/>
      <c r="IS9" s="970"/>
      <c r="IT9" s="970"/>
      <c r="IU9" s="970"/>
      <c r="IV9" s="970"/>
      <c r="IW9" s="970"/>
      <c r="IX9" s="970"/>
      <c r="IY9" s="970"/>
      <c r="IZ9" s="970"/>
      <c r="JA9" s="970"/>
      <c r="JB9" s="970"/>
      <c r="JC9" s="970"/>
      <c r="JD9" s="970"/>
      <c r="JE9" s="970"/>
      <c r="JF9" s="970"/>
      <c r="JG9" s="970"/>
      <c r="JH9" s="970"/>
      <c r="JI9" s="970"/>
      <c r="JJ9" s="970"/>
      <c r="JK9" s="970"/>
      <c r="JL9" s="970"/>
      <c r="JM9" s="970"/>
      <c r="JN9" s="970"/>
      <c r="JO9" s="970"/>
      <c r="JP9" s="970"/>
      <c r="JQ9" s="970"/>
      <c r="JR9" s="970"/>
      <c r="JS9" s="970"/>
      <c r="JT9" s="970"/>
      <c r="JU9" s="970"/>
      <c r="JV9" s="970"/>
      <c r="JW9" s="970"/>
      <c r="JX9" s="970"/>
      <c r="JY9" s="970"/>
      <c r="JZ9" s="970"/>
      <c r="KA9" s="970"/>
      <c r="KB9" s="970"/>
      <c r="KC9" s="970"/>
      <c r="KD9" s="970"/>
      <c r="KE9" s="970"/>
      <c r="KF9" s="970"/>
      <c r="KG9" s="970"/>
      <c r="KH9" s="970"/>
      <c r="KI9" s="970"/>
      <c r="KJ9" s="970"/>
      <c r="KK9" s="970"/>
      <c r="KL9" s="970"/>
      <c r="KM9" s="970"/>
      <c r="KN9" s="970"/>
      <c r="KO9" s="970"/>
      <c r="KP9" s="970"/>
      <c r="KQ9" s="970"/>
      <c r="KR9" s="970"/>
      <c r="KS9" s="970"/>
      <c r="KT9" s="970"/>
      <c r="KU9" s="970"/>
      <c r="KV9" s="970"/>
      <c r="KW9" s="970"/>
      <c r="KX9" s="970"/>
      <c r="KY9" s="970"/>
      <c r="KZ9" s="970"/>
      <c r="LA9" s="970"/>
      <c r="LB9" s="970"/>
      <c r="LC9" s="970"/>
      <c r="LD9" s="970"/>
      <c r="LE9" s="970"/>
      <c r="LF9" s="970"/>
      <c r="LG9" s="970"/>
      <c r="LH9" s="970"/>
      <c r="LI9" s="970"/>
      <c r="LJ9" s="970"/>
      <c r="LK9" s="970"/>
      <c r="LL9" s="970"/>
      <c r="LM9" s="970"/>
      <c r="LN9" s="970"/>
      <c r="LO9" s="970"/>
      <c r="LP9" s="970"/>
      <c r="LQ9" s="970"/>
      <c r="LR9" s="970"/>
      <c r="LS9" s="970"/>
      <c r="LT9" s="970"/>
      <c r="LU9" s="970"/>
      <c r="LV9" s="970"/>
      <c r="LW9" s="970"/>
      <c r="LX9" s="970"/>
      <c r="LY9" s="970"/>
      <c r="LZ9" s="970"/>
      <c r="MA9" s="970"/>
      <c r="MB9" s="970"/>
      <c r="MC9" s="970"/>
      <c r="MD9" s="970"/>
      <c r="ME9" s="970"/>
      <c r="MF9" s="970"/>
      <c r="MG9" s="970"/>
      <c r="MH9" s="970"/>
      <c r="MI9" s="970"/>
      <c r="MJ9" s="970"/>
      <c r="MK9" s="970"/>
      <c r="ML9" s="970"/>
      <c r="MM9" s="970"/>
      <c r="MN9" s="970"/>
      <c r="MO9" s="970"/>
      <c r="MP9" s="970"/>
      <c r="MQ9" s="970"/>
      <c r="MR9" s="970"/>
      <c r="MS9" s="970"/>
      <c r="MT9" s="970"/>
      <c r="MU9" s="970"/>
      <c r="MV9" s="970"/>
      <c r="MW9" s="970"/>
      <c r="MX9" s="970"/>
      <c r="MY9" s="970"/>
      <c r="MZ9" s="970"/>
      <c r="NA9" s="970"/>
      <c r="NB9" s="970"/>
      <c r="NC9" s="970"/>
      <c r="ND9" s="970"/>
      <c r="NE9" s="970"/>
      <c r="NF9" s="970"/>
      <c r="NG9" s="970"/>
      <c r="NH9" s="970"/>
      <c r="NI9" s="970"/>
      <c r="NJ9" s="970"/>
      <c r="NK9" s="970"/>
      <c r="NL9" s="970"/>
      <c r="NM9" s="970"/>
      <c r="NN9" s="970"/>
      <c r="NO9" s="970"/>
      <c r="NP9" s="970"/>
      <c r="NQ9" s="970"/>
      <c r="NR9" s="970"/>
      <c r="NS9" s="970"/>
      <c r="NT9" s="970"/>
      <c r="NU9" s="970"/>
      <c r="NV9" s="970"/>
      <c r="NW9" s="970"/>
      <c r="NX9" s="970"/>
      <c r="NY9" s="970"/>
      <c r="NZ9" s="970"/>
      <c r="OA9" s="970"/>
      <c r="OB9" s="970"/>
      <c r="OC9" s="970"/>
      <c r="OD9" s="970"/>
      <c r="OE9" s="970"/>
      <c r="OF9" s="970"/>
      <c r="OG9" s="970"/>
      <c r="OH9" s="970"/>
      <c r="OI9" s="970"/>
      <c r="OJ9" s="970"/>
      <c r="OK9" s="970"/>
      <c r="OL9" s="970"/>
      <c r="OM9" s="970"/>
      <c r="ON9" s="970"/>
      <c r="OO9" s="970"/>
      <c r="OP9" s="970"/>
      <c r="OQ9" s="970"/>
      <c r="OR9" s="970"/>
      <c r="OS9" s="970"/>
      <c r="OT9" s="970"/>
      <c r="OU9" s="970"/>
      <c r="OV9" s="970"/>
      <c r="OW9" s="970"/>
      <c r="OX9" s="970"/>
      <c r="OY9" s="970"/>
      <c r="OZ9" s="970"/>
      <c r="PA9" s="970"/>
      <c r="PB9" s="970"/>
      <c r="PC9" s="970"/>
      <c r="PD9" s="970"/>
      <c r="PE9" s="970"/>
      <c r="PF9" s="970"/>
      <c r="PG9" s="970"/>
      <c r="PH9" s="970"/>
      <c r="PI9" s="970"/>
      <c r="PJ9" s="970"/>
      <c r="PK9" s="970"/>
      <c r="PL9" s="970"/>
      <c r="PM9" s="970"/>
      <c r="PN9" s="970"/>
      <c r="PO9" s="970"/>
      <c r="PP9" s="970"/>
      <c r="PQ9" s="970"/>
      <c r="PR9" s="970"/>
      <c r="PS9" s="970"/>
      <c r="PT9" s="970"/>
      <c r="PU9" s="970"/>
      <c r="PV9" s="970"/>
      <c r="PW9" s="970"/>
      <c r="PX9" s="970"/>
      <c r="PY9" s="970"/>
      <c r="PZ9" s="970"/>
      <c r="QA9" s="970"/>
      <c r="QB9" s="970"/>
      <c r="QC9" s="970"/>
      <c r="QD9" s="970"/>
      <c r="QE9" s="970"/>
      <c r="QF9" s="970"/>
      <c r="QG9" s="970"/>
      <c r="QH9" s="970"/>
      <c r="QI9" s="970"/>
      <c r="QJ9" s="970"/>
      <c r="QK9" s="970"/>
      <c r="QL9" s="970"/>
      <c r="QM9" s="970"/>
      <c r="QN9" s="970"/>
      <c r="QO9" s="970"/>
      <c r="QP9" s="970"/>
      <c r="QQ9" s="970"/>
      <c r="QR9" s="970"/>
      <c r="QS9" s="970"/>
      <c r="QT9" s="970"/>
      <c r="QU9" s="970"/>
      <c r="QV9" s="970"/>
      <c r="QW9" s="970"/>
      <c r="QX9" s="970"/>
      <c r="QY9" s="970"/>
      <c r="QZ9" s="970"/>
      <c r="RA9" s="970"/>
      <c r="RB9" s="970"/>
      <c r="RC9" s="970"/>
      <c r="RD9" s="970"/>
      <c r="RE9" s="970"/>
      <c r="RF9" s="970"/>
      <c r="RG9" s="970"/>
      <c r="RH9" s="970"/>
      <c r="RI9" s="970"/>
      <c r="RJ9" s="970"/>
      <c r="RK9" s="970"/>
      <c r="RL9" s="970"/>
      <c r="RM9" s="970"/>
      <c r="RN9" s="970"/>
      <c r="RO9" s="970"/>
      <c r="RP9" s="970"/>
      <c r="RQ9" s="970"/>
      <c r="RR9" s="970"/>
      <c r="RS9" s="970"/>
      <c r="RT9" s="970"/>
      <c r="RU9" s="970"/>
      <c r="RV9" s="970"/>
      <c r="RW9" s="970"/>
      <c r="RX9" s="970"/>
      <c r="RY9" s="970"/>
      <c r="RZ9" s="970"/>
      <c r="SA9" s="970"/>
      <c r="SB9" s="970"/>
      <c r="SC9" s="970"/>
      <c r="SD9" s="970"/>
      <c r="SE9" s="970"/>
      <c r="SF9" s="970"/>
      <c r="SG9" s="970"/>
      <c r="SH9" s="970"/>
      <c r="SI9" s="970"/>
      <c r="SJ9" s="970"/>
      <c r="SK9" s="970"/>
      <c r="SL9" s="970"/>
      <c r="SM9" s="970"/>
      <c r="SN9" s="970"/>
      <c r="SO9" s="970"/>
      <c r="SP9" s="970"/>
      <c r="SQ9" s="970"/>
      <c r="SR9" s="970"/>
    </row>
    <row r="10" spans="1:512" ht="15" customHeight="1">
      <c r="A10"/>
      <c r="B10" t="s">
        <v>2201</v>
      </c>
      <c r="C10"/>
      <c r="D10"/>
      <c r="E10" t="s">
        <v>237</v>
      </c>
      <c r="F10"/>
      <c r="G10" s="970">
        <v>1</v>
      </c>
      <c r="H10" s="970">
        <v>1</v>
      </c>
      <c r="I10" s="970"/>
      <c r="J10" s="970"/>
      <c r="K10" s="970"/>
      <c r="L10" s="970"/>
      <c r="M10" s="970"/>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970"/>
      <c r="AQ10" s="970"/>
      <c r="AR10" s="970"/>
      <c r="AS10" s="970"/>
      <c r="AT10" s="970"/>
      <c r="AU10" s="970"/>
      <c r="AV10" s="970"/>
      <c r="AW10" s="970"/>
      <c r="AX10" s="970"/>
      <c r="AY10" s="970"/>
      <c r="AZ10" s="970"/>
      <c r="BA10" s="970"/>
      <c r="BB10" s="970"/>
      <c r="BC10" s="970"/>
      <c r="BD10" s="970"/>
      <c r="BE10" s="970"/>
      <c r="BF10" s="970"/>
      <c r="BG10" s="970"/>
      <c r="BH10" s="970"/>
      <c r="BI10" s="970"/>
      <c r="BJ10" s="970"/>
      <c r="BK10" s="970"/>
      <c r="BL10" s="970"/>
      <c r="BM10" s="970"/>
      <c r="BN10" s="970"/>
      <c r="BO10" s="970"/>
      <c r="BP10" s="970"/>
      <c r="BQ10" s="970"/>
      <c r="BR10" s="970"/>
      <c r="BS10" s="970"/>
      <c r="BT10" s="970"/>
      <c r="BU10" s="970"/>
      <c r="BV10" s="970"/>
      <c r="BW10" s="970"/>
      <c r="BX10" s="970"/>
      <c r="BY10" s="970"/>
      <c r="BZ10" s="970"/>
      <c r="CA10" s="970"/>
      <c r="CB10" s="970"/>
      <c r="CC10" s="970"/>
      <c r="CD10" s="970"/>
      <c r="CE10" s="970"/>
      <c r="CF10" s="970"/>
      <c r="CG10" s="970"/>
      <c r="CH10" s="970"/>
      <c r="CI10" s="970"/>
      <c r="CJ10" s="970"/>
      <c r="CK10" s="970"/>
      <c r="CL10" s="970"/>
      <c r="CM10" s="970"/>
      <c r="CN10" s="970"/>
      <c r="CO10" s="970"/>
      <c r="CP10" s="970"/>
      <c r="CQ10" s="970"/>
      <c r="CR10" s="970"/>
      <c r="CS10" s="970"/>
      <c r="CT10" s="970"/>
      <c r="CU10" s="970"/>
      <c r="CV10" s="970"/>
      <c r="CW10" s="970"/>
      <c r="CX10" s="970"/>
      <c r="CY10" s="970"/>
      <c r="CZ10" s="970"/>
      <c r="DA10" s="970"/>
      <c r="DB10" s="970"/>
      <c r="DC10" s="970"/>
      <c r="DD10" s="970"/>
      <c r="DE10" s="970"/>
      <c r="DF10" s="970"/>
      <c r="DG10" s="970"/>
      <c r="DH10" s="970"/>
      <c r="DI10" s="970"/>
      <c r="DJ10" s="970"/>
      <c r="DK10" s="970"/>
      <c r="DL10" s="970"/>
      <c r="DM10" s="970"/>
      <c r="DN10" s="970"/>
      <c r="DO10" s="970"/>
      <c r="DP10" s="970"/>
      <c r="DQ10" s="970"/>
      <c r="DR10" s="970"/>
      <c r="DS10" s="970"/>
      <c r="DT10" s="970"/>
      <c r="DU10" s="970"/>
      <c r="DV10" s="970"/>
      <c r="DW10" s="970"/>
      <c r="DX10" s="970"/>
      <c r="DY10" s="970"/>
      <c r="DZ10" s="970"/>
      <c r="EA10" s="970"/>
      <c r="EB10" s="970"/>
      <c r="EC10" s="970"/>
      <c r="ED10" s="970"/>
      <c r="EE10" s="970"/>
      <c r="EF10" s="970"/>
      <c r="EG10" s="970"/>
      <c r="EH10" s="970"/>
      <c r="EI10" s="970"/>
      <c r="EJ10" s="970"/>
      <c r="EK10" s="970"/>
      <c r="EL10" s="970"/>
      <c r="EM10" s="970"/>
      <c r="EN10" s="970"/>
      <c r="EO10" s="970"/>
      <c r="EP10" s="970"/>
      <c r="EQ10" s="970"/>
      <c r="ER10" s="970"/>
      <c r="ES10" s="970"/>
      <c r="ET10" s="970"/>
      <c r="EU10" s="970"/>
      <c r="EV10" s="970"/>
      <c r="EW10" s="970"/>
      <c r="EX10" s="970"/>
      <c r="EY10" s="970"/>
      <c r="EZ10" s="970"/>
      <c r="FA10" s="970"/>
      <c r="FB10" s="970"/>
      <c r="FC10" s="970"/>
      <c r="FD10" s="970"/>
      <c r="FE10" s="970"/>
      <c r="FF10" s="970"/>
      <c r="FG10" s="970"/>
      <c r="FH10" s="970"/>
      <c r="FI10" s="970"/>
      <c r="FJ10" s="970"/>
      <c r="FK10" s="970"/>
      <c r="FL10" s="970"/>
      <c r="FM10" s="970"/>
      <c r="FN10" s="970"/>
      <c r="FO10" s="970"/>
      <c r="FP10" s="970"/>
      <c r="FQ10" s="970"/>
      <c r="FR10" s="970"/>
      <c r="FS10" s="970"/>
      <c r="FT10" s="970"/>
      <c r="FU10" s="970"/>
      <c r="FV10" s="970"/>
      <c r="FW10" s="970"/>
      <c r="FX10" s="970"/>
      <c r="FY10" s="970"/>
      <c r="FZ10" s="970"/>
      <c r="GA10" s="970"/>
      <c r="GB10" s="970"/>
      <c r="GC10" s="970"/>
      <c r="GD10" s="970"/>
      <c r="GE10" s="970"/>
      <c r="GF10" s="970"/>
      <c r="GG10" s="970"/>
      <c r="GH10" s="970"/>
      <c r="GI10" s="970"/>
      <c r="GJ10" s="970"/>
      <c r="GK10" s="970"/>
      <c r="GL10" s="970"/>
      <c r="GM10" s="970"/>
      <c r="GN10" s="970"/>
      <c r="GO10" s="970"/>
      <c r="GP10" s="970"/>
      <c r="GQ10" s="970"/>
      <c r="GR10" s="970"/>
      <c r="GS10" s="970"/>
      <c r="GT10" s="970"/>
      <c r="GU10" s="970"/>
      <c r="GV10" s="970"/>
      <c r="GW10" s="970"/>
      <c r="GX10" s="970"/>
      <c r="GY10" s="970"/>
      <c r="GZ10" s="970"/>
      <c r="HA10" s="970"/>
      <c r="HB10" s="970"/>
      <c r="HC10" s="970"/>
      <c r="HD10" s="970"/>
      <c r="HE10" s="970"/>
      <c r="HF10" s="970"/>
      <c r="HG10" s="970"/>
      <c r="HH10" s="970"/>
      <c r="HI10" s="970"/>
      <c r="HJ10" s="970"/>
      <c r="HK10" s="970"/>
      <c r="HL10" s="970"/>
      <c r="HM10" s="970"/>
      <c r="HN10" s="970"/>
      <c r="HO10" s="970"/>
      <c r="HP10" s="970"/>
      <c r="HQ10" s="970"/>
      <c r="HR10" s="970"/>
      <c r="HS10" s="970"/>
      <c r="HT10" s="970"/>
      <c r="HU10" s="970"/>
      <c r="HV10" s="970"/>
      <c r="HW10" s="970"/>
      <c r="HX10" s="970"/>
      <c r="HY10" s="970"/>
      <c r="HZ10" s="970"/>
      <c r="IA10" s="970"/>
      <c r="IB10" s="970"/>
      <c r="IC10" s="970"/>
      <c r="ID10" s="970"/>
      <c r="IE10" s="970"/>
      <c r="IF10" s="970"/>
      <c r="IG10" s="970"/>
      <c r="IH10" s="970"/>
      <c r="II10" s="970"/>
      <c r="IJ10" s="970"/>
      <c r="IK10" s="970"/>
      <c r="IL10" s="970"/>
      <c r="IM10" s="970"/>
      <c r="IN10" s="970"/>
      <c r="IO10" s="970"/>
      <c r="IP10" s="970"/>
      <c r="IQ10" s="970"/>
      <c r="IR10" s="970"/>
      <c r="IS10" s="970"/>
      <c r="IT10" s="970"/>
      <c r="IU10" s="970"/>
      <c r="IV10" s="970"/>
      <c r="IW10" s="970"/>
      <c r="IX10" s="970"/>
      <c r="IY10" s="970"/>
      <c r="IZ10" s="970"/>
      <c r="JA10" s="970"/>
      <c r="JB10" s="970"/>
      <c r="JC10" s="970"/>
      <c r="JD10" s="970"/>
      <c r="JE10" s="970"/>
      <c r="JF10" s="970"/>
      <c r="JG10" s="970"/>
      <c r="JH10" s="970"/>
      <c r="JI10" s="970"/>
      <c r="JJ10" s="970"/>
      <c r="JK10" s="970"/>
      <c r="JL10" s="970"/>
      <c r="JM10" s="970"/>
      <c r="JN10" s="970"/>
      <c r="JO10" s="970"/>
      <c r="JP10" s="970"/>
      <c r="JQ10" s="970"/>
      <c r="JR10" s="970"/>
      <c r="JS10" s="970"/>
      <c r="JT10" s="970"/>
      <c r="JU10" s="970"/>
      <c r="JV10" s="970"/>
      <c r="JW10" s="970"/>
      <c r="JX10" s="970"/>
      <c r="JY10" s="970"/>
      <c r="JZ10" s="970"/>
      <c r="KA10" s="970"/>
      <c r="KB10" s="970"/>
      <c r="KC10" s="970"/>
      <c r="KD10" s="970"/>
      <c r="KE10" s="970"/>
      <c r="KF10" s="970"/>
      <c r="KG10" s="970"/>
      <c r="KH10" s="970"/>
      <c r="KI10" s="970"/>
      <c r="KJ10" s="970"/>
      <c r="KK10" s="970"/>
      <c r="KL10" s="970"/>
      <c r="KM10" s="970"/>
      <c r="KN10" s="970"/>
      <c r="KO10" s="970"/>
      <c r="KP10" s="970"/>
      <c r="KQ10" s="970"/>
      <c r="KR10" s="970"/>
      <c r="KS10" s="970"/>
      <c r="KT10" s="970"/>
      <c r="KU10" s="970"/>
      <c r="KV10" s="970"/>
      <c r="KW10" s="970"/>
      <c r="KX10" s="970"/>
      <c r="KY10" s="970"/>
      <c r="KZ10" s="970"/>
      <c r="LA10" s="970"/>
      <c r="LB10" s="970"/>
      <c r="LC10" s="970"/>
      <c r="LD10" s="970"/>
      <c r="LE10" s="970"/>
      <c r="LF10" s="970"/>
      <c r="LG10" s="970"/>
      <c r="LH10" s="970"/>
      <c r="LI10" s="970"/>
      <c r="LJ10" s="970"/>
      <c r="LK10" s="970"/>
      <c r="LL10" s="970"/>
      <c r="LM10" s="970"/>
      <c r="LN10" s="970"/>
      <c r="LO10" s="970"/>
      <c r="LP10" s="970"/>
      <c r="LQ10" s="970"/>
      <c r="LR10" s="970"/>
      <c r="LS10" s="970"/>
      <c r="LT10" s="970"/>
      <c r="LU10" s="970"/>
      <c r="LV10" s="970"/>
      <c r="LW10" s="970"/>
      <c r="LX10" s="970"/>
      <c r="LY10" s="970"/>
      <c r="LZ10" s="970"/>
      <c r="MA10" s="970"/>
      <c r="MB10" s="970"/>
      <c r="MC10" s="970"/>
      <c r="MD10" s="970"/>
      <c r="ME10" s="970"/>
      <c r="MF10" s="970"/>
      <c r="MG10" s="970"/>
      <c r="MH10" s="970"/>
      <c r="MI10" s="970"/>
      <c r="MJ10" s="970"/>
      <c r="MK10" s="970"/>
      <c r="ML10" s="970"/>
      <c r="MM10" s="970"/>
      <c r="MN10" s="970"/>
      <c r="MO10" s="970"/>
      <c r="MP10" s="970"/>
      <c r="MQ10" s="970"/>
      <c r="MR10" s="970"/>
      <c r="MS10" s="970"/>
      <c r="MT10" s="970"/>
      <c r="MU10" s="970"/>
      <c r="MV10" s="970"/>
      <c r="MW10" s="970"/>
      <c r="MX10" s="970"/>
      <c r="MY10" s="970"/>
      <c r="MZ10" s="970"/>
      <c r="NA10" s="970"/>
      <c r="NB10" s="970"/>
      <c r="NC10" s="970"/>
      <c r="ND10" s="970"/>
      <c r="NE10" s="970"/>
      <c r="NF10" s="970"/>
      <c r="NG10" s="970"/>
      <c r="NH10" s="970"/>
      <c r="NI10" s="970"/>
      <c r="NJ10" s="970"/>
      <c r="NK10" s="970"/>
      <c r="NL10" s="970"/>
      <c r="NM10" s="970"/>
      <c r="NN10" s="970"/>
      <c r="NO10" s="970"/>
      <c r="NP10" s="970"/>
      <c r="NQ10" s="970"/>
      <c r="NR10" s="970"/>
      <c r="NS10" s="970"/>
      <c r="NT10" s="970"/>
      <c r="NU10" s="970"/>
      <c r="NV10" s="970"/>
      <c r="NW10" s="970"/>
      <c r="NX10" s="970"/>
      <c r="NY10" s="970"/>
      <c r="NZ10" s="970"/>
      <c r="OA10" s="970"/>
      <c r="OB10" s="970"/>
      <c r="OC10" s="970"/>
      <c r="OD10" s="970"/>
      <c r="OE10" s="970"/>
      <c r="OF10" s="970"/>
      <c r="OG10" s="970"/>
      <c r="OH10" s="970"/>
      <c r="OI10" s="970"/>
      <c r="OJ10" s="970"/>
      <c r="OK10" s="970"/>
      <c r="OL10" s="970"/>
      <c r="OM10" s="970"/>
      <c r="ON10" s="970"/>
      <c r="OO10" s="970"/>
      <c r="OP10" s="970"/>
      <c r="OQ10" s="970"/>
      <c r="OR10" s="970"/>
      <c r="OS10" s="970"/>
      <c r="OT10" s="970"/>
      <c r="OU10" s="970"/>
      <c r="OV10" s="970"/>
      <c r="OW10" s="970"/>
      <c r="OX10" s="970"/>
      <c r="OY10" s="970"/>
      <c r="OZ10" s="970"/>
      <c r="PA10" s="970"/>
      <c r="PB10" s="970"/>
      <c r="PC10" s="970"/>
      <c r="PD10" s="970"/>
      <c r="PE10" s="970"/>
      <c r="PF10" s="970"/>
      <c r="PG10" s="970"/>
      <c r="PH10" s="970"/>
      <c r="PI10" s="970"/>
      <c r="PJ10" s="970"/>
      <c r="PK10" s="970"/>
      <c r="PL10" s="970"/>
      <c r="PM10" s="970"/>
      <c r="PN10" s="970"/>
      <c r="PO10" s="970"/>
      <c r="PP10" s="970"/>
      <c r="PQ10" s="970"/>
      <c r="PR10" s="970"/>
      <c r="PS10" s="970"/>
      <c r="PT10" s="970"/>
      <c r="PU10" s="970"/>
      <c r="PV10" s="970"/>
      <c r="PW10" s="970"/>
      <c r="PX10" s="970"/>
      <c r="PY10" s="970"/>
      <c r="PZ10" s="970"/>
      <c r="QA10" s="970"/>
      <c r="QB10" s="970"/>
      <c r="QC10" s="970"/>
      <c r="QD10" s="970"/>
      <c r="QE10" s="970"/>
      <c r="QF10" s="970"/>
      <c r="QG10" s="970"/>
      <c r="QH10" s="970"/>
      <c r="QI10" s="970"/>
      <c r="QJ10" s="970"/>
      <c r="QK10" s="970"/>
      <c r="QL10" s="970"/>
      <c r="QM10" s="970"/>
      <c r="QN10" s="970"/>
      <c r="QO10" s="970"/>
      <c r="QP10" s="970"/>
      <c r="QQ10" s="970"/>
      <c r="QR10" s="970"/>
      <c r="QS10" s="970"/>
      <c r="QT10" s="970"/>
      <c r="QU10" s="970"/>
      <c r="QV10" s="970"/>
      <c r="QW10" s="970"/>
      <c r="QX10" s="970"/>
      <c r="QY10" s="970"/>
      <c r="QZ10" s="970"/>
      <c r="RA10" s="970"/>
      <c r="RB10" s="970"/>
      <c r="RC10" s="970"/>
      <c r="RD10" s="970"/>
      <c r="RE10" s="970"/>
      <c r="RF10" s="970"/>
      <c r="RG10" s="970"/>
      <c r="RH10" s="970"/>
      <c r="RI10" s="970"/>
      <c r="RJ10" s="970"/>
      <c r="RK10" s="970"/>
      <c r="RL10" s="970"/>
      <c r="RM10" s="970"/>
      <c r="RN10" s="970"/>
      <c r="RO10" s="970"/>
      <c r="RP10" s="970"/>
      <c r="RQ10" s="970"/>
      <c r="RR10" s="970"/>
      <c r="RS10" s="970"/>
      <c r="RT10" s="970"/>
      <c r="RU10" s="970"/>
      <c r="RV10" s="970"/>
      <c r="RW10" s="970"/>
      <c r="RX10" s="970"/>
      <c r="RY10" s="970"/>
      <c r="RZ10" s="970"/>
      <c r="SA10" s="970"/>
      <c r="SB10" s="970"/>
      <c r="SC10" s="970"/>
      <c r="SD10" s="970"/>
      <c r="SE10" s="970"/>
      <c r="SF10" s="970"/>
      <c r="SG10" s="970"/>
      <c r="SH10" s="970"/>
      <c r="SI10" s="970"/>
      <c r="SJ10" s="970"/>
      <c r="SK10" s="970"/>
      <c r="SL10" s="970"/>
      <c r="SM10" s="970"/>
      <c r="SN10" s="970"/>
      <c r="SO10" s="970"/>
      <c r="SP10" s="970"/>
      <c r="SQ10" s="970"/>
      <c r="SR10" s="970"/>
    </row>
    <row r="11" spans="1:512" ht="15" customHeight="1">
      <c r="A11"/>
      <c r="B11" t="s">
        <v>1594</v>
      </c>
      <c r="C11"/>
      <c r="D11"/>
      <c r="E11" t="s">
        <v>237</v>
      </c>
      <c r="F11"/>
      <c r="G11" s="970">
        <v>1</v>
      </c>
      <c r="H11" s="970">
        <v>0</v>
      </c>
      <c r="I11" s="970"/>
      <c r="J11" s="970"/>
      <c r="K11" s="970"/>
      <c r="L11" s="970"/>
      <c r="M11" s="970"/>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970"/>
      <c r="AQ11" s="970"/>
      <c r="AR11" s="970"/>
      <c r="AS11" s="970"/>
      <c r="AT11" s="970"/>
      <c r="AU11" s="970"/>
      <c r="AV11" s="970"/>
      <c r="AW11" s="970"/>
      <c r="AX11" s="970"/>
      <c r="AY11" s="970"/>
      <c r="AZ11" s="970"/>
      <c r="BA11" s="970"/>
      <c r="BB11" s="970"/>
      <c r="BC11" s="970"/>
      <c r="BD11" s="970"/>
      <c r="BE11" s="970"/>
      <c r="BF11" s="970"/>
      <c r="BG11" s="970"/>
      <c r="BH11" s="970"/>
      <c r="BI11" s="970"/>
      <c r="BJ11" s="970"/>
      <c r="BK11" s="970"/>
      <c r="BL11" s="970"/>
      <c r="BM11" s="970"/>
      <c r="BN11" s="970"/>
      <c r="BO11" s="970"/>
      <c r="BP11" s="970"/>
      <c r="BQ11" s="970"/>
      <c r="BR11" s="970"/>
      <c r="BS11" s="970"/>
      <c r="BT11" s="970"/>
      <c r="BU11" s="970"/>
      <c r="BV11" s="970"/>
      <c r="BW11" s="970"/>
      <c r="BX11" s="970"/>
      <c r="BY11" s="970"/>
      <c r="BZ11" s="970"/>
      <c r="CA11" s="970"/>
      <c r="CB11" s="970"/>
      <c r="CC11" s="970"/>
      <c r="CD11" s="970"/>
      <c r="CE11" s="970"/>
      <c r="CF11" s="970"/>
      <c r="CG11" s="970"/>
      <c r="CH11" s="970"/>
      <c r="CI11" s="970"/>
      <c r="CJ11" s="970"/>
      <c r="CK11" s="970"/>
      <c r="CL11" s="970"/>
      <c r="CM11" s="970"/>
      <c r="CN11" s="970"/>
      <c r="CO11" s="970"/>
      <c r="CP11" s="970"/>
      <c r="CQ11" s="970"/>
      <c r="CR11" s="970"/>
      <c r="CS11" s="970"/>
      <c r="CT11" s="970"/>
      <c r="CU11" s="970"/>
      <c r="CV11" s="970"/>
      <c r="CW11" s="970"/>
      <c r="CX11" s="970"/>
      <c r="CY11" s="970"/>
      <c r="CZ11" s="970"/>
      <c r="DA11" s="970"/>
      <c r="DB11" s="970"/>
      <c r="DC11" s="970"/>
      <c r="DD11" s="970"/>
      <c r="DE11" s="970"/>
      <c r="DF11" s="970"/>
      <c r="DG11" s="970"/>
      <c r="DH11" s="970"/>
      <c r="DI11" s="970"/>
      <c r="DJ11" s="970"/>
      <c r="DK11" s="970"/>
      <c r="DL11" s="970"/>
      <c r="DM11" s="970"/>
      <c r="DN11" s="970"/>
      <c r="DO11" s="970"/>
      <c r="DP11" s="970"/>
      <c r="DQ11" s="970"/>
      <c r="DR11" s="970"/>
      <c r="DS11" s="970"/>
      <c r="DT11" s="970"/>
      <c r="DU11" s="970"/>
      <c r="DV11" s="970"/>
      <c r="DW11" s="970"/>
      <c r="DX11" s="970"/>
      <c r="DY11" s="970"/>
      <c r="DZ11" s="970"/>
      <c r="EA11" s="970"/>
      <c r="EB11" s="970"/>
      <c r="EC11" s="970"/>
      <c r="ED11" s="970"/>
      <c r="EE11" s="970"/>
      <c r="EF11" s="970"/>
      <c r="EG11" s="970"/>
      <c r="EH11" s="970"/>
      <c r="EI11" s="970"/>
      <c r="EJ11" s="970"/>
      <c r="EK11" s="970"/>
      <c r="EL11" s="970"/>
      <c r="EM11" s="970"/>
      <c r="EN11" s="970"/>
      <c r="EO11" s="970"/>
      <c r="EP11" s="970"/>
      <c r="EQ11" s="970"/>
      <c r="ER11" s="970"/>
      <c r="ES11" s="970"/>
      <c r="ET11" s="970"/>
      <c r="EU11" s="970"/>
      <c r="EV11" s="970"/>
      <c r="EW11" s="970"/>
      <c r="EX11" s="970"/>
      <c r="EY11" s="970"/>
      <c r="EZ11" s="970"/>
      <c r="FA11" s="970"/>
      <c r="FB11" s="970"/>
      <c r="FC11" s="970"/>
      <c r="FD11" s="970"/>
      <c r="FE11" s="970"/>
      <c r="FF11" s="970"/>
      <c r="FG11" s="970"/>
      <c r="FH11" s="970"/>
      <c r="FI11" s="970"/>
      <c r="FJ11" s="970"/>
      <c r="FK11" s="970"/>
      <c r="FL11" s="970"/>
      <c r="FM11" s="970"/>
      <c r="FN11" s="970"/>
      <c r="FO11" s="970"/>
      <c r="FP11" s="970"/>
      <c r="FQ11" s="970"/>
      <c r="FR11" s="970"/>
      <c r="FS11" s="970"/>
      <c r="FT11" s="970"/>
      <c r="FU11" s="970"/>
      <c r="FV11" s="970"/>
      <c r="FW11" s="970"/>
      <c r="FX11" s="970"/>
      <c r="FY11" s="970"/>
      <c r="FZ11" s="970"/>
      <c r="GA11" s="970"/>
      <c r="GB11" s="970"/>
      <c r="GC11" s="970"/>
      <c r="GD11" s="970"/>
      <c r="GE11" s="970"/>
      <c r="GF11" s="970"/>
      <c r="GG11" s="970"/>
      <c r="GH11" s="970"/>
      <c r="GI11" s="970"/>
      <c r="GJ11" s="970"/>
      <c r="GK11" s="970"/>
      <c r="GL11" s="970"/>
      <c r="GM11" s="970"/>
      <c r="GN11" s="970"/>
      <c r="GO11" s="970"/>
      <c r="GP11" s="970"/>
      <c r="GQ11" s="970"/>
      <c r="GR11" s="970"/>
      <c r="GS11" s="970"/>
      <c r="GT11" s="970"/>
      <c r="GU11" s="970"/>
      <c r="GV11" s="970"/>
      <c r="GW11" s="970"/>
      <c r="GX11" s="970"/>
      <c r="GY11" s="970"/>
      <c r="GZ11" s="970"/>
      <c r="HA11" s="970"/>
      <c r="HB11" s="970"/>
      <c r="HC11" s="970"/>
      <c r="HD11" s="970"/>
      <c r="HE11" s="970"/>
      <c r="HF11" s="970"/>
      <c r="HG11" s="970"/>
      <c r="HH11" s="970"/>
      <c r="HI11" s="970"/>
      <c r="HJ11" s="970"/>
      <c r="HK11" s="970"/>
      <c r="HL11" s="970"/>
      <c r="HM11" s="970"/>
      <c r="HN11" s="970"/>
      <c r="HO11" s="970"/>
      <c r="HP11" s="970"/>
      <c r="HQ11" s="970"/>
      <c r="HR11" s="970"/>
      <c r="HS11" s="970"/>
      <c r="HT11" s="970"/>
      <c r="HU11" s="970"/>
      <c r="HV11" s="970"/>
      <c r="HW11" s="970"/>
      <c r="HX11" s="970"/>
      <c r="HY11" s="970"/>
      <c r="HZ11" s="970"/>
      <c r="IA11" s="970"/>
      <c r="IB11" s="970"/>
      <c r="IC11" s="970"/>
      <c r="ID11" s="970"/>
      <c r="IE11" s="970"/>
      <c r="IF11" s="970"/>
      <c r="IG11" s="970"/>
      <c r="IH11" s="970"/>
      <c r="II11" s="970"/>
      <c r="IJ11" s="970"/>
      <c r="IK11" s="970"/>
      <c r="IL11" s="970"/>
      <c r="IM11" s="970"/>
      <c r="IN11" s="970"/>
      <c r="IO11" s="970"/>
      <c r="IP11" s="970"/>
      <c r="IQ11" s="970"/>
      <c r="IR11" s="970"/>
      <c r="IS11" s="970"/>
      <c r="IT11" s="970"/>
      <c r="IU11" s="970"/>
      <c r="IV11" s="970"/>
      <c r="IW11" s="970"/>
      <c r="IX11" s="970"/>
      <c r="IY11" s="970"/>
      <c r="IZ11" s="970"/>
      <c r="JA11" s="970"/>
      <c r="JB11" s="970"/>
      <c r="JC11" s="970"/>
      <c r="JD11" s="970"/>
      <c r="JE11" s="970"/>
      <c r="JF11" s="970"/>
      <c r="JG11" s="970"/>
      <c r="JH11" s="970"/>
      <c r="JI11" s="970"/>
      <c r="JJ11" s="970"/>
      <c r="JK11" s="970"/>
      <c r="JL11" s="970"/>
      <c r="JM11" s="970"/>
      <c r="JN11" s="970"/>
      <c r="JO11" s="970"/>
      <c r="JP11" s="970"/>
      <c r="JQ11" s="970"/>
      <c r="JR11" s="970"/>
      <c r="JS11" s="970"/>
      <c r="JT11" s="970"/>
      <c r="JU11" s="970"/>
      <c r="JV11" s="970"/>
      <c r="JW11" s="970"/>
      <c r="JX11" s="970"/>
      <c r="JY11" s="970"/>
      <c r="JZ11" s="970"/>
      <c r="KA11" s="970"/>
      <c r="KB11" s="970"/>
      <c r="KC11" s="970"/>
      <c r="KD11" s="970"/>
      <c r="KE11" s="970"/>
      <c r="KF11" s="970"/>
      <c r="KG11" s="970"/>
      <c r="KH11" s="970"/>
      <c r="KI11" s="970"/>
      <c r="KJ11" s="970"/>
      <c r="KK11" s="970"/>
      <c r="KL11" s="970"/>
      <c r="KM11" s="970"/>
      <c r="KN11" s="970"/>
      <c r="KO11" s="970"/>
      <c r="KP11" s="970"/>
      <c r="KQ11" s="970"/>
      <c r="KR11" s="970"/>
      <c r="KS11" s="970"/>
      <c r="KT11" s="970"/>
      <c r="KU11" s="970"/>
      <c r="KV11" s="970"/>
      <c r="KW11" s="970"/>
      <c r="KX11" s="970"/>
      <c r="KY11" s="970"/>
      <c r="KZ11" s="970"/>
      <c r="LA11" s="970"/>
      <c r="LB11" s="970"/>
      <c r="LC11" s="970"/>
      <c r="LD11" s="970"/>
      <c r="LE11" s="970"/>
      <c r="LF11" s="970"/>
      <c r="LG11" s="970"/>
      <c r="LH11" s="970"/>
      <c r="LI11" s="970"/>
      <c r="LJ11" s="970"/>
      <c r="LK11" s="970"/>
      <c r="LL11" s="970"/>
      <c r="LM11" s="970"/>
      <c r="LN11" s="970"/>
      <c r="LO11" s="970"/>
      <c r="LP11" s="970"/>
      <c r="LQ11" s="970"/>
      <c r="LR11" s="970"/>
      <c r="LS11" s="970"/>
      <c r="LT11" s="970"/>
      <c r="LU11" s="970"/>
      <c r="LV11" s="970"/>
      <c r="LW11" s="970"/>
      <c r="LX11" s="970"/>
      <c r="LY11" s="970"/>
      <c r="LZ11" s="970"/>
      <c r="MA11" s="970"/>
      <c r="MB11" s="970"/>
      <c r="MC11" s="970"/>
      <c r="MD11" s="970"/>
      <c r="ME11" s="970"/>
      <c r="MF11" s="970"/>
      <c r="MG11" s="970"/>
      <c r="MH11" s="970"/>
      <c r="MI11" s="970"/>
      <c r="MJ11" s="970"/>
      <c r="MK11" s="970"/>
      <c r="ML11" s="970"/>
      <c r="MM11" s="970"/>
      <c r="MN11" s="970"/>
      <c r="MO11" s="970"/>
      <c r="MP11" s="970"/>
      <c r="MQ11" s="970"/>
      <c r="MR11" s="970"/>
      <c r="MS11" s="970"/>
      <c r="MT11" s="970"/>
      <c r="MU11" s="970"/>
      <c r="MV11" s="970"/>
      <c r="MW11" s="970"/>
      <c r="MX11" s="970"/>
      <c r="MY11" s="970"/>
      <c r="MZ11" s="970"/>
      <c r="NA11" s="970"/>
      <c r="NB11" s="970"/>
      <c r="NC11" s="970"/>
      <c r="ND11" s="970"/>
      <c r="NE11" s="970"/>
      <c r="NF11" s="970"/>
      <c r="NG11" s="970"/>
      <c r="NH11" s="970"/>
      <c r="NI11" s="970"/>
      <c r="NJ11" s="970"/>
      <c r="NK11" s="970"/>
      <c r="NL11" s="970"/>
      <c r="NM11" s="970"/>
      <c r="NN11" s="970"/>
      <c r="NO11" s="970"/>
      <c r="NP11" s="970"/>
      <c r="NQ11" s="970"/>
      <c r="NR11" s="970"/>
      <c r="NS11" s="970"/>
      <c r="NT11" s="970"/>
      <c r="NU11" s="970"/>
      <c r="NV11" s="970"/>
      <c r="NW11" s="970"/>
      <c r="NX11" s="970"/>
      <c r="NY11" s="970"/>
      <c r="NZ11" s="970"/>
      <c r="OA11" s="970"/>
      <c r="OB11" s="970"/>
      <c r="OC11" s="970"/>
      <c r="OD11" s="970"/>
      <c r="OE11" s="970"/>
      <c r="OF11" s="970"/>
      <c r="OG11" s="970"/>
      <c r="OH11" s="970"/>
      <c r="OI11" s="970"/>
      <c r="OJ11" s="970"/>
      <c r="OK11" s="970"/>
      <c r="OL11" s="970"/>
      <c r="OM11" s="970"/>
      <c r="ON11" s="970"/>
      <c r="OO11" s="970"/>
      <c r="OP11" s="970"/>
      <c r="OQ11" s="970"/>
      <c r="OR11" s="970"/>
      <c r="OS11" s="970"/>
      <c r="OT11" s="970"/>
      <c r="OU11" s="970"/>
      <c r="OV11" s="970"/>
      <c r="OW11" s="970"/>
      <c r="OX11" s="970"/>
      <c r="OY11" s="970"/>
      <c r="OZ11" s="970"/>
      <c r="PA11" s="970"/>
      <c r="PB11" s="970"/>
      <c r="PC11" s="970"/>
      <c r="PD11" s="970"/>
      <c r="PE11" s="970"/>
      <c r="PF11" s="970"/>
      <c r="PG11" s="970"/>
      <c r="PH11" s="970"/>
      <c r="PI11" s="970"/>
      <c r="PJ11" s="970"/>
      <c r="PK11" s="970"/>
      <c r="PL11" s="970"/>
      <c r="PM11" s="970"/>
      <c r="PN11" s="970"/>
      <c r="PO11" s="970"/>
      <c r="PP11" s="970"/>
      <c r="PQ11" s="970"/>
      <c r="PR11" s="970"/>
      <c r="PS11" s="970"/>
      <c r="PT11" s="970"/>
      <c r="PU11" s="970"/>
      <c r="PV11" s="970"/>
      <c r="PW11" s="970"/>
      <c r="PX11" s="970"/>
      <c r="PY11" s="970"/>
      <c r="PZ11" s="970"/>
      <c r="QA11" s="970"/>
      <c r="QB11" s="970"/>
      <c r="QC11" s="970"/>
      <c r="QD11" s="970"/>
      <c r="QE11" s="970"/>
      <c r="QF11" s="970"/>
      <c r="QG11" s="970"/>
      <c r="QH11" s="970"/>
      <c r="QI11" s="970"/>
      <c r="QJ11" s="970"/>
      <c r="QK11" s="970"/>
      <c r="QL11" s="970"/>
      <c r="QM11" s="970"/>
      <c r="QN11" s="970"/>
      <c r="QO11" s="970"/>
      <c r="QP11" s="970"/>
      <c r="QQ11" s="970"/>
      <c r="QR11" s="970"/>
      <c r="QS11" s="970"/>
      <c r="QT11" s="970"/>
      <c r="QU11" s="970"/>
      <c r="QV11" s="970"/>
      <c r="QW11" s="970"/>
      <c r="QX11" s="970"/>
      <c r="QY11" s="970"/>
      <c r="QZ11" s="970"/>
      <c r="RA11" s="970"/>
      <c r="RB11" s="970"/>
      <c r="RC11" s="970"/>
      <c r="RD11" s="970"/>
      <c r="RE11" s="970"/>
      <c r="RF11" s="970"/>
      <c r="RG11" s="970"/>
      <c r="RH11" s="970"/>
      <c r="RI11" s="970"/>
      <c r="RJ11" s="970"/>
      <c r="RK11" s="970"/>
      <c r="RL11" s="970"/>
      <c r="RM11" s="970"/>
      <c r="RN11" s="970"/>
      <c r="RO11" s="970"/>
      <c r="RP11" s="970"/>
      <c r="RQ11" s="970"/>
      <c r="RR11" s="970"/>
      <c r="RS11" s="970"/>
      <c r="RT11" s="970"/>
      <c r="RU11" s="970"/>
      <c r="RV11" s="970"/>
      <c r="RW11" s="970"/>
      <c r="RX11" s="970"/>
      <c r="RY11" s="970"/>
      <c r="RZ11" s="970"/>
      <c r="SA11" s="970"/>
      <c r="SB11" s="970"/>
      <c r="SC11" s="970"/>
      <c r="SD11" s="970"/>
      <c r="SE11" s="970"/>
      <c r="SF11" s="970"/>
      <c r="SG11" s="970"/>
      <c r="SH11" s="970"/>
      <c r="SI11" s="970"/>
      <c r="SJ11" s="970"/>
      <c r="SK11" s="970"/>
      <c r="SL11" s="970"/>
      <c r="SM11" s="970"/>
      <c r="SN11" s="970"/>
      <c r="SO11" s="970"/>
      <c r="SP11" s="970"/>
      <c r="SQ11" s="970"/>
      <c r="SR11" s="970"/>
    </row>
    <row r="12" spans="1:512" ht="15" customHeight="1">
      <c r="A12"/>
      <c r="B12" t="s">
        <v>1656</v>
      </c>
      <c r="C12"/>
      <c r="D12"/>
      <c r="E12" t="s">
        <v>237</v>
      </c>
      <c r="F12"/>
      <c r="G12" s="970">
        <v>0</v>
      </c>
      <c r="H12" s="970">
        <v>0</v>
      </c>
      <c r="I12" s="970"/>
      <c r="J12" s="970"/>
      <c r="K12" s="970"/>
      <c r="L12" s="970"/>
      <c r="M12" s="970"/>
      <c r="N12" s="970"/>
      <c r="O12" s="970"/>
      <c r="P12" s="970"/>
      <c r="Q12" s="970"/>
      <c r="R12" s="970"/>
      <c r="S12" s="970"/>
      <c r="T12" s="970"/>
      <c r="U12" s="970"/>
      <c r="V12" s="970"/>
      <c r="W12" s="970"/>
      <c r="X12" s="970"/>
      <c r="Y12" s="970"/>
      <c r="Z12" s="970"/>
      <c r="AA12" s="970"/>
      <c r="AB12" s="970"/>
      <c r="AC12" s="970"/>
      <c r="AD12" s="970"/>
      <c r="AE12" s="970"/>
      <c r="AF12" s="970"/>
      <c r="AG12" s="970"/>
      <c r="AH12" s="970"/>
      <c r="AI12" s="970"/>
      <c r="AJ12" s="970"/>
      <c r="AK12" s="970"/>
      <c r="AL12" s="970"/>
      <c r="AM12" s="970"/>
      <c r="AN12" s="970"/>
      <c r="AO12" s="970"/>
      <c r="AP12" s="970"/>
      <c r="AQ12" s="970"/>
      <c r="AR12" s="970"/>
      <c r="AS12" s="970"/>
      <c r="AT12" s="970"/>
      <c r="AU12" s="970"/>
      <c r="AV12" s="970"/>
      <c r="AW12" s="970"/>
      <c r="AX12" s="970"/>
      <c r="AY12" s="970"/>
      <c r="AZ12" s="970"/>
      <c r="BA12" s="970"/>
      <c r="BB12" s="970"/>
      <c r="BC12" s="970"/>
      <c r="BD12" s="970"/>
      <c r="BE12" s="970"/>
      <c r="BF12" s="970"/>
      <c r="BG12" s="970"/>
      <c r="BH12" s="970"/>
      <c r="BI12" s="970"/>
      <c r="BJ12" s="970"/>
      <c r="BK12" s="970"/>
      <c r="BL12" s="970"/>
      <c r="BM12" s="970"/>
      <c r="BN12" s="970"/>
      <c r="BO12" s="970"/>
      <c r="BP12" s="970"/>
      <c r="BQ12" s="970"/>
      <c r="BR12" s="970"/>
      <c r="BS12" s="970"/>
      <c r="BT12" s="970"/>
      <c r="BU12" s="970"/>
      <c r="BV12" s="970"/>
      <c r="BW12" s="970"/>
      <c r="BX12" s="970"/>
      <c r="BY12" s="970"/>
      <c r="BZ12" s="970"/>
      <c r="CA12" s="970"/>
      <c r="CB12" s="970"/>
      <c r="CC12" s="970"/>
      <c r="CD12" s="970"/>
      <c r="CE12" s="970"/>
      <c r="CF12" s="970"/>
      <c r="CG12" s="970"/>
      <c r="CH12" s="970"/>
      <c r="CI12" s="970"/>
      <c r="CJ12" s="970"/>
      <c r="CK12" s="970"/>
      <c r="CL12" s="970"/>
      <c r="CM12" s="970"/>
      <c r="CN12" s="970"/>
      <c r="CO12" s="970"/>
      <c r="CP12" s="970"/>
      <c r="CQ12" s="970"/>
      <c r="CR12" s="970"/>
      <c r="CS12" s="970"/>
      <c r="CT12" s="970"/>
      <c r="CU12" s="970"/>
      <c r="CV12" s="970"/>
      <c r="CW12" s="970"/>
      <c r="CX12" s="970"/>
      <c r="CY12" s="970"/>
      <c r="CZ12" s="970"/>
      <c r="DA12" s="970"/>
      <c r="DB12" s="970"/>
      <c r="DC12" s="970"/>
      <c r="DD12" s="970"/>
      <c r="DE12" s="970"/>
      <c r="DF12" s="970"/>
      <c r="DG12" s="970"/>
      <c r="DH12" s="970"/>
      <c r="DI12" s="970"/>
      <c r="DJ12" s="970"/>
      <c r="DK12" s="970"/>
      <c r="DL12" s="970"/>
      <c r="DM12" s="970"/>
      <c r="DN12" s="970"/>
      <c r="DO12" s="970"/>
      <c r="DP12" s="970"/>
      <c r="DQ12" s="970"/>
      <c r="DR12" s="970"/>
      <c r="DS12" s="970"/>
      <c r="DT12" s="970"/>
      <c r="DU12" s="970"/>
      <c r="DV12" s="970"/>
      <c r="DW12" s="970"/>
      <c r="DX12" s="970"/>
      <c r="DY12" s="970"/>
      <c r="DZ12" s="970"/>
      <c r="EA12" s="970"/>
      <c r="EB12" s="970"/>
      <c r="EC12" s="970"/>
      <c r="ED12" s="970"/>
      <c r="EE12" s="970"/>
      <c r="EF12" s="970"/>
      <c r="EG12" s="970"/>
      <c r="EH12" s="970"/>
      <c r="EI12" s="970"/>
      <c r="EJ12" s="970"/>
      <c r="EK12" s="970"/>
      <c r="EL12" s="970"/>
      <c r="EM12" s="970"/>
      <c r="EN12" s="970"/>
      <c r="EO12" s="970"/>
      <c r="EP12" s="970"/>
      <c r="EQ12" s="970"/>
      <c r="ER12" s="970"/>
      <c r="ES12" s="970"/>
      <c r="ET12" s="970"/>
      <c r="EU12" s="970"/>
      <c r="EV12" s="970"/>
      <c r="EW12" s="970"/>
      <c r="EX12" s="970"/>
      <c r="EY12" s="970"/>
      <c r="EZ12" s="970"/>
      <c r="FA12" s="970"/>
      <c r="FB12" s="970"/>
      <c r="FC12" s="970"/>
      <c r="FD12" s="970"/>
      <c r="FE12" s="970"/>
      <c r="FF12" s="970"/>
      <c r="FG12" s="970"/>
      <c r="FH12" s="970"/>
      <c r="FI12" s="970"/>
      <c r="FJ12" s="970"/>
      <c r="FK12" s="970"/>
      <c r="FL12" s="970"/>
      <c r="FM12" s="970"/>
      <c r="FN12" s="970"/>
      <c r="FO12" s="970"/>
      <c r="FP12" s="970"/>
      <c r="FQ12" s="970"/>
      <c r="FR12" s="970"/>
      <c r="FS12" s="970"/>
      <c r="FT12" s="970"/>
      <c r="FU12" s="970"/>
      <c r="FV12" s="970"/>
      <c r="FW12" s="970"/>
      <c r="FX12" s="970"/>
      <c r="FY12" s="970"/>
      <c r="FZ12" s="970"/>
      <c r="GA12" s="970"/>
      <c r="GB12" s="970"/>
      <c r="GC12" s="970"/>
      <c r="GD12" s="970"/>
      <c r="GE12" s="970"/>
      <c r="GF12" s="970"/>
      <c r="GG12" s="970"/>
      <c r="GH12" s="970"/>
      <c r="GI12" s="970"/>
      <c r="GJ12" s="970"/>
      <c r="GK12" s="970"/>
      <c r="GL12" s="970"/>
      <c r="GM12" s="970"/>
      <c r="GN12" s="970"/>
      <c r="GO12" s="970"/>
      <c r="GP12" s="970"/>
      <c r="GQ12" s="970"/>
      <c r="GR12" s="970"/>
      <c r="GS12" s="970"/>
      <c r="GT12" s="970"/>
      <c r="GU12" s="970"/>
      <c r="GV12" s="970"/>
      <c r="GW12" s="970"/>
      <c r="GX12" s="970"/>
      <c r="GY12" s="970"/>
      <c r="GZ12" s="970"/>
      <c r="HA12" s="970"/>
      <c r="HB12" s="970"/>
      <c r="HC12" s="970"/>
      <c r="HD12" s="970"/>
      <c r="HE12" s="970"/>
      <c r="HF12" s="970"/>
      <c r="HG12" s="970"/>
      <c r="HH12" s="970"/>
      <c r="HI12" s="970"/>
      <c r="HJ12" s="970"/>
      <c r="HK12" s="970"/>
      <c r="HL12" s="970"/>
      <c r="HM12" s="970"/>
      <c r="HN12" s="970"/>
      <c r="HO12" s="970"/>
      <c r="HP12" s="970"/>
      <c r="HQ12" s="970"/>
      <c r="HR12" s="970"/>
      <c r="HS12" s="970"/>
      <c r="HT12" s="970"/>
      <c r="HU12" s="970"/>
      <c r="HV12" s="970"/>
      <c r="HW12" s="970"/>
      <c r="HX12" s="970"/>
      <c r="HY12" s="970"/>
      <c r="HZ12" s="970"/>
      <c r="IA12" s="970"/>
      <c r="IB12" s="970"/>
      <c r="IC12" s="970"/>
      <c r="ID12" s="970"/>
      <c r="IE12" s="970"/>
      <c r="IF12" s="970"/>
      <c r="IG12" s="970"/>
      <c r="IH12" s="970"/>
      <c r="II12" s="970"/>
      <c r="IJ12" s="970"/>
      <c r="IK12" s="970"/>
      <c r="IL12" s="970"/>
      <c r="IM12" s="970"/>
      <c r="IN12" s="970"/>
      <c r="IO12" s="970"/>
      <c r="IP12" s="970"/>
      <c r="IQ12" s="970"/>
      <c r="IR12" s="970"/>
      <c r="IS12" s="970"/>
      <c r="IT12" s="970"/>
      <c r="IU12" s="970"/>
      <c r="IV12" s="970"/>
      <c r="IW12" s="970"/>
      <c r="IX12" s="970"/>
      <c r="IY12" s="970"/>
      <c r="IZ12" s="970"/>
      <c r="JA12" s="970"/>
      <c r="JB12" s="970"/>
      <c r="JC12" s="970"/>
      <c r="JD12" s="970"/>
      <c r="JE12" s="970"/>
      <c r="JF12" s="970"/>
      <c r="JG12" s="970"/>
      <c r="JH12" s="970"/>
      <c r="JI12" s="970"/>
      <c r="JJ12" s="970"/>
      <c r="JK12" s="970"/>
      <c r="JL12" s="970"/>
      <c r="JM12" s="970"/>
      <c r="JN12" s="970"/>
      <c r="JO12" s="970"/>
      <c r="JP12" s="970"/>
      <c r="JQ12" s="970"/>
      <c r="JR12" s="970"/>
      <c r="JS12" s="970"/>
      <c r="JT12" s="970"/>
      <c r="JU12" s="970"/>
      <c r="JV12" s="970"/>
      <c r="JW12" s="970"/>
      <c r="JX12" s="970"/>
      <c r="JY12" s="970"/>
      <c r="JZ12" s="970"/>
      <c r="KA12" s="970"/>
      <c r="KB12" s="970"/>
      <c r="KC12" s="970"/>
      <c r="KD12" s="970"/>
      <c r="KE12" s="970"/>
      <c r="KF12" s="970"/>
      <c r="KG12" s="970"/>
      <c r="KH12" s="970"/>
      <c r="KI12" s="970"/>
      <c r="KJ12" s="970"/>
      <c r="KK12" s="970"/>
      <c r="KL12" s="970"/>
      <c r="KM12" s="970"/>
      <c r="KN12" s="970"/>
      <c r="KO12" s="970"/>
      <c r="KP12" s="970"/>
      <c r="KQ12" s="970"/>
      <c r="KR12" s="970"/>
      <c r="KS12" s="970"/>
      <c r="KT12" s="970"/>
      <c r="KU12" s="970"/>
      <c r="KV12" s="970"/>
      <c r="KW12" s="970"/>
      <c r="KX12" s="970"/>
      <c r="KY12" s="970"/>
      <c r="KZ12" s="970"/>
      <c r="LA12" s="970"/>
      <c r="LB12" s="970"/>
      <c r="LC12" s="970"/>
      <c r="LD12" s="970"/>
      <c r="LE12" s="970"/>
      <c r="LF12" s="970"/>
      <c r="LG12" s="970"/>
      <c r="LH12" s="970"/>
      <c r="LI12" s="970"/>
      <c r="LJ12" s="970"/>
      <c r="LK12" s="970"/>
      <c r="LL12" s="970"/>
      <c r="LM12" s="970"/>
      <c r="LN12" s="970"/>
      <c r="LO12" s="970"/>
      <c r="LP12" s="970"/>
      <c r="LQ12" s="970"/>
      <c r="LR12" s="970"/>
      <c r="LS12" s="970"/>
      <c r="LT12" s="970"/>
      <c r="LU12" s="970"/>
      <c r="LV12" s="970"/>
      <c r="LW12" s="970"/>
      <c r="LX12" s="970"/>
      <c r="LY12" s="970"/>
      <c r="LZ12" s="970"/>
      <c r="MA12" s="970"/>
      <c r="MB12" s="970"/>
      <c r="MC12" s="970"/>
      <c r="MD12" s="970"/>
      <c r="ME12" s="970"/>
      <c r="MF12" s="970"/>
      <c r="MG12" s="970"/>
      <c r="MH12" s="970"/>
      <c r="MI12" s="970"/>
      <c r="MJ12" s="970"/>
      <c r="MK12" s="970"/>
      <c r="ML12" s="970"/>
      <c r="MM12" s="970"/>
      <c r="MN12" s="970"/>
      <c r="MO12" s="970"/>
      <c r="MP12" s="970"/>
      <c r="MQ12" s="970"/>
      <c r="MR12" s="970"/>
      <c r="MS12" s="970"/>
      <c r="MT12" s="970"/>
      <c r="MU12" s="970"/>
      <c r="MV12" s="970"/>
      <c r="MW12" s="970"/>
      <c r="MX12" s="970"/>
      <c r="MY12" s="970"/>
      <c r="MZ12" s="970"/>
      <c r="NA12" s="970"/>
      <c r="NB12" s="970"/>
      <c r="NC12" s="970"/>
      <c r="ND12" s="970"/>
      <c r="NE12" s="970"/>
      <c r="NF12" s="970"/>
      <c r="NG12" s="970"/>
      <c r="NH12" s="970"/>
      <c r="NI12" s="970"/>
      <c r="NJ12" s="970"/>
      <c r="NK12" s="970"/>
      <c r="NL12" s="970"/>
      <c r="NM12" s="970"/>
      <c r="NN12" s="970"/>
      <c r="NO12" s="970"/>
      <c r="NP12" s="970"/>
      <c r="NQ12" s="970"/>
      <c r="NR12" s="970"/>
      <c r="NS12" s="970"/>
      <c r="NT12" s="970"/>
      <c r="NU12" s="970"/>
      <c r="NV12" s="970"/>
      <c r="NW12" s="970"/>
      <c r="NX12" s="970"/>
      <c r="NY12" s="970"/>
      <c r="NZ12" s="970"/>
      <c r="OA12" s="970"/>
      <c r="OB12" s="970"/>
      <c r="OC12" s="970"/>
      <c r="OD12" s="970"/>
      <c r="OE12" s="970"/>
      <c r="OF12" s="970"/>
      <c r="OG12" s="970"/>
      <c r="OH12" s="970"/>
      <c r="OI12" s="970"/>
      <c r="OJ12" s="970"/>
      <c r="OK12" s="970"/>
      <c r="OL12" s="970"/>
      <c r="OM12" s="970"/>
      <c r="ON12" s="970"/>
      <c r="OO12" s="970"/>
      <c r="OP12" s="970"/>
      <c r="OQ12" s="970"/>
      <c r="OR12" s="970"/>
      <c r="OS12" s="970"/>
      <c r="OT12" s="970"/>
      <c r="OU12" s="970"/>
      <c r="OV12" s="970"/>
      <c r="OW12" s="970"/>
      <c r="OX12" s="970"/>
      <c r="OY12" s="970"/>
      <c r="OZ12" s="970"/>
      <c r="PA12" s="970"/>
      <c r="PB12" s="970"/>
      <c r="PC12" s="970"/>
      <c r="PD12" s="970"/>
      <c r="PE12" s="970"/>
      <c r="PF12" s="970"/>
      <c r="PG12" s="970"/>
      <c r="PH12" s="970"/>
      <c r="PI12" s="970"/>
      <c r="PJ12" s="970"/>
      <c r="PK12" s="970"/>
      <c r="PL12" s="970"/>
      <c r="PM12" s="970"/>
      <c r="PN12" s="970"/>
      <c r="PO12" s="970"/>
      <c r="PP12" s="970"/>
      <c r="PQ12" s="970"/>
      <c r="PR12" s="970"/>
      <c r="PS12" s="970"/>
      <c r="PT12" s="970"/>
      <c r="PU12" s="970"/>
      <c r="PV12" s="970"/>
      <c r="PW12" s="970"/>
      <c r="PX12" s="970"/>
      <c r="PY12" s="970"/>
      <c r="PZ12" s="970"/>
      <c r="QA12" s="970"/>
      <c r="QB12" s="970"/>
      <c r="QC12" s="970"/>
      <c r="QD12" s="970"/>
      <c r="QE12" s="970"/>
      <c r="QF12" s="970"/>
      <c r="QG12" s="970"/>
      <c r="QH12" s="970"/>
      <c r="QI12" s="970"/>
      <c r="QJ12" s="970"/>
      <c r="QK12" s="970"/>
      <c r="QL12" s="970"/>
      <c r="QM12" s="970"/>
      <c r="QN12" s="970"/>
      <c r="QO12" s="970"/>
      <c r="QP12" s="970"/>
      <c r="QQ12" s="970"/>
      <c r="QR12" s="970"/>
      <c r="QS12" s="970"/>
      <c r="QT12" s="970"/>
      <c r="QU12" s="970"/>
      <c r="QV12" s="970"/>
      <c r="QW12" s="970"/>
      <c r="QX12" s="970"/>
      <c r="QY12" s="970"/>
      <c r="QZ12" s="970"/>
      <c r="RA12" s="970"/>
      <c r="RB12" s="970"/>
      <c r="RC12" s="970"/>
      <c r="RD12" s="970"/>
      <c r="RE12" s="970"/>
      <c r="RF12" s="970"/>
      <c r="RG12" s="970"/>
      <c r="RH12" s="970"/>
      <c r="RI12" s="970"/>
      <c r="RJ12" s="970"/>
      <c r="RK12" s="970"/>
      <c r="RL12" s="970"/>
      <c r="RM12" s="970"/>
      <c r="RN12" s="970"/>
      <c r="RO12" s="970"/>
      <c r="RP12" s="970"/>
      <c r="RQ12" s="970"/>
      <c r="RR12" s="970"/>
      <c r="RS12" s="970"/>
      <c r="RT12" s="970"/>
      <c r="RU12" s="970"/>
      <c r="RV12" s="970"/>
      <c r="RW12" s="970"/>
      <c r="RX12" s="970"/>
      <c r="RY12" s="970"/>
      <c r="RZ12" s="970"/>
      <c r="SA12" s="970"/>
      <c r="SB12" s="970"/>
      <c r="SC12" s="970"/>
      <c r="SD12" s="970"/>
      <c r="SE12" s="970"/>
      <c r="SF12" s="970"/>
      <c r="SG12" s="970"/>
      <c r="SH12" s="970"/>
      <c r="SI12" s="970"/>
      <c r="SJ12" s="970"/>
      <c r="SK12" s="970"/>
      <c r="SL12" s="970"/>
      <c r="SM12" s="970"/>
      <c r="SN12" s="970"/>
      <c r="SO12" s="970"/>
      <c r="SP12" s="970"/>
      <c r="SQ12" s="970"/>
      <c r="SR12" s="970"/>
    </row>
    <row r="13" spans="1:512" ht="15" customHeight="1">
      <c r="A13"/>
      <c r="B13" t="s">
        <v>1698</v>
      </c>
      <c r="C13"/>
      <c r="D13"/>
      <c r="E13" t="s">
        <v>237</v>
      </c>
      <c r="F13"/>
      <c r="G13" s="970">
        <v>0</v>
      </c>
      <c r="H13" s="970">
        <v>1</v>
      </c>
      <c r="I13" s="970"/>
      <c r="J13" s="970"/>
      <c r="K13" s="970"/>
      <c r="L13" s="970"/>
      <c r="M13" s="970"/>
      <c r="N13" s="970"/>
      <c r="O13" s="970"/>
      <c r="P13" s="970"/>
      <c r="Q13" s="970"/>
      <c r="R13" s="970"/>
      <c r="S13" s="970"/>
      <c r="T13" s="970"/>
      <c r="U13" s="970"/>
      <c r="V13" s="970"/>
      <c r="W13" s="970"/>
      <c r="X13" s="970"/>
      <c r="Y13" s="970"/>
      <c r="Z13" s="970"/>
      <c r="AA13" s="970"/>
      <c r="AB13" s="970"/>
      <c r="AC13" s="970"/>
      <c r="AD13" s="970"/>
      <c r="AE13" s="970"/>
      <c r="AF13" s="970"/>
      <c r="AG13" s="970"/>
      <c r="AH13" s="970"/>
      <c r="AI13" s="970"/>
      <c r="AJ13" s="970"/>
      <c r="AK13" s="970"/>
      <c r="AL13" s="970"/>
      <c r="AM13" s="970"/>
      <c r="AN13" s="970"/>
      <c r="AO13" s="970"/>
      <c r="AP13" s="970"/>
      <c r="AQ13" s="970"/>
      <c r="AR13" s="970"/>
      <c r="AS13" s="970"/>
      <c r="AT13" s="970"/>
      <c r="AU13" s="970"/>
      <c r="AV13" s="970"/>
      <c r="AW13" s="970"/>
      <c r="AX13" s="970"/>
      <c r="AY13" s="970"/>
      <c r="AZ13" s="970"/>
      <c r="BA13" s="970"/>
      <c r="BB13" s="970"/>
      <c r="BC13" s="970"/>
      <c r="BD13" s="970"/>
      <c r="BE13" s="970"/>
      <c r="BF13" s="970"/>
      <c r="BG13" s="970"/>
      <c r="BH13" s="970"/>
      <c r="BI13" s="970"/>
      <c r="BJ13" s="970"/>
      <c r="BK13" s="970"/>
      <c r="BL13" s="970"/>
      <c r="BM13" s="970"/>
      <c r="BN13" s="970"/>
      <c r="BO13" s="970"/>
      <c r="BP13" s="970"/>
      <c r="BQ13" s="970"/>
      <c r="BR13" s="970"/>
      <c r="BS13" s="970"/>
      <c r="BT13" s="970"/>
      <c r="BU13" s="970"/>
      <c r="BV13" s="970"/>
      <c r="BW13" s="970"/>
      <c r="BX13" s="970"/>
      <c r="BY13" s="970"/>
      <c r="BZ13" s="970"/>
      <c r="CA13" s="970"/>
      <c r="CB13" s="970"/>
      <c r="CC13" s="970"/>
      <c r="CD13" s="970"/>
      <c r="CE13" s="970"/>
      <c r="CF13" s="970"/>
      <c r="CG13" s="970"/>
      <c r="CH13" s="970"/>
      <c r="CI13" s="970"/>
      <c r="CJ13" s="970"/>
      <c r="CK13" s="970"/>
      <c r="CL13" s="970"/>
      <c r="CM13" s="970"/>
      <c r="CN13" s="970"/>
      <c r="CO13" s="970"/>
      <c r="CP13" s="970"/>
      <c r="CQ13" s="970"/>
      <c r="CR13" s="970"/>
      <c r="CS13" s="970"/>
      <c r="CT13" s="970"/>
      <c r="CU13" s="970"/>
      <c r="CV13" s="970"/>
      <c r="CW13" s="970"/>
      <c r="CX13" s="970"/>
      <c r="CY13" s="970"/>
      <c r="CZ13" s="970"/>
      <c r="DA13" s="970"/>
      <c r="DB13" s="970"/>
      <c r="DC13" s="970"/>
      <c r="DD13" s="970"/>
      <c r="DE13" s="970"/>
      <c r="DF13" s="970"/>
      <c r="DG13" s="970"/>
      <c r="DH13" s="970"/>
      <c r="DI13" s="970"/>
      <c r="DJ13" s="970"/>
      <c r="DK13" s="970"/>
      <c r="DL13" s="970"/>
      <c r="DM13" s="970"/>
      <c r="DN13" s="970"/>
      <c r="DO13" s="970"/>
      <c r="DP13" s="970"/>
      <c r="DQ13" s="970"/>
      <c r="DR13" s="970"/>
      <c r="DS13" s="970"/>
      <c r="DT13" s="970"/>
      <c r="DU13" s="970"/>
      <c r="DV13" s="970"/>
      <c r="DW13" s="970"/>
      <c r="DX13" s="970"/>
      <c r="DY13" s="970"/>
      <c r="DZ13" s="970"/>
      <c r="EA13" s="970"/>
      <c r="EB13" s="970"/>
      <c r="EC13" s="970"/>
      <c r="ED13" s="970"/>
      <c r="EE13" s="970"/>
      <c r="EF13" s="970"/>
      <c r="EG13" s="970"/>
      <c r="EH13" s="970"/>
      <c r="EI13" s="970"/>
      <c r="EJ13" s="970"/>
      <c r="EK13" s="970"/>
      <c r="EL13" s="970"/>
      <c r="EM13" s="970"/>
      <c r="EN13" s="970"/>
      <c r="EO13" s="970"/>
      <c r="EP13" s="970"/>
      <c r="EQ13" s="970"/>
      <c r="ER13" s="970"/>
      <c r="ES13" s="970"/>
      <c r="ET13" s="970"/>
      <c r="EU13" s="970"/>
      <c r="EV13" s="970"/>
      <c r="EW13" s="970"/>
      <c r="EX13" s="970"/>
      <c r="EY13" s="970"/>
      <c r="EZ13" s="970"/>
      <c r="FA13" s="970"/>
      <c r="FB13" s="970"/>
      <c r="FC13" s="970"/>
      <c r="FD13" s="970"/>
      <c r="FE13" s="970"/>
      <c r="FF13" s="970"/>
      <c r="FG13" s="970"/>
      <c r="FH13" s="970"/>
      <c r="FI13" s="970"/>
      <c r="FJ13" s="970"/>
      <c r="FK13" s="970"/>
      <c r="FL13" s="970"/>
      <c r="FM13" s="970"/>
      <c r="FN13" s="970"/>
      <c r="FO13" s="970"/>
      <c r="FP13" s="970"/>
      <c r="FQ13" s="970"/>
      <c r="FR13" s="970"/>
      <c r="FS13" s="970"/>
      <c r="FT13" s="970"/>
      <c r="FU13" s="970"/>
      <c r="FV13" s="970"/>
      <c r="FW13" s="970"/>
      <c r="FX13" s="970"/>
      <c r="FY13" s="970"/>
      <c r="FZ13" s="970"/>
      <c r="GA13" s="970"/>
      <c r="GB13" s="970"/>
      <c r="GC13" s="970"/>
      <c r="GD13" s="970"/>
      <c r="GE13" s="970"/>
      <c r="GF13" s="970"/>
      <c r="GG13" s="970"/>
      <c r="GH13" s="970"/>
      <c r="GI13" s="970"/>
      <c r="GJ13" s="970"/>
      <c r="GK13" s="970"/>
      <c r="GL13" s="970"/>
      <c r="GM13" s="970"/>
      <c r="GN13" s="970"/>
      <c r="GO13" s="970"/>
      <c r="GP13" s="970"/>
      <c r="GQ13" s="970"/>
      <c r="GR13" s="970"/>
      <c r="GS13" s="970"/>
      <c r="GT13" s="970"/>
      <c r="GU13" s="970"/>
      <c r="GV13" s="970"/>
      <c r="GW13" s="970"/>
      <c r="GX13" s="970"/>
      <c r="GY13" s="970"/>
      <c r="GZ13" s="970"/>
      <c r="HA13" s="970"/>
      <c r="HB13" s="970"/>
      <c r="HC13" s="970"/>
      <c r="HD13" s="970"/>
      <c r="HE13" s="970"/>
      <c r="HF13" s="970"/>
      <c r="HG13" s="970"/>
      <c r="HH13" s="970"/>
      <c r="HI13" s="970"/>
      <c r="HJ13" s="970"/>
      <c r="HK13" s="970"/>
      <c r="HL13" s="970"/>
      <c r="HM13" s="970"/>
      <c r="HN13" s="970"/>
      <c r="HO13" s="970"/>
      <c r="HP13" s="970"/>
      <c r="HQ13" s="970"/>
      <c r="HR13" s="970"/>
      <c r="HS13" s="970"/>
      <c r="HT13" s="970"/>
      <c r="HU13" s="970"/>
      <c r="HV13" s="970"/>
      <c r="HW13" s="970"/>
      <c r="HX13" s="970"/>
      <c r="HY13" s="970"/>
      <c r="HZ13" s="970"/>
      <c r="IA13" s="970"/>
      <c r="IB13" s="970"/>
      <c r="IC13" s="970"/>
      <c r="ID13" s="970"/>
      <c r="IE13" s="970"/>
      <c r="IF13" s="970"/>
      <c r="IG13" s="970"/>
      <c r="IH13" s="970"/>
      <c r="II13" s="970"/>
      <c r="IJ13" s="970"/>
      <c r="IK13" s="970"/>
      <c r="IL13" s="970"/>
      <c r="IM13" s="970"/>
      <c r="IN13" s="970"/>
      <c r="IO13" s="970"/>
      <c r="IP13" s="970"/>
      <c r="IQ13" s="970"/>
      <c r="IR13" s="970"/>
      <c r="IS13" s="970"/>
      <c r="IT13" s="970"/>
      <c r="IU13" s="970"/>
      <c r="IV13" s="970"/>
      <c r="IW13" s="970"/>
      <c r="IX13" s="970"/>
      <c r="IY13" s="970"/>
      <c r="IZ13" s="970"/>
      <c r="JA13" s="970"/>
      <c r="JB13" s="970"/>
      <c r="JC13" s="970"/>
      <c r="JD13" s="970"/>
      <c r="JE13" s="970"/>
      <c r="JF13" s="970"/>
      <c r="JG13" s="970"/>
      <c r="JH13" s="970"/>
      <c r="JI13" s="970"/>
      <c r="JJ13" s="970"/>
      <c r="JK13" s="970"/>
      <c r="JL13" s="970"/>
      <c r="JM13" s="970"/>
      <c r="JN13" s="970"/>
      <c r="JO13" s="970"/>
      <c r="JP13" s="970"/>
      <c r="JQ13" s="970"/>
      <c r="JR13" s="970"/>
      <c r="JS13" s="970"/>
      <c r="JT13" s="970"/>
      <c r="JU13" s="970"/>
      <c r="JV13" s="970"/>
      <c r="JW13" s="970"/>
      <c r="JX13" s="970"/>
      <c r="JY13" s="970"/>
      <c r="JZ13" s="970"/>
      <c r="KA13" s="970"/>
      <c r="KB13" s="970"/>
      <c r="KC13" s="970"/>
      <c r="KD13" s="970"/>
      <c r="KE13" s="970"/>
      <c r="KF13" s="970"/>
      <c r="KG13" s="970"/>
      <c r="KH13" s="970"/>
      <c r="KI13" s="970"/>
      <c r="KJ13" s="970"/>
      <c r="KK13" s="970"/>
      <c r="KL13" s="970"/>
      <c r="KM13" s="970"/>
      <c r="KN13" s="970"/>
      <c r="KO13" s="970"/>
      <c r="KP13" s="970"/>
      <c r="KQ13" s="970"/>
      <c r="KR13" s="970"/>
      <c r="KS13" s="970"/>
      <c r="KT13" s="970"/>
      <c r="KU13" s="970"/>
      <c r="KV13" s="970"/>
      <c r="KW13" s="970"/>
      <c r="KX13" s="970"/>
      <c r="KY13" s="970"/>
      <c r="KZ13" s="970"/>
      <c r="LA13" s="970"/>
      <c r="LB13" s="970"/>
      <c r="LC13" s="970"/>
      <c r="LD13" s="970"/>
      <c r="LE13" s="970"/>
      <c r="LF13" s="970"/>
      <c r="LG13" s="970"/>
      <c r="LH13" s="970"/>
      <c r="LI13" s="970"/>
      <c r="LJ13" s="970"/>
      <c r="LK13" s="970"/>
      <c r="LL13" s="970"/>
      <c r="LM13" s="970"/>
      <c r="LN13" s="970"/>
      <c r="LO13" s="970"/>
      <c r="LP13" s="970"/>
      <c r="LQ13" s="970"/>
      <c r="LR13" s="970"/>
      <c r="LS13" s="970"/>
      <c r="LT13" s="970"/>
      <c r="LU13" s="970"/>
      <c r="LV13" s="970"/>
      <c r="LW13" s="970"/>
      <c r="LX13" s="970"/>
      <c r="LY13" s="970"/>
      <c r="LZ13" s="970"/>
      <c r="MA13" s="970"/>
      <c r="MB13" s="970"/>
      <c r="MC13" s="970"/>
      <c r="MD13" s="970"/>
      <c r="ME13" s="970"/>
      <c r="MF13" s="970"/>
      <c r="MG13" s="970"/>
      <c r="MH13" s="970"/>
      <c r="MI13" s="970"/>
      <c r="MJ13" s="970"/>
      <c r="MK13" s="970"/>
      <c r="ML13" s="970"/>
      <c r="MM13" s="970"/>
      <c r="MN13" s="970"/>
      <c r="MO13" s="970"/>
      <c r="MP13" s="970"/>
      <c r="MQ13" s="970"/>
      <c r="MR13" s="970"/>
      <c r="MS13" s="970"/>
      <c r="MT13" s="970"/>
      <c r="MU13" s="970"/>
      <c r="MV13" s="970"/>
      <c r="MW13" s="970"/>
      <c r="MX13" s="970"/>
      <c r="MY13" s="970"/>
      <c r="MZ13" s="970"/>
      <c r="NA13" s="970"/>
      <c r="NB13" s="970"/>
      <c r="NC13" s="970"/>
      <c r="ND13" s="970"/>
      <c r="NE13" s="970"/>
      <c r="NF13" s="970"/>
      <c r="NG13" s="970"/>
      <c r="NH13" s="970"/>
      <c r="NI13" s="970"/>
      <c r="NJ13" s="970"/>
      <c r="NK13" s="970"/>
      <c r="NL13" s="970"/>
      <c r="NM13" s="970"/>
      <c r="NN13" s="970"/>
      <c r="NO13" s="970"/>
      <c r="NP13" s="970"/>
      <c r="NQ13" s="970"/>
      <c r="NR13" s="970"/>
      <c r="NS13" s="970"/>
      <c r="NT13" s="970"/>
      <c r="NU13" s="970"/>
      <c r="NV13" s="970"/>
      <c r="NW13" s="970"/>
      <c r="NX13" s="970"/>
      <c r="NY13" s="970"/>
      <c r="NZ13" s="970"/>
      <c r="OA13" s="970"/>
      <c r="OB13" s="970"/>
      <c r="OC13" s="970"/>
      <c r="OD13" s="970"/>
      <c r="OE13" s="970"/>
      <c r="OF13" s="970"/>
      <c r="OG13" s="970"/>
      <c r="OH13" s="970"/>
      <c r="OI13" s="970"/>
      <c r="OJ13" s="970"/>
      <c r="OK13" s="970"/>
      <c r="OL13" s="970"/>
      <c r="OM13" s="970"/>
      <c r="ON13" s="970"/>
      <c r="OO13" s="970"/>
      <c r="OP13" s="970"/>
      <c r="OQ13" s="970"/>
      <c r="OR13" s="970"/>
      <c r="OS13" s="970"/>
      <c r="OT13" s="970"/>
      <c r="OU13" s="970"/>
      <c r="OV13" s="970"/>
      <c r="OW13" s="970"/>
      <c r="OX13" s="970"/>
      <c r="OY13" s="970"/>
      <c r="OZ13" s="970"/>
      <c r="PA13" s="970"/>
      <c r="PB13" s="970"/>
      <c r="PC13" s="970"/>
      <c r="PD13" s="970"/>
      <c r="PE13" s="970"/>
      <c r="PF13" s="970"/>
      <c r="PG13" s="970"/>
      <c r="PH13" s="970"/>
      <c r="PI13" s="970"/>
      <c r="PJ13" s="970"/>
      <c r="PK13" s="970"/>
      <c r="PL13" s="970"/>
      <c r="PM13" s="970"/>
      <c r="PN13" s="970"/>
      <c r="PO13" s="970"/>
      <c r="PP13" s="970"/>
      <c r="PQ13" s="970"/>
      <c r="PR13" s="970"/>
      <c r="PS13" s="970"/>
      <c r="PT13" s="970"/>
      <c r="PU13" s="970"/>
      <c r="PV13" s="970"/>
      <c r="PW13" s="970"/>
      <c r="PX13" s="970"/>
      <c r="PY13" s="970"/>
      <c r="PZ13" s="970"/>
      <c r="QA13" s="970"/>
      <c r="QB13" s="970"/>
      <c r="QC13" s="970"/>
      <c r="QD13" s="970"/>
      <c r="QE13" s="970"/>
      <c r="QF13" s="970"/>
      <c r="QG13" s="970"/>
      <c r="QH13" s="970"/>
      <c r="QI13" s="970"/>
      <c r="QJ13" s="970"/>
      <c r="QK13" s="970"/>
      <c r="QL13" s="970"/>
      <c r="QM13" s="970"/>
      <c r="QN13" s="970"/>
      <c r="QO13" s="970"/>
      <c r="QP13" s="970"/>
      <c r="QQ13" s="970"/>
      <c r="QR13" s="970"/>
      <c r="QS13" s="970"/>
      <c r="QT13" s="970"/>
      <c r="QU13" s="970"/>
      <c r="QV13" s="970"/>
      <c r="QW13" s="970"/>
      <c r="QX13" s="970"/>
      <c r="QY13" s="970"/>
      <c r="QZ13" s="970"/>
      <c r="RA13" s="970"/>
      <c r="RB13" s="970"/>
      <c r="RC13" s="970"/>
      <c r="RD13" s="970"/>
      <c r="RE13" s="970"/>
      <c r="RF13" s="970"/>
      <c r="RG13" s="970"/>
      <c r="RH13" s="970"/>
      <c r="RI13" s="970"/>
      <c r="RJ13" s="970"/>
      <c r="RK13" s="970"/>
      <c r="RL13" s="970"/>
      <c r="RM13" s="970"/>
      <c r="RN13" s="970"/>
      <c r="RO13" s="970"/>
      <c r="RP13" s="970"/>
      <c r="RQ13" s="970"/>
      <c r="RR13" s="970"/>
      <c r="RS13" s="970"/>
      <c r="RT13" s="970"/>
      <c r="RU13" s="970"/>
      <c r="RV13" s="970"/>
      <c r="RW13" s="970"/>
      <c r="RX13" s="970"/>
      <c r="RY13" s="970"/>
      <c r="RZ13" s="970"/>
      <c r="SA13" s="970"/>
      <c r="SB13" s="970"/>
      <c r="SC13" s="970"/>
      <c r="SD13" s="970"/>
      <c r="SE13" s="970"/>
      <c r="SF13" s="970"/>
      <c r="SG13" s="970"/>
      <c r="SH13" s="970"/>
      <c r="SI13" s="970"/>
      <c r="SJ13" s="970"/>
      <c r="SK13" s="970"/>
      <c r="SL13" s="970"/>
      <c r="SM13" s="970"/>
      <c r="SN13" s="970"/>
      <c r="SO13" s="970"/>
      <c r="SP13" s="970"/>
      <c r="SQ13" s="970"/>
      <c r="SR13" s="970"/>
    </row>
    <row r="14" spans="1:512" ht="15" customHeight="1">
      <c r="A14"/>
      <c r="B14" t="s">
        <v>1720</v>
      </c>
      <c r="C14"/>
      <c r="D14"/>
      <c r="E14" t="s">
        <v>237</v>
      </c>
      <c r="F14"/>
      <c r="G14" s="970">
        <v>0</v>
      </c>
      <c r="H14" s="970">
        <v>1</v>
      </c>
      <c r="I14" s="970"/>
      <c r="J14" s="970"/>
      <c r="K14" s="970"/>
      <c r="L14" s="970"/>
      <c r="M14" s="970"/>
      <c r="N14" s="970"/>
      <c r="O14" s="970"/>
      <c r="P14" s="970"/>
      <c r="Q14" s="970"/>
      <c r="R14" s="970"/>
      <c r="S14" s="970"/>
      <c r="T14" s="970"/>
      <c r="U14" s="970"/>
      <c r="V14" s="970"/>
      <c r="W14" s="970"/>
      <c r="X14" s="970"/>
      <c r="Y14" s="970"/>
      <c r="Z14" s="970"/>
      <c r="AA14" s="970"/>
      <c r="AB14" s="970"/>
      <c r="AC14" s="970"/>
      <c r="AD14" s="970"/>
      <c r="AE14" s="970"/>
      <c r="AF14" s="970"/>
      <c r="AG14" s="970"/>
      <c r="AH14" s="970"/>
      <c r="AI14" s="970"/>
      <c r="AJ14" s="970"/>
      <c r="AK14" s="970"/>
      <c r="AL14" s="970"/>
      <c r="AM14" s="970"/>
      <c r="AN14" s="970"/>
      <c r="AO14" s="970"/>
      <c r="AP14" s="970"/>
      <c r="AQ14" s="970"/>
      <c r="AR14" s="970"/>
      <c r="AS14" s="970"/>
      <c r="AT14" s="970"/>
      <c r="AU14" s="970"/>
      <c r="AV14" s="970"/>
      <c r="AW14" s="970"/>
      <c r="AX14" s="970"/>
      <c r="AY14" s="970"/>
      <c r="AZ14" s="970"/>
      <c r="BA14" s="970"/>
      <c r="BB14" s="970"/>
      <c r="BC14" s="970"/>
      <c r="BD14" s="970"/>
      <c r="BE14" s="970"/>
      <c r="BF14" s="970"/>
      <c r="BG14" s="970"/>
      <c r="BH14" s="970"/>
      <c r="BI14" s="970"/>
      <c r="BJ14" s="970"/>
      <c r="BK14" s="970"/>
      <c r="BL14" s="970"/>
      <c r="BM14" s="970"/>
      <c r="BN14" s="970"/>
      <c r="BO14" s="970"/>
      <c r="BP14" s="970"/>
      <c r="BQ14" s="970"/>
      <c r="BR14" s="970"/>
      <c r="BS14" s="970"/>
      <c r="BT14" s="970"/>
      <c r="BU14" s="970"/>
      <c r="BV14" s="970"/>
      <c r="BW14" s="970"/>
      <c r="BX14" s="970"/>
      <c r="BY14" s="970"/>
      <c r="BZ14" s="970"/>
      <c r="CA14" s="970"/>
      <c r="CB14" s="970"/>
      <c r="CC14" s="970"/>
      <c r="CD14" s="970"/>
      <c r="CE14" s="970"/>
      <c r="CF14" s="970"/>
      <c r="CG14" s="970"/>
      <c r="CH14" s="970"/>
      <c r="CI14" s="970"/>
      <c r="CJ14" s="970"/>
      <c r="CK14" s="970"/>
      <c r="CL14" s="970"/>
      <c r="CM14" s="970"/>
      <c r="CN14" s="970"/>
      <c r="CO14" s="970"/>
      <c r="CP14" s="970"/>
      <c r="CQ14" s="970"/>
      <c r="CR14" s="970"/>
      <c r="CS14" s="970"/>
      <c r="CT14" s="970"/>
      <c r="CU14" s="970"/>
      <c r="CV14" s="970"/>
      <c r="CW14" s="970"/>
      <c r="CX14" s="970"/>
      <c r="CY14" s="970"/>
      <c r="CZ14" s="970"/>
      <c r="DA14" s="970"/>
      <c r="DB14" s="970"/>
      <c r="DC14" s="970"/>
      <c r="DD14" s="970"/>
      <c r="DE14" s="970"/>
      <c r="DF14" s="970"/>
      <c r="DG14" s="970"/>
      <c r="DH14" s="970"/>
      <c r="DI14" s="970"/>
      <c r="DJ14" s="970"/>
      <c r="DK14" s="970"/>
      <c r="DL14" s="970"/>
      <c r="DM14" s="970"/>
      <c r="DN14" s="970"/>
      <c r="DO14" s="970"/>
      <c r="DP14" s="970"/>
      <c r="DQ14" s="970"/>
      <c r="DR14" s="970"/>
      <c r="DS14" s="970"/>
      <c r="DT14" s="970"/>
      <c r="DU14" s="970"/>
      <c r="DV14" s="970"/>
      <c r="DW14" s="970"/>
      <c r="DX14" s="970"/>
      <c r="DY14" s="970"/>
      <c r="DZ14" s="970"/>
      <c r="EA14" s="970"/>
      <c r="EB14" s="970"/>
      <c r="EC14" s="970"/>
      <c r="ED14" s="970"/>
      <c r="EE14" s="970"/>
      <c r="EF14" s="970"/>
      <c r="EG14" s="970"/>
      <c r="EH14" s="970"/>
      <c r="EI14" s="970"/>
      <c r="EJ14" s="970"/>
      <c r="EK14" s="970"/>
      <c r="EL14" s="970"/>
      <c r="EM14" s="970"/>
      <c r="EN14" s="970"/>
      <c r="EO14" s="970"/>
      <c r="EP14" s="970"/>
      <c r="EQ14" s="970"/>
      <c r="ER14" s="970"/>
      <c r="ES14" s="970"/>
      <c r="ET14" s="970"/>
      <c r="EU14" s="970"/>
      <c r="EV14" s="970"/>
      <c r="EW14" s="970"/>
      <c r="EX14" s="970"/>
      <c r="EY14" s="970"/>
      <c r="EZ14" s="970"/>
      <c r="FA14" s="970"/>
      <c r="FB14" s="970"/>
      <c r="FC14" s="970"/>
      <c r="FD14" s="970"/>
      <c r="FE14" s="970"/>
      <c r="FF14" s="970"/>
      <c r="FG14" s="970"/>
      <c r="FH14" s="970"/>
      <c r="FI14" s="970"/>
      <c r="FJ14" s="970"/>
      <c r="FK14" s="970"/>
      <c r="FL14" s="970"/>
      <c r="FM14" s="970"/>
      <c r="FN14" s="970"/>
      <c r="FO14" s="970"/>
      <c r="FP14" s="970"/>
      <c r="FQ14" s="970"/>
      <c r="FR14" s="970"/>
      <c r="FS14" s="970"/>
      <c r="FT14" s="970"/>
      <c r="FU14" s="970"/>
      <c r="FV14" s="970"/>
      <c r="FW14" s="970"/>
      <c r="FX14" s="970"/>
      <c r="FY14" s="970"/>
      <c r="FZ14" s="970"/>
      <c r="GA14" s="970"/>
      <c r="GB14" s="970"/>
      <c r="GC14" s="970"/>
      <c r="GD14" s="970"/>
      <c r="GE14" s="970"/>
      <c r="GF14" s="970"/>
      <c r="GG14" s="970"/>
      <c r="GH14" s="970"/>
      <c r="GI14" s="970"/>
      <c r="GJ14" s="970"/>
      <c r="GK14" s="970"/>
      <c r="GL14" s="970"/>
      <c r="GM14" s="970"/>
      <c r="GN14" s="970"/>
      <c r="GO14" s="970"/>
      <c r="GP14" s="970"/>
      <c r="GQ14" s="970"/>
      <c r="GR14" s="970"/>
      <c r="GS14" s="970"/>
      <c r="GT14" s="970"/>
      <c r="GU14" s="970"/>
      <c r="GV14" s="970"/>
      <c r="GW14" s="970"/>
      <c r="GX14" s="970"/>
      <c r="GY14" s="970"/>
      <c r="GZ14" s="970"/>
      <c r="HA14" s="970"/>
      <c r="HB14" s="970"/>
      <c r="HC14" s="970"/>
      <c r="HD14" s="970"/>
      <c r="HE14" s="970"/>
      <c r="HF14" s="970"/>
      <c r="HG14" s="970"/>
      <c r="HH14" s="970"/>
      <c r="HI14" s="970"/>
      <c r="HJ14" s="970"/>
      <c r="HK14" s="970"/>
      <c r="HL14" s="970"/>
      <c r="HM14" s="970"/>
      <c r="HN14" s="970"/>
      <c r="HO14" s="970"/>
      <c r="HP14" s="970"/>
      <c r="HQ14" s="970"/>
      <c r="HR14" s="970"/>
      <c r="HS14" s="970"/>
      <c r="HT14" s="970"/>
      <c r="HU14" s="970"/>
      <c r="HV14" s="970"/>
      <c r="HW14" s="970"/>
      <c r="HX14" s="970"/>
      <c r="HY14" s="970"/>
      <c r="HZ14" s="970"/>
      <c r="IA14" s="970"/>
      <c r="IB14" s="970"/>
      <c r="IC14" s="970"/>
      <c r="ID14" s="970"/>
      <c r="IE14" s="970"/>
      <c r="IF14" s="970"/>
      <c r="IG14" s="970"/>
      <c r="IH14" s="970"/>
      <c r="II14" s="970"/>
      <c r="IJ14" s="970"/>
      <c r="IK14" s="970"/>
      <c r="IL14" s="970"/>
      <c r="IM14" s="970"/>
      <c r="IN14" s="970"/>
      <c r="IO14" s="970"/>
      <c r="IP14" s="970"/>
      <c r="IQ14" s="970"/>
      <c r="IR14" s="970"/>
      <c r="IS14" s="970"/>
      <c r="IT14" s="970"/>
      <c r="IU14" s="970"/>
      <c r="IV14" s="970"/>
      <c r="IW14" s="970"/>
      <c r="IX14" s="970"/>
      <c r="IY14" s="970"/>
      <c r="IZ14" s="970"/>
      <c r="JA14" s="970"/>
      <c r="JB14" s="970"/>
      <c r="JC14" s="970"/>
      <c r="JD14" s="970"/>
      <c r="JE14" s="970"/>
      <c r="JF14" s="970"/>
      <c r="JG14" s="970"/>
      <c r="JH14" s="970"/>
      <c r="JI14" s="970"/>
      <c r="JJ14" s="970"/>
      <c r="JK14" s="970"/>
      <c r="JL14" s="970"/>
      <c r="JM14" s="970"/>
      <c r="JN14" s="970"/>
      <c r="JO14" s="970"/>
      <c r="JP14" s="970"/>
      <c r="JQ14" s="970"/>
      <c r="JR14" s="970"/>
      <c r="JS14" s="970"/>
      <c r="JT14" s="970"/>
      <c r="JU14" s="970"/>
      <c r="JV14" s="970"/>
      <c r="JW14" s="970"/>
      <c r="JX14" s="970"/>
      <c r="JY14" s="970"/>
      <c r="JZ14" s="970"/>
      <c r="KA14" s="970"/>
      <c r="KB14" s="970"/>
      <c r="KC14" s="970"/>
      <c r="KD14" s="970"/>
      <c r="KE14" s="970"/>
      <c r="KF14" s="970"/>
      <c r="KG14" s="970"/>
      <c r="KH14" s="970"/>
      <c r="KI14" s="970"/>
      <c r="KJ14" s="970"/>
      <c r="KK14" s="970"/>
      <c r="KL14" s="970"/>
      <c r="KM14" s="970"/>
      <c r="KN14" s="970"/>
      <c r="KO14" s="970"/>
      <c r="KP14" s="970"/>
      <c r="KQ14" s="970"/>
      <c r="KR14" s="970"/>
      <c r="KS14" s="970"/>
      <c r="KT14" s="970"/>
      <c r="KU14" s="970"/>
      <c r="KV14" s="970"/>
      <c r="KW14" s="970"/>
      <c r="KX14" s="970"/>
      <c r="KY14" s="970"/>
      <c r="KZ14" s="970"/>
      <c r="LA14" s="970"/>
      <c r="LB14" s="970"/>
      <c r="LC14" s="970"/>
      <c r="LD14" s="970"/>
      <c r="LE14" s="970"/>
      <c r="LF14" s="970"/>
      <c r="LG14" s="970"/>
      <c r="LH14" s="970"/>
      <c r="LI14" s="970"/>
      <c r="LJ14" s="970"/>
      <c r="LK14" s="970"/>
      <c r="LL14" s="970"/>
      <c r="LM14" s="970"/>
      <c r="LN14" s="970"/>
      <c r="LO14" s="970"/>
      <c r="LP14" s="970"/>
      <c r="LQ14" s="970"/>
      <c r="LR14" s="970"/>
      <c r="LS14" s="970"/>
      <c r="LT14" s="970"/>
      <c r="LU14" s="970"/>
      <c r="LV14" s="970"/>
      <c r="LW14" s="970"/>
      <c r="LX14" s="970"/>
      <c r="LY14" s="970"/>
      <c r="LZ14" s="970"/>
      <c r="MA14" s="970"/>
      <c r="MB14" s="970"/>
      <c r="MC14" s="970"/>
      <c r="MD14" s="970"/>
      <c r="ME14" s="970"/>
      <c r="MF14" s="970"/>
      <c r="MG14" s="970"/>
      <c r="MH14" s="970"/>
      <c r="MI14" s="970"/>
      <c r="MJ14" s="970"/>
      <c r="MK14" s="970"/>
      <c r="ML14" s="970"/>
      <c r="MM14" s="970"/>
      <c r="MN14" s="970"/>
      <c r="MO14" s="970"/>
      <c r="MP14" s="970"/>
      <c r="MQ14" s="970"/>
      <c r="MR14" s="970"/>
      <c r="MS14" s="970"/>
      <c r="MT14" s="970"/>
      <c r="MU14" s="970"/>
      <c r="MV14" s="970"/>
      <c r="MW14" s="970"/>
      <c r="MX14" s="970"/>
      <c r="MY14" s="970"/>
      <c r="MZ14" s="970"/>
      <c r="NA14" s="970"/>
      <c r="NB14" s="970"/>
      <c r="NC14" s="970"/>
      <c r="ND14" s="970"/>
      <c r="NE14" s="970"/>
      <c r="NF14" s="970"/>
      <c r="NG14" s="970"/>
      <c r="NH14" s="970"/>
      <c r="NI14" s="970"/>
      <c r="NJ14" s="970"/>
      <c r="NK14" s="970"/>
      <c r="NL14" s="970"/>
      <c r="NM14" s="970"/>
      <c r="NN14" s="970"/>
      <c r="NO14" s="970"/>
      <c r="NP14" s="970"/>
      <c r="NQ14" s="970"/>
      <c r="NR14" s="970"/>
      <c r="NS14" s="970"/>
      <c r="NT14" s="970"/>
      <c r="NU14" s="970"/>
      <c r="NV14" s="970"/>
      <c r="NW14" s="970"/>
      <c r="NX14" s="970"/>
      <c r="NY14" s="970"/>
      <c r="NZ14" s="970"/>
      <c r="OA14" s="970"/>
      <c r="OB14" s="970"/>
      <c r="OC14" s="970"/>
      <c r="OD14" s="970"/>
      <c r="OE14" s="970"/>
      <c r="OF14" s="970"/>
      <c r="OG14" s="970"/>
      <c r="OH14" s="970"/>
      <c r="OI14" s="970"/>
      <c r="OJ14" s="970"/>
      <c r="OK14" s="970"/>
      <c r="OL14" s="970"/>
      <c r="OM14" s="970"/>
      <c r="ON14" s="970"/>
      <c r="OO14" s="970"/>
      <c r="OP14" s="970"/>
      <c r="OQ14" s="970"/>
      <c r="OR14" s="970"/>
      <c r="OS14" s="970"/>
      <c r="OT14" s="970"/>
      <c r="OU14" s="970"/>
      <c r="OV14" s="970"/>
      <c r="OW14" s="970"/>
      <c r="OX14" s="970"/>
      <c r="OY14" s="970"/>
      <c r="OZ14" s="970"/>
      <c r="PA14" s="970"/>
      <c r="PB14" s="970"/>
      <c r="PC14" s="970"/>
      <c r="PD14" s="970"/>
      <c r="PE14" s="970"/>
      <c r="PF14" s="970"/>
      <c r="PG14" s="970"/>
      <c r="PH14" s="970"/>
      <c r="PI14" s="970"/>
      <c r="PJ14" s="970"/>
      <c r="PK14" s="970"/>
      <c r="PL14" s="970"/>
      <c r="PM14" s="970"/>
      <c r="PN14" s="970"/>
      <c r="PO14" s="970"/>
      <c r="PP14" s="970"/>
      <c r="PQ14" s="970"/>
      <c r="PR14" s="970"/>
      <c r="PS14" s="970"/>
      <c r="PT14" s="970"/>
      <c r="PU14" s="970"/>
      <c r="PV14" s="970"/>
      <c r="PW14" s="970"/>
      <c r="PX14" s="970"/>
      <c r="PY14" s="970"/>
      <c r="PZ14" s="970"/>
      <c r="QA14" s="970"/>
      <c r="QB14" s="970"/>
      <c r="QC14" s="970"/>
      <c r="QD14" s="970"/>
      <c r="QE14" s="970"/>
      <c r="QF14" s="970"/>
      <c r="QG14" s="970"/>
      <c r="QH14" s="970"/>
      <c r="QI14" s="970"/>
      <c r="QJ14" s="970"/>
      <c r="QK14" s="970"/>
      <c r="QL14" s="970"/>
      <c r="QM14" s="970"/>
      <c r="QN14" s="970"/>
      <c r="QO14" s="970"/>
      <c r="QP14" s="970"/>
      <c r="QQ14" s="970"/>
      <c r="QR14" s="970"/>
      <c r="QS14" s="970"/>
      <c r="QT14" s="970"/>
      <c r="QU14" s="970"/>
      <c r="QV14" s="970"/>
      <c r="QW14" s="970"/>
      <c r="QX14" s="970"/>
      <c r="QY14" s="970"/>
      <c r="QZ14" s="970"/>
      <c r="RA14" s="970"/>
      <c r="RB14" s="970"/>
      <c r="RC14" s="970"/>
      <c r="RD14" s="970"/>
      <c r="RE14" s="970"/>
      <c r="RF14" s="970"/>
      <c r="RG14" s="970"/>
      <c r="RH14" s="970"/>
      <c r="RI14" s="970"/>
      <c r="RJ14" s="970"/>
      <c r="RK14" s="970"/>
      <c r="RL14" s="970"/>
      <c r="RM14" s="970"/>
      <c r="RN14" s="970"/>
      <c r="RO14" s="970"/>
      <c r="RP14" s="970"/>
      <c r="RQ14" s="970"/>
      <c r="RR14" s="970"/>
      <c r="RS14" s="970"/>
      <c r="RT14" s="970"/>
      <c r="RU14" s="970"/>
      <c r="RV14" s="970"/>
      <c r="RW14" s="970"/>
      <c r="RX14" s="970"/>
      <c r="RY14" s="970"/>
      <c r="RZ14" s="970"/>
      <c r="SA14" s="970"/>
      <c r="SB14" s="970"/>
      <c r="SC14" s="970"/>
      <c r="SD14" s="970"/>
      <c r="SE14" s="970"/>
      <c r="SF14" s="970"/>
      <c r="SG14" s="970"/>
      <c r="SH14" s="970"/>
      <c r="SI14" s="970"/>
      <c r="SJ14" s="970"/>
      <c r="SK14" s="970"/>
      <c r="SL14" s="970"/>
      <c r="SM14" s="970"/>
      <c r="SN14" s="970"/>
      <c r="SO14" s="970"/>
      <c r="SP14" s="970"/>
      <c r="SQ14" s="970"/>
      <c r="SR14" s="970"/>
    </row>
    <row r="15" spans="1:512" ht="15" customHeight="1">
      <c r="A15"/>
      <c r="B15" t="s">
        <v>1731</v>
      </c>
      <c r="C15"/>
      <c r="D15"/>
      <c r="E15" t="s">
        <v>237</v>
      </c>
      <c r="F15"/>
      <c r="G15" s="970">
        <v>0</v>
      </c>
      <c r="H15" s="970">
        <v>0</v>
      </c>
      <c r="I15" s="970"/>
      <c r="J15" s="970"/>
      <c r="K15" s="970"/>
      <c r="L15" s="970"/>
      <c r="M15" s="970"/>
      <c r="N15" s="970"/>
      <c r="O15" s="970"/>
      <c r="P15" s="970"/>
      <c r="Q15" s="970"/>
      <c r="R15" s="970"/>
      <c r="S15" s="970"/>
      <c r="T15" s="970"/>
      <c r="U15" s="970"/>
      <c r="V15" s="970"/>
      <c r="W15" s="970"/>
      <c r="X15" s="970"/>
      <c r="Y15" s="970"/>
      <c r="Z15" s="970"/>
      <c r="AA15" s="970"/>
      <c r="AB15" s="970"/>
      <c r="AC15" s="970"/>
      <c r="AD15" s="970"/>
      <c r="AE15" s="970"/>
      <c r="AF15" s="970"/>
      <c r="AG15" s="970"/>
      <c r="AH15" s="970"/>
      <c r="AI15" s="970"/>
      <c r="AJ15" s="970"/>
      <c r="AK15" s="970"/>
      <c r="AL15" s="970"/>
      <c r="AM15" s="970"/>
      <c r="AN15" s="970"/>
      <c r="AO15" s="970"/>
      <c r="AP15" s="970"/>
      <c r="AQ15" s="970"/>
      <c r="AR15" s="970"/>
      <c r="AS15" s="970"/>
      <c r="AT15" s="970"/>
      <c r="AU15" s="970"/>
      <c r="AV15" s="970"/>
      <c r="AW15" s="970"/>
      <c r="AX15" s="970"/>
      <c r="AY15" s="970"/>
      <c r="AZ15" s="970"/>
      <c r="BA15" s="970"/>
      <c r="BB15" s="970"/>
      <c r="BC15" s="970"/>
      <c r="BD15" s="970"/>
      <c r="BE15" s="970"/>
      <c r="BF15" s="970"/>
      <c r="BG15" s="970"/>
      <c r="BH15" s="970"/>
      <c r="BI15" s="970"/>
      <c r="BJ15" s="970"/>
      <c r="BK15" s="970"/>
      <c r="BL15" s="970"/>
      <c r="BM15" s="970"/>
      <c r="BN15" s="970"/>
      <c r="BO15" s="970"/>
      <c r="BP15" s="970"/>
      <c r="BQ15" s="970"/>
      <c r="BR15" s="970"/>
      <c r="BS15" s="970"/>
      <c r="BT15" s="970"/>
      <c r="BU15" s="970"/>
      <c r="BV15" s="970"/>
      <c r="BW15" s="970"/>
      <c r="BX15" s="970"/>
      <c r="BY15" s="970"/>
      <c r="BZ15" s="970"/>
      <c r="CA15" s="970"/>
      <c r="CB15" s="970"/>
      <c r="CC15" s="970"/>
      <c r="CD15" s="970"/>
      <c r="CE15" s="970"/>
      <c r="CF15" s="970"/>
      <c r="CG15" s="970"/>
      <c r="CH15" s="970"/>
      <c r="CI15" s="970"/>
      <c r="CJ15" s="970"/>
      <c r="CK15" s="970"/>
      <c r="CL15" s="970"/>
      <c r="CM15" s="970"/>
      <c r="CN15" s="970"/>
      <c r="CO15" s="970"/>
      <c r="CP15" s="970"/>
      <c r="CQ15" s="970"/>
      <c r="CR15" s="970"/>
      <c r="CS15" s="970"/>
      <c r="CT15" s="970"/>
      <c r="CU15" s="970"/>
      <c r="CV15" s="970"/>
      <c r="CW15" s="970"/>
      <c r="CX15" s="970"/>
      <c r="CY15" s="970"/>
      <c r="CZ15" s="970"/>
      <c r="DA15" s="970"/>
      <c r="DB15" s="970"/>
      <c r="DC15" s="970"/>
      <c r="DD15" s="970"/>
      <c r="DE15" s="970"/>
      <c r="DF15" s="970"/>
      <c r="DG15" s="970"/>
      <c r="DH15" s="970"/>
      <c r="DI15" s="970"/>
      <c r="DJ15" s="970"/>
      <c r="DK15" s="970"/>
      <c r="DL15" s="970"/>
      <c r="DM15" s="970"/>
      <c r="DN15" s="970"/>
      <c r="DO15" s="970"/>
      <c r="DP15" s="970"/>
      <c r="DQ15" s="970"/>
      <c r="DR15" s="970"/>
      <c r="DS15" s="970"/>
      <c r="DT15" s="970"/>
      <c r="DU15" s="970"/>
      <c r="DV15" s="970"/>
      <c r="DW15" s="970"/>
      <c r="DX15" s="970"/>
      <c r="DY15" s="970"/>
      <c r="DZ15" s="970"/>
      <c r="EA15" s="970"/>
      <c r="EB15" s="970"/>
      <c r="EC15" s="970"/>
      <c r="ED15" s="970"/>
      <c r="EE15" s="970"/>
      <c r="EF15" s="970"/>
      <c r="EG15" s="970"/>
      <c r="EH15" s="970"/>
      <c r="EI15" s="970"/>
      <c r="EJ15" s="970"/>
      <c r="EK15" s="970"/>
      <c r="EL15" s="970"/>
      <c r="EM15" s="970"/>
      <c r="EN15" s="970"/>
      <c r="EO15" s="970"/>
      <c r="EP15" s="970"/>
      <c r="EQ15" s="970"/>
      <c r="ER15" s="970"/>
      <c r="ES15" s="970"/>
      <c r="ET15" s="970"/>
      <c r="EU15" s="970"/>
      <c r="EV15" s="970"/>
      <c r="EW15" s="970"/>
      <c r="EX15" s="970"/>
      <c r="EY15" s="970"/>
      <c r="EZ15" s="970"/>
      <c r="FA15" s="970"/>
      <c r="FB15" s="970"/>
      <c r="FC15" s="970"/>
      <c r="FD15" s="970"/>
      <c r="FE15" s="970"/>
      <c r="FF15" s="970"/>
      <c r="FG15" s="970"/>
      <c r="FH15" s="970"/>
      <c r="FI15" s="970"/>
      <c r="FJ15" s="970"/>
      <c r="FK15" s="970"/>
      <c r="FL15" s="970"/>
      <c r="FM15" s="970"/>
      <c r="FN15" s="970"/>
      <c r="FO15" s="970"/>
      <c r="FP15" s="970"/>
      <c r="FQ15" s="970"/>
      <c r="FR15" s="970"/>
      <c r="FS15" s="970"/>
      <c r="FT15" s="970"/>
      <c r="FU15" s="970"/>
      <c r="FV15" s="970"/>
      <c r="FW15" s="970"/>
      <c r="FX15" s="970"/>
      <c r="FY15" s="970"/>
      <c r="FZ15" s="970"/>
      <c r="GA15" s="970"/>
      <c r="GB15" s="970"/>
      <c r="GC15" s="970"/>
      <c r="GD15" s="970"/>
      <c r="GE15" s="970"/>
      <c r="GF15" s="970"/>
      <c r="GG15" s="970"/>
      <c r="GH15" s="970"/>
      <c r="GI15" s="970"/>
      <c r="GJ15" s="970"/>
      <c r="GK15" s="970"/>
      <c r="GL15" s="970"/>
      <c r="GM15" s="970"/>
      <c r="GN15" s="970"/>
      <c r="GO15" s="970"/>
      <c r="GP15" s="970"/>
      <c r="GQ15" s="970"/>
      <c r="GR15" s="970"/>
      <c r="GS15" s="970"/>
      <c r="GT15" s="970"/>
      <c r="GU15" s="970"/>
      <c r="GV15" s="970"/>
      <c r="GW15" s="970"/>
      <c r="GX15" s="970"/>
      <c r="GY15" s="970"/>
      <c r="GZ15" s="970"/>
      <c r="HA15" s="970"/>
      <c r="HB15" s="970"/>
      <c r="HC15" s="970"/>
      <c r="HD15" s="970"/>
      <c r="HE15" s="970"/>
      <c r="HF15" s="970"/>
      <c r="HG15" s="970"/>
      <c r="HH15" s="970"/>
      <c r="HI15" s="970"/>
      <c r="HJ15" s="970"/>
      <c r="HK15" s="970"/>
      <c r="HL15" s="970"/>
      <c r="HM15" s="970"/>
      <c r="HN15" s="970"/>
      <c r="HO15" s="970"/>
      <c r="HP15" s="970"/>
      <c r="HQ15" s="970"/>
      <c r="HR15" s="970"/>
      <c r="HS15" s="970"/>
      <c r="HT15" s="970"/>
      <c r="HU15" s="970"/>
      <c r="HV15" s="970"/>
      <c r="HW15" s="970"/>
      <c r="HX15" s="970"/>
      <c r="HY15" s="970"/>
      <c r="HZ15" s="970"/>
      <c r="IA15" s="970"/>
      <c r="IB15" s="970"/>
      <c r="IC15" s="970"/>
      <c r="ID15" s="970"/>
      <c r="IE15" s="970"/>
      <c r="IF15" s="970"/>
      <c r="IG15" s="970"/>
      <c r="IH15" s="970"/>
      <c r="II15" s="970"/>
      <c r="IJ15" s="970"/>
      <c r="IK15" s="970"/>
      <c r="IL15" s="970"/>
      <c r="IM15" s="970"/>
      <c r="IN15" s="970"/>
      <c r="IO15" s="970"/>
      <c r="IP15" s="970"/>
      <c r="IQ15" s="970"/>
      <c r="IR15" s="970"/>
      <c r="IS15" s="970"/>
      <c r="IT15" s="970"/>
      <c r="IU15" s="970"/>
      <c r="IV15" s="970"/>
      <c r="IW15" s="970"/>
      <c r="IX15" s="970"/>
      <c r="IY15" s="970"/>
      <c r="IZ15" s="970"/>
      <c r="JA15" s="970"/>
      <c r="JB15" s="970"/>
      <c r="JC15" s="970"/>
      <c r="JD15" s="970"/>
      <c r="JE15" s="970"/>
      <c r="JF15" s="970"/>
      <c r="JG15" s="970"/>
      <c r="JH15" s="970"/>
      <c r="JI15" s="970"/>
      <c r="JJ15" s="970"/>
      <c r="JK15" s="970"/>
      <c r="JL15" s="970"/>
      <c r="JM15" s="970"/>
      <c r="JN15" s="970"/>
      <c r="JO15" s="970"/>
      <c r="JP15" s="970"/>
      <c r="JQ15" s="970"/>
      <c r="JR15" s="970"/>
      <c r="JS15" s="970"/>
      <c r="JT15" s="970"/>
      <c r="JU15" s="970"/>
      <c r="JV15" s="970"/>
      <c r="JW15" s="970"/>
      <c r="JX15" s="970"/>
      <c r="JY15" s="970"/>
      <c r="JZ15" s="970"/>
      <c r="KA15" s="970"/>
      <c r="KB15" s="970"/>
      <c r="KC15" s="970"/>
      <c r="KD15" s="970"/>
      <c r="KE15" s="970"/>
      <c r="KF15" s="970"/>
      <c r="KG15" s="970"/>
      <c r="KH15" s="970"/>
      <c r="KI15" s="970"/>
      <c r="KJ15" s="970"/>
      <c r="KK15" s="970"/>
      <c r="KL15" s="970"/>
      <c r="KM15" s="970"/>
      <c r="KN15" s="970"/>
      <c r="KO15" s="970"/>
      <c r="KP15" s="970"/>
      <c r="KQ15" s="970"/>
      <c r="KR15" s="970"/>
      <c r="KS15" s="970"/>
      <c r="KT15" s="970"/>
      <c r="KU15" s="970"/>
      <c r="KV15" s="970"/>
      <c r="KW15" s="970"/>
      <c r="KX15" s="970"/>
      <c r="KY15" s="970"/>
      <c r="KZ15" s="970"/>
      <c r="LA15" s="970"/>
      <c r="LB15" s="970"/>
      <c r="LC15" s="970"/>
      <c r="LD15" s="970"/>
      <c r="LE15" s="970"/>
      <c r="LF15" s="970"/>
      <c r="LG15" s="970"/>
      <c r="LH15" s="970"/>
      <c r="LI15" s="970"/>
      <c r="LJ15" s="970"/>
      <c r="LK15" s="970"/>
      <c r="LL15" s="970"/>
      <c r="LM15" s="970"/>
      <c r="LN15" s="970"/>
      <c r="LO15" s="970"/>
      <c r="LP15" s="970"/>
      <c r="LQ15" s="970"/>
      <c r="LR15" s="970"/>
      <c r="LS15" s="970"/>
      <c r="LT15" s="970"/>
      <c r="LU15" s="970"/>
      <c r="LV15" s="970"/>
      <c r="LW15" s="970"/>
      <c r="LX15" s="970"/>
      <c r="LY15" s="970"/>
      <c r="LZ15" s="970"/>
      <c r="MA15" s="970"/>
      <c r="MB15" s="970"/>
      <c r="MC15" s="970"/>
      <c r="MD15" s="970"/>
      <c r="ME15" s="970"/>
      <c r="MF15" s="970"/>
      <c r="MG15" s="970"/>
      <c r="MH15" s="970"/>
      <c r="MI15" s="970"/>
      <c r="MJ15" s="970"/>
      <c r="MK15" s="970"/>
      <c r="ML15" s="970"/>
      <c r="MM15" s="970"/>
      <c r="MN15" s="970"/>
      <c r="MO15" s="970"/>
      <c r="MP15" s="970"/>
      <c r="MQ15" s="970"/>
      <c r="MR15" s="970"/>
      <c r="MS15" s="970"/>
      <c r="MT15" s="970"/>
      <c r="MU15" s="970"/>
      <c r="MV15" s="970"/>
      <c r="MW15" s="970"/>
      <c r="MX15" s="970"/>
      <c r="MY15" s="970"/>
      <c r="MZ15" s="970"/>
      <c r="NA15" s="970"/>
      <c r="NB15" s="970"/>
      <c r="NC15" s="970"/>
      <c r="ND15" s="970"/>
      <c r="NE15" s="970"/>
      <c r="NF15" s="970"/>
      <c r="NG15" s="970"/>
      <c r="NH15" s="970"/>
      <c r="NI15" s="970"/>
      <c r="NJ15" s="970"/>
      <c r="NK15" s="970"/>
      <c r="NL15" s="970"/>
      <c r="NM15" s="970"/>
      <c r="NN15" s="970"/>
      <c r="NO15" s="970"/>
      <c r="NP15" s="970"/>
      <c r="NQ15" s="970"/>
      <c r="NR15" s="970"/>
      <c r="NS15" s="970"/>
      <c r="NT15" s="970"/>
      <c r="NU15" s="970"/>
      <c r="NV15" s="970"/>
      <c r="NW15" s="970"/>
      <c r="NX15" s="970"/>
      <c r="NY15" s="970"/>
      <c r="NZ15" s="970"/>
      <c r="OA15" s="970"/>
      <c r="OB15" s="970"/>
      <c r="OC15" s="970"/>
      <c r="OD15" s="970"/>
      <c r="OE15" s="970"/>
      <c r="OF15" s="970"/>
      <c r="OG15" s="970"/>
      <c r="OH15" s="970"/>
      <c r="OI15" s="970"/>
      <c r="OJ15" s="970"/>
      <c r="OK15" s="970"/>
      <c r="OL15" s="970"/>
      <c r="OM15" s="970"/>
      <c r="ON15" s="970"/>
      <c r="OO15" s="970"/>
      <c r="OP15" s="970"/>
      <c r="OQ15" s="970"/>
      <c r="OR15" s="970"/>
      <c r="OS15" s="970"/>
      <c r="OT15" s="970"/>
      <c r="OU15" s="970"/>
      <c r="OV15" s="970"/>
      <c r="OW15" s="970"/>
      <c r="OX15" s="970"/>
      <c r="OY15" s="970"/>
      <c r="OZ15" s="970"/>
      <c r="PA15" s="970"/>
      <c r="PB15" s="970"/>
      <c r="PC15" s="970"/>
      <c r="PD15" s="970"/>
      <c r="PE15" s="970"/>
      <c r="PF15" s="970"/>
      <c r="PG15" s="970"/>
      <c r="PH15" s="970"/>
      <c r="PI15" s="970"/>
      <c r="PJ15" s="970"/>
      <c r="PK15" s="970"/>
      <c r="PL15" s="970"/>
      <c r="PM15" s="970"/>
      <c r="PN15" s="970"/>
      <c r="PO15" s="970"/>
      <c r="PP15" s="970"/>
      <c r="PQ15" s="970"/>
      <c r="PR15" s="970"/>
      <c r="PS15" s="970"/>
      <c r="PT15" s="970"/>
      <c r="PU15" s="970"/>
      <c r="PV15" s="970"/>
      <c r="PW15" s="970"/>
      <c r="PX15" s="970"/>
      <c r="PY15" s="970"/>
      <c r="PZ15" s="970"/>
      <c r="QA15" s="970"/>
      <c r="QB15" s="970"/>
      <c r="QC15" s="970"/>
      <c r="QD15" s="970"/>
      <c r="QE15" s="970"/>
      <c r="QF15" s="970"/>
      <c r="QG15" s="970"/>
      <c r="QH15" s="970"/>
      <c r="QI15" s="970"/>
      <c r="QJ15" s="970"/>
      <c r="QK15" s="970"/>
      <c r="QL15" s="970"/>
      <c r="QM15" s="970"/>
      <c r="QN15" s="970"/>
      <c r="QO15" s="970"/>
      <c r="QP15" s="970"/>
      <c r="QQ15" s="970"/>
      <c r="QR15" s="970"/>
      <c r="QS15" s="970"/>
      <c r="QT15" s="970"/>
      <c r="QU15" s="970"/>
      <c r="QV15" s="970"/>
      <c r="QW15" s="970"/>
      <c r="QX15" s="970"/>
      <c r="QY15" s="970"/>
      <c r="QZ15" s="970"/>
      <c r="RA15" s="970"/>
      <c r="RB15" s="970"/>
      <c r="RC15" s="970"/>
      <c r="RD15" s="970"/>
      <c r="RE15" s="970"/>
      <c r="RF15" s="970"/>
      <c r="RG15" s="970"/>
      <c r="RH15" s="970"/>
      <c r="RI15" s="970"/>
      <c r="RJ15" s="970"/>
      <c r="RK15" s="970"/>
      <c r="RL15" s="970"/>
      <c r="RM15" s="970"/>
      <c r="RN15" s="970"/>
      <c r="RO15" s="970"/>
      <c r="RP15" s="970"/>
      <c r="RQ15" s="970"/>
      <c r="RR15" s="970"/>
      <c r="RS15" s="970"/>
      <c r="RT15" s="970"/>
      <c r="RU15" s="970"/>
      <c r="RV15" s="970"/>
      <c r="RW15" s="970"/>
      <c r="RX15" s="970"/>
      <c r="RY15" s="970"/>
      <c r="RZ15" s="970"/>
      <c r="SA15" s="970"/>
      <c r="SB15" s="970"/>
      <c r="SC15" s="970"/>
      <c r="SD15" s="970"/>
      <c r="SE15" s="970"/>
      <c r="SF15" s="970"/>
      <c r="SG15" s="970"/>
      <c r="SH15" s="970"/>
      <c r="SI15" s="970"/>
      <c r="SJ15" s="970"/>
      <c r="SK15" s="970"/>
      <c r="SL15" s="970"/>
      <c r="SM15" s="970"/>
      <c r="SN15" s="970"/>
      <c r="SO15" s="970"/>
      <c r="SP15" s="970"/>
      <c r="SQ15" s="970"/>
      <c r="SR15" s="970"/>
    </row>
    <row r="16" spans="1:512" ht="15" customHeight="1">
      <c r="A16"/>
      <c r="B16"/>
      <c r="C16"/>
      <c r="D16"/>
      <c r="E16"/>
      <c r="F16"/>
      <c r="G16" s="971"/>
      <c r="H16" s="971"/>
      <c r="I16" s="971"/>
      <c r="J16" s="971"/>
      <c r="K16" s="971"/>
      <c r="L16" s="971"/>
      <c r="M16" s="971"/>
      <c r="N16" s="971"/>
      <c r="O16" s="971"/>
      <c r="P16" s="971"/>
      <c r="Q16" s="971"/>
      <c r="R16" s="971"/>
      <c r="S16" s="971"/>
      <c r="T16" s="971"/>
      <c r="U16" s="1015"/>
      <c r="V16" s="1015"/>
      <c r="W16" s="1015"/>
      <c r="X16" s="1015"/>
      <c r="Y16" s="1015"/>
      <c r="Z16" s="1015"/>
      <c r="AA16" s="1015"/>
      <c r="AB16" s="1015"/>
      <c r="AC16" s="1015"/>
      <c r="AD16" s="1015"/>
      <c r="AE16" s="1015"/>
      <c r="AF16" s="1015"/>
      <c r="AG16" s="1015"/>
      <c r="AH16" s="1015"/>
      <c r="AI16" s="1015"/>
      <c r="AJ16" s="1015"/>
      <c r="AK16" s="1015"/>
      <c r="AL16" s="1015"/>
      <c r="AM16" s="1015"/>
      <c r="AN16" s="1015"/>
      <c r="AO16" s="1015"/>
      <c r="AP16" s="1015"/>
      <c r="AQ16" s="1015"/>
      <c r="AR16" s="1015"/>
      <c r="AS16" s="1015"/>
      <c r="AT16" s="1015"/>
      <c r="AU16" s="1015"/>
      <c r="AV16" s="1015"/>
      <c r="AW16" s="1015"/>
      <c r="AX16" s="1015"/>
      <c r="AY16" s="1015"/>
      <c r="AZ16" s="1015"/>
      <c r="BA16" s="1015"/>
      <c r="BB16" s="1015"/>
      <c r="BC16" s="1015"/>
      <c r="BD16" s="1015"/>
      <c r="BE16" s="1015"/>
      <c r="BF16" s="971"/>
      <c r="BG16" s="971"/>
      <c r="BH16" s="971"/>
      <c r="BI16" s="971"/>
      <c r="BJ16" s="971"/>
      <c r="BK16" s="971"/>
      <c r="BL16" s="971"/>
      <c r="BM16" s="971"/>
      <c r="BN16" s="971"/>
      <c r="BO16" s="971"/>
      <c r="BP16" s="971"/>
      <c r="BQ16" s="971"/>
      <c r="BR16" s="971"/>
      <c r="BS16" s="971"/>
      <c r="BT16" s="971"/>
      <c r="BU16" s="971"/>
      <c r="BV16" s="971"/>
      <c r="BW16" s="971"/>
      <c r="BX16" s="971"/>
      <c r="BY16" s="971"/>
      <c r="BZ16" s="971"/>
      <c r="CA16" s="971"/>
      <c r="CB16" s="971"/>
      <c r="CC16" s="971"/>
      <c r="CD16" s="971"/>
      <c r="CE16" s="971"/>
      <c r="CF16" s="971"/>
      <c r="CG16" s="971"/>
      <c r="CH16" s="971"/>
      <c r="CI16" s="971"/>
      <c r="CJ16" s="971"/>
      <c r="CK16" s="971"/>
      <c r="CL16" s="971"/>
      <c r="CM16" s="971"/>
      <c r="CN16" s="971"/>
      <c r="CO16" s="971"/>
      <c r="CP16" s="971"/>
      <c r="CQ16" s="971"/>
      <c r="CR16" s="971"/>
      <c r="CS16" s="971"/>
      <c r="CT16" s="971"/>
      <c r="CU16" s="971"/>
      <c r="CV16" s="971"/>
      <c r="CW16" s="971"/>
      <c r="CX16" s="971"/>
      <c r="CY16" s="971"/>
      <c r="CZ16" s="971"/>
      <c r="DA16" s="971"/>
      <c r="DB16" s="971"/>
      <c r="DC16" s="971"/>
      <c r="DD16" s="971"/>
      <c r="DE16" s="971"/>
      <c r="DF16" s="971"/>
      <c r="DG16" s="971"/>
      <c r="DH16" s="971"/>
      <c r="DI16" s="971"/>
      <c r="DJ16" s="971"/>
      <c r="DK16" s="971"/>
      <c r="DL16" s="971"/>
      <c r="DM16" s="971"/>
      <c r="DN16" s="971"/>
      <c r="DO16" s="971"/>
      <c r="DP16" s="971"/>
      <c r="DQ16" s="971"/>
      <c r="DR16" s="971"/>
      <c r="DS16" s="971"/>
      <c r="DT16" s="971"/>
      <c r="DU16" s="971"/>
      <c r="DV16" s="971"/>
      <c r="DW16" s="971"/>
      <c r="DX16" s="971"/>
      <c r="DY16" s="971"/>
      <c r="DZ16" s="971"/>
      <c r="EA16" s="971"/>
      <c r="EB16" s="971"/>
      <c r="EC16" s="971"/>
      <c r="ED16" s="971"/>
      <c r="EE16" s="971"/>
      <c r="EF16" s="971"/>
      <c r="EG16" s="971"/>
      <c r="EH16" s="971"/>
      <c r="EI16" s="971"/>
      <c r="EJ16" s="971"/>
      <c r="EK16" s="971"/>
      <c r="EL16" s="971"/>
      <c r="EM16" s="971"/>
      <c r="EN16" s="971"/>
      <c r="EO16" s="971"/>
      <c r="EP16" s="971"/>
      <c r="EQ16" s="971"/>
      <c r="ER16" s="971"/>
      <c r="ES16" s="971"/>
      <c r="ET16" s="971"/>
      <c r="EU16" s="971"/>
      <c r="EV16" s="971"/>
      <c r="EW16" s="971"/>
      <c r="EX16" s="971"/>
      <c r="EY16" s="971"/>
      <c r="EZ16" s="971"/>
      <c r="FA16" s="971"/>
      <c r="FB16" s="971"/>
      <c r="FC16" s="971"/>
      <c r="FD16" s="971"/>
      <c r="FE16" s="971"/>
      <c r="FF16" s="971"/>
      <c r="FG16" s="971"/>
      <c r="FH16" s="971"/>
      <c r="FI16" s="971"/>
      <c r="FJ16" s="971"/>
      <c r="FK16" s="971"/>
      <c r="FL16" s="971"/>
      <c r="FM16" s="971"/>
      <c r="FN16" s="971"/>
      <c r="FO16" s="971"/>
      <c r="FP16" s="971"/>
      <c r="FQ16" s="971"/>
      <c r="FR16" s="971"/>
      <c r="FS16" s="971"/>
      <c r="FT16" s="971"/>
      <c r="FU16" s="971"/>
      <c r="FV16" s="971"/>
      <c r="FW16" s="971"/>
      <c r="FX16" s="971"/>
      <c r="FY16" s="971"/>
      <c r="FZ16" s="971"/>
      <c r="GA16" s="971"/>
      <c r="GB16" s="971"/>
      <c r="GC16" s="971"/>
      <c r="GD16" s="971"/>
      <c r="GE16" s="971"/>
      <c r="GF16" s="971"/>
      <c r="GG16" s="971"/>
      <c r="GH16" s="971"/>
      <c r="GI16" s="971"/>
      <c r="GJ16" s="971"/>
      <c r="GK16" s="971"/>
      <c r="GL16" s="971"/>
      <c r="GM16" s="971"/>
      <c r="GN16" s="971"/>
      <c r="GO16" s="971"/>
      <c r="GP16" s="971"/>
      <c r="GQ16" s="971"/>
      <c r="GR16" s="971"/>
      <c r="GS16" s="971"/>
      <c r="GT16" s="971"/>
      <c r="GU16" s="971"/>
      <c r="GV16" s="971"/>
      <c r="GW16" s="971"/>
      <c r="GX16" s="971"/>
      <c r="GY16" s="971"/>
      <c r="GZ16" s="971"/>
      <c r="HA16" s="971"/>
      <c r="HB16" s="971"/>
      <c r="HC16" s="971"/>
      <c r="HD16" s="971"/>
      <c r="HE16" s="971"/>
      <c r="HF16" s="971"/>
      <c r="HG16" s="971"/>
      <c r="HH16" s="971"/>
      <c r="HI16" s="971"/>
      <c r="HJ16" s="971"/>
      <c r="HK16" s="971"/>
      <c r="HL16" s="971"/>
      <c r="HM16" s="971"/>
      <c r="HN16" s="971"/>
      <c r="HO16" s="971"/>
      <c r="HP16" s="971"/>
      <c r="HQ16" s="971"/>
      <c r="HR16" s="971"/>
      <c r="HS16" s="971"/>
      <c r="HT16" s="971"/>
      <c r="HU16" s="971"/>
      <c r="HV16" s="971"/>
      <c r="HW16" s="971"/>
      <c r="HX16" s="971"/>
      <c r="HY16" s="971"/>
      <c r="HZ16" s="971"/>
      <c r="IA16" s="971"/>
      <c r="IB16" s="971"/>
      <c r="IC16" s="971"/>
      <c r="ID16" s="971"/>
      <c r="IE16" s="971"/>
      <c r="IF16" s="971"/>
      <c r="IG16" s="971"/>
      <c r="IH16" s="971"/>
      <c r="II16" s="971"/>
      <c r="IJ16" s="971"/>
      <c r="IK16" s="971"/>
      <c r="IL16" s="971"/>
      <c r="IM16" s="971"/>
      <c r="IN16" s="971"/>
      <c r="IO16" s="971"/>
      <c r="IP16" s="971"/>
      <c r="IQ16" s="971"/>
      <c r="IR16" s="971"/>
      <c r="IS16" s="971"/>
      <c r="IT16" s="971"/>
      <c r="IU16" s="971"/>
      <c r="IV16" s="971"/>
      <c r="IW16" s="971"/>
      <c r="IX16" s="971"/>
      <c r="IY16" s="971"/>
      <c r="IZ16" s="971"/>
      <c r="JA16" s="971"/>
      <c r="JB16" s="971"/>
      <c r="JC16" s="971"/>
      <c r="JD16" s="971"/>
      <c r="JE16" s="971"/>
      <c r="JF16" s="971"/>
      <c r="JG16" s="971"/>
      <c r="JH16" s="971"/>
      <c r="JI16" s="971"/>
      <c r="JJ16" s="971"/>
      <c r="JK16" s="971"/>
      <c r="JL16" s="971"/>
      <c r="JM16" s="971"/>
      <c r="JN16" s="971"/>
      <c r="JO16" s="971"/>
      <c r="JP16" s="971"/>
      <c r="JQ16" s="971"/>
      <c r="JR16" s="971"/>
      <c r="JS16" s="971"/>
      <c r="JT16" s="971"/>
      <c r="JU16" s="971"/>
      <c r="JV16" s="971"/>
      <c r="JW16" s="971"/>
      <c r="JX16" s="971"/>
      <c r="JY16" s="971"/>
      <c r="JZ16" s="971"/>
      <c r="KA16" s="971"/>
      <c r="KB16" s="971"/>
      <c r="KC16" s="971"/>
      <c r="KD16" s="971"/>
      <c r="KE16" s="971"/>
      <c r="KF16" s="971"/>
      <c r="KG16" s="971"/>
      <c r="KH16" s="971"/>
      <c r="KI16" s="971"/>
      <c r="KJ16" s="971"/>
      <c r="KK16" s="971"/>
      <c r="KL16" s="971"/>
      <c r="KM16" s="971"/>
      <c r="KN16" s="971"/>
      <c r="KO16" s="971"/>
      <c r="KP16" s="971"/>
      <c r="KQ16" s="971"/>
      <c r="KR16" s="971"/>
      <c r="KS16" s="971"/>
      <c r="KT16" s="971"/>
      <c r="KU16" s="971"/>
      <c r="KV16" s="971"/>
      <c r="KW16" s="971"/>
      <c r="KX16" s="971"/>
      <c r="KY16" s="971"/>
      <c r="KZ16" s="971"/>
      <c r="LA16" s="971"/>
      <c r="LB16" s="971"/>
      <c r="LC16" s="971"/>
      <c r="LD16" s="971"/>
      <c r="LE16" s="971"/>
      <c r="LF16" s="971"/>
      <c r="LG16" s="971"/>
      <c r="LH16" s="971"/>
      <c r="LI16" s="971"/>
      <c r="LJ16" s="971"/>
      <c r="LK16" s="971"/>
      <c r="LL16" s="971"/>
      <c r="LM16" s="971"/>
      <c r="LN16" s="971"/>
      <c r="LO16" s="971"/>
      <c r="LP16" s="971"/>
      <c r="LQ16" s="971"/>
      <c r="LR16" s="971"/>
      <c r="LS16" s="971"/>
      <c r="LT16" s="971"/>
      <c r="LU16" s="971"/>
      <c r="LV16" s="971"/>
      <c r="LW16" s="971"/>
      <c r="LX16" s="971"/>
      <c r="LY16" s="971"/>
      <c r="LZ16" s="971"/>
      <c r="MA16" s="971"/>
      <c r="MB16" s="971"/>
      <c r="MC16" s="971"/>
      <c r="MD16" s="971"/>
      <c r="ME16" s="971"/>
      <c r="MF16" s="971"/>
      <c r="MG16" s="971"/>
      <c r="MH16" s="971"/>
      <c r="MI16" s="971"/>
      <c r="MJ16" s="971"/>
      <c r="MK16" s="971"/>
      <c r="ML16" s="971"/>
      <c r="MM16" s="971"/>
      <c r="MN16" s="971"/>
      <c r="MO16" s="971"/>
      <c r="MP16" s="971"/>
      <c r="MQ16" s="971"/>
      <c r="MR16" s="971"/>
      <c r="MS16" s="971"/>
      <c r="MT16" s="971"/>
      <c r="MU16" s="971"/>
      <c r="MV16" s="971"/>
      <c r="MW16" s="971"/>
      <c r="MX16" s="971"/>
      <c r="MY16" s="971"/>
      <c r="MZ16" s="971"/>
      <c r="NA16" s="971"/>
      <c r="NB16" s="971"/>
      <c r="NC16" s="971"/>
      <c r="ND16" s="971"/>
      <c r="NE16" s="971"/>
      <c r="NF16" s="971"/>
      <c r="NG16" s="971"/>
      <c r="NH16" s="971"/>
      <c r="NI16" s="971"/>
      <c r="NJ16" s="971"/>
      <c r="NK16" s="971"/>
      <c r="NL16" s="971"/>
      <c r="NM16" s="971"/>
      <c r="NN16" s="971"/>
      <c r="NO16" s="971"/>
      <c r="NP16" s="971"/>
      <c r="NQ16" s="971"/>
      <c r="NR16" s="971"/>
      <c r="NS16" s="971"/>
      <c r="NT16" s="971"/>
      <c r="NU16" s="971"/>
      <c r="NV16" s="971"/>
      <c r="NW16" s="971"/>
      <c r="NX16" s="971"/>
      <c r="NY16" s="971"/>
      <c r="NZ16" s="971"/>
      <c r="OA16" s="971"/>
      <c r="OB16" s="971"/>
      <c r="OC16" s="971"/>
      <c r="OD16" s="971"/>
      <c r="OE16" s="971"/>
      <c r="OF16" s="971"/>
      <c r="OG16" s="971"/>
      <c r="OH16" s="971"/>
      <c r="OI16" s="971"/>
      <c r="OJ16" s="971"/>
      <c r="OK16" s="971"/>
      <c r="OL16" s="971"/>
      <c r="OM16" s="971"/>
      <c r="ON16" s="971"/>
      <c r="OO16" s="971"/>
      <c r="OP16" s="971"/>
      <c r="OQ16" s="971"/>
      <c r="OR16" s="971"/>
      <c r="OS16" s="971"/>
      <c r="OT16" s="971"/>
      <c r="OU16" s="971"/>
      <c r="OV16" s="971"/>
      <c r="OW16" s="971"/>
      <c r="OX16" s="971"/>
      <c r="OY16" s="971"/>
      <c r="OZ16" s="971"/>
      <c r="PA16" s="971"/>
      <c r="PB16" s="971"/>
      <c r="PC16" s="971"/>
      <c r="PD16" s="971"/>
      <c r="PE16" s="971"/>
      <c r="PF16" s="971"/>
      <c r="PG16" s="971"/>
      <c r="PH16" s="971"/>
      <c r="PI16" s="971"/>
      <c r="PJ16" s="971"/>
      <c r="PK16" s="971"/>
      <c r="PL16" s="971"/>
      <c r="PM16" s="971"/>
      <c r="PN16" s="971"/>
      <c r="PO16" s="971"/>
      <c r="PP16" s="971"/>
      <c r="PQ16" s="971"/>
      <c r="PR16" s="971"/>
      <c r="PS16" s="971"/>
      <c r="PT16" s="971"/>
      <c r="PU16" s="971"/>
      <c r="PV16" s="971"/>
      <c r="PW16" s="971"/>
      <c r="PX16" s="971"/>
      <c r="PY16" s="971"/>
      <c r="PZ16" s="971"/>
      <c r="QA16" s="971"/>
      <c r="QB16" s="971"/>
      <c r="QC16" s="971"/>
      <c r="QD16" s="971"/>
      <c r="QE16" s="971"/>
      <c r="QF16" s="971"/>
      <c r="QG16" s="971"/>
      <c r="QH16" s="971"/>
      <c r="QI16" s="971"/>
      <c r="QJ16" s="971"/>
      <c r="QK16" s="971"/>
      <c r="QL16" s="971"/>
      <c r="QM16" s="971"/>
      <c r="QN16" s="971"/>
      <c r="QO16" s="971"/>
      <c r="QP16" s="971"/>
      <c r="QQ16" s="971"/>
      <c r="QR16" s="971"/>
      <c r="QS16" s="971"/>
      <c r="QT16" s="971"/>
      <c r="QU16" s="971"/>
      <c r="QV16" s="971"/>
      <c r="QW16" s="971"/>
      <c r="QX16" s="971"/>
      <c r="QY16" s="971"/>
      <c r="QZ16" s="971"/>
      <c r="RA16" s="971"/>
      <c r="RB16" s="971"/>
      <c r="RC16" s="971"/>
      <c r="RD16" s="971"/>
      <c r="RE16" s="971"/>
      <c r="RF16" s="971"/>
      <c r="RG16" s="971"/>
      <c r="RH16" s="971"/>
      <c r="RI16" s="971"/>
      <c r="RJ16" s="971"/>
      <c r="RK16" s="971"/>
      <c r="RL16" s="971"/>
      <c r="RM16" s="971"/>
      <c r="RN16" s="971"/>
      <c r="RO16" s="971"/>
      <c r="RP16" s="971"/>
      <c r="RQ16" s="971"/>
      <c r="RR16" s="971"/>
      <c r="RS16" s="971"/>
      <c r="RT16" s="971"/>
      <c r="RU16" s="971"/>
      <c r="RV16" s="971"/>
      <c r="RW16" s="971"/>
      <c r="RX16" s="971"/>
      <c r="RY16" s="971"/>
      <c r="RZ16" s="971"/>
      <c r="SA16" s="971"/>
      <c r="SB16" s="971"/>
      <c r="SC16" s="971"/>
      <c r="SD16" s="971"/>
      <c r="SE16" s="971"/>
      <c r="SF16" s="971"/>
      <c r="SG16" s="971"/>
      <c r="SH16" s="971"/>
      <c r="SI16" s="971"/>
      <c r="SJ16" s="971"/>
      <c r="SK16" s="971"/>
      <c r="SL16" s="971"/>
      <c r="SM16" s="971"/>
      <c r="SN16" s="971"/>
      <c r="SO16" s="971"/>
      <c r="SP16" s="971"/>
      <c r="SQ16" s="971"/>
      <c r="SR16" s="971"/>
    </row>
    <row r="17" spans="1:512" ht="15" customHeight="1">
      <c r="A17" t="s">
        <v>2202</v>
      </c>
      <c r="B17"/>
      <c r="C17"/>
      <c r="D17"/>
      <c r="E17"/>
      <c r="F17"/>
      <c r="G17" s="972"/>
      <c r="H17" s="972"/>
      <c r="I17" s="972"/>
      <c r="J17" s="972"/>
      <c r="K17" s="972"/>
      <c r="L17" s="972"/>
      <c r="M17" s="972"/>
      <c r="N17" s="972"/>
      <c r="O17" s="972"/>
      <c r="P17" s="972"/>
      <c r="Q17" s="972"/>
      <c r="R17" s="972"/>
      <c r="S17" s="972"/>
      <c r="T17" s="972"/>
      <c r="U17" s="1016"/>
      <c r="V17" s="1016"/>
      <c r="W17" s="1016"/>
      <c r="X17" s="1016"/>
      <c r="Y17" s="1016"/>
      <c r="Z17" s="1016"/>
      <c r="AA17" s="1016"/>
      <c r="AB17" s="1016"/>
      <c r="AC17" s="1016"/>
      <c r="AD17" s="1016"/>
      <c r="AE17" s="1016"/>
      <c r="AF17" s="1016"/>
      <c r="AG17" s="1016"/>
      <c r="AH17" s="1016"/>
      <c r="AI17" s="1016"/>
      <c r="AJ17" s="1016"/>
      <c r="AK17" s="1016"/>
      <c r="AL17" s="1016"/>
      <c r="AM17" s="1016"/>
      <c r="AN17" s="1016"/>
      <c r="AO17" s="1016"/>
      <c r="AP17" s="1016"/>
      <c r="AQ17" s="1016"/>
      <c r="AR17" s="1016"/>
      <c r="AS17" s="1016"/>
      <c r="AT17" s="1016"/>
      <c r="AU17" s="1016"/>
      <c r="AV17" s="1016"/>
      <c r="AW17" s="1016"/>
      <c r="AX17" s="1016"/>
      <c r="AY17" s="1016"/>
      <c r="AZ17" s="1016"/>
      <c r="BA17" s="1016"/>
      <c r="BB17" s="1016"/>
      <c r="BC17" s="1016"/>
      <c r="BD17" s="1016"/>
      <c r="BE17" s="1016"/>
      <c r="BF17" s="971"/>
      <c r="BG17" s="971"/>
      <c r="BH17" s="971"/>
      <c r="BI17" s="971"/>
      <c r="BJ17" s="971"/>
      <c r="BK17" s="971"/>
      <c r="BL17" s="971"/>
      <c r="BM17" s="971"/>
      <c r="BN17" s="971"/>
      <c r="BO17" s="971"/>
      <c r="BP17" s="971"/>
      <c r="BQ17" s="971"/>
      <c r="BR17" s="971"/>
      <c r="BS17" s="971"/>
      <c r="BT17" s="971"/>
      <c r="BU17" s="971"/>
      <c r="BV17" s="971"/>
      <c r="BW17" s="971"/>
      <c r="BX17" s="971"/>
      <c r="BY17" s="971"/>
      <c r="BZ17" s="971"/>
      <c r="CA17" s="971"/>
      <c r="CB17" s="971"/>
      <c r="CC17" s="971"/>
      <c r="CD17" s="971"/>
      <c r="CE17" s="971"/>
      <c r="CF17" s="971"/>
      <c r="CG17" s="971"/>
      <c r="CH17" s="971"/>
      <c r="CI17" s="971"/>
      <c r="CJ17" s="971"/>
      <c r="CK17" s="971"/>
      <c r="CL17" s="971"/>
      <c r="CM17" s="971"/>
      <c r="CN17" s="971"/>
      <c r="CO17" s="971"/>
      <c r="CP17" s="971"/>
      <c r="CQ17" s="971"/>
      <c r="CR17" s="971"/>
      <c r="CS17" s="971"/>
      <c r="CT17" s="971"/>
      <c r="CU17" s="971"/>
      <c r="CV17" s="971"/>
      <c r="CW17" s="971"/>
      <c r="CX17" s="971"/>
      <c r="CY17" s="971"/>
      <c r="CZ17" s="971"/>
      <c r="DA17" s="971"/>
      <c r="DB17" s="971"/>
      <c r="DC17" s="971"/>
      <c r="DD17" s="971"/>
      <c r="DE17" s="971"/>
      <c r="DF17" s="971"/>
      <c r="DG17" s="971"/>
      <c r="DH17" s="971"/>
      <c r="DI17" s="971"/>
      <c r="DJ17" s="971"/>
      <c r="DK17" s="971"/>
      <c r="DL17" s="971"/>
      <c r="DM17" s="971"/>
      <c r="DN17" s="971"/>
      <c r="DO17" s="971"/>
      <c r="DP17" s="971"/>
      <c r="DQ17" s="971"/>
      <c r="DR17" s="971"/>
      <c r="DS17" s="971"/>
      <c r="DT17" s="971"/>
      <c r="DU17" s="971"/>
      <c r="DV17" s="971"/>
      <c r="DW17" s="971"/>
      <c r="DX17" s="971"/>
      <c r="DY17" s="971"/>
      <c r="DZ17" s="971"/>
      <c r="EA17" s="971"/>
      <c r="EB17" s="971"/>
      <c r="EC17" s="971"/>
      <c r="ED17" s="971"/>
      <c r="EE17" s="971"/>
      <c r="EF17" s="971"/>
      <c r="EG17" s="971"/>
      <c r="EH17" s="971"/>
      <c r="EI17" s="971"/>
      <c r="EJ17" s="971"/>
      <c r="EK17" s="971"/>
      <c r="EL17" s="971"/>
      <c r="EM17" s="971"/>
      <c r="EN17" s="971"/>
      <c r="EO17" s="971"/>
      <c r="EP17" s="971"/>
      <c r="EQ17" s="971"/>
      <c r="ER17" s="971"/>
      <c r="ES17" s="971"/>
      <c r="ET17" s="971"/>
      <c r="EU17" s="971"/>
      <c r="EV17" s="971"/>
      <c r="EW17" s="971"/>
      <c r="EX17" s="971"/>
      <c r="EY17" s="971"/>
      <c r="EZ17" s="971"/>
      <c r="FA17" s="971"/>
      <c r="FB17" s="971"/>
      <c r="FC17" s="971"/>
      <c r="FD17" s="971"/>
      <c r="FE17" s="971"/>
      <c r="FF17" s="971"/>
      <c r="FG17" s="971"/>
      <c r="FH17" s="971"/>
      <c r="FI17" s="971"/>
      <c r="FJ17" s="971"/>
      <c r="FK17" s="971"/>
      <c r="FL17" s="971"/>
      <c r="FM17" s="971"/>
      <c r="FN17" s="971"/>
      <c r="FO17" s="971"/>
      <c r="FP17" s="971"/>
      <c r="FQ17" s="971"/>
      <c r="FR17" s="971"/>
      <c r="FS17" s="971"/>
      <c r="FT17" s="971"/>
      <c r="FU17" s="971"/>
      <c r="FV17" s="971"/>
      <c r="FW17" s="971"/>
      <c r="FX17" s="971"/>
      <c r="FY17" s="971"/>
      <c r="FZ17" s="971"/>
      <c r="GA17" s="971"/>
      <c r="GB17" s="971"/>
      <c r="GC17" s="971"/>
      <c r="GD17" s="971"/>
      <c r="GE17" s="971"/>
      <c r="GF17" s="971"/>
      <c r="GG17" s="971"/>
      <c r="GH17" s="971"/>
      <c r="GI17" s="971"/>
      <c r="GJ17" s="971"/>
      <c r="GK17" s="971"/>
      <c r="GL17" s="971"/>
      <c r="GM17" s="971"/>
      <c r="GN17" s="971"/>
      <c r="GO17" s="971"/>
      <c r="GP17" s="971"/>
      <c r="GQ17" s="971"/>
      <c r="GR17" s="971"/>
      <c r="GS17" s="971"/>
      <c r="GT17" s="971"/>
      <c r="GU17" s="971"/>
      <c r="GV17" s="971"/>
      <c r="GW17" s="971"/>
      <c r="GX17" s="971"/>
      <c r="GY17" s="971"/>
      <c r="GZ17" s="971"/>
      <c r="HA17" s="971"/>
      <c r="HB17" s="971"/>
      <c r="HC17" s="971"/>
      <c r="HD17" s="971"/>
      <c r="HE17" s="971"/>
      <c r="HF17" s="971"/>
      <c r="HG17" s="971"/>
      <c r="HH17" s="971"/>
      <c r="HI17" s="971"/>
      <c r="HJ17" s="971"/>
      <c r="HK17" s="971"/>
      <c r="HL17" s="971"/>
      <c r="HM17" s="971"/>
      <c r="HN17" s="971"/>
      <c r="HO17" s="971"/>
      <c r="HP17" s="971"/>
      <c r="HQ17" s="971"/>
      <c r="HR17" s="971"/>
      <c r="HS17" s="971"/>
      <c r="HT17" s="971"/>
      <c r="HU17" s="971"/>
      <c r="HV17" s="971"/>
      <c r="HW17" s="971"/>
      <c r="HX17" s="971"/>
      <c r="HY17" s="971"/>
      <c r="HZ17" s="971"/>
      <c r="IA17" s="971"/>
      <c r="IB17" s="971"/>
      <c r="IC17" s="971"/>
      <c r="ID17" s="971"/>
      <c r="IE17" s="971"/>
      <c r="IF17" s="971"/>
      <c r="IG17" s="971"/>
      <c r="IH17" s="971"/>
      <c r="II17" s="971"/>
      <c r="IJ17" s="971"/>
      <c r="IK17" s="971"/>
      <c r="IL17" s="971"/>
      <c r="IM17" s="971"/>
      <c r="IN17" s="971"/>
      <c r="IO17" s="971"/>
      <c r="IP17" s="971"/>
      <c r="IQ17" s="971"/>
      <c r="IR17" s="971"/>
      <c r="IS17" s="971"/>
      <c r="IT17" s="971"/>
      <c r="IU17" s="971"/>
      <c r="IV17" s="971"/>
      <c r="IW17" s="971"/>
      <c r="IX17" s="971"/>
      <c r="IY17" s="971"/>
      <c r="IZ17" s="971"/>
      <c r="JA17" s="971"/>
      <c r="JB17" s="971"/>
      <c r="JC17" s="971"/>
      <c r="JD17" s="971"/>
      <c r="JE17" s="971"/>
      <c r="JF17" s="971"/>
      <c r="JG17" s="971"/>
      <c r="JH17" s="971"/>
      <c r="JI17" s="971"/>
      <c r="JJ17" s="971"/>
      <c r="JK17" s="971"/>
      <c r="JL17" s="971"/>
      <c r="JM17" s="971"/>
      <c r="JN17" s="971"/>
      <c r="JO17" s="971"/>
      <c r="JP17" s="971"/>
      <c r="JQ17" s="971"/>
      <c r="JR17" s="971"/>
      <c r="JS17" s="971"/>
      <c r="JT17" s="971"/>
      <c r="JU17" s="971"/>
      <c r="JV17" s="971"/>
      <c r="JW17" s="971"/>
      <c r="JX17" s="971"/>
      <c r="JY17" s="971"/>
      <c r="JZ17" s="971"/>
      <c r="KA17" s="971"/>
      <c r="KB17" s="971"/>
      <c r="KC17" s="971"/>
      <c r="KD17" s="971"/>
      <c r="KE17" s="971"/>
      <c r="KF17" s="971"/>
      <c r="KG17" s="971"/>
      <c r="KH17" s="971"/>
      <c r="KI17" s="971"/>
      <c r="KJ17" s="971"/>
      <c r="KK17" s="971"/>
      <c r="KL17" s="971"/>
      <c r="KM17" s="971"/>
      <c r="KN17" s="971"/>
      <c r="KO17" s="971"/>
      <c r="KP17" s="971"/>
      <c r="KQ17" s="971"/>
      <c r="KR17" s="971"/>
      <c r="KS17" s="971"/>
      <c r="KT17" s="971"/>
      <c r="KU17" s="971"/>
      <c r="KV17" s="971"/>
      <c r="KW17" s="971"/>
      <c r="KX17" s="971"/>
      <c r="KY17" s="971"/>
      <c r="KZ17" s="971"/>
      <c r="LA17" s="971"/>
      <c r="LB17" s="971"/>
      <c r="LC17" s="971"/>
      <c r="LD17" s="971"/>
      <c r="LE17" s="971"/>
      <c r="LF17" s="971"/>
      <c r="LG17" s="971"/>
      <c r="LH17" s="971"/>
      <c r="LI17" s="971"/>
      <c r="LJ17" s="971"/>
      <c r="LK17" s="971"/>
      <c r="LL17" s="971"/>
      <c r="LM17" s="971"/>
      <c r="LN17" s="971"/>
      <c r="LO17" s="971"/>
      <c r="LP17" s="971"/>
      <c r="LQ17" s="971"/>
      <c r="LR17" s="971"/>
      <c r="LS17" s="971"/>
      <c r="LT17" s="971"/>
      <c r="LU17" s="971"/>
      <c r="LV17" s="971"/>
      <c r="LW17" s="971"/>
      <c r="LX17" s="971"/>
      <c r="LY17" s="971"/>
      <c r="LZ17" s="971"/>
      <c r="MA17" s="971"/>
      <c r="MB17" s="971"/>
      <c r="MC17" s="971"/>
      <c r="MD17" s="971"/>
      <c r="ME17" s="971"/>
      <c r="MF17" s="971"/>
      <c r="MG17" s="971"/>
      <c r="MH17" s="971"/>
      <c r="MI17" s="971"/>
      <c r="MJ17" s="971"/>
      <c r="MK17" s="971"/>
      <c r="ML17" s="971"/>
      <c r="MM17" s="971"/>
      <c r="MN17" s="971"/>
      <c r="MO17" s="971"/>
      <c r="MP17" s="971"/>
      <c r="MQ17" s="971"/>
      <c r="MR17" s="971"/>
      <c r="MS17" s="971"/>
      <c r="MT17" s="971"/>
      <c r="MU17" s="971"/>
      <c r="MV17" s="971"/>
      <c r="MW17" s="971"/>
      <c r="MX17" s="971"/>
      <c r="MY17" s="971"/>
      <c r="MZ17" s="971"/>
      <c r="NA17" s="971"/>
      <c r="NB17" s="971"/>
      <c r="NC17" s="971"/>
      <c r="ND17" s="971"/>
      <c r="NE17" s="971"/>
      <c r="NF17" s="971"/>
      <c r="NG17" s="971"/>
      <c r="NH17" s="971"/>
      <c r="NI17" s="971"/>
      <c r="NJ17" s="971"/>
      <c r="NK17" s="971"/>
      <c r="NL17" s="971"/>
      <c r="NM17" s="971"/>
      <c r="NN17" s="971"/>
      <c r="NO17" s="971"/>
      <c r="NP17" s="971"/>
      <c r="NQ17" s="971"/>
      <c r="NR17" s="971"/>
      <c r="NS17" s="971"/>
      <c r="NT17" s="971"/>
      <c r="NU17" s="971"/>
      <c r="NV17" s="971"/>
      <c r="NW17" s="971"/>
      <c r="NX17" s="971"/>
      <c r="NY17" s="971"/>
      <c r="NZ17" s="971"/>
      <c r="OA17" s="971"/>
      <c r="OB17" s="971"/>
      <c r="OC17" s="971"/>
      <c r="OD17" s="971"/>
      <c r="OE17" s="971"/>
      <c r="OF17" s="971"/>
      <c r="OG17" s="971"/>
      <c r="OH17" s="971"/>
      <c r="OI17" s="971"/>
      <c r="OJ17" s="971"/>
      <c r="OK17" s="971"/>
      <c r="OL17" s="971"/>
      <c r="OM17" s="971"/>
      <c r="ON17" s="971"/>
      <c r="OO17" s="971"/>
      <c r="OP17" s="971"/>
      <c r="OQ17" s="971"/>
      <c r="OR17" s="971"/>
      <c r="OS17" s="971"/>
      <c r="OT17" s="971"/>
      <c r="OU17" s="971"/>
      <c r="OV17" s="971"/>
      <c r="OW17" s="971"/>
      <c r="OX17" s="971"/>
      <c r="OY17" s="971"/>
      <c r="OZ17" s="971"/>
      <c r="PA17" s="971"/>
      <c r="PB17" s="971"/>
      <c r="PC17" s="971"/>
      <c r="PD17" s="971"/>
      <c r="PE17" s="971"/>
      <c r="PF17" s="971"/>
      <c r="PG17" s="971"/>
      <c r="PH17" s="971"/>
      <c r="PI17" s="971"/>
      <c r="PJ17" s="971"/>
      <c r="PK17" s="971"/>
      <c r="PL17" s="971"/>
      <c r="PM17" s="971"/>
      <c r="PN17" s="971"/>
      <c r="PO17" s="971"/>
      <c r="PP17" s="971"/>
      <c r="PQ17" s="971"/>
      <c r="PR17" s="971"/>
      <c r="PS17" s="971"/>
      <c r="PT17" s="971"/>
      <c r="PU17" s="971"/>
      <c r="PV17" s="971"/>
      <c r="PW17" s="971"/>
      <c r="PX17" s="971"/>
      <c r="PY17" s="971"/>
      <c r="PZ17" s="971"/>
      <c r="QA17" s="971"/>
      <c r="QB17" s="971"/>
      <c r="QC17" s="971"/>
      <c r="QD17" s="971"/>
      <c r="QE17" s="971"/>
      <c r="QF17" s="971"/>
      <c r="QG17" s="971"/>
      <c r="QH17" s="971"/>
      <c r="QI17" s="971"/>
      <c r="QJ17" s="971"/>
      <c r="QK17" s="971"/>
      <c r="QL17" s="971"/>
      <c r="QM17" s="971"/>
      <c r="QN17" s="971"/>
      <c r="QO17" s="971"/>
      <c r="QP17" s="971"/>
      <c r="QQ17" s="971"/>
      <c r="QR17" s="971"/>
      <c r="QS17" s="971"/>
      <c r="QT17" s="971"/>
      <c r="QU17" s="971"/>
      <c r="QV17" s="971"/>
      <c r="QW17" s="971"/>
      <c r="QX17" s="971"/>
      <c r="QY17" s="971"/>
      <c r="QZ17" s="971"/>
      <c r="RA17" s="971"/>
      <c r="RB17" s="971"/>
      <c r="RC17" s="971"/>
      <c r="RD17" s="971"/>
      <c r="RE17" s="971"/>
      <c r="RF17" s="971"/>
      <c r="RG17" s="971"/>
      <c r="RH17" s="971"/>
      <c r="RI17" s="971"/>
      <c r="RJ17" s="971"/>
      <c r="RK17" s="971"/>
      <c r="RL17" s="971"/>
      <c r="RM17" s="971"/>
      <c r="RN17" s="971"/>
      <c r="RO17" s="971"/>
      <c r="RP17" s="971"/>
      <c r="RQ17" s="971"/>
      <c r="RR17" s="971"/>
      <c r="RS17" s="971"/>
      <c r="RT17" s="971"/>
      <c r="RU17" s="971"/>
      <c r="RV17" s="971"/>
      <c r="RW17" s="971"/>
      <c r="RX17" s="971"/>
      <c r="RY17" s="971"/>
      <c r="RZ17" s="971"/>
      <c r="SA17" s="971"/>
      <c r="SB17" s="971"/>
      <c r="SC17" s="971"/>
      <c r="SD17" s="971"/>
      <c r="SE17" s="971"/>
      <c r="SF17" s="971"/>
      <c r="SG17" s="971"/>
      <c r="SH17" s="971"/>
      <c r="SI17" s="971"/>
      <c r="SJ17" s="971"/>
      <c r="SK17" s="971"/>
      <c r="SL17" s="971"/>
      <c r="SM17" s="971"/>
      <c r="SN17" s="971"/>
      <c r="SO17" s="971"/>
      <c r="SP17" s="971"/>
      <c r="SQ17" s="971"/>
      <c r="SR17" s="971"/>
    </row>
    <row r="18" spans="1:512" ht="15" customHeight="1">
      <c r="A18"/>
      <c r="B18" t="s">
        <v>2203</v>
      </c>
      <c r="C18"/>
      <c r="D18"/>
      <c r="E18" t="s">
        <v>237</v>
      </c>
      <c r="F18"/>
      <c r="G18" s="970" t="s">
        <v>208</v>
      </c>
      <c r="H18" s="970" t="s">
        <v>1852</v>
      </c>
      <c r="I18" s="970"/>
      <c r="J18" s="970"/>
      <c r="K18" s="970"/>
      <c r="L18" s="970"/>
      <c r="M18" s="970"/>
      <c r="N18" s="970"/>
      <c r="O18" s="970"/>
      <c r="P18" s="970"/>
      <c r="Q18" s="970"/>
      <c r="R18" s="970"/>
      <c r="S18" s="970"/>
      <c r="T18" s="970"/>
      <c r="U18" s="970"/>
      <c r="V18" s="970"/>
      <c r="W18" s="970"/>
      <c r="X18" s="970"/>
      <c r="Y18" s="970"/>
      <c r="Z18" s="970"/>
      <c r="AA18" s="970"/>
      <c r="AB18" s="970"/>
      <c r="AC18" s="970"/>
      <c r="AD18" s="970"/>
      <c r="AE18" s="970"/>
      <c r="AF18" s="970"/>
      <c r="AG18" s="970"/>
      <c r="AH18" s="970"/>
      <c r="AI18" s="970"/>
      <c r="AJ18" s="970"/>
      <c r="AK18" s="970"/>
      <c r="AL18" s="970"/>
      <c r="AM18" s="970"/>
      <c r="AN18" s="970"/>
      <c r="AO18" s="970"/>
      <c r="AP18" s="970"/>
      <c r="AQ18" s="970"/>
      <c r="AR18" s="970"/>
      <c r="AS18" s="970"/>
      <c r="AT18" s="970"/>
      <c r="AU18" s="970"/>
      <c r="AV18" s="970"/>
      <c r="AW18" s="970"/>
      <c r="AX18" s="970"/>
      <c r="AY18" s="970"/>
      <c r="AZ18" s="970"/>
      <c r="BA18" s="970"/>
      <c r="BB18" s="970"/>
      <c r="BC18" s="970"/>
      <c r="BD18" s="970"/>
      <c r="BE18" s="970"/>
      <c r="BF18" s="970"/>
      <c r="BG18" s="970"/>
      <c r="BH18" s="970"/>
      <c r="BI18" s="970"/>
      <c r="BJ18" s="970"/>
      <c r="BK18" s="970"/>
      <c r="BL18" s="970"/>
      <c r="BM18" s="970"/>
      <c r="BN18" s="970"/>
      <c r="BO18" s="970"/>
      <c r="BP18" s="970"/>
      <c r="BQ18" s="970"/>
      <c r="BR18" s="970"/>
      <c r="BS18" s="970"/>
      <c r="BT18" s="970"/>
      <c r="BU18" s="970"/>
      <c r="BV18" s="970"/>
      <c r="BW18" s="970"/>
      <c r="BX18" s="970"/>
      <c r="BY18" s="970"/>
      <c r="BZ18" s="970"/>
      <c r="CA18" s="970"/>
      <c r="CB18" s="970"/>
      <c r="CC18" s="970"/>
      <c r="CD18" s="970"/>
      <c r="CE18" s="970"/>
      <c r="CF18" s="970"/>
      <c r="CG18" s="970"/>
      <c r="CH18" s="970"/>
      <c r="CI18" s="970"/>
      <c r="CJ18" s="970"/>
      <c r="CK18" s="970"/>
      <c r="CL18" s="970"/>
      <c r="CM18" s="970"/>
      <c r="CN18" s="970"/>
      <c r="CO18" s="970"/>
      <c r="CP18" s="970"/>
      <c r="CQ18" s="970"/>
      <c r="CR18" s="970"/>
      <c r="CS18" s="970"/>
      <c r="CT18" s="970"/>
      <c r="CU18" s="970"/>
      <c r="CV18" s="970"/>
      <c r="CW18" s="970"/>
      <c r="CX18" s="970"/>
      <c r="CY18" s="970"/>
      <c r="CZ18" s="970"/>
      <c r="DA18" s="970"/>
      <c r="DB18" s="970"/>
      <c r="DC18" s="970"/>
      <c r="DD18" s="970"/>
      <c r="DE18" s="970"/>
      <c r="DF18" s="970"/>
      <c r="DG18" s="970"/>
      <c r="DH18" s="970"/>
      <c r="DI18" s="970"/>
      <c r="DJ18" s="970"/>
      <c r="DK18" s="970"/>
      <c r="DL18" s="970"/>
      <c r="DM18" s="970"/>
      <c r="DN18" s="970"/>
      <c r="DO18" s="970"/>
      <c r="DP18" s="970"/>
      <c r="DQ18" s="970"/>
      <c r="DR18" s="970"/>
      <c r="DS18" s="970"/>
      <c r="DT18" s="970"/>
      <c r="DU18" s="970"/>
      <c r="DV18" s="970"/>
      <c r="DW18" s="970"/>
      <c r="DX18" s="970"/>
      <c r="DY18" s="970"/>
      <c r="DZ18" s="970"/>
      <c r="EA18" s="970"/>
      <c r="EB18" s="970"/>
      <c r="EC18" s="970"/>
      <c r="ED18" s="970"/>
      <c r="EE18" s="970"/>
      <c r="EF18" s="970"/>
      <c r="EG18" s="970"/>
      <c r="EH18" s="970"/>
      <c r="EI18" s="970"/>
      <c r="EJ18" s="970"/>
      <c r="EK18" s="970"/>
      <c r="EL18" s="970"/>
      <c r="EM18" s="970"/>
      <c r="EN18" s="970"/>
      <c r="EO18" s="970"/>
      <c r="EP18" s="970"/>
      <c r="EQ18" s="970"/>
      <c r="ER18" s="970"/>
      <c r="ES18" s="970"/>
      <c r="ET18" s="970"/>
      <c r="EU18" s="970"/>
      <c r="EV18" s="970"/>
      <c r="EW18" s="970"/>
      <c r="EX18" s="970"/>
      <c r="EY18" s="970"/>
      <c r="EZ18" s="970"/>
      <c r="FA18" s="970"/>
      <c r="FB18" s="970"/>
      <c r="FC18" s="970"/>
      <c r="FD18" s="970"/>
      <c r="FE18" s="970"/>
      <c r="FF18" s="970"/>
      <c r="FG18" s="970"/>
      <c r="FH18" s="970"/>
      <c r="FI18" s="970"/>
      <c r="FJ18" s="970"/>
      <c r="FK18" s="970"/>
      <c r="FL18" s="970"/>
      <c r="FM18" s="970"/>
      <c r="FN18" s="970"/>
      <c r="FO18" s="970"/>
      <c r="FP18" s="970"/>
      <c r="FQ18" s="970"/>
      <c r="FR18" s="970"/>
      <c r="FS18" s="970"/>
      <c r="FT18" s="970"/>
      <c r="FU18" s="970"/>
      <c r="FV18" s="970"/>
      <c r="FW18" s="970"/>
      <c r="FX18" s="970"/>
      <c r="FY18" s="970"/>
      <c r="FZ18" s="970"/>
      <c r="GA18" s="970"/>
      <c r="GB18" s="970"/>
      <c r="GC18" s="970"/>
      <c r="GD18" s="970"/>
      <c r="GE18" s="970"/>
      <c r="GF18" s="970"/>
      <c r="GG18" s="970"/>
      <c r="GH18" s="970"/>
      <c r="GI18" s="970"/>
      <c r="GJ18" s="970"/>
      <c r="GK18" s="970"/>
      <c r="GL18" s="970"/>
      <c r="GM18" s="970"/>
      <c r="GN18" s="970"/>
      <c r="GO18" s="970"/>
      <c r="GP18" s="970"/>
      <c r="GQ18" s="970"/>
      <c r="GR18" s="970"/>
      <c r="GS18" s="970"/>
      <c r="GT18" s="970"/>
      <c r="GU18" s="970"/>
      <c r="GV18" s="970"/>
      <c r="GW18" s="970"/>
      <c r="GX18" s="970"/>
      <c r="GY18" s="970"/>
      <c r="GZ18" s="970"/>
      <c r="HA18" s="970"/>
      <c r="HB18" s="970"/>
      <c r="HC18" s="970"/>
      <c r="HD18" s="970"/>
      <c r="HE18" s="970"/>
      <c r="HF18" s="970"/>
      <c r="HG18" s="970"/>
      <c r="HH18" s="970"/>
      <c r="HI18" s="970"/>
      <c r="HJ18" s="970"/>
      <c r="HK18" s="970"/>
      <c r="HL18" s="970"/>
      <c r="HM18" s="970"/>
      <c r="HN18" s="970"/>
      <c r="HO18" s="970"/>
      <c r="HP18" s="970"/>
      <c r="HQ18" s="970"/>
      <c r="HR18" s="970"/>
      <c r="HS18" s="970"/>
      <c r="HT18" s="970"/>
      <c r="HU18" s="970"/>
      <c r="HV18" s="970"/>
      <c r="HW18" s="970"/>
      <c r="HX18" s="970"/>
      <c r="HY18" s="970"/>
      <c r="HZ18" s="970"/>
      <c r="IA18" s="970"/>
      <c r="IB18" s="970"/>
      <c r="IC18" s="970"/>
      <c r="ID18" s="970"/>
      <c r="IE18" s="970"/>
      <c r="IF18" s="970"/>
      <c r="IG18" s="970"/>
      <c r="IH18" s="970"/>
      <c r="II18" s="970"/>
      <c r="IJ18" s="970"/>
      <c r="IK18" s="970"/>
      <c r="IL18" s="970"/>
      <c r="IM18" s="970"/>
      <c r="IN18" s="970"/>
      <c r="IO18" s="970"/>
      <c r="IP18" s="970"/>
      <c r="IQ18" s="970"/>
      <c r="IR18" s="970"/>
      <c r="IS18" s="970"/>
      <c r="IT18" s="970"/>
      <c r="IU18" s="970"/>
      <c r="IV18" s="970"/>
      <c r="IW18" s="970"/>
      <c r="IX18" s="970"/>
      <c r="IY18" s="970"/>
      <c r="IZ18" s="970"/>
      <c r="JA18" s="970"/>
      <c r="JB18" s="970"/>
      <c r="JC18" s="970"/>
      <c r="JD18" s="970"/>
      <c r="JE18" s="970"/>
      <c r="JF18" s="970"/>
      <c r="JG18" s="970"/>
      <c r="JH18" s="970"/>
      <c r="JI18" s="970"/>
      <c r="JJ18" s="970"/>
      <c r="JK18" s="970"/>
      <c r="JL18" s="970"/>
      <c r="JM18" s="970"/>
      <c r="JN18" s="970"/>
      <c r="JO18" s="970"/>
      <c r="JP18" s="970"/>
      <c r="JQ18" s="970"/>
      <c r="JR18" s="970"/>
      <c r="JS18" s="970"/>
      <c r="JT18" s="970"/>
      <c r="JU18" s="970"/>
      <c r="JV18" s="970"/>
      <c r="JW18" s="970"/>
      <c r="JX18" s="970"/>
      <c r="JY18" s="970"/>
      <c r="JZ18" s="970"/>
      <c r="KA18" s="970"/>
      <c r="KB18" s="970"/>
      <c r="KC18" s="970"/>
      <c r="KD18" s="970"/>
      <c r="KE18" s="970"/>
      <c r="KF18" s="970"/>
      <c r="KG18" s="970"/>
      <c r="KH18" s="970"/>
      <c r="KI18" s="970"/>
      <c r="KJ18" s="970"/>
      <c r="KK18" s="970"/>
      <c r="KL18" s="970"/>
      <c r="KM18" s="970"/>
      <c r="KN18" s="970"/>
      <c r="KO18" s="970"/>
      <c r="KP18" s="970"/>
      <c r="KQ18" s="970"/>
      <c r="KR18" s="970"/>
      <c r="KS18" s="970"/>
      <c r="KT18" s="970"/>
      <c r="KU18" s="970"/>
      <c r="KV18" s="970"/>
      <c r="KW18" s="970"/>
      <c r="KX18" s="970"/>
      <c r="KY18" s="970"/>
      <c r="KZ18" s="970"/>
      <c r="LA18" s="970"/>
      <c r="LB18" s="970"/>
      <c r="LC18" s="970"/>
      <c r="LD18" s="970"/>
      <c r="LE18" s="970"/>
      <c r="LF18" s="970"/>
      <c r="LG18" s="970"/>
      <c r="LH18" s="970"/>
      <c r="LI18" s="970"/>
      <c r="LJ18" s="970"/>
      <c r="LK18" s="970"/>
      <c r="LL18" s="970"/>
      <c r="LM18" s="970"/>
      <c r="LN18" s="970"/>
      <c r="LO18" s="970"/>
      <c r="LP18" s="970"/>
      <c r="LQ18" s="970"/>
      <c r="LR18" s="970"/>
      <c r="LS18" s="970"/>
      <c r="LT18" s="970"/>
      <c r="LU18" s="970"/>
      <c r="LV18" s="970"/>
      <c r="LW18" s="970"/>
      <c r="LX18" s="970"/>
      <c r="LY18" s="970"/>
      <c r="LZ18" s="970"/>
      <c r="MA18" s="970"/>
      <c r="MB18" s="970"/>
      <c r="MC18" s="970"/>
      <c r="MD18" s="970"/>
      <c r="ME18" s="970"/>
      <c r="MF18" s="970"/>
      <c r="MG18" s="970"/>
      <c r="MH18" s="970"/>
      <c r="MI18" s="970"/>
      <c r="MJ18" s="970"/>
      <c r="MK18" s="970"/>
      <c r="ML18" s="970"/>
      <c r="MM18" s="970"/>
      <c r="MN18" s="970"/>
      <c r="MO18" s="970"/>
      <c r="MP18" s="970"/>
      <c r="MQ18" s="970"/>
      <c r="MR18" s="970"/>
      <c r="MS18" s="970"/>
      <c r="MT18" s="970"/>
      <c r="MU18" s="970"/>
      <c r="MV18" s="970"/>
      <c r="MW18" s="970"/>
      <c r="MX18" s="970"/>
      <c r="MY18" s="970"/>
      <c r="MZ18" s="970"/>
      <c r="NA18" s="970"/>
      <c r="NB18" s="970"/>
      <c r="NC18" s="970"/>
      <c r="ND18" s="970"/>
      <c r="NE18" s="970"/>
      <c r="NF18" s="970"/>
      <c r="NG18" s="970"/>
      <c r="NH18" s="970"/>
      <c r="NI18" s="970"/>
      <c r="NJ18" s="970"/>
      <c r="NK18" s="970"/>
      <c r="NL18" s="970"/>
      <c r="NM18" s="970"/>
      <c r="NN18" s="970"/>
      <c r="NO18" s="970"/>
      <c r="NP18" s="970"/>
      <c r="NQ18" s="970"/>
      <c r="NR18" s="970"/>
      <c r="NS18" s="970"/>
      <c r="NT18" s="970"/>
      <c r="NU18" s="970"/>
      <c r="NV18" s="970"/>
      <c r="NW18" s="970"/>
      <c r="NX18" s="970"/>
      <c r="NY18" s="970"/>
      <c r="NZ18" s="970"/>
      <c r="OA18" s="970"/>
      <c r="OB18" s="970"/>
      <c r="OC18" s="970"/>
      <c r="OD18" s="970"/>
      <c r="OE18" s="970"/>
      <c r="OF18" s="970"/>
      <c r="OG18" s="970"/>
      <c r="OH18" s="970"/>
      <c r="OI18" s="970"/>
      <c r="OJ18" s="970"/>
      <c r="OK18" s="970"/>
      <c r="OL18" s="970"/>
      <c r="OM18" s="970"/>
      <c r="ON18" s="970"/>
      <c r="OO18" s="970"/>
      <c r="OP18" s="970"/>
      <c r="OQ18" s="970"/>
      <c r="OR18" s="970"/>
      <c r="OS18" s="970"/>
      <c r="OT18" s="970"/>
      <c r="OU18" s="970"/>
      <c r="OV18" s="970"/>
      <c r="OW18" s="970"/>
      <c r="OX18" s="970"/>
      <c r="OY18" s="970"/>
      <c r="OZ18" s="970"/>
      <c r="PA18" s="970"/>
      <c r="PB18" s="970"/>
      <c r="PC18" s="970"/>
      <c r="PD18" s="970"/>
      <c r="PE18" s="970"/>
      <c r="PF18" s="970"/>
      <c r="PG18" s="970"/>
      <c r="PH18" s="970"/>
      <c r="PI18" s="970"/>
      <c r="PJ18" s="970"/>
      <c r="PK18" s="970"/>
      <c r="PL18" s="970"/>
      <c r="PM18" s="970"/>
      <c r="PN18" s="970"/>
      <c r="PO18" s="970"/>
      <c r="PP18" s="970"/>
      <c r="PQ18" s="970"/>
      <c r="PR18" s="970"/>
      <c r="PS18" s="970"/>
      <c r="PT18" s="970"/>
      <c r="PU18" s="970"/>
      <c r="PV18" s="970"/>
      <c r="PW18" s="970"/>
      <c r="PX18" s="970"/>
      <c r="PY18" s="970"/>
      <c r="PZ18" s="970"/>
      <c r="QA18" s="970"/>
      <c r="QB18" s="970"/>
      <c r="QC18" s="970"/>
      <c r="QD18" s="970"/>
      <c r="QE18" s="970"/>
      <c r="QF18" s="970"/>
      <c r="QG18" s="970"/>
      <c r="QH18" s="970"/>
      <c r="QI18" s="970"/>
      <c r="QJ18" s="970"/>
      <c r="QK18" s="970"/>
      <c r="QL18" s="970"/>
      <c r="QM18" s="970"/>
      <c r="QN18" s="970"/>
      <c r="QO18" s="970"/>
      <c r="QP18" s="970"/>
      <c r="QQ18" s="970"/>
      <c r="QR18" s="970"/>
      <c r="QS18" s="970"/>
      <c r="QT18" s="970"/>
      <c r="QU18" s="970"/>
      <c r="QV18" s="970"/>
      <c r="QW18" s="970"/>
      <c r="QX18" s="970"/>
      <c r="QY18" s="970"/>
      <c r="QZ18" s="970"/>
      <c r="RA18" s="970"/>
      <c r="RB18" s="970"/>
      <c r="RC18" s="970"/>
      <c r="RD18" s="970"/>
      <c r="RE18" s="970"/>
      <c r="RF18" s="970"/>
      <c r="RG18" s="970"/>
      <c r="RH18" s="970"/>
      <c r="RI18" s="970"/>
      <c r="RJ18" s="970"/>
      <c r="RK18" s="970"/>
      <c r="RL18" s="970"/>
      <c r="RM18" s="970"/>
      <c r="RN18" s="970"/>
      <c r="RO18" s="970"/>
      <c r="RP18" s="970"/>
      <c r="RQ18" s="970"/>
      <c r="RR18" s="970"/>
      <c r="RS18" s="970"/>
      <c r="RT18" s="970"/>
      <c r="RU18" s="970"/>
      <c r="RV18" s="970"/>
      <c r="RW18" s="970"/>
      <c r="RX18" s="970"/>
      <c r="RY18" s="970"/>
      <c r="RZ18" s="970"/>
      <c r="SA18" s="970"/>
      <c r="SB18" s="970"/>
      <c r="SC18" s="970"/>
      <c r="SD18" s="970"/>
      <c r="SE18" s="970"/>
      <c r="SF18" s="970"/>
      <c r="SG18" s="970"/>
      <c r="SH18" s="970"/>
      <c r="SI18" s="970"/>
      <c r="SJ18" s="970"/>
      <c r="SK18" s="970"/>
      <c r="SL18" s="970"/>
      <c r="SM18" s="970"/>
      <c r="SN18" s="970"/>
      <c r="SO18" s="970"/>
      <c r="SP18" s="970"/>
      <c r="SQ18" s="970"/>
      <c r="SR18" s="970"/>
    </row>
    <row r="19" spans="1:512" ht="15" customHeight="1">
      <c r="A19"/>
      <c r="B19" t="s">
        <v>2204</v>
      </c>
      <c r="C19"/>
      <c r="D19"/>
      <c r="E19" t="s">
        <v>237</v>
      </c>
      <c r="F19"/>
      <c r="G19" s="970" t="s">
        <v>208</v>
      </c>
      <c r="H19" s="970" t="s">
        <v>4142</v>
      </c>
      <c r="I19" s="970"/>
      <c r="J19" s="970"/>
      <c r="K19" s="970"/>
      <c r="L19" s="970"/>
      <c r="M19" s="970"/>
      <c r="N19" s="970"/>
      <c r="O19" s="970"/>
      <c r="P19" s="970"/>
      <c r="Q19" s="970"/>
      <c r="R19" s="970"/>
      <c r="S19" s="970"/>
      <c r="T19" s="970"/>
      <c r="U19" s="970"/>
      <c r="V19" s="970"/>
      <c r="W19" s="970"/>
      <c r="X19" s="970"/>
      <c r="Y19" s="970"/>
      <c r="Z19" s="970"/>
      <c r="AA19" s="970"/>
      <c r="AB19" s="970"/>
      <c r="AC19" s="970"/>
      <c r="AD19" s="970"/>
      <c r="AE19" s="970"/>
      <c r="AF19" s="970"/>
      <c r="AG19" s="970"/>
      <c r="AH19" s="970"/>
      <c r="AI19" s="970"/>
      <c r="AJ19" s="970"/>
      <c r="AK19" s="970"/>
      <c r="AL19" s="970"/>
      <c r="AM19" s="970"/>
      <c r="AN19" s="970"/>
      <c r="AO19" s="970"/>
      <c r="AP19" s="970"/>
      <c r="AQ19" s="970"/>
      <c r="AR19" s="970"/>
      <c r="AS19" s="970"/>
      <c r="AT19" s="970"/>
      <c r="AU19" s="970"/>
      <c r="AV19" s="970"/>
      <c r="AW19" s="970"/>
      <c r="AX19" s="970"/>
      <c r="AY19" s="970"/>
      <c r="AZ19" s="970"/>
      <c r="BA19" s="970"/>
      <c r="BB19" s="970"/>
      <c r="BC19" s="970"/>
      <c r="BD19" s="970"/>
      <c r="BE19" s="970"/>
      <c r="BF19" s="970"/>
      <c r="BG19" s="970"/>
      <c r="BH19" s="970"/>
      <c r="BI19" s="970"/>
      <c r="BJ19" s="970"/>
      <c r="BK19" s="970"/>
      <c r="BL19" s="970"/>
      <c r="BM19" s="970"/>
      <c r="BN19" s="970"/>
      <c r="BO19" s="970"/>
      <c r="BP19" s="970"/>
      <c r="BQ19" s="970"/>
      <c r="BR19" s="970"/>
      <c r="BS19" s="970"/>
      <c r="BT19" s="970"/>
      <c r="BU19" s="970"/>
      <c r="BV19" s="970"/>
      <c r="BW19" s="970"/>
      <c r="BX19" s="970"/>
      <c r="BY19" s="970"/>
      <c r="BZ19" s="970"/>
      <c r="CA19" s="970"/>
      <c r="CB19" s="970"/>
      <c r="CC19" s="970"/>
      <c r="CD19" s="970"/>
      <c r="CE19" s="970"/>
      <c r="CF19" s="970"/>
      <c r="CG19" s="970"/>
      <c r="CH19" s="970"/>
      <c r="CI19" s="970"/>
      <c r="CJ19" s="970"/>
      <c r="CK19" s="970"/>
      <c r="CL19" s="970"/>
      <c r="CM19" s="970"/>
      <c r="CN19" s="970"/>
      <c r="CO19" s="970"/>
      <c r="CP19" s="970"/>
      <c r="CQ19" s="970"/>
      <c r="CR19" s="970"/>
      <c r="CS19" s="970"/>
      <c r="CT19" s="970"/>
      <c r="CU19" s="970"/>
      <c r="CV19" s="970"/>
      <c r="CW19" s="970"/>
      <c r="CX19" s="970"/>
      <c r="CY19" s="970"/>
      <c r="CZ19" s="970"/>
      <c r="DA19" s="970"/>
      <c r="DB19" s="970"/>
      <c r="DC19" s="970"/>
      <c r="DD19" s="970"/>
      <c r="DE19" s="970"/>
      <c r="DF19" s="970"/>
      <c r="DG19" s="970"/>
      <c r="DH19" s="970"/>
      <c r="DI19" s="970"/>
      <c r="DJ19" s="970"/>
      <c r="DK19" s="970"/>
      <c r="DL19" s="970"/>
      <c r="DM19" s="970"/>
      <c r="DN19" s="970"/>
      <c r="DO19" s="970"/>
      <c r="DP19" s="970"/>
      <c r="DQ19" s="970"/>
      <c r="DR19" s="970"/>
      <c r="DS19" s="970"/>
      <c r="DT19" s="970"/>
      <c r="DU19" s="970"/>
      <c r="DV19" s="970"/>
      <c r="DW19" s="970"/>
      <c r="DX19" s="970"/>
      <c r="DY19" s="970"/>
      <c r="DZ19" s="970"/>
      <c r="EA19" s="970"/>
      <c r="EB19" s="970"/>
      <c r="EC19" s="970"/>
      <c r="ED19" s="970"/>
      <c r="EE19" s="970"/>
      <c r="EF19" s="970"/>
      <c r="EG19" s="970"/>
      <c r="EH19" s="970"/>
      <c r="EI19" s="970"/>
      <c r="EJ19" s="970"/>
      <c r="EK19" s="970"/>
      <c r="EL19" s="970"/>
      <c r="EM19" s="970"/>
      <c r="EN19" s="970"/>
      <c r="EO19" s="970"/>
      <c r="EP19" s="970"/>
      <c r="EQ19" s="970"/>
      <c r="ER19" s="970"/>
      <c r="ES19" s="970"/>
      <c r="ET19" s="970"/>
      <c r="EU19" s="970"/>
      <c r="EV19" s="970"/>
      <c r="EW19" s="970"/>
      <c r="EX19" s="970"/>
      <c r="EY19" s="970"/>
      <c r="EZ19" s="970"/>
      <c r="FA19" s="970"/>
      <c r="FB19" s="970"/>
      <c r="FC19" s="970"/>
      <c r="FD19" s="970"/>
      <c r="FE19" s="970"/>
      <c r="FF19" s="970"/>
      <c r="FG19" s="970"/>
      <c r="FH19" s="970"/>
      <c r="FI19" s="970"/>
      <c r="FJ19" s="970"/>
      <c r="FK19" s="970"/>
      <c r="FL19" s="970"/>
      <c r="FM19" s="970"/>
      <c r="FN19" s="970"/>
      <c r="FO19" s="970"/>
      <c r="FP19" s="970"/>
      <c r="FQ19" s="970"/>
      <c r="FR19" s="970"/>
      <c r="FS19" s="970"/>
      <c r="FT19" s="970"/>
      <c r="FU19" s="970"/>
      <c r="FV19" s="970"/>
      <c r="FW19" s="970"/>
      <c r="FX19" s="970"/>
      <c r="FY19" s="970"/>
      <c r="FZ19" s="970"/>
      <c r="GA19" s="970"/>
      <c r="GB19" s="970"/>
      <c r="GC19" s="970"/>
      <c r="GD19" s="970"/>
      <c r="GE19" s="970"/>
      <c r="GF19" s="970"/>
      <c r="GG19" s="970"/>
      <c r="GH19" s="970"/>
      <c r="GI19" s="970"/>
      <c r="GJ19" s="970"/>
      <c r="GK19" s="970"/>
      <c r="GL19" s="970"/>
      <c r="GM19" s="970"/>
      <c r="GN19" s="970"/>
      <c r="GO19" s="970"/>
      <c r="GP19" s="970"/>
      <c r="GQ19" s="970"/>
      <c r="GR19" s="970"/>
      <c r="GS19" s="970"/>
      <c r="GT19" s="970"/>
      <c r="GU19" s="970"/>
      <c r="GV19" s="970"/>
      <c r="GW19" s="970"/>
      <c r="GX19" s="970"/>
      <c r="GY19" s="970"/>
      <c r="GZ19" s="970"/>
      <c r="HA19" s="970"/>
      <c r="HB19" s="970"/>
      <c r="HC19" s="970"/>
      <c r="HD19" s="970"/>
      <c r="HE19" s="970"/>
      <c r="HF19" s="970"/>
      <c r="HG19" s="970"/>
      <c r="HH19" s="970"/>
      <c r="HI19" s="970"/>
      <c r="HJ19" s="970"/>
      <c r="HK19" s="970"/>
      <c r="HL19" s="970"/>
      <c r="HM19" s="970"/>
      <c r="HN19" s="970"/>
      <c r="HO19" s="970"/>
      <c r="HP19" s="970"/>
      <c r="HQ19" s="970"/>
      <c r="HR19" s="970"/>
      <c r="HS19" s="970"/>
      <c r="HT19" s="970"/>
      <c r="HU19" s="970"/>
      <c r="HV19" s="970"/>
      <c r="HW19" s="970"/>
      <c r="HX19" s="970"/>
      <c r="HY19" s="970"/>
      <c r="HZ19" s="970"/>
      <c r="IA19" s="970"/>
      <c r="IB19" s="970"/>
      <c r="IC19" s="970"/>
      <c r="ID19" s="970"/>
      <c r="IE19" s="970"/>
      <c r="IF19" s="970"/>
      <c r="IG19" s="970"/>
      <c r="IH19" s="970"/>
      <c r="II19" s="970"/>
      <c r="IJ19" s="970"/>
      <c r="IK19" s="970"/>
      <c r="IL19" s="970"/>
      <c r="IM19" s="970"/>
      <c r="IN19" s="970"/>
      <c r="IO19" s="970"/>
      <c r="IP19" s="970"/>
      <c r="IQ19" s="970"/>
      <c r="IR19" s="970"/>
      <c r="IS19" s="970"/>
      <c r="IT19" s="970"/>
      <c r="IU19" s="970"/>
      <c r="IV19" s="970"/>
      <c r="IW19" s="970"/>
      <c r="IX19" s="970"/>
      <c r="IY19" s="970"/>
      <c r="IZ19" s="970"/>
      <c r="JA19" s="970"/>
      <c r="JB19" s="970"/>
      <c r="JC19" s="970"/>
      <c r="JD19" s="970"/>
      <c r="JE19" s="970"/>
      <c r="JF19" s="970"/>
      <c r="JG19" s="970"/>
      <c r="JH19" s="970"/>
      <c r="JI19" s="970"/>
      <c r="JJ19" s="970"/>
      <c r="JK19" s="970"/>
      <c r="JL19" s="970"/>
      <c r="JM19" s="970"/>
      <c r="JN19" s="970"/>
      <c r="JO19" s="970"/>
      <c r="JP19" s="970"/>
      <c r="JQ19" s="970"/>
      <c r="JR19" s="970"/>
      <c r="JS19" s="970"/>
      <c r="JT19" s="970"/>
      <c r="JU19" s="970"/>
      <c r="JV19" s="970"/>
      <c r="JW19" s="970"/>
      <c r="JX19" s="970"/>
      <c r="JY19" s="970"/>
      <c r="JZ19" s="970"/>
      <c r="KA19" s="970"/>
      <c r="KB19" s="970"/>
      <c r="KC19" s="970"/>
      <c r="KD19" s="970"/>
      <c r="KE19" s="970"/>
      <c r="KF19" s="970"/>
      <c r="KG19" s="970"/>
      <c r="KH19" s="970"/>
      <c r="KI19" s="970"/>
      <c r="KJ19" s="970"/>
      <c r="KK19" s="970"/>
      <c r="KL19" s="970"/>
      <c r="KM19" s="970"/>
      <c r="KN19" s="970"/>
      <c r="KO19" s="970"/>
      <c r="KP19" s="970"/>
      <c r="KQ19" s="970"/>
      <c r="KR19" s="970"/>
      <c r="KS19" s="970"/>
      <c r="KT19" s="970"/>
      <c r="KU19" s="970"/>
      <c r="KV19" s="970"/>
      <c r="KW19" s="970"/>
      <c r="KX19" s="970"/>
      <c r="KY19" s="970"/>
      <c r="KZ19" s="970"/>
      <c r="LA19" s="970"/>
      <c r="LB19" s="970"/>
      <c r="LC19" s="970"/>
      <c r="LD19" s="970"/>
      <c r="LE19" s="970"/>
      <c r="LF19" s="970"/>
      <c r="LG19" s="970"/>
      <c r="LH19" s="970"/>
      <c r="LI19" s="970"/>
      <c r="LJ19" s="970"/>
      <c r="LK19" s="970"/>
      <c r="LL19" s="970"/>
      <c r="LM19" s="970"/>
      <c r="LN19" s="970"/>
      <c r="LO19" s="970"/>
      <c r="LP19" s="970"/>
      <c r="LQ19" s="970"/>
      <c r="LR19" s="970"/>
      <c r="LS19" s="970"/>
      <c r="LT19" s="970"/>
      <c r="LU19" s="970"/>
      <c r="LV19" s="970"/>
      <c r="LW19" s="970"/>
      <c r="LX19" s="970"/>
      <c r="LY19" s="970"/>
      <c r="LZ19" s="970"/>
      <c r="MA19" s="970"/>
      <c r="MB19" s="970"/>
      <c r="MC19" s="970"/>
      <c r="MD19" s="970"/>
      <c r="ME19" s="970"/>
      <c r="MF19" s="970"/>
      <c r="MG19" s="970"/>
      <c r="MH19" s="970"/>
      <c r="MI19" s="970"/>
      <c r="MJ19" s="970"/>
      <c r="MK19" s="970"/>
      <c r="ML19" s="970"/>
      <c r="MM19" s="970"/>
      <c r="MN19" s="970"/>
      <c r="MO19" s="970"/>
      <c r="MP19" s="970"/>
      <c r="MQ19" s="970"/>
      <c r="MR19" s="970"/>
      <c r="MS19" s="970"/>
      <c r="MT19" s="970"/>
      <c r="MU19" s="970"/>
      <c r="MV19" s="970"/>
      <c r="MW19" s="970"/>
      <c r="MX19" s="970"/>
      <c r="MY19" s="970"/>
      <c r="MZ19" s="970"/>
      <c r="NA19" s="970"/>
      <c r="NB19" s="970"/>
      <c r="NC19" s="970"/>
      <c r="ND19" s="970"/>
      <c r="NE19" s="970"/>
      <c r="NF19" s="970"/>
      <c r="NG19" s="970"/>
      <c r="NH19" s="970"/>
      <c r="NI19" s="970"/>
      <c r="NJ19" s="970"/>
      <c r="NK19" s="970"/>
      <c r="NL19" s="970"/>
      <c r="NM19" s="970"/>
      <c r="NN19" s="970"/>
      <c r="NO19" s="970"/>
      <c r="NP19" s="970"/>
      <c r="NQ19" s="970"/>
      <c r="NR19" s="970"/>
      <c r="NS19" s="970"/>
      <c r="NT19" s="970"/>
      <c r="NU19" s="970"/>
      <c r="NV19" s="970"/>
      <c r="NW19" s="970"/>
      <c r="NX19" s="970"/>
      <c r="NY19" s="970"/>
      <c r="NZ19" s="970"/>
      <c r="OA19" s="970"/>
      <c r="OB19" s="970"/>
      <c r="OC19" s="970"/>
      <c r="OD19" s="970"/>
      <c r="OE19" s="970"/>
      <c r="OF19" s="970"/>
      <c r="OG19" s="970"/>
      <c r="OH19" s="970"/>
      <c r="OI19" s="970"/>
      <c r="OJ19" s="970"/>
      <c r="OK19" s="970"/>
      <c r="OL19" s="970"/>
      <c r="OM19" s="970"/>
      <c r="ON19" s="970"/>
      <c r="OO19" s="970"/>
      <c r="OP19" s="970"/>
      <c r="OQ19" s="970"/>
      <c r="OR19" s="970"/>
      <c r="OS19" s="970"/>
      <c r="OT19" s="970"/>
      <c r="OU19" s="970"/>
      <c r="OV19" s="970"/>
      <c r="OW19" s="970"/>
      <c r="OX19" s="970"/>
      <c r="OY19" s="970"/>
      <c r="OZ19" s="970"/>
      <c r="PA19" s="970"/>
      <c r="PB19" s="970"/>
      <c r="PC19" s="970"/>
      <c r="PD19" s="970"/>
      <c r="PE19" s="970"/>
      <c r="PF19" s="970"/>
      <c r="PG19" s="970"/>
      <c r="PH19" s="970"/>
      <c r="PI19" s="970"/>
      <c r="PJ19" s="970"/>
      <c r="PK19" s="970"/>
      <c r="PL19" s="970"/>
      <c r="PM19" s="970"/>
      <c r="PN19" s="970"/>
      <c r="PO19" s="970"/>
      <c r="PP19" s="970"/>
      <c r="PQ19" s="970"/>
      <c r="PR19" s="970"/>
      <c r="PS19" s="970"/>
      <c r="PT19" s="970"/>
      <c r="PU19" s="970"/>
      <c r="PV19" s="970"/>
      <c r="PW19" s="970"/>
      <c r="PX19" s="970"/>
      <c r="PY19" s="970"/>
      <c r="PZ19" s="970"/>
      <c r="QA19" s="970"/>
      <c r="QB19" s="970"/>
      <c r="QC19" s="970"/>
      <c r="QD19" s="970"/>
      <c r="QE19" s="970"/>
      <c r="QF19" s="970"/>
      <c r="QG19" s="970"/>
      <c r="QH19" s="970"/>
      <c r="QI19" s="970"/>
      <c r="QJ19" s="970"/>
      <c r="QK19" s="970"/>
      <c r="QL19" s="970"/>
      <c r="QM19" s="970"/>
      <c r="QN19" s="970"/>
      <c r="QO19" s="970"/>
      <c r="QP19" s="970"/>
      <c r="QQ19" s="970"/>
      <c r="QR19" s="970"/>
      <c r="QS19" s="970"/>
      <c r="QT19" s="970"/>
      <c r="QU19" s="970"/>
      <c r="QV19" s="970"/>
      <c r="QW19" s="970"/>
      <c r="QX19" s="970"/>
      <c r="QY19" s="970"/>
      <c r="QZ19" s="970"/>
      <c r="RA19" s="970"/>
      <c r="RB19" s="970"/>
      <c r="RC19" s="970"/>
      <c r="RD19" s="970"/>
      <c r="RE19" s="970"/>
      <c r="RF19" s="970"/>
      <c r="RG19" s="970"/>
      <c r="RH19" s="970"/>
      <c r="RI19" s="970"/>
      <c r="RJ19" s="970"/>
      <c r="RK19" s="970"/>
      <c r="RL19" s="970"/>
      <c r="RM19" s="970"/>
      <c r="RN19" s="970"/>
      <c r="RO19" s="970"/>
      <c r="RP19" s="970"/>
      <c r="RQ19" s="970"/>
      <c r="RR19" s="970"/>
      <c r="RS19" s="970"/>
      <c r="RT19" s="970"/>
      <c r="RU19" s="970"/>
      <c r="RV19" s="970"/>
      <c r="RW19" s="970"/>
      <c r="RX19" s="970"/>
      <c r="RY19" s="970"/>
      <c r="RZ19" s="970"/>
      <c r="SA19" s="970"/>
      <c r="SB19" s="970"/>
      <c r="SC19" s="970"/>
      <c r="SD19" s="970"/>
      <c r="SE19" s="970"/>
      <c r="SF19" s="970"/>
      <c r="SG19" s="970"/>
      <c r="SH19" s="970"/>
      <c r="SI19" s="970"/>
      <c r="SJ19" s="970"/>
      <c r="SK19" s="970"/>
      <c r="SL19" s="970"/>
      <c r="SM19" s="970"/>
      <c r="SN19" s="970"/>
      <c r="SO19" s="970"/>
      <c r="SP19" s="970"/>
      <c r="SQ19" s="970"/>
      <c r="SR19" s="970"/>
    </row>
    <row r="20" spans="1:512" ht="15" customHeight="1">
      <c r="A20"/>
      <c r="B20" t="s">
        <v>2205</v>
      </c>
      <c r="C20"/>
      <c r="D20"/>
      <c r="E20" t="s">
        <v>2206</v>
      </c>
      <c r="F20"/>
      <c r="G20" s="970">
        <v>35</v>
      </c>
      <c r="H20" s="970">
        <v>35</v>
      </c>
      <c r="I20" s="970"/>
      <c r="J20" s="970"/>
      <c r="K20" s="970"/>
      <c r="L20" s="970"/>
      <c r="M20" s="970"/>
      <c r="N20" s="970"/>
      <c r="O20" s="970"/>
      <c r="P20" s="970"/>
      <c r="Q20" s="970"/>
      <c r="R20" s="970"/>
      <c r="S20" s="970"/>
      <c r="T20" s="970"/>
      <c r="U20" s="970"/>
      <c r="V20" s="970"/>
      <c r="W20" s="970"/>
      <c r="X20" s="970"/>
      <c r="Y20" s="970"/>
      <c r="Z20" s="970"/>
      <c r="AA20" s="970"/>
      <c r="AB20" s="970"/>
      <c r="AC20" s="970"/>
      <c r="AD20" s="970"/>
      <c r="AE20" s="970"/>
      <c r="AF20" s="970"/>
      <c r="AG20" s="970"/>
      <c r="AH20" s="970"/>
      <c r="AI20" s="970"/>
      <c r="AJ20" s="970"/>
      <c r="AK20" s="970"/>
      <c r="AL20" s="970"/>
      <c r="AM20" s="970"/>
      <c r="AN20" s="970"/>
      <c r="AO20" s="970"/>
      <c r="AP20" s="970"/>
      <c r="AQ20" s="970"/>
      <c r="AR20" s="970"/>
      <c r="AS20" s="970"/>
      <c r="AT20" s="970"/>
      <c r="AU20" s="970"/>
      <c r="AV20" s="970"/>
      <c r="AW20" s="970"/>
      <c r="AX20" s="970"/>
      <c r="AY20" s="970"/>
      <c r="AZ20" s="970"/>
      <c r="BA20" s="970"/>
      <c r="BB20" s="970"/>
      <c r="BC20" s="970"/>
      <c r="BD20" s="970"/>
      <c r="BE20" s="970"/>
      <c r="BF20" s="970"/>
      <c r="BG20" s="970"/>
      <c r="BH20" s="970"/>
      <c r="BI20" s="970"/>
      <c r="BJ20" s="970"/>
      <c r="BK20" s="970"/>
      <c r="BL20" s="970"/>
      <c r="BM20" s="970"/>
      <c r="BN20" s="970"/>
      <c r="BO20" s="970"/>
      <c r="BP20" s="970"/>
      <c r="BQ20" s="970"/>
      <c r="BR20" s="970"/>
      <c r="BS20" s="970"/>
      <c r="BT20" s="970"/>
      <c r="BU20" s="970"/>
      <c r="BV20" s="970"/>
      <c r="BW20" s="970"/>
      <c r="BX20" s="970"/>
      <c r="BY20" s="970"/>
      <c r="BZ20" s="970"/>
      <c r="CA20" s="970"/>
      <c r="CB20" s="970"/>
      <c r="CC20" s="970"/>
      <c r="CD20" s="970"/>
      <c r="CE20" s="970"/>
      <c r="CF20" s="970"/>
      <c r="CG20" s="970"/>
      <c r="CH20" s="970"/>
      <c r="CI20" s="970"/>
      <c r="CJ20" s="970"/>
      <c r="CK20" s="970"/>
      <c r="CL20" s="970"/>
      <c r="CM20" s="970"/>
      <c r="CN20" s="970"/>
      <c r="CO20" s="970"/>
      <c r="CP20" s="970"/>
      <c r="CQ20" s="970"/>
      <c r="CR20" s="970"/>
      <c r="CS20" s="970"/>
      <c r="CT20" s="970"/>
      <c r="CU20" s="970"/>
      <c r="CV20" s="970"/>
      <c r="CW20" s="970"/>
      <c r="CX20" s="970"/>
      <c r="CY20" s="970"/>
      <c r="CZ20" s="970"/>
      <c r="DA20" s="970"/>
      <c r="DB20" s="970"/>
      <c r="DC20" s="970"/>
      <c r="DD20" s="970"/>
      <c r="DE20" s="970"/>
      <c r="DF20" s="970"/>
      <c r="DG20" s="970"/>
      <c r="DH20" s="970"/>
      <c r="DI20" s="970"/>
      <c r="DJ20" s="970"/>
      <c r="DK20" s="970"/>
      <c r="DL20" s="970"/>
      <c r="DM20" s="970"/>
      <c r="DN20" s="970"/>
      <c r="DO20" s="970"/>
      <c r="DP20" s="970"/>
      <c r="DQ20" s="970"/>
      <c r="DR20" s="970"/>
      <c r="DS20" s="970"/>
      <c r="DT20" s="970"/>
      <c r="DU20" s="970"/>
      <c r="DV20" s="970"/>
      <c r="DW20" s="970"/>
      <c r="DX20" s="970"/>
      <c r="DY20" s="970"/>
      <c r="DZ20" s="970"/>
      <c r="EA20" s="970"/>
      <c r="EB20" s="970"/>
      <c r="EC20" s="970"/>
      <c r="ED20" s="970"/>
      <c r="EE20" s="970"/>
      <c r="EF20" s="970"/>
      <c r="EG20" s="970"/>
      <c r="EH20" s="970"/>
      <c r="EI20" s="970"/>
      <c r="EJ20" s="970"/>
      <c r="EK20" s="970"/>
      <c r="EL20" s="970"/>
      <c r="EM20" s="970"/>
      <c r="EN20" s="970"/>
      <c r="EO20" s="970"/>
      <c r="EP20" s="970"/>
      <c r="EQ20" s="970"/>
      <c r="ER20" s="970"/>
      <c r="ES20" s="970"/>
      <c r="ET20" s="970"/>
      <c r="EU20" s="970"/>
      <c r="EV20" s="970"/>
      <c r="EW20" s="970"/>
      <c r="EX20" s="970"/>
      <c r="EY20" s="970"/>
      <c r="EZ20" s="970"/>
      <c r="FA20" s="970"/>
      <c r="FB20" s="970"/>
      <c r="FC20" s="970"/>
      <c r="FD20" s="970"/>
      <c r="FE20" s="970"/>
      <c r="FF20" s="970"/>
      <c r="FG20" s="970"/>
      <c r="FH20" s="970"/>
      <c r="FI20" s="970"/>
      <c r="FJ20" s="970"/>
      <c r="FK20" s="970"/>
      <c r="FL20" s="970"/>
      <c r="FM20" s="970"/>
      <c r="FN20" s="970"/>
      <c r="FO20" s="970"/>
      <c r="FP20" s="970"/>
      <c r="FQ20" s="970"/>
      <c r="FR20" s="970"/>
      <c r="FS20" s="970"/>
      <c r="FT20" s="970"/>
      <c r="FU20" s="970"/>
      <c r="FV20" s="970"/>
      <c r="FW20" s="970"/>
      <c r="FX20" s="970"/>
      <c r="FY20" s="970"/>
      <c r="FZ20" s="970"/>
      <c r="GA20" s="970"/>
      <c r="GB20" s="970"/>
      <c r="GC20" s="970"/>
      <c r="GD20" s="970"/>
      <c r="GE20" s="970"/>
      <c r="GF20" s="970"/>
      <c r="GG20" s="970"/>
      <c r="GH20" s="970"/>
      <c r="GI20" s="970"/>
      <c r="GJ20" s="970"/>
      <c r="GK20" s="970"/>
      <c r="GL20" s="970"/>
      <c r="GM20" s="970"/>
      <c r="GN20" s="970"/>
      <c r="GO20" s="970"/>
      <c r="GP20" s="970"/>
      <c r="GQ20" s="970"/>
      <c r="GR20" s="970"/>
      <c r="GS20" s="970"/>
      <c r="GT20" s="970"/>
      <c r="GU20" s="970"/>
      <c r="GV20" s="970"/>
      <c r="GW20" s="970"/>
      <c r="GX20" s="970"/>
      <c r="GY20" s="970"/>
      <c r="GZ20" s="970"/>
      <c r="HA20" s="970"/>
      <c r="HB20" s="970"/>
      <c r="HC20" s="970"/>
      <c r="HD20" s="970"/>
      <c r="HE20" s="970"/>
      <c r="HF20" s="970"/>
      <c r="HG20" s="970"/>
      <c r="HH20" s="970"/>
      <c r="HI20" s="970"/>
      <c r="HJ20" s="970"/>
      <c r="HK20" s="970"/>
      <c r="HL20" s="970"/>
      <c r="HM20" s="970"/>
      <c r="HN20" s="970"/>
      <c r="HO20" s="970"/>
      <c r="HP20" s="970"/>
      <c r="HQ20" s="970"/>
      <c r="HR20" s="970"/>
      <c r="HS20" s="970"/>
      <c r="HT20" s="970"/>
      <c r="HU20" s="970"/>
      <c r="HV20" s="970"/>
      <c r="HW20" s="970"/>
      <c r="HX20" s="970"/>
      <c r="HY20" s="970"/>
      <c r="HZ20" s="970"/>
      <c r="IA20" s="970"/>
      <c r="IB20" s="970"/>
      <c r="IC20" s="970"/>
      <c r="ID20" s="970"/>
      <c r="IE20" s="970"/>
      <c r="IF20" s="970"/>
      <c r="IG20" s="970"/>
      <c r="IH20" s="970"/>
      <c r="II20" s="970"/>
      <c r="IJ20" s="970"/>
      <c r="IK20" s="970"/>
      <c r="IL20" s="970"/>
      <c r="IM20" s="970"/>
      <c r="IN20" s="970"/>
      <c r="IO20" s="970"/>
      <c r="IP20" s="970"/>
      <c r="IQ20" s="970"/>
      <c r="IR20" s="970"/>
      <c r="IS20" s="970"/>
      <c r="IT20" s="970"/>
      <c r="IU20" s="970"/>
      <c r="IV20" s="970"/>
      <c r="IW20" s="970"/>
      <c r="IX20" s="970"/>
      <c r="IY20" s="970"/>
      <c r="IZ20" s="970"/>
      <c r="JA20" s="970"/>
      <c r="JB20" s="970"/>
      <c r="JC20" s="970"/>
      <c r="JD20" s="970"/>
      <c r="JE20" s="970"/>
      <c r="JF20" s="970"/>
      <c r="JG20" s="970"/>
      <c r="JH20" s="970"/>
      <c r="JI20" s="970"/>
      <c r="JJ20" s="970"/>
      <c r="JK20" s="970"/>
      <c r="JL20" s="970"/>
      <c r="JM20" s="970"/>
      <c r="JN20" s="970"/>
      <c r="JO20" s="970"/>
      <c r="JP20" s="970"/>
      <c r="JQ20" s="970"/>
      <c r="JR20" s="970"/>
      <c r="JS20" s="970"/>
      <c r="JT20" s="970"/>
      <c r="JU20" s="970"/>
      <c r="JV20" s="970"/>
      <c r="JW20" s="970"/>
      <c r="JX20" s="970"/>
      <c r="JY20" s="970"/>
      <c r="JZ20" s="970"/>
      <c r="KA20" s="970"/>
      <c r="KB20" s="970"/>
      <c r="KC20" s="970"/>
      <c r="KD20" s="970"/>
      <c r="KE20" s="970"/>
      <c r="KF20" s="970"/>
      <c r="KG20" s="970"/>
      <c r="KH20" s="970"/>
      <c r="KI20" s="970"/>
      <c r="KJ20" s="970"/>
      <c r="KK20" s="970"/>
      <c r="KL20" s="970"/>
      <c r="KM20" s="970"/>
      <c r="KN20" s="970"/>
      <c r="KO20" s="970"/>
      <c r="KP20" s="970"/>
      <c r="KQ20" s="970"/>
      <c r="KR20" s="970"/>
      <c r="KS20" s="970"/>
      <c r="KT20" s="970"/>
      <c r="KU20" s="970"/>
      <c r="KV20" s="970"/>
      <c r="KW20" s="970"/>
      <c r="KX20" s="970"/>
      <c r="KY20" s="970"/>
      <c r="KZ20" s="970"/>
      <c r="LA20" s="970"/>
      <c r="LB20" s="970"/>
      <c r="LC20" s="970"/>
      <c r="LD20" s="970"/>
      <c r="LE20" s="970"/>
      <c r="LF20" s="970"/>
      <c r="LG20" s="970"/>
      <c r="LH20" s="970"/>
      <c r="LI20" s="970"/>
      <c r="LJ20" s="970"/>
      <c r="LK20" s="970"/>
      <c r="LL20" s="970"/>
      <c r="LM20" s="970"/>
      <c r="LN20" s="970"/>
      <c r="LO20" s="970"/>
      <c r="LP20" s="970"/>
      <c r="LQ20" s="970"/>
      <c r="LR20" s="970"/>
      <c r="LS20" s="970"/>
      <c r="LT20" s="970"/>
      <c r="LU20" s="970"/>
      <c r="LV20" s="970"/>
      <c r="LW20" s="970"/>
      <c r="LX20" s="970"/>
      <c r="LY20" s="970"/>
      <c r="LZ20" s="970"/>
      <c r="MA20" s="970"/>
      <c r="MB20" s="970"/>
      <c r="MC20" s="970"/>
      <c r="MD20" s="970"/>
      <c r="ME20" s="970"/>
      <c r="MF20" s="970"/>
      <c r="MG20" s="970"/>
      <c r="MH20" s="970"/>
      <c r="MI20" s="970"/>
      <c r="MJ20" s="970"/>
      <c r="MK20" s="970"/>
      <c r="ML20" s="970"/>
      <c r="MM20" s="970"/>
      <c r="MN20" s="970"/>
      <c r="MO20" s="970"/>
      <c r="MP20" s="970"/>
      <c r="MQ20" s="970"/>
      <c r="MR20" s="970"/>
      <c r="MS20" s="970"/>
      <c r="MT20" s="970"/>
      <c r="MU20" s="970"/>
      <c r="MV20" s="970"/>
      <c r="MW20" s="970"/>
      <c r="MX20" s="970"/>
      <c r="MY20" s="970"/>
      <c r="MZ20" s="970"/>
      <c r="NA20" s="970"/>
      <c r="NB20" s="970"/>
      <c r="NC20" s="970"/>
      <c r="ND20" s="970"/>
      <c r="NE20" s="970"/>
      <c r="NF20" s="970"/>
      <c r="NG20" s="970"/>
      <c r="NH20" s="970"/>
      <c r="NI20" s="970"/>
      <c r="NJ20" s="970"/>
      <c r="NK20" s="970"/>
      <c r="NL20" s="970"/>
      <c r="NM20" s="970"/>
      <c r="NN20" s="970"/>
      <c r="NO20" s="970"/>
      <c r="NP20" s="970"/>
      <c r="NQ20" s="970"/>
      <c r="NR20" s="970"/>
      <c r="NS20" s="970"/>
      <c r="NT20" s="970"/>
      <c r="NU20" s="970"/>
      <c r="NV20" s="970"/>
      <c r="NW20" s="970"/>
      <c r="NX20" s="970"/>
      <c r="NY20" s="970"/>
      <c r="NZ20" s="970"/>
      <c r="OA20" s="970"/>
      <c r="OB20" s="970"/>
      <c r="OC20" s="970"/>
      <c r="OD20" s="970"/>
      <c r="OE20" s="970"/>
      <c r="OF20" s="970"/>
      <c r="OG20" s="970"/>
      <c r="OH20" s="970"/>
      <c r="OI20" s="970"/>
      <c r="OJ20" s="970"/>
      <c r="OK20" s="970"/>
      <c r="OL20" s="970"/>
      <c r="OM20" s="970"/>
      <c r="ON20" s="970"/>
      <c r="OO20" s="970"/>
      <c r="OP20" s="970"/>
      <c r="OQ20" s="970"/>
      <c r="OR20" s="970"/>
      <c r="OS20" s="970"/>
      <c r="OT20" s="970"/>
      <c r="OU20" s="970"/>
      <c r="OV20" s="970"/>
      <c r="OW20" s="970"/>
      <c r="OX20" s="970"/>
      <c r="OY20" s="970"/>
      <c r="OZ20" s="970"/>
      <c r="PA20" s="970"/>
      <c r="PB20" s="970"/>
      <c r="PC20" s="970"/>
      <c r="PD20" s="970"/>
      <c r="PE20" s="970"/>
      <c r="PF20" s="970"/>
      <c r="PG20" s="970"/>
      <c r="PH20" s="970"/>
      <c r="PI20" s="970"/>
      <c r="PJ20" s="970"/>
      <c r="PK20" s="970"/>
      <c r="PL20" s="970"/>
      <c r="PM20" s="970"/>
      <c r="PN20" s="970"/>
      <c r="PO20" s="970"/>
      <c r="PP20" s="970"/>
      <c r="PQ20" s="970"/>
      <c r="PR20" s="970"/>
      <c r="PS20" s="970"/>
      <c r="PT20" s="970"/>
      <c r="PU20" s="970"/>
      <c r="PV20" s="970"/>
      <c r="PW20" s="970"/>
      <c r="PX20" s="970"/>
      <c r="PY20" s="970"/>
      <c r="PZ20" s="970"/>
      <c r="QA20" s="970"/>
      <c r="QB20" s="970"/>
      <c r="QC20" s="970"/>
      <c r="QD20" s="970"/>
      <c r="QE20" s="970"/>
      <c r="QF20" s="970"/>
      <c r="QG20" s="970"/>
      <c r="QH20" s="970"/>
      <c r="QI20" s="970"/>
      <c r="QJ20" s="970"/>
      <c r="QK20" s="970"/>
      <c r="QL20" s="970"/>
      <c r="QM20" s="970"/>
      <c r="QN20" s="970"/>
      <c r="QO20" s="970"/>
      <c r="QP20" s="970"/>
      <c r="QQ20" s="970"/>
      <c r="QR20" s="970"/>
      <c r="QS20" s="970"/>
      <c r="QT20" s="970"/>
      <c r="QU20" s="970"/>
      <c r="QV20" s="970"/>
      <c r="QW20" s="970"/>
      <c r="QX20" s="970"/>
      <c r="QY20" s="970"/>
      <c r="QZ20" s="970"/>
      <c r="RA20" s="970"/>
      <c r="RB20" s="970"/>
      <c r="RC20" s="970"/>
      <c r="RD20" s="970"/>
      <c r="RE20" s="970"/>
      <c r="RF20" s="970"/>
      <c r="RG20" s="970"/>
      <c r="RH20" s="970"/>
      <c r="RI20" s="970"/>
      <c r="RJ20" s="970"/>
      <c r="RK20" s="970"/>
      <c r="RL20" s="970"/>
      <c r="RM20" s="970"/>
      <c r="RN20" s="970"/>
      <c r="RO20" s="970"/>
      <c r="RP20" s="970"/>
      <c r="RQ20" s="970"/>
      <c r="RR20" s="970"/>
      <c r="RS20" s="970"/>
      <c r="RT20" s="970"/>
      <c r="RU20" s="970"/>
      <c r="RV20" s="970"/>
      <c r="RW20" s="970"/>
      <c r="RX20" s="970"/>
      <c r="RY20" s="970"/>
      <c r="RZ20" s="970"/>
      <c r="SA20" s="970"/>
      <c r="SB20" s="970"/>
      <c r="SC20" s="970"/>
      <c r="SD20" s="970"/>
      <c r="SE20" s="970"/>
      <c r="SF20" s="970"/>
      <c r="SG20" s="970"/>
      <c r="SH20" s="970"/>
      <c r="SI20" s="970"/>
      <c r="SJ20" s="970"/>
      <c r="SK20" s="970"/>
      <c r="SL20" s="970"/>
      <c r="SM20" s="970"/>
      <c r="SN20" s="970"/>
      <c r="SO20" s="970"/>
      <c r="SP20" s="970"/>
      <c r="SQ20" s="970"/>
      <c r="SR20" s="970"/>
    </row>
    <row r="21" spans="1:512" ht="15" customHeight="1">
      <c r="A21"/>
      <c r="B21" t="s">
        <v>2207</v>
      </c>
      <c r="C21"/>
      <c r="D21"/>
      <c r="E21" t="s">
        <v>220</v>
      </c>
      <c r="F21"/>
      <c r="G21" s="970">
        <v>7240</v>
      </c>
      <c r="H21" s="970">
        <v>8100</v>
      </c>
      <c r="I21" s="970"/>
      <c r="J21" s="970"/>
      <c r="K21" s="970"/>
      <c r="L21" s="970"/>
      <c r="M21" s="970"/>
      <c r="N21" s="970"/>
      <c r="O21" s="970"/>
      <c r="P21" s="970"/>
      <c r="Q21" s="970"/>
      <c r="R21" s="970"/>
      <c r="S21" s="970"/>
      <c r="T21" s="970"/>
      <c r="U21" s="970"/>
      <c r="V21" s="970"/>
      <c r="W21" s="970"/>
      <c r="X21" s="970"/>
      <c r="Y21" s="970"/>
      <c r="Z21" s="970"/>
      <c r="AA21" s="970"/>
      <c r="AB21" s="970"/>
      <c r="AC21" s="970"/>
      <c r="AD21" s="970"/>
      <c r="AE21" s="970"/>
      <c r="AF21" s="970"/>
      <c r="AG21" s="970"/>
      <c r="AH21" s="970"/>
      <c r="AI21" s="970"/>
      <c r="AJ21" s="970"/>
      <c r="AK21" s="970"/>
      <c r="AL21" s="970"/>
      <c r="AM21" s="970"/>
      <c r="AN21" s="970"/>
      <c r="AO21" s="970"/>
      <c r="AP21" s="970"/>
      <c r="AQ21" s="970"/>
      <c r="AR21" s="970"/>
      <c r="AS21" s="970"/>
      <c r="AT21" s="970"/>
      <c r="AU21" s="970"/>
      <c r="AV21" s="970"/>
      <c r="AW21" s="970"/>
      <c r="AX21" s="970"/>
      <c r="AY21" s="970"/>
      <c r="AZ21" s="970"/>
      <c r="BA21" s="970"/>
      <c r="BB21" s="970"/>
      <c r="BC21" s="970"/>
      <c r="BD21" s="970"/>
      <c r="BE21" s="970"/>
      <c r="BF21" s="970"/>
      <c r="BG21" s="970"/>
      <c r="BH21" s="970"/>
      <c r="BI21" s="970"/>
      <c r="BJ21" s="970"/>
      <c r="BK21" s="970"/>
      <c r="BL21" s="970"/>
      <c r="BM21" s="970"/>
      <c r="BN21" s="970"/>
      <c r="BO21" s="970"/>
      <c r="BP21" s="970"/>
      <c r="BQ21" s="970"/>
      <c r="BR21" s="970"/>
      <c r="BS21" s="970"/>
      <c r="BT21" s="970"/>
      <c r="BU21" s="970"/>
      <c r="BV21" s="970"/>
      <c r="BW21" s="970"/>
      <c r="BX21" s="970"/>
      <c r="BY21" s="970"/>
      <c r="BZ21" s="970"/>
      <c r="CA21" s="970"/>
      <c r="CB21" s="970"/>
      <c r="CC21" s="970"/>
      <c r="CD21" s="970"/>
      <c r="CE21" s="970"/>
      <c r="CF21" s="970"/>
      <c r="CG21" s="970"/>
      <c r="CH21" s="970"/>
      <c r="CI21" s="970"/>
      <c r="CJ21" s="970"/>
      <c r="CK21" s="970"/>
      <c r="CL21" s="970"/>
      <c r="CM21" s="970"/>
      <c r="CN21" s="970"/>
      <c r="CO21" s="970"/>
      <c r="CP21" s="970"/>
      <c r="CQ21" s="970"/>
      <c r="CR21" s="970"/>
      <c r="CS21" s="970"/>
      <c r="CT21" s="970"/>
      <c r="CU21" s="970"/>
      <c r="CV21" s="970"/>
      <c r="CW21" s="970"/>
      <c r="CX21" s="970"/>
      <c r="CY21" s="970"/>
      <c r="CZ21" s="970"/>
      <c r="DA21" s="970"/>
      <c r="DB21" s="970"/>
      <c r="DC21" s="970"/>
      <c r="DD21" s="970"/>
      <c r="DE21" s="970"/>
      <c r="DF21" s="970"/>
      <c r="DG21" s="970"/>
      <c r="DH21" s="970"/>
      <c r="DI21" s="970"/>
      <c r="DJ21" s="970"/>
      <c r="DK21" s="970"/>
      <c r="DL21" s="970"/>
      <c r="DM21" s="970"/>
      <c r="DN21" s="970"/>
      <c r="DO21" s="970"/>
      <c r="DP21" s="970"/>
      <c r="DQ21" s="970"/>
      <c r="DR21" s="970"/>
      <c r="DS21" s="970"/>
      <c r="DT21" s="970"/>
      <c r="DU21" s="970"/>
      <c r="DV21" s="970"/>
      <c r="DW21" s="970"/>
      <c r="DX21" s="970"/>
      <c r="DY21" s="970"/>
      <c r="DZ21" s="970"/>
      <c r="EA21" s="970"/>
      <c r="EB21" s="970"/>
      <c r="EC21" s="970"/>
      <c r="ED21" s="970"/>
      <c r="EE21" s="970"/>
      <c r="EF21" s="970"/>
      <c r="EG21" s="970"/>
      <c r="EH21" s="970"/>
      <c r="EI21" s="970"/>
      <c r="EJ21" s="970"/>
      <c r="EK21" s="970"/>
      <c r="EL21" s="970"/>
      <c r="EM21" s="970"/>
      <c r="EN21" s="970"/>
      <c r="EO21" s="970"/>
      <c r="EP21" s="970"/>
      <c r="EQ21" s="970"/>
      <c r="ER21" s="970"/>
      <c r="ES21" s="970"/>
      <c r="ET21" s="970"/>
      <c r="EU21" s="970"/>
      <c r="EV21" s="970"/>
      <c r="EW21" s="970"/>
      <c r="EX21" s="970"/>
      <c r="EY21" s="970"/>
      <c r="EZ21" s="970"/>
      <c r="FA21" s="970"/>
      <c r="FB21" s="970"/>
      <c r="FC21" s="970"/>
      <c r="FD21" s="970"/>
      <c r="FE21" s="970"/>
      <c r="FF21" s="970"/>
      <c r="FG21" s="970"/>
      <c r="FH21" s="970"/>
      <c r="FI21" s="970"/>
      <c r="FJ21" s="970"/>
      <c r="FK21" s="970"/>
      <c r="FL21" s="970"/>
      <c r="FM21" s="970"/>
      <c r="FN21" s="970"/>
      <c r="FO21" s="970"/>
      <c r="FP21" s="970"/>
      <c r="FQ21" s="970"/>
      <c r="FR21" s="970"/>
      <c r="FS21" s="970"/>
      <c r="FT21" s="970"/>
      <c r="FU21" s="970"/>
      <c r="FV21" s="970"/>
      <c r="FW21" s="970"/>
      <c r="FX21" s="970"/>
      <c r="FY21" s="970"/>
      <c r="FZ21" s="970"/>
      <c r="GA21" s="970"/>
      <c r="GB21" s="970"/>
      <c r="GC21" s="970"/>
      <c r="GD21" s="970"/>
      <c r="GE21" s="970"/>
      <c r="GF21" s="970"/>
      <c r="GG21" s="970"/>
      <c r="GH21" s="970"/>
      <c r="GI21" s="970"/>
      <c r="GJ21" s="970"/>
      <c r="GK21" s="970"/>
      <c r="GL21" s="970"/>
      <c r="GM21" s="970"/>
      <c r="GN21" s="970"/>
      <c r="GO21" s="970"/>
      <c r="GP21" s="970"/>
      <c r="GQ21" s="970"/>
      <c r="GR21" s="970"/>
      <c r="GS21" s="970"/>
      <c r="GT21" s="970"/>
      <c r="GU21" s="970"/>
      <c r="GV21" s="970"/>
      <c r="GW21" s="970"/>
      <c r="GX21" s="970"/>
      <c r="GY21" s="970"/>
      <c r="GZ21" s="970"/>
      <c r="HA21" s="970"/>
      <c r="HB21" s="970"/>
      <c r="HC21" s="970"/>
      <c r="HD21" s="970"/>
      <c r="HE21" s="970"/>
      <c r="HF21" s="970"/>
      <c r="HG21" s="970"/>
      <c r="HH21" s="970"/>
      <c r="HI21" s="970"/>
      <c r="HJ21" s="970"/>
      <c r="HK21" s="970"/>
      <c r="HL21" s="970"/>
      <c r="HM21" s="970"/>
      <c r="HN21" s="970"/>
      <c r="HO21" s="970"/>
      <c r="HP21" s="970"/>
      <c r="HQ21" s="970"/>
      <c r="HR21" s="970"/>
      <c r="HS21" s="970"/>
      <c r="HT21" s="970"/>
      <c r="HU21" s="970"/>
      <c r="HV21" s="970"/>
      <c r="HW21" s="970"/>
      <c r="HX21" s="970"/>
      <c r="HY21" s="970"/>
      <c r="HZ21" s="970"/>
      <c r="IA21" s="970"/>
      <c r="IB21" s="970"/>
      <c r="IC21" s="970"/>
      <c r="ID21" s="970"/>
      <c r="IE21" s="970"/>
      <c r="IF21" s="970"/>
      <c r="IG21" s="970"/>
      <c r="IH21" s="970"/>
      <c r="II21" s="970"/>
      <c r="IJ21" s="970"/>
      <c r="IK21" s="970"/>
      <c r="IL21" s="970"/>
      <c r="IM21" s="970"/>
      <c r="IN21" s="970"/>
      <c r="IO21" s="970"/>
      <c r="IP21" s="970"/>
      <c r="IQ21" s="970"/>
      <c r="IR21" s="970"/>
      <c r="IS21" s="970"/>
      <c r="IT21" s="970"/>
      <c r="IU21" s="970"/>
      <c r="IV21" s="970"/>
      <c r="IW21" s="970"/>
      <c r="IX21" s="970"/>
      <c r="IY21" s="970"/>
      <c r="IZ21" s="970"/>
      <c r="JA21" s="970"/>
      <c r="JB21" s="970"/>
      <c r="JC21" s="970"/>
      <c r="JD21" s="970"/>
      <c r="JE21" s="970"/>
      <c r="JF21" s="970"/>
      <c r="JG21" s="970"/>
      <c r="JH21" s="970"/>
      <c r="JI21" s="970"/>
      <c r="JJ21" s="970"/>
      <c r="JK21" s="970"/>
      <c r="JL21" s="970"/>
      <c r="JM21" s="970"/>
      <c r="JN21" s="970"/>
      <c r="JO21" s="970"/>
      <c r="JP21" s="970"/>
      <c r="JQ21" s="970"/>
      <c r="JR21" s="970"/>
      <c r="JS21" s="970"/>
      <c r="JT21" s="970"/>
      <c r="JU21" s="970"/>
      <c r="JV21" s="970"/>
      <c r="JW21" s="970"/>
      <c r="JX21" s="970"/>
      <c r="JY21" s="970"/>
      <c r="JZ21" s="970"/>
      <c r="KA21" s="970"/>
      <c r="KB21" s="970"/>
      <c r="KC21" s="970"/>
      <c r="KD21" s="970"/>
      <c r="KE21" s="970"/>
      <c r="KF21" s="970"/>
      <c r="KG21" s="970"/>
      <c r="KH21" s="970"/>
      <c r="KI21" s="970"/>
      <c r="KJ21" s="970"/>
      <c r="KK21" s="970"/>
      <c r="KL21" s="970"/>
      <c r="KM21" s="970"/>
      <c r="KN21" s="970"/>
      <c r="KO21" s="970"/>
      <c r="KP21" s="970"/>
      <c r="KQ21" s="970"/>
      <c r="KR21" s="970"/>
      <c r="KS21" s="970"/>
      <c r="KT21" s="970"/>
      <c r="KU21" s="970"/>
      <c r="KV21" s="970"/>
      <c r="KW21" s="970"/>
      <c r="KX21" s="970"/>
      <c r="KY21" s="970"/>
      <c r="KZ21" s="970"/>
      <c r="LA21" s="970"/>
      <c r="LB21" s="970"/>
      <c r="LC21" s="970"/>
      <c r="LD21" s="970"/>
      <c r="LE21" s="970"/>
      <c r="LF21" s="970"/>
      <c r="LG21" s="970"/>
      <c r="LH21" s="970"/>
      <c r="LI21" s="970"/>
      <c r="LJ21" s="970"/>
      <c r="LK21" s="970"/>
      <c r="LL21" s="970"/>
      <c r="LM21" s="970"/>
      <c r="LN21" s="970"/>
      <c r="LO21" s="970"/>
      <c r="LP21" s="970"/>
      <c r="LQ21" s="970"/>
      <c r="LR21" s="970"/>
      <c r="LS21" s="970"/>
      <c r="LT21" s="970"/>
      <c r="LU21" s="970"/>
      <c r="LV21" s="970"/>
      <c r="LW21" s="970"/>
      <c r="LX21" s="970"/>
      <c r="LY21" s="970"/>
      <c r="LZ21" s="970"/>
      <c r="MA21" s="970"/>
      <c r="MB21" s="970"/>
      <c r="MC21" s="970"/>
      <c r="MD21" s="970"/>
      <c r="ME21" s="970"/>
      <c r="MF21" s="970"/>
      <c r="MG21" s="970"/>
      <c r="MH21" s="970"/>
      <c r="MI21" s="970"/>
      <c r="MJ21" s="970"/>
      <c r="MK21" s="970"/>
      <c r="ML21" s="970"/>
      <c r="MM21" s="970"/>
      <c r="MN21" s="970"/>
      <c r="MO21" s="970"/>
      <c r="MP21" s="970"/>
      <c r="MQ21" s="970"/>
      <c r="MR21" s="970"/>
      <c r="MS21" s="970"/>
      <c r="MT21" s="970"/>
      <c r="MU21" s="970"/>
      <c r="MV21" s="970"/>
      <c r="MW21" s="970"/>
      <c r="MX21" s="970"/>
      <c r="MY21" s="970"/>
      <c r="MZ21" s="970"/>
      <c r="NA21" s="970"/>
      <c r="NB21" s="970"/>
      <c r="NC21" s="970"/>
      <c r="ND21" s="970"/>
      <c r="NE21" s="970"/>
      <c r="NF21" s="970"/>
      <c r="NG21" s="970"/>
      <c r="NH21" s="970"/>
      <c r="NI21" s="970"/>
      <c r="NJ21" s="970"/>
      <c r="NK21" s="970"/>
      <c r="NL21" s="970"/>
      <c r="NM21" s="970"/>
      <c r="NN21" s="970"/>
      <c r="NO21" s="970"/>
      <c r="NP21" s="970"/>
      <c r="NQ21" s="970"/>
      <c r="NR21" s="970"/>
      <c r="NS21" s="970"/>
      <c r="NT21" s="970"/>
      <c r="NU21" s="970"/>
      <c r="NV21" s="970"/>
      <c r="NW21" s="970"/>
      <c r="NX21" s="970"/>
      <c r="NY21" s="970"/>
      <c r="NZ21" s="970"/>
      <c r="OA21" s="970"/>
      <c r="OB21" s="970"/>
      <c r="OC21" s="970"/>
      <c r="OD21" s="970"/>
      <c r="OE21" s="970"/>
      <c r="OF21" s="970"/>
      <c r="OG21" s="970"/>
      <c r="OH21" s="970"/>
      <c r="OI21" s="970"/>
      <c r="OJ21" s="970"/>
      <c r="OK21" s="970"/>
      <c r="OL21" s="970"/>
      <c r="OM21" s="970"/>
      <c r="ON21" s="970"/>
      <c r="OO21" s="970"/>
      <c r="OP21" s="970"/>
      <c r="OQ21" s="970"/>
      <c r="OR21" s="970"/>
      <c r="OS21" s="970"/>
      <c r="OT21" s="970"/>
      <c r="OU21" s="970"/>
      <c r="OV21" s="970"/>
      <c r="OW21" s="970"/>
      <c r="OX21" s="970"/>
      <c r="OY21" s="970"/>
      <c r="OZ21" s="970"/>
      <c r="PA21" s="970"/>
      <c r="PB21" s="970"/>
      <c r="PC21" s="970"/>
      <c r="PD21" s="970"/>
      <c r="PE21" s="970"/>
      <c r="PF21" s="970"/>
      <c r="PG21" s="970"/>
      <c r="PH21" s="970"/>
      <c r="PI21" s="970"/>
      <c r="PJ21" s="970"/>
      <c r="PK21" s="970"/>
      <c r="PL21" s="970"/>
      <c r="PM21" s="970"/>
      <c r="PN21" s="970"/>
      <c r="PO21" s="970"/>
      <c r="PP21" s="970"/>
      <c r="PQ21" s="970"/>
      <c r="PR21" s="970"/>
      <c r="PS21" s="970"/>
      <c r="PT21" s="970"/>
      <c r="PU21" s="970"/>
      <c r="PV21" s="970"/>
      <c r="PW21" s="970"/>
      <c r="PX21" s="970"/>
      <c r="PY21" s="970"/>
      <c r="PZ21" s="970"/>
      <c r="QA21" s="970"/>
      <c r="QB21" s="970"/>
      <c r="QC21" s="970"/>
      <c r="QD21" s="970"/>
      <c r="QE21" s="970"/>
      <c r="QF21" s="970"/>
      <c r="QG21" s="970"/>
      <c r="QH21" s="970"/>
      <c r="QI21" s="970"/>
      <c r="QJ21" s="970"/>
      <c r="QK21" s="970"/>
      <c r="QL21" s="970"/>
      <c r="QM21" s="970"/>
      <c r="QN21" s="970"/>
      <c r="QO21" s="970"/>
      <c r="QP21" s="970"/>
      <c r="QQ21" s="970"/>
      <c r="QR21" s="970"/>
      <c r="QS21" s="970"/>
      <c r="QT21" s="970"/>
      <c r="QU21" s="970"/>
      <c r="QV21" s="970"/>
      <c r="QW21" s="970"/>
      <c r="QX21" s="970"/>
      <c r="QY21" s="970"/>
      <c r="QZ21" s="970"/>
      <c r="RA21" s="970"/>
      <c r="RB21" s="970"/>
      <c r="RC21" s="970"/>
      <c r="RD21" s="970"/>
      <c r="RE21" s="970"/>
      <c r="RF21" s="970"/>
      <c r="RG21" s="970"/>
      <c r="RH21" s="970"/>
      <c r="RI21" s="970"/>
      <c r="RJ21" s="970"/>
      <c r="RK21" s="970"/>
      <c r="RL21" s="970"/>
      <c r="RM21" s="970"/>
      <c r="RN21" s="970"/>
      <c r="RO21" s="970"/>
      <c r="RP21" s="970"/>
      <c r="RQ21" s="970"/>
      <c r="RR21" s="970"/>
      <c r="RS21" s="970"/>
      <c r="RT21" s="970"/>
      <c r="RU21" s="970"/>
      <c r="RV21" s="970"/>
      <c r="RW21" s="970"/>
      <c r="RX21" s="970"/>
      <c r="RY21" s="970"/>
      <c r="RZ21" s="970"/>
      <c r="SA21" s="970"/>
      <c r="SB21" s="970"/>
      <c r="SC21" s="970"/>
      <c r="SD21" s="970"/>
      <c r="SE21" s="970"/>
      <c r="SF21" s="970"/>
      <c r="SG21" s="970"/>
      <c r="SH21" s="970"/>
      <c r="SI21" s="970"/>
      <c r="SJ21" s="970"/>
      <c r="SK21" s="970"/>
      <c r="SL21" s="970"/>
      <c r="SM21" s="970"/>
      <c r="SN21" s="970"/>
      <c r="SO21" s="970"/>
      <c r="SP21" s="970"/>
      <c r="SQ21" s="970"/>
      <c r="SR21" s="970"/>
    </row>
    <row r="22" spans="1:512" ht="15" customHeight="1">
      <c r="A22"/>
      <c r="B22" t="s">
        <v>2267</v>
      </c>
      <c r="C22"/>
      <c r="D22"/>
      <c r="E22" t="s">
        <v>1075</v>
      </c>
      <c r="F22"/>
      <c r="G22" s="970">
        <v>1500</v>
      </c>
      <c r="H22" s="970">
        <v>750000</v>
      </c>
      <c r="I22" s="970"/>
      <c r="J22" s="970"/>
      <c r="K22" s="970"/>
      <c r="L22" s="970"/>
      <c r="M22" s="970"/>
      <c r="N22" s="970"/>
      <c r="O22" s="970"/>
      <c r="P22" s="970"/>
      <c r="Q22" s="970"/>
      <c r="R22" s="970"/>
      <c r="S22" s="970"/>
      <c r="T22" s="970"/>
      <c r="U22" s="970"/>
      <c r="V22" s="970"/>
      <c r="W22" s="970"/>
      <c r="X22" s="970"/>
      <c r="Y22" s="970"/>
      <c r="Z22" s="970"/>
      <c r="AA22" s="970"/>
      <c r="AB22" s="970"/>
      <c r="AC22" s="970"/>
      <c r="AD22" s="970"/>
      <c r="AE22" s="970"/>
      <c r="AF22" s="970"/>
      <c r="AG22" s="970"/>
      <c r="AH22" s="970"/>
      <c r="AI22" s="970"/>
      <c r="AJ22" s="970"/>
      <c r="AK22" s="970"/>
      <c r="AL22" s="970"/>
      <c r="AM22" s="970"/>
      <c r="AN22" s="970"/>
      <c r="AO22" s="970"/>
      <c r="AP22" s="970"/>
      <c r="AQ22" s="970"/>
      <c r="AR22" s="970"/>
      <c r="AS22" s="970"/>
      <c r="AT22" s="970"/>
      <c r="AU22" s="970"/>
      <c r="AV22" s="970"/>
      <c r="AW22" s="970"/>
      <c r="AX22" s="970"/>
      <c r="AY22" s="970"/>
      <c r="AZ22" s="970"/>
      <c r="BA22" s="970"/>
      <c r="BB22" s="970"/>
      <c r="BC22" s="970"/>
      <c r="BD22" s="970"/>
      <c r="BE22" s="970"/>
      <c r="BF22" s="970"/>
      <c r="BG22" s="970"/>
      <c r="BH22" s="970"/>
      <c r="BI22" s="970"/>
      <c r="BJ22" s="970"/>
      <c r="BK22" s="970"/>
      <c r="BL22" s="970"/>
      <c r="BM22" s="970"/>
      <c r="BN22" s="970"/>
      <c r="BO22" s="970"/>
      <c r="BP22" s="970"/>
      <c r="BQ22" s="970"/>
      <c r="BR22" s="970"/>
      <c r="BS22" s="970"/>
      <c r="BT22" s="970"/>
      <c r="BU22" s="970"/>
      <c r="BV22" s="970"/>
      <c r="BW22" s="970"/>
      <c r="BX22" s="970"/>
      <c r="BY22" s="970"/>
      <c r="BZ22" s="970"/>
      <c r="CA22" s="970"/>
      <c r="CB22" s="970"/>
      <c r="CC22" s="970"/>
      <c r="CD22" s="970"/>
      <c r="CE22" s="970"/>
      <c r="CF22" s="970"/>
      <c r="CG22" s="970"/>
      <c r="CH22" s="970"/>
      <c r="CI22" s="970"/>
      <c r="CJ22" s="970"/>
      <c r="CK22" s="970"/>
      <c r="CL22" s="970"/>
      <c r="CM22" s="970"/>
      <c r="CN22" s="970"/>
      <c r="CO22" s="970"/>
      <c r="CP22" s="970"/>
      <c r="CQ22" s="970"/>
      <c r="CR22" s="970"/>
      <c r="CS22" s="970"/>
      <c r="CT22" s="970"/>
      <c r="CU22" s="970"/>
      <c r="CV22" s="970"/>
      <c r="CW22" s="970"/>
      <c r="CX22" s="970"/>
      <c r="CY22" s="970"/>
      <c r="CZ22" s="970"/>
      <c r="DA22" s="970"/>
      <c r="DB22" s="970"/>
      <c r="DC22" s="970"/>
      <c r="DD22" s="970"/>
      <c r="DE22" s="970"/>
      <c r="DF22" s="970"/>
      <c r="DG22" s="970"/>
      <c r="DH22" s="970"/>
      <c r="DI22" s="970"/>
      <c r="DJ22" s="970"/>
      <c r="DK22" s="970"/>
      <c r="DL22" s="970"/>
      <c r="DM22" s="970"/>
      <c r="DN22" s="970"/>
      <c r="DO22" s="970"/>
      <c r="DP22" s="970"/>
      <c r="DQ22" s="970"/>
      <c r="DR22" s="970"/>
      <c r="DS22" s="970"/>
      <c r="DT22" s="970"/>
      <c r="DU22" s="970"/>
      <c r="DV22" s="970"/>
      <c r="DW22" s="970"/>
      <c r="DX22" s="970"/>
      <c r="DY22" s="970"/>
      <c r="DZ22" s="970"/>
      <c r="EA22" s="970"/>
      <c r="EB22" s="970"/>
      <c r="EC22" s="970"/>
      <c r="ED22" s="970"/>
      <c r="EE22" s="970"/>
      <c r="EF22" s="970"/>
      <c r="EG22" s="970"/>
      <c r="EH22" s="970"/>
      <c r="EI22" s="970"/>
      <c r="EJ22" s="970"/>
      <c r="EK22" s="970"/>
      <c r="EL22" s="970"/>
      <c r="EM22" s="970"/>
      <c r="EN22" s="970"/>
      <c r="EO22" s="970"/>
      <c r="EP22" s="970"/>
      <c r="EQ22" s="970"/>
      <c r="ER22" s="970"/>
      <c r="ES22" s="970"/>
      <c r="ET22" s="970"/>
      <c r="EU22" s="970"/>
      <c r="EV22" s="970"/>
      <c r="EW22" s="970"/>
      <c r="EX22" s="970"/>
      <c r="EY22" s="970"/>
      <c r="EZ22" s="970"/>
      <c r="FA22" s="970"/>
      <c r="FB22" s="970"/>
      <c r="FC22" s="970"/>
      <c r="FD22" s="970"/>
      <c r="FE22" s="970"/>
      <c r="FF22" s="970"/>
      <c r="FG22" s="970"/>
      <c r="FH22" s="970"/>
      <c r="FI22" s="970"/>
      <c r="FJ22" s="970"/>
      <c r="FK22" s="970"/>
      <c r="FL22" s="970"/>
      <c r="FM22" s="970"/>
      <c r="FN22" s="970"/>
      <c r="FO22" s="970"/>
      <c r="FP22" s="970"/>
      <c r="FQ22" s="970"/>
      <c r="FR22" s="970"/>
      <c r="FS22" s="970"/>
      <c r="FT22" s="970"/>
      <c r="FU22" s="970"/>
      <c r="FV22" s="970"/>
      <c r="FW22" s="970"/>
      <c r="FX22" s="970"/>
      <c r="FY22" s="970"/>
      <c r="FZ22" s="970"/>
      <c r="GA22" s="970"/>
      <c r="GB22" s="970"/>
      <c r="GC22" s="970"/>
      <c r="GD22" s="970"/>
      <c r="GE22" s="970"/>
      <c r="GF22" s="970"/>
      <c r="GG22" s="970"/>
      <c r="GH22" s="970"/>
      <c r="GI22" s="970"/>
      <c r="GJ22" s="970"/>
      <c r="GK22" s="970"/>
      <c r="GL22" s="970"/>
      <c r="GM22" s="970"/>
      <c r="GN22" s="970"/>
      <c r="GO22" s="970"/>
      <c r="GP22" s="970"/>
      <c r="GQ22" s="970"/>
      <c r="GR22" s="970"/>
      <c r="GS22" s="970"/>
      <c r="GT22" s="970"/>
      <c r="GU22" s="970"/>
      <c r="GV22" s="970"/>
      <c r="GW22" s="970"/>
      <c r="GX22" s="970"/>
      <c r="GY22" s="970"/>
      <c r="GZ22" s="970"/>
      <c r="HA22" s="970"/>
      <c r="HB22" s="970"/>
      <c r="HC22" s="970"/>
      <c r="HD22" s="970"/>
      <c r="HE22" s="970"/>
      <c r="HF22" s="970"/>
      <c r="HG22" s="970"/>
      <c r="HH22" s="970"/>
      <c r="HI22" s="970"/>
      <c r="HJ22" s="970"/>
      <c r="HK22" s="970"/>
      <c r="HL22" s="970"/>
      <c r="HM22" s="970"/>
      <c r="HN22" s="970"/>
      <c r="HO22" s="970"/>
      <c r="HP22" s="970"/>
      <c r="HQ22" s="970"/>
      <c r="HR22" s="970"/>
      <c r="HS22" s="970"/>
      <c r="HT22" s="970"/>
      <c r="HU22" s="970"/>
      <c r="HV22" s="970"/>
      <c r="HW22" s="970"/>
      <c r="HX22" s="970"/>
      <c r="HY22" s="970"/>
      <c r="HZ22" s="970"/>
      <c r="IA22" s="970"/>
      <c r="IB22" s="970"/>
      <c r="IC22" s="970"/>
      <c r="ID22" s="970"/>
      <c r="IE22" s="970"/>
      <c r="IF22" s="970"/>
      <c r="IG22" s="970"/>
      <c r="IH22" s="970"/>
      <c r="II22" s="970"/>
      <c r="IJ22" s="970"/>
      <c r="IK22" s="970"/>
      <c r="IL22" s="970"/>
      <c r="IM22" s="970"/>
      <c r="IN22" s="970"/>
      <c r="IO22" s="970"/>
      <c r="IP22" s="970"/>
      <c r="IQ22" s="970"/>
      <c r="IR22" s="970"/>
      <c r="IS22" s="970"/>
      <c r="IT22" s="970"/>
      <c r="IU22" s="970"/>
      <c r="IV22" s="970"/>
      <c r="IW22" s="970"/>
      <c r="IX22" s="970"/>
      <c r="IY22" s="970"/>
      <c r="IZ22" s="970"/>
      <c r="JA22" s="970"/>
      <c r="JB22" s="970"/>
      <c r="JC22" s="970"/>
      <c r="JD22" s="970"/>
      <c r="JE22" s="970"/>
      <c r="JF22" s="970"/>
      <c r="JG22" s="970"/>
      <c r="JH22" s="970"/>
      <c r="JI22" s="970"/>
      <c r="JJ22" s="970"/>
      <c r="JK22" s="970"/>
      <c r="JL22" s="970"/>
      <c r="JM22" s="970"/>
      <c r="JN22" s="970"/>
      <c r="JO22" s="970"/>
      <c r="JP22" s="970"/>
      <c r="JQ22" s="970"/>
      <c r="JR22" s="970"/>
      <c r="JS22" s="970"/>
      <c r="JT22" s="970"/>
      <c r="JU22" s="970"/>
      <c r="JV22" s="970"/>
      <c r="JW22" s="970"/>
      <c r="JX22" s="970"/>
      <c r="JY22" s="970"/>
      <c r="JZ22" s="970"/>
      <c r="KA22" s="970"/>
      <c r="KB22" s="970"/>
      <c r="KC22" s="970"/>
      <c r="KD22" s="970"/>
      <c r="KE22" s="970"/>
      <c r="KF22" s="970"/>
      <c r="KG22" s="970"/>
      <c r="KH22" s="970"/>
      <c r="KI22" s="970"/>
      <c r="KJ22" s="970"/>
      <c r="KK22" s="970"/>
      <c r="KL22" s="970"/>
      <c r="KM22" s="970"/>
      <c r="KN22" s="970"/>
      <c r="KO22" s="970"/>
      <c r="KP22" s="970"/>
      <c r="KQ22" s="970"/>
      <c r="KR22" s="970"/>
      <c r="KS22" s="970"/>
      <c r="KT22" s="970"/>
      <c r="KU22" s="970"/>
      <c r="KV22" s="970"/>
      <c r="KW22" s="970"/>
      <c r="KX22" s="970"/>
      <c r="KY22" s="970"/>
      <c r="KZ22" s="970"/>
      <c r="LA22" s="970"/>
      <c r="LB22" s="970"/>
      <c r="LC22" s="970"/>
      <c r="LD22" s="970"/>
      <c r="LE22" s="970"/>
      <c r="LF22" s="970"/>
      <c r="LG22" s="970"/>
      <c r="LH22" s="970"/>
      <c r="LI22" s="970"/>
      <c r="LJ22" s="970"/>
      <c r="LK22" s="970"/>
      <c r="LL22" s="970"/>
      <c r="LM22" s="970"/>
      <c r="LN22" s="970"/>
      <c r="LO22" s="970"/>
      <c r="LP22" s="970"/>
      <c r="LQ22" s="970"/>
      <c r="LR22" s="970"/>
      <c r="LS22" s="970"/>
      <c r="LT22" s="970"/>
      <c r="LU22" s="970"/>
      <c r="LV22" s="970"/>
      <c r="LW22" s="970"/>
      <c r="LX22" s="970"/>
      <c r="LY22" s="970"/>
      <c r="LZ22" s="970"/>
      <c r="MA22" s="970"/>
      <c r="MB22" s="970"/>
      <c r="MC22" s="970"/>
      <c r="MD22" s="970"/>
      <c r="ME22" s="970"/>
      <c r="MF22" s="970"/>
      <c r="MG22" s="970"/>
      <c r="MH22" s="970"/>
      <c r="MI22" s="970"/>
      <c r="MJ22" s="970"/>
      <c r="MK22" s="970"/>
      <c r="ML22" s="970"/>
      <c r="MM22" s="970"/>
      <c r="MN22" s="970"/>
      <c r="MO22" s="970"/>
      <c r="MP22" s="970"/>
      <c r="MQ22" s="970"/>
      <c r="MR22" s="970"/>
      <c r="MS22" s="970"/>
      <c r="MT22" s="970"/>
      <c r="MU22" s="970"/>
      <c r="MV22" s="970"/>
      <c r="MW22" s="970"/>
      <c r="MX22" s="970"/>
      <c r="MY22" s="970"/>
      <c r="MZ22" s="970"/>
      <c r="NA22" s="970"/>
      <c r="NB22" s="970"/>
      <c r="NC22" s="970"/>
      <c r="ND22" s="970"/>
      <c r="NE22" s="970"/>
      <c r="NF22" s="970"/>
      <c r="NG22" s="970"/>
      <c r="NH22" s="970"/>
      <c r="NI22" s="970"/>
      <c r="NJ22" s="970"/>
      <c r="NK22" s="970"/>
      <c r="NL22" s="970"/>
      <c r="NM22" s="970"/>
      <c r="NN22" s="970"/>
      <c r="NO22" s="970"/>
      <c r="NP22" s="970"/>
      <c r="NQ22" s="970"/>
      <c r="NR22" s="970"/>
      <c r="NS22" s="970"/>
      <c r="NT22" s="970"/>
      <c r="NU22" s="970"/>
      <c r="NV22" s="970"/>
      <c r="NW22" s="970"/>
      <c r="NX22" s="970"/>
      <c r="NY22" s="970"/>
      <c r="NZ22" s="970"/>
      <c r="OA22" s="970"/>
      <c r="OB22" s="970"/>
      <c r="OC22" s="970"/>
      <c r="OD22" s="970"/>
      <c r="OE22" s="970"/>
      <c r="OF22" s="970"/>
      <c r="OG22" s="970"/>
      <c r="OH22" s="970"/>
      <c r="OI22" s="970"/>
      <c r="OJ22" s="970"/>
      <c r="OK22" s="970"/>
      <c r="OL22" s="970"/>
      <c r="OM22" s="970"/>
      <c r="ON22" s="970"/>
      <c r="OO22" s="970"/>
      <c r="OP22" s="970"/>
      <c r="OQ22" s="970"/>
      <c r="OR22" s="970"/>
      <c r="OS22" s="970"/>
      <c r="OT22" s="970"/>
      <c r="OU22" s="970"/>
      <c r="OV22" s="970"/>
      <c r="OW22" s="970"/>
      <c r="OX22" s="970"/>
      <c r="OY22" s="970"/>
      <c r="OZ22" s="970"/>
      <c r="PA22" s="970"/>
      <c r="PB22" s="970"/>
      <c r="PC22" s="970"/>
      <c r="PD22" s="970"/>
      <c r="PE22" s="970"/>
      <c r="PF22" s="970"/>
      <c r="PG22" s="970"/>
      <c r="PH22" s="970"/>
      <c r="PI22" s="970"/>
      <c r="PJ22" s="970"/>
      <c r="PK22" s="970"/>
      <c r="PL22" s="970"/>
      <c r="PM22" s="970"/>
      <c r="PN22" s="970"/>
      <c r="PO22" s="970"/>
      <c r="PP22" s="970"/>
      <c r="PQ22" s="970"/>
      <c r="PR22" s="970"/>
      <c r="PS22" s="970"/>
      <c r="PT22" s="970"/>
      <c r="PU22" s="970"/>
      <c r="PV22" s="970"/>
      <c r="PW22" s="970"/>
      <c r="PX22" s="970"/>
      <c r="PY22" s="970"/>
      <c r="PZ22" s="970"/>
      <c r="QA22" s="970"/>
      <c r="QB22" s="970"/>
      <c r="QC22" s="970"/>
      <c r="QD22" s="970"/>
      <c r="QE22" s="970"/>
      <c r="QF22" s="970"/>
      <c r="QG22" s="970"/>
      <c r="QH22" s="970"/>
      <c r="QI22" s="970"/>
      <c r="QJ22" s="970"/>
      <c r="QK22" s="970"/>
      <c r="QL22" s="970"/>
      <c r="QM22" s="970"/>
      <c r="QN22" s="970"/>
      <c r="QO22" s="970"/>
      <c r="QP22" s="970"/>
      <c r="QQ22" s="970"/>
      <c r="QR22" s="970"/>
      <c r="QS22" s="970"/>
      <c r="QT22" s="970"/>
      <c r="QU22" s="970"/>
      <c r="QV22" s="970"/>
      <c r="QW22" s="970"/>
      <c r="QX22" s="970"/>
      <c r="QY22" s="970"/>
      <c r="QZ22" s="970"/>
      <c r="RA22" s="970"/>
      <c r="RB22" s="970"/>
      <c r="RC22" s="970"/>
      <c r="RD22" s="970"/>
      <c r="RE22" s="970"/>
      <c r="RF22" s="970"/>
      <c r="RG22" s="970"/>
      <c r="RH22" s="970"/>
      <c r="RI22" s="970"/>
      <c r="RJ22" s="970"/>
      <c r="RK22" s="970"/>
      <c r="RL22" s="970"/>
      <c r="RM22" s="970"/>
      <c r="RN22" s="970"/>
      <c r="RO22" s="970"/>
      <c r="RP22" s="970"/>
      <c r="RQ22" s="970"/>
      <c r="RR22" s="970"/>
      <c r="RS22" s="970"/>
      <c r="RT22" s="970"/>
      <c r="RU22" s="970"/>
      <c r="RV22" s="970"/>
      <c r="RW22" s="970"/>
      <c r="RX22" s="970"/>
      <c r="RY22" s="970"/>
      <c r="RZ22" s="970"/>
      <c r="SA22" s="970"/>
      <c r="SB22" s="970"/>
      <c r="SC22" s="970"/>
      <c r="SD22" s="970"/>
      <c r="SE22" s="970"/>
      <c r="SF22" s="970"/>
      <c r="SG22" s="970"/>
      <c r="SH22" s="970"/>
      <c r="SI22" s="970"/>
      <c r="SJ22" s="970"/>
      <c r="SK22" s="970"/>
      <c r="SL22" s="970"/>
      <c r="SM22" s="970"/>
      <c r="SN22" s="970"/>
      <c r="SO22" s="970"/>
      <c r="SP22" s="970"/>
      <c r="SQ22" s="970"/>
      <c r="SR22" s="970"/>
    </row>
    <row r="23" spans="1:512" ht="15" customHeight="1">
      <c r="A23"/>
      <c r="B23" t="s">
        <v>2268</v>
      </c>
      <c r="C23"/>
      <c r="D23"/>
      <c r="E23" t="s">
        <v>2119</v>
      </c>
      <c r="F23"/>
      <c r="G23" s="970">
        <v>8</v>
      </c>
      <c r="H23" s="970">
        <v>210</v>
      </c>
      <c r="I23" s="970"/>
      <c r="J23" s="970"/>
      <c r="K23" s="970"/>
      <c r="L23" s="970"/>
      <c r="M23" s="970"/>
      <c r="N23" s="970"/>
      <c r="O23" s="970"/>
      <c r="P23" s="970"/>
      <c r="Q23" s="970"/>
      <c r="R23" s="970"/>
      <c r="S23" s="970"/>
      <c r="T23" s="970"/>
      <c r="U23" s="970"/>
      <c r="V23" s="970"/>
      <c r="W23" s="970"/>
      <c r="X23" s="970"/>
      <c r="Y23" s="970"/>
      <c r="Z23" s="970"/>
      <c r="AA23" s="970"/>
      <c r="AB23" s="970"/>
      <c r="AC23" s="970"/>
      <c r="AD23" s="970"/>
      <c r="AE23" s="970"/>
      <c r="AF23" s="970"/>
      <c r="AG23" s="970"/>
      <c r="AH23" s="970"/>
      <c r="AI23" s="970"/>
      <c r="AJ23" s="970"/>
      <c r="AK23" s="970"/>
      <c r="AL23" s="970"/>
      <c r="AM23" s="970"/>
      <c r="AN23" s="970"/>
      <c r="AO23" s="970"/>
      <c r="AP23" s="970"/>
      <c r="AQ23" s="970"/>
      <c r="AR23" s="970"/>
      <c r="AS23" s="970"/>
      <c r="AT23" s="970"/>
      <c r="AU23" s="970"/>
      <c r="AV23" s="970"/>
      <c r="AW23" s="970"/>
      <c r="AX23" s="970"/>
      <c r="AY23" s="970"/>
      <c r="AZ23" s="970"/>
      <c r="BA23" s="970"/>
      <c r="BB23" s="970"/>
      <c r="BC23" s="970"/>
      <c r="BD23" s="970"/>
      <c r="BE23" s="970"/>
      <c r="BF23" s="970"/>
      <c r="BG23" s="970"/>
      <c r="BH23" s="970"/>
      <c r="BI23" s="970"/>
      <c r="BJ23" s="970"/>
      <c r="BK23" s="970"/>
      <c r="BL23" s="970"/>
      <c r="BM23" s="970"/>
      <c r="BN23" s="970"/>
      <c r="BO23" s="970"/>
      <c r="BP23" s="970"/>
      <c r="BQ23" s="970"/>
      <c r="BR23" s="970"/>
      <c r="BS23" s="970"/>
      <c r="BT23" s="970"/>
      <c r="BU23" s="970"/>
      <c r="BV23" s="970"/>
      <c r="BW23" s="970"/>
      <c r="BX23" s="970"/>
      <c r="BY23" s="970"/>
      <c r="BZ23" s="970"/>
      <c r="CA23" s="970"/>
      <c r="CB23" s="970"/>
      <c r="CC23" s="970"/>
      <c r="CD23" s="970"/>
      <c r="CE23" s="970"/>
      <c r="CF23" s="970"/>
      <c r="CG23" s="970"/>
      <c r="CH23" s="970"/>
      <c r="CI23" s="970"/>
      <c r="CJ23" s="970"/>
      <c r="CK23" s="970"/>
      <c r="CL23" s="970"/>
      <c r="CM23" s="970"/>
      <c r="CN23" s="970"/>
      <c r="CO23" s="970"/>
      <c r="CP23" s="970"/>
      <c r="CQ23" s="970"/>
      <c r="CR23" s="970"/>
      <c r="CS23" s="970"/>
      <c r="CT23" s="970"/>
      <c r="CU23" s="970"/>
      <c r="CV23" s="970"/>
      <c r="CW23" s="970"/>
      <c r="CX23" s="970"/>
      <c r="CY23" s="970"/>
      <c r="CZ23" s="970"/>
      <c r="DA23" s="970"/>
      <c r="DB23" s="970"/>
      <c r="DC23" s="970"/>
      <c r="DD23" s="970"/>
      <c r="DE23" s="970"/>
      <c r="DF23" s="970"/>
      <c r="DG23" s="970"/>
      <c r="DH23" s="970"/>
      <c r="DI23" s="970"/>
      <c r="DJ23" s="970"/>
      <c r="DK23" s="970"/>
      <c r="DL23" s="970"/>
      <c r="DM23" s="970"/>
      <c r="DN23" s="970"/>
      <c r="DO23" s="970"/>
      <c r="DP23" s="970"/>
      <c r="DQ23" s="970"/>
      <c r="DR23" s="970"/>
      <c r="DS23" s="970"/>
      <c r="DT23" s="970"/>
      <c r="DU23" s="970"/>
      <c r="DV23" s="970"/>
      <c r="DW23" s="970"/>
      <c r="DX23" s="970"/>
      <c r="DY23" s="970"/>
      <c r="DZ23" s="970"/>
      <c r="EA23" s="970"/>
      <c r="EB23" s="970"/>
      <c r="EC23" s="970"/>
      <c r="ED23" s="970"/>
      <c r="EE23" s="970"/>
      <c r="EF23" s="970"/>
      <c r="EG23" s="970"/>
      <c r="EH23" s="970"/>
      <c r="EI23" s="970"/>
      <c r="EJ23" s="970"/>
      <c r="EK23" s="970"/>
      <c r="EL23" s="970"/>
      <c r="EM23" s="970"/>
      <c r="EN23" s="970"/>
      <c r="EO23" s="970"/>
      <c r="EP23" s="970"/>
      <c r="EQ23" s="970"/>
      <c r="ER23" s="970"/>
      <c r="ES23" s="970"/>
      <c r="ET23" s="970"/>
      <c r="EU23" s="970"/>
      <c r="EV23" s="970"/>
      <c r="EW23" s="970"/>
      <c r="EX23" s="970"/>
      <c r="EY23" s="970"/>
      <c r="EZ23" s="970"/>
      <c r="FA23" s="970"/>
      <c r="FB23" s="970"/>
      <c r="FC23" s="970"/>
      <c r="FD23" s="970"/>
      <c r="FE23" s="970"/>
      <c r="FF23" s="970"/>
      <c r="FG23" s="970"/>
      <c r="FH23" s="970"/>
      <c r="FI23" s="970"/>
      <c r="FJ23" s="970"/>
      <c r="FK23" s="970"/>
      <c r="FL23" s="970"/>
      <c r="FM23" s="970"/>
      <c r="FN23" s="970"/>
      <c r="FO23" s="970"/>
      <c r="FP23" s="970"/>
      <c r="FQ23" s="970"/>
      <c r="FR23" s="970"/>
      <c r="FS23" s="970"/>
      <c r="FT23" s="970"/>
      <c r="FU23" s="970"/>
      <c r="FV23" s="970"/>
      <c r="FW23" s="970"/>
      <c r="FX23" s="970"/>
      <c r="FY23" s="970"/>
      <c r="FZ23" s="970"/>
      <c r="GA23" s="970"/>
      <c r="GB23" s="970"/>
      <c r="GC23" s="970"/>
      <c r="GD23" s="970"/>
      <c r="GE23" s="970"/>
      <c r="GF23" s="970"/>
      <c r="GG23" s="970"/>
      <c r="GH23" s="970"/>
      <c r="GI23" s="970"/>
      <c r="GJ23" s="970"/>
      <c r="GK23" s="970"/>
      <c r="GL23" s="970"/>
      <c r="GM23" s="970"/>
      <c r="GN23" s="970"/>
      <c r="GO23" s="970"/>
      <c r="GP23" s="970"/>
      <c r="GQ23" s="970"/>
      <c r="GR23" s="970"/>
      <c r="GS23" s="970"/>
      <c r="GT23" s="970"/>
      <c r="GU23" s="970"/>
      <c r="GV23" s="970"/>
      <c r="GW23" s="970"/>
      <c r="GX23" s="970"/>
      <c r="GY23" s="970"/>
      <c r="GZ23" s="970"/>
      <c r="HA23" s="970"/>
      <c r="HB23" s="970"/>
      <c r="HC23" s="970"/>
      <c r="HD23" s="970"/>
      <c r="HE23" s="970"/>
      <c r="HF23" s="970"/>
      <c r="HG23" s="970"/>
      <c r="HH23" s="970"/>
      <c r="HI23" s="970"/>
      <c r="HJ23" s="970"/>
      <c r="HK23" s="970"/>
      <c r="HL23" s="970"/>
      <c r="HM23" s="970"/>
      <c r="HN23" s="970"/>
      <c r="HO23" s="970"/>
      <c r="HP23" s="970"/>
      <c r="HQ23" s="970"/>
      <c r="HR23" s="970"/>
      <c r="HS23" s="970"/>
      <c r="HT23" s="970"/>
      <c r="HU23" s="970"/>
      <c r="HV23" s="970"/>
      <c r="HW23" s="970"/>
      <c r="HX23" s="970"/>
      <c r="HY23" s="970"/>
      <c r="HZ23" s="970"/>
      <c r="IA23" s="970"/>
      <c r="IB23" s="970"/>
      <c r="IC23" s="970"/>
      <c r="ID23" s="970"/>
      <c r="IE23" s="970"/>
      <c r="IF23" s="970"/>
      <c r="IG23" s="970"/>
      <c r="IH23" s="970"/>
      <c r="II23" s="970"/>
      <c r="IJ23" s="970"/>
      <c r="IK23" s="970"/>
      <c r="IL23" s="970"/>
      <c r="IM23" s="970"/>
      <c r="IN23" s="970"/>
      <c r="IO23" s="970"/>
      <c r="IP23" s="970"/>
      <c r="IQ23" s="970"/>
      <c r="IR23" s="970"/>
      <c r="IS23" s="970"/>
      <c r="IT23" s="970"/>
      <c r="IU23" s="970"/>
      <c r="IV23" s="970"/>
      <c r="IW23" s="970"/>
      <c r="IX23" s="970"/>
      <c r="IY23" s="970"/>
      <c r="IZ23" s="970"/>
      <c r="JA23" s="970"/>
      <c r="JB23" s="970"/>
      <c r="JC23" s="970"/>
      <c r="JD23" s="970"/>
      <c r="JE23" s="970"/>
      <c r="JF23" s="970"/>
      <c r="JG23" s="970"/>
      <c r="JH23" s="970"/>
      <c r="JI23" s="970"/>
      <c r="JJ23" s="970"/>
      <c r="JK23" s="970"/>
      <c r="JL23" s="970"/>
      <c r="JM23" s="970"/>
      <c r="JN23" s="970"/>
      <c r="JO23" s="970"/>
      <c r="JP23" s="970"/>
      <c r="JQ23" s="970"/>
      <c r="JR23" s="970"/>
      <c r="JS23" s="970"/>
      <c r="JT23" s="970"/>
      <c r="JU23" s="970"/>
      <c r="JV23" s="970"/>
      <c r="JW23" s="970"/>
      <c r="JX23" s="970"/>
      <c r="JY23" s="970"/>
      <c r="JZ23" s="970"/>
      <c r="KA23" s="970"/>
      <c r="KB23" s="970"/>
      <c r="KC23" s="970"/>
      <c r="KD23" s="970"/>
      <c r="KE23" s="970"/>
      <c r="KF23" s="970"/>
      <c r="KG23" s="970"/>
      <c r="KH23" s="970"/>
      <c r="KI23" s="970"/>
      <c r="KJ23" s="970"/>
      <c r="KK23" s="970"/>
      <c r="KL23" s="970"/>
      <c r="KM23" s="970"/>
      <c r="KN23" s="970"/>
      <c r="KO23" s="970"/>
      <c r="KP23" s="970"/>
      <c r="KQ23" s="970"/>
      <c r="KR23" s="970"/>
      <c r="KS23" s="970"/>
      <c r="KT23" s="970"/>
      <c r="KU23" s="970"/>
      <c r="KV23" s="970"/>
      <c r="KW23" s="970"/>
      <c r="KX23" s="970"/>
      <c r="KY23" s="970"/>
      <c r="KZ23" s="970"/>
      <c r="LA23" s="970"/>
      <c r="LB23" s="970"/>
      <c r="LC23" s="970"/>
      <c r="LD23" s="970"/>
      <c r="LE23" s="970"/>
      <c r="LF23" s="970"/>
      <c r="LG23" s="970"/>
      <c r="LH23" s="970"/>
      <c r="LI23" s="970"/>
      <c r="LJ23" s="970"/>
      <c r="LK23" s="970"/>
      <c r="LL23" s="970"/>
      <c r="LM23" s="970"/>
      <c r="LN23" s="970"/>
      <c r="LO23" s="970"/>
      <c r="LP23" s="970"/>
      <c r="LQ23" s="970"/>
      <c r="LR23" s="970"/>
      <c r="LS23" s="970"/>
      <c r="LT23" s="970"/>
      <c r="LU23" s="970"/>
      <c r="LV23" s="970"/>
      <c r="LW23" s="970"/>
      <c r="LX23" s="970"/>
      <c r="LY23" s="970"/>
      <c r="LZ23" s="970"/>
      <c r="MA23" s="970"/>
      <c r="MB23" s="970"/>
      <c r="MC23" s="970"/>
      <c r="MD23" s="970"/>
      <c r="ME23" s="970"/>
      <c r="MF23" s="970"/>
      <c r="MG23" s="970"/>
      <c r="MH23" s="970"/>
      <c r="MI23" s="970"/>
      <c r="MJ23" s="970"/>
      <c r="MK23" s="970"/>
      <c r="ML23" s="970"/>
      <c r="MM23" s="970"/>
      <c r="MN23" s="970"/>
      <c r="MO23" s="970"/>
      <c r="MP23" s="970"/>
      <c r="MQ23" s="970"/>
      <c r="MR23" s="970"/>
      <c r="MS23" s="970"/>
      <c r="MT23" s="970"/>
      <c r="MU23" s="970"/>
      <c r="MV23" s="970"/>
      <c r="MW23" s="970"/>
      <c r="MX23" s="970"/>
      <c r="MY23" s="970"/>
      <c r="MZ23" s="970"/>
      <c r="NA23" s="970"/>
      <c r="NB23" s="970"/>
      <c r="NC23" s="970"/>
      <c r="ND23" s="970"/>
      <c r="NE23" s="970"/>
      <c r="NF23" s="970"/>
      <c r="NG23" s="970"/>
      <c r="NH23" s="970"/>
      <c r="NI23" s="970"/>
      <c r="NJ23" s="970"/>
      <c r="NK23" s="970"/>
      <c r="NL23" s="970"/>
      <c r="NM23" s="970"/>
      <c r="NN23" s="970"/>
      <c r="NO23" s="970"/>
      <c r="NP23" s="970"/>
      <c r="NQ23" s="970"/>
      <c r="NR23" s="970"/>
      <c r="NS23" s="970"/>
      <c r="NT23" s="970"/>
      <c r="NU23" s="970"/>
      <c r="NV23" s="970"/>
      <c r="NW23" s="970"/>
      <c r="NX23" s="970"/>
      <c r="NY23" s="970"/>
      <c r="NZ23" s="970"/>
      <c r="OA23" s="970"/>
      <c r="OB23" s="970"/>
      <c r="OC23" s="970"/>
      <c r="OD23" s="970"/>
      <c r="OE23" s="970"/>
      <c r="OF23" s="970"/>
      <c r="OG23" s="970"/>
      <c r="OH23" s="970"/>
      <c r="OI23" s="970"/>
      <c r="OJ23" s="970"/>
      <c r="OK23" s="970"/>
      <c r="OL23" s="970"/>
      <c r="OM23" s="970"/>
      <c r="ON23" s="970"/>
      <c r="OO23" s="970"/>
      <c r="OP23" s="970"/>
      <c r="OQ23" s="970"/>
      <c r="OR23" s="970"/>
      <c r="OS23" s="970"/>
      <c r="OT23" s="970"/>
      <c r="OU23" s="970"/>
      <c r="OV23" s="970"/>
      <c r="OW23" s="970"/>
      <c r="OX23" s="970"/>
      <c r="OY23" s="970"/>
      <c r="OZ23" s="970"/>
      <c r="PA23" s="970"/>
      <c r="PB23" s="970"/>
      <c r="PC23" s="970"/>
      <c r="PD23" s="970"/>
      <c r="PE23" s="970"/>
      <c r="PF23" s="970"/>
      <c r="PG23" s="970"/>
      <c r="PH23" s="970"/>
      <c r="PI23" s="970"/>
      <c r="PJ23" s="970"/>
      <c r="PK23" s="970"/>
      <c r="PL23" s="970"/>
      <c r="PM23" s="970"/>
      <c r="PN23" s="970"/>
      <c r="PO23" s="970"/>
      <c r="PP23" s="970"/>
      <c r="PQ23" s="970"/>
      <c r="PR23" s="970"/>
      <c r="PS23" s="970"/>
      <c r="PT23" s="970"/>
      <c r="PU23" s="970"/>
      <c r="PV23" s="970"/>
      <c r="PW23" s="970"/>
      <c r="PX23" s="970"/>
      <c r="PY23" s="970"/>
      <c r="PZ23" s="970"/>
      <c r="QA23" s="970"/>
      <c r="QB23" s="970"/>
      <c r="QC23" s="970"/>
      <c r="QD23" s="970"/>
      <c r="QE23" s="970"/>
      <c r="QF23" s="970"/>
      <c r="QG23" s="970"/>
      <c r="QH23" s="970"/>
      <c r="QI23" s="970"/>
      <c r="QJ23" s="970"/>
      <c r="QK23" s="970"/>
      <c r="QL23" s="970"/>
      <c r="QM23" s="970"/>
      <c r="QN23" s="970"/>
      <c r="QO23" s="970"/>
      <c r="QP23" s="970"/>
      <c r="QQ23" s="970"/>
      <c r="QR23" s="970"/>
      <c r="QS23" s="970"/>
      <c r="QT23" s="970"/>
      <c r="QU23" s="970"/>
      <c r="QV23" s="970"/>
      <c r="QW23" s="970"/>
      <c r="QX23" s="970"/>
      <c r="QY23" s="970"/>
      <c r="QZ23" s="970"/>
      <c r="RA23" s="970"/>
      <c r="RB23" s="970"/>
      <c r="RC23" s="970"/>
      <c r="RD23" s="970"/>
      <c r="RE23" s="970"/>
      <c r="RF23" s="970"/>
      <c r="RG23" s="970"/>
      <c r="RH23" s="970"/>
      <c r="RI23" s="970"/>
      <c r="RJ23" s="970"/>
      <c r="RK23" s="970"/>
      <c r="RL23" s="970"/>
      <c r="RM23" s="970"/>
      <c r="RN23" s="970"/>
      <c r="RO23" s="970"/>
      <c r="RP23" s="970"/>
      <c r="RQ23" s="970"/>
      <c r="RR23" s="970"/>
      <c r="RS23" s="970"/>
      <c r="RT23" s="970"/>
      <c r="RU23" s="970"/>
      <c r="RV23" s="970"/>
      <c r="RW23" s="970"/>
      <c r="RX23" s="970"/>
      <c r="RY23" s="970"/>
      <c r="RZ23" s="970"/>
      <c r="SA23" s="970"/>
      <c r="SB23" s="970"/>
      <c r="SC23" s="970"/>
      <c r="SD23" s="970"/>
      <c r="SE23" s="970"/>
      <c r="SF23" s="970"/>
      <c r="SG23" s="970"/>
      <c r="SH23" s="970"/>
      <c r="SI23" s="970"/>
      <c r="SJ23" s="970"/>
      <c r="SK23" s="970"/>
      <c r="SL23" s="970"/>
      <c r="SM23" s="970"/>
      <c r="SN23" s="970"/>
      <c r="SO23" s="970"/>
      <c r="SP23" s="970"/>
      <c r="SQ23" s="970"/>
      <c r="SR23" s="970"/>
    </row>
    <row r="24" spans="1:512" ht="15" customHeight="1">
      <c r="A24"/>
      <c r="B24" t="s">
        <v>2426</v>
      </c>
      <c r="C24"/>
      <c r="D24"/>
      <c r="E24" t="s">
        <v>2119</v>
      </c>
      <c r="F24"/>
      <c r="G24" s="970">
        <v>5</v>
      </c>
      <c r="H24" s="970">
        <v>9</v>
      </c>
      <c r="I24" s="970"/>
      <c r="J24" s="970"/>
      <c r="K24" s="970"/>
      <c r="L24" s="970"/>
      <c r="M24" s="970"/>
      <c r="N24" s="970"/>
      <c r="O24" s="970"/>
      <c r="P24" s="970"/>
      <c r="Q24" s="970"/>
      <c r="R24" s="970"/>
      <c r="S24" s="970"/>
      <c r="T24" s="970"/>
      <c r="U24" s="970"/>
      <c r="V24" s="970"/>
      <c r="W24" s="970"/>
      <c r="X24" s="970"/>
      <c r="Y24" s="970"/>
      <c r="Z24" s="970"/>
      <c r="AA24" s="970"/>
      <c r="AB24" s="970"/>
      <c r="AC24" s="970"/>
      <c r="AD24" s="970"/>
      <c r="AE24" s="970"/>
      <c r="AF24" s="970"/>
      <c r="AG24" s="970"/>
      <c r="AH24" s="970"/>
      <c r="AI24" s="970"/>
      <c r="AJ24" s="970"/>
      <c r="AK24" s="970"/>
      <c r="AL24" s="970"/>
      <c r="AM24" s="970"/>
      <c r="AN24" s="970"/>
      <c r="AO24" s="970"/>
      <c r="AP24" s="970"/>
      <c r="AQ24" s="970"/>
      <c r="AR24" s="970"/>
      <c r="AS24" s="970"/>
      <c r="AT24" s="970"/>
      <c r="AU24" s="970"/>
      <c r="AV24" s="970"/>
      <c r="AW24" s="970"/>
      <c r="AX24" s="970"/>
      <c r="AY24" s="970"/>
      <c r="AZ24" s="970"/>
      <c r="BA24" s="970"/>
      <c r="BB24" s="970"/>
      <c r="BC24" s="970"/>
      <c r="BD24" s="970"/>
      <c r="BE24" s="970"/>
      <c r="BF24" s="970"/>
      <c r="BG24" s="970"/>
      <c r="BH24" s="970"/>
      <c r="BI24" s="970"/>
      <c r="BJ24" s="970"/>
      <c r="BK24" s="970"/>
      <c r="BL24" s="970"/>
      <c r="BM24" s="970"/>
      <c r="BN24" s="970"/>
      <c r="BO24" s="970"/>
      <c r="BP24" s="970"/>
      <c r="BQ24" s="970"/>
      <c r="BR24" s="970"/>
      <c r="BS24" s="970"/>
      <c r="BT24" s="970"/>
      <c r="BU24" s="970"/>
      <c r="BV24" s="970"/>
      <c r="BW24" s="970"/>
      <c r="BX24" s="970"/>
      <c r="BY24" s="970"/>
      <c r="BZ24" s="970"/>
      <c r="CA24" s="970"/>
      <c r="CB24" s="970"/>
      <c r="CC24" s="970"/>
      <c r="CD24" s="970"/>
      <c r="CE24" s="970"/>
      <c r="CF24" s="970"/>
      <c r="CG24" s="970"/>
      <c r="CH24" s="970"/>
      <c r="CI24" s="970"/>
      <c r="CJ24" s="970"/>
      <c r="CK24" s="970"/>
      <c r="CL24" s="970"/>
      <c r="CM24" s="970"/>
      <c r="CN24" s="970"/>
      <c r="CO24" s="970"/>
      <c r="CP24" s="970"/>
      <c r="CQ24" s="970"/>
      <c r="CR24" s="970"/>
      <c r="CS24" s="970"/>
      <c r="CT24" s="970"/>
      <c r="CU24" s="970"/>
      <c r="CV24" s="970"/>
      <c r="CW24" s="970"/>
      <c r="CX24" s="970"/>
      <c r="CY24" s="970"/>
      <c r="CZ24" s="970"/>
      <c r="DA24" s="970"/>
      <c r="DB24" s="970"/>
      <c r="DC24" s="970"/>
      <c r="DD24" s="970"/>
      <c r="DE24" s="970"/>
      <c r="DF24" s="970"/>
      <c r="DG24" s="970"/>
      <c r="DH24" s="970"/>
      <c r="DI24" s="970"/>
      <c r="DJ24" s="970"/>
      <c r="DK24" s="970"/>
      <c r="DL24" s="970"/>
      <c r="DM24" s="970"/>
      <c r="DN24" s="970"/>
      <c r="DO24" s="970"/>
      <c r="DP24" s="970"/>
      <c r="DQ24" s="970"/>
      <c r="DR24" s="970"/>
      <c r="DS24" s="970"/>
      <c r="DT24" s="970"/>
      <c r="DU24" s="970"/>
      <c r="DV24" s="970"/>
      <c r="DW24" s="970"/>
      <c r="DX24" s="970"/>
      <c r="DY24" s="970"/>
      <c r="DZ24" s="970"/>
      <c r="EA24" s="970"/>
      <c r="EB24" s="970"/>
      <c r="EC24" s="970"/>
      <c r="ED24" s="970"/>
      <c r="EE24" s="970"/>
      <c r="EF24" s="970"/>
      <c r="EG24" s="970"/>
      <c r="EH24" s="970"/>
      <c r="EI24" s="970"/>
      <c r="EJ24" s="970"/>
      <c r="EK24" s="970"/>
      <c r="EL24" s="970"/>
      <c r="EM24" s="970"/>
      <c r="EN24" s="970"/>
      <c r="EO24" s="970"/>
      <c r="EP24" s="970"/>
      <c r="EQ24" s="970"/>
      <c r="ER24" s="970"/>
      <c r="ES24" s="970"/>
      <c r="ET24" s="970"/>
      <c r="EU24" s="970"/>
      <c r="EV24" s="970"/>
      <c r="EW24" s="970"/>
      <c r="EX24" s="970"/>
      <c r="EY24" s="970"/>
      <c r="EZ24" s="970"/>
      <c r="FA24" s="970"/>
      <c r="FB24" s="970"/>
      <c r="FC24" s="970"/>
      <c r="FD24" s="970"/>
      <c r="FE24" s="970"/>
      <c r="FF24" s="970"/>
      <c r="FG24" s="970"/>
      <c r="FH24" s="970"/>
      <c r="FI24" s="970"/>
      <c r="FJ24" s="970"/>
      <c r="FK24" s="970"/>
      <c r="FL24" s="970"/>
      <c r="FM24" s="970"/>
      <c r="FN24" s="970"/>
      <c r="FO24" s="970"/>
      <c r="FP24" s="970"/>
      <c r="FQ24" s="970"/>
      <c r="FR24" s="970"/>
      <c r="FS24" s="970"/>
      <c r="FT24" s="970"/>
      <c r="FU24" s="970"/>
      <c r="FV24" s="970"/>
      <c r="FW24" s="970"/>
      <c r="FX24" s="970"/>
      <c r="FY24" s="970"/>
      <c r="FZ24" s="970"/>
      <c r="GA24" s="970"/>
      <c r="GB24" s="970"/>
      <c r="GC24" s="970"/>
      <c r="GD24" s="970"/>
      <c r="GE24" s="970"/>
      <c r="GF24" s="970"/>
      <c r="GG24" s="970"/>
      <c r="GH24" s="970"/>
      <c r="GI24" s="970"/>
      <c r="GJ24" s="970"/>
      <c r="GK24" s="970"/>
      <c r="GL24" s="970"/>
      <c r="GM24" s="970"/>
      <c r="GN24" s="970"/>
      <c r="GO24" s="970"/>
      <c r="GP24" s="970"/>
      <c r="GQ24" s="970"/>
      <c r="GR24" s="970"/>
      <c r="GS24" s="970"/>
      <c r="GT24" s="970"/>
      <c r="GU24" s="970"/>
      <c r="GV24" s="970"/>
      <c r="GW24" s="970"/>
      <c r="GX24" s="970"/>
      <c r="GY24" s="970"/>
      <c r="GZ24" s="970"/>
      <c r="HA24" s="970"/>
      <c r="HB24" s="970"/>
      <c r="HC24" s="970"/>
      <c r="HD24" s="970"/>
      <c r="HE24" s="970"/>
      <c r="HF24" s="970"/>
      <c r="HG24" s="970"/>
      <c r="HH24" s="970"/>
      <c r="HI24" s="970"/>
      <c r="HJ24" s="970"/>
      <c r="HK24" s="970"/>
      <c r="HL24" s="970"/>
      <c r="HM24" s="970"/>
      <c r="HN24" s="970"/>
      <c r="HO24" s="970"/>
      <c r="HP24" s="970"/>
      <c r="HQ24" s="970"/>
      <c r="HR24" s="970"/>
      <c r="HS24" s="970"/>
      <c r="HT24" s="970"/>
      <c r="HU24" s="970"/>
      <c r="HV24" s="970"/>
      <c r="HW24" s="970"/>
      <c r="HX24" s="970"/>
      <c r="HY24" s="970"/>
      <c r="HZ24" s="970"/>
      <c r="IA24" s="970"/>
      <c r="IB24" s="970"/>
      <c r="IC24" s="970"/>
      <c r="ID24" s="970"/>
      <c r="IE24" s="970"/>
      <c r="IF24" s="970"/>
      <c r="IG24" s="970"/>
      <c r="IH24" s="970"/>
      <c r="II24" s="970"/>
      <c r="IJ24" s="970"/>
      <c r="IK24" s="970"/>
      <c r="IL24" s="970"/>
      <c r="IM24" s="970"/>
      <c r="IN24" s="970"/>
      <c r="IO24" s="970"/>
      <c r="IP24" s="970"/>
      <c r="IQ24" s="970"/>
      <c r="IR24" s="970"/>
      <c r="IS24" s="970"/>
      <c r="IT24" s="970"/>
      <c r="IU24" s="970"/>
      <c r="IV24" s="970"/>
      <c r="IW24" s="970"/>
      <c r="IX24" s="970"/>
      <c r="IY24" s="970"/>
      <c r="IZ24" s="970"/>
      <c r="JA24" s="970"/>
      <c r="JB24" s="970"/>
      <c r="JC24" s="970"/>
      <c r="JD24" s="970"/>
      <c r="JE24" s="970"/>
      <c r="JF24" s="970"/>
      <c r="JG24" s="970"/>
      <c r="JH24" s="970"/>
      <c r="JI24" s="970"/>
      <c r="JJ24" s="970"/>
      <c r="JK24" s="970"/>
      <c r="JL24" s="970"/>
      <c r="JM24" s="970"/>
      <c r="JN24" s="970"/>
      <c r="JO24" s="970"/>
      <c r="JP24" s="970"/>
      <c r="JQ24" s="970"/>
      <c r="JR24" s="970"/>
      <c r="JS24" s="970"/>
      <c r="JT24" s="970"/>
      <c r="JU24" s="970"/>
      <c r="JV24" s="970"/>
      <c r="JW24" s="970"/>
      <c r="JX24" s="970"/>
      <c r="JY24" s="970"/>
      <c r="JZ24" s="970"/>
      <c r="KA24" s="970"/>
      <c r="KB24" s="970"/>
      <c r="KC24" s="970"/>
      <c r="KD24" s="970"/>
      <c r="KE24" s="970"/>
      <c r="KF24" s="970"/>
      <c r="KG24" s="970"/>
      <c r="KH24" s="970"/>
      <c r="KI24" s="970"/>
      <c r="KJ24" s="970"/>
      <c r="KK24" s="970"/>
      <c r="KL24" s="970"/>
      <c r="KM24" s="970"/>
      <c r="KN24" s="970"/>
      <c r="KO24" s="970"/>
      <c r="KP24" s="970"/>
      <c r="KQ24" s="970"/>
      <c r="KR24" s="970"/>
      <c r="KS24" s="970"/>
      <c r="KT24" s="970"/>
      <c r="KU24" s="970"/>
      <c r="KV24" s="970"/>
      <c r="KW24" s="970"/>
      <c r="KX24" s="970"/>
      <c r="KY24" s="970"/>
      <c r="KZ24" s="970"/>
      <c r="LA24" s="970"/>
      <c r="LB24" s="970"/>
      <c r="LC24" s="970"/>
      <c r="LD24" s="970"/>
      <c r="LE24" s="970"/>
      <c r="LF24" s="970"/>
      <c r="LG24" s="970"/>
      <c r="LH24" s="970"/>
      <c r="LI24" s="970"/>
      <c r="LJ24" s="970"/>
      <c r="LK24" s="970"/>
      <c r="LL24" s="970"/>
      <c r="LM24" s="970"/>
      <c r="LN24" s="970"/>
      <c r="LO24" s="970"/>
      <c r="LP24" s="970"/>
      <c r="LQ24" s="970"/>
      <c r="LR24" s="970"/>
      <c r="LS24" s="970"/>
      <c r="LT24" s="970"/>
      <c r="LU24" s="970"/>
      <c r="LV24" s="970"/>
      <c r="LW24" s="970"/>
      <c r="LX24" s="970"/>
      <c r="LY24" s="970"/>
      <c r="LZ24" s="970"/>
      <c r="MA24" s="970"/>
      <c r="MB24" s="970"/>
      <c r="MC24" s="970"/>
      <c r="MD24" s="970"/>
      <c r="ME24" s="970"/>
      <c r="MF24" s="970"/>
      <c r="MG24" s="970"/>
      <c r="MH24" s="970"/>
      <c r="MI24" s="970"/>
      <c r="MJ24" s="970"/>
      <c r="MK24" s="970"/>
      <c r="ML24" s="970"/>
      <c r="MM24" s="970"/>
      <c r="MN24" s="970"/>
      <c r="MO24" s="970"/>
      <c r="MP24" s="970"/>
      <c r="MQ24" s="970"/>
      <c r="MR24" s="970"/>
      <c r="MS24" s="970"/>
      <c r="MT24" s="970"/>
      <c r="MU24" s="970"/>
      <c r="MV24" s="970"/>
      <c r="MW24" s="970"/>
      <c r="MX24" s="970"/>
      <c r="MY24" s="970"/>
      <c r="MZ24" s="970"/>
      <c r="NA24" s="970"/>
      <c r="NB24" s="970"/>
      <c r="NC24" s="970"/>
      <c r="ND24" s="970"/>
      <c r="NE24" s="970"/>
      <c r="NF24" s="970"/>
      <c r="NG24" s="970"/>
      <c r="NH24" s="970"/>
      <c r="NI24" s="970"/>
      <c r="NJ24" s="970"/>
      <c r="NK24" s="970"/>
      <c r="NL24" s="970"/>
      <c r="NM24" s="970"/>
      <c r="NN24" s="970"/>
      <c r="NO24" s="970"/>
      <c r="NP24" s="970"/>
      <c r="NQ24" s="970"/>
      <c r="NR24" s="970"/>
      <c r="NS24" s="970"/>
      <c r="NT24" s="970"/>
      <c r="NU24" s="970"/>
      <c r="NV24" s="970"/>
      <c r="NW24" s="970"/>
      <c r="NX24" s="970"/>
      <c r="NY24" s="970"/>
      <c r="NZ24" s="970"/>
      <c r="OA24" s="970"/>
      <c r="OB24" s="970"/>
      <c r="OC24" s="970"/>
      <c r="OD24" s="970"/>
      <c r="OE24" s="970"/>
      <c r="OF24" s="970"/>
      <c r="OG24" s="970"/>
      <c r="OH24" s="970"/>
      <c r="OI24" s="970"/>
      <c r="OJ24" s="970"/>
      <c r="OK24" s="970"/>
      <c r="OL24" s="970"/>
      <c r="OM24" s="970"/>
      <c r="ON24" s="970"/>
      <c r="OO24" s="970"/>
      <c r="OP24" s="970"/>
      <c r="OQ24" s="970"/>
      <c r="OR24" s="970"/>
      <c r="OS24" s="970"/>
      <c r="OT24" s="970"/>
      <c r="OU24" s="970"/>
      <c r="OV24" s="970"/>
      <c r="OW24" s="970"/>
      <c r="OX24" s="970"/>
      <c r="OY24" s="970"/>
      <c r="OZ24" s="970"/>
      <c r="PA24" s="970"/>
      <c r="PB24" s="970"/>
      <c r="PC24" s="970"/>
      <c r="PD24" s="970"/>
      <c r="PE24" s="970"/>
      <c r="PF24" s="970"/>
      <c r="PG24" s="970"/>
      <c r="PH24" s="970"/>
      <c r="PI24" s="970"/>
      <c r="PJ24" s="970"/>
      <c r="PK24" s="970"/>
      <c r="PL24" s="970"/>
      <c r="PM24" s="970"/>
      <c r="PN24" s="970"/>
      <c r="PO24" s="970"/>
      <c r="PP24" s="970"/>
      <c r="PQ24" s="970"/>
      <c r="PR24" s="970"/>
      <c r="PS24" s="970"/>
      <c r="PT24" s="970"/>
      <c r="PU24" s="970"/>
      <c r="PV24" s="970"/>
      <c r="PW24" s="970"/>
      <c r="PX24" s="970"/>
      <c r="PY24" s="970"/>
      <c r="PZ24" s="970"/>
      <c r="QA24" s="970"/>
      <c r="QB24" s="970"/>
      <c r="QC24" s="970"/>
      <c r="QD24" s="970"/>
      <c r="QE24" s="970"/>
      <c r="QF24" s="970"/>
      <c r="QG24" s="970"/>
      <c r="QH24" s="970"/>
      <c r="QI24" s="970"/>
      <c r="QJ24" s="970"/>
      <c r="QK24" s="970"/>
      <c r="QL24" s="970"/>
      <c r="QM24" s="970"/>
      <c r="QN24" s="970"/>
      <c r="QO24" s="970"/>
      <c r="QP24" s="970"/>
      <c r="QQ24" s="970"/>
      <c r="QR24" s="970"/>
      <c r="QS24" s="970"/>
      <c r="QT24" s="970"/>
      <c r="QU24" s="970"/>
      <c r="QV24" s="970"/>
      <c r="QW24" s="970"/>
      <c r="QX24" s="970"/>
      <c r="QY24" s="970"/>
      <c r="QZ24" s="970"/>
      <c r="RA24" s="970"/>
      <c r="RB24" s="970"/>
      <c r="RC24" s="970"/>
      <c r="RD24" s="970"/>
      <c r="RE24" s="970"/>
      <c r="RF24" s="970"/>
      <c r="RG24" s="970"/>
      <c r="RH24" s="970"/>
      <c r="RI24" s="970"/>
      <c r="RJ24" s="970"/>
      <c r="RK24" s="970"/>
      <c r="RL24" s="970"/>
      <c r="RM24" s="970"/>
      <c r="RN24" s="970"/>
      <c r="RO24" s="970"/>
      <c r="RP24" s="970"/>
      <c r="RQ24" s="970"/>
      <c r="RR24" s="970"/>
      <c r="RS24" s="970"/>
      <c r="RT24" s="970"/>
      <c r="RU24" s="970"/>
      <c r="RV24" s="970"/>
      <c r="RW24" s="970"/>
      <c r="RX24" s="970"/>
      <c r="RY24" s="970"/>
      <c r="RZ24" s="970"/>
      <c r="SA24" s="970"/>
      <c r="SB24" s="970"/>
      <c r="SC24" s="970"/>
      <c r="SD24" s="970"/>
      <c r="SE24" s="970"/>
      <c r="SF24" s="970"/>
      <c r="SG24" s="970"/>
      <c r="SH24" s="970"/>
      <c r="SI24" s="970"/>
      <c r="SJ24" s="970"/>
      <c r="SK24" s="970"/>
      <c r="SL24" s="970"/>
      <c r="SM24" s="970"/>
      <c r="SN24" s="970"/>
      <c r="SO24" s="970"/>
      <c r="SP24" s="970"/>
      <c r="SQ24" s="970"/>
      <c r="SR24" s="970"/>
    </row>
    <row r="25" spans="1:512" ht="15" customHeight="1">
      <c r="A25"/>
      <c r="B25" t="s">
        <v>2427</v>
      </c>
      <c r="C25"/>
      <c r="D25"/>
      <c r="E25" t="s">
        <v>241</v>
      </c>
      <c r="F25"/>
      <c r="G25" s="970">
        <v>2.7749999999999999</v>
      </c>
      <c r="H25" s="970">
        <v>9.625</v>
      </c>
      <c r="I25" s="970"/>
      <c r="J25" s="970"/>
      <c r="K25" s="970"/>
      <c r="L25" s="970"/>
      <c r="M25" s="970"/>
      <c r="N25" s="970"/>
      <c r="O25" s="970"/>
      <c r="P25" s="970"/>
      <c r="Q25" s="970"/>
      <c r="R25" s="970"/>
      <c r="S25" s="970"/>
      <c r="T25" s="970"/>
      <c r="U25" s="970"/>
      <c r="V25" s="970"/>
      <c r="W25" s="970"/>
      <c r="X25" s="970"/>
      <c r="Y25" s="970"/>
      <c r="Z25" s="970"/>
      <c r="AA25" s="970"/>
      <c r="AB25" s="970"/>
      <c r="AC25" s="970"/>
      <c r="AD25" s="970"/>
      <c r="AE25" s="970"/>
      <c r="AF25" s="970"/>
      <c r="AG25" s="970"/>
      <c r="AH25" s="970"/>
      <c r="AI25" s="970"/>
      <c r="AJ25" s="970"/>
      <c r="AK25" s="970"/>
      <c r="AL25" s="970"/>
      <c r="AM25" s="970"/>
      <c r="AN25" s="970"/>
      <c r="AO25" s="970"/>
      <c r="AP25" s="970"/>
      <c r="AQ25" s="970"/>
      <c r="AR25" s="970"/>
      <c r="AS25" s="970"/>
      <c r="AT25" s="970"/>
      <c r="AU25" s="970"/>
      <c r="AV25" s="970"/>
      <c r="AW25" s="970"/>
      <c r="AX25" s="970"/>
      <c r="AY25" s="970"/>
      <c r="AZ25" s="970"/>
      <c r="BA25" s="970"/>
      <c r="BB25" s="970"/>
      <c r="BC25" s="970"/>
      <c r="BD25" s="970"/>
      <c r="BE25" s="970"/>
      <c r="BF25" s="970"/>
      <c r="BG25" s="970"/>
      <c r="BH25" s="970"/>
      <c r="BI25" s="970"/>
      <c r="BJ25" s="970"/>
      <c r="BK25" s="970"/>
      <c r="BL25" s="970"/>
      <c r="BM25" s="970"/>
      <c r="BN25" s="970"/>
      <c r="BO25" s="970"/>
      <c r="BP25" s="970"/>
      <c r="BQ25" s="970"/>
      <c r="BR25" s="970"/>
      <c r="BS25" s="970"/>
      <c r="BT25" s="970"/>
      <c r="BU25" s="970"/>
      <c r="BV25" s="970"/>
      <c r="BW25" s="970"/>
      <c r="BX25" s="970"/>
      <c r="BY25" s="970"/>
      <c r="BZ25" s="970"/>
      <c r="CA25" s="970"/>
      <c r="CB25" s="970"/>
      <c r="CC25" s="970"/>
      <c r="CD25" s="970"/>
      <c r="CE25" s="970"/>
      <c r="CF25" s="970"/>
      <c r="CG25" s="970"/>
      <c r="CH25" s="970"/>
      <c r="CI25" s="970"/>
      <c r="CJ25" s="970"/>
      <c r="CK25" s="970"/>
      <c r="CL25" s="970"/>
      <c r="CM25" s="970"/>
      <c r="CN25" s="970"/>
      <c r="CO25" s="970"/>
      <c r="CP25" s="970"/>
      <c r="CQ25" s="970"/>
      <c r="CR25" s="970"/>
      <c r="CS25" s="970"/>
      <c r="CT25" s="970"/>
      <c r="CU25" s="970"/>
      <c r="CV25" s="970"/>
      <c r="CW25" s="970"/>
      <c r="CX25" s="970"/>
      <c r="CY25" s="970"/>
      <c r="CZ25" s="970"/>
      <c r="DA25" s="970"/>
      <c r="DB25" s="970"/>
      <c r="DC25" s="970"/>
      <c r="DD25" s="970"/>
      <c r="DE25" s="970"/>
      <c r="DF25" s="970"/>
      <c r="DG25" s="970"/>
      <c r="DH25" s="970"/>
      <c r="DI25" s="970"/>
      <c r="DJ25" s="970"/>
      <c r="DK25" s="970"/>
      <c r="DL25" s="970"/>
      <c r="DM25" s="970"/>
      <c r="DN25" s="970"/>
      <c r="DO25" s="970"/>
      <c r="DP25" s="970"/>
      <c r="DQ25" s="970"/>
      <c r="DR25" s="970"/>
      <c r="DS25" s="970"/>
      <c r="DT25" s="970"/>
      <c r="DU25" s="970"/>
      <c r="DV25" s="970"/>
      <c r="DW25" s="970"/>
      <c r="DX25" s="970"/>
      <c r="DY25" s="970"/>
      <c r="DZ25" s="970"/>
      <c r="EA25" s="970"/>
      <c r="EB25" s="970"/>
      <c r="EC25" s="970"/>
      <c r="ED25" s="970"/>
      <c r="EE25" s="970"/>
      <c r="EF25" s="970"/>
      <c r="EG25" s="970"/>
      <c r="EH25" s="970"/>
      <c r="EI25" s="970"/>
      <c r="EJ25" s="970"/>
      <c r="EK25" s="970"/>
      <c r="EL25" s="970"/>
      <c r="EM25" s="970"/>
      <c r="EN25" s="970"/>
      <c r="EO25" s="970"/>
      <c r="EP25" s="970"/>
      <c r="EQ25" s="970"/>
      <c r="ER25" s="970"/>
      <c r="ES25" s="970"/>
      <c r="ET25" s="970"/>
      <c r="EU25" s="970"/>
      <c r="EV25" s="970"/>
      <c r="EW25" s="970"/>
      <c r="EX25" s="970"/>
      <c r="EY25" s="970"/>
      <c r="EZ25" s="970"/>
      <c r="FA25" s="970"/>
      <c r="FB25" s="970"/>
      <c r="FC25" s="970"/>
      <c r="FD25" s="970"/>
      <c r="FE25" s="970"/>
      <c r="FF25" s="970"/>
      <c r="FG25" s="970"/>
      <c r="FH25" s="970"/>
      <c r="FI25" s="970"/>
      <c r="FJ25" s="970"/>
      <c r="FK25" s="970"/>
      <c r="FL25" s="970"/>
      <c r="FM25" s="970"/>
      <c r="FN25" s="970"/>
      <c r="FO25" s="970"/>
      <c r="FP25" s="970"/>
      <c r="FQ25" s="970"/>
      <c r="FR25" s="970"/>
      <c r="FS25" s="970"/>
      <c r="FT25" s="970"/>
      <c r="FU25" s="970"/>
      <c r="FV25" s="970"/>
      <c r="FW25" s="970"/>
      <c r="FX25" s="970"/>
      <c r="FY25" s="970"/>
      <c r="FZ25" s="970"/>
      <c r="GA25" s="970"/>
      <c r="GB25" s="970"/>
      <c r="GC25" s="970"/>
      <c r="GD25" s="970"/>
      <c r="GE25" s="970"/>
      <c r="GF25" s="970"/>
      <c r="GG25" s="970"/>
      <c r="GH25" s="970"/>
      <c r="GI25" s="970"/>
      <c r="GJ25" s="970"/>
      <c r="GK25" s="970"/>
      <c r="GL25" s="970"/>
      <c r="GM25" s="970"/>
      <c r="GN25" s="970"/>
      <c r="GO25" s="970"/>
      <c r="GP25" s="970"/>
      <c r="GQ25" s="970"/>
      <c r="GR25" s="970"/>
      <c r="GS25" s="970"/>
      <c r="GT25" s="970"/>
      <c r="GU25" s="970"/>
      <c r="GV25" s="970"/>
      <c r="GW25" s="970"/>
      <c r="GX25" s="970"/>
      <c r="GY25" s="970"/>
      <c r="GZ25" s="970"/>
      <c r="HA25" s="970"/>
      <c r="HB25" s="970"/>
      <c r="HC25" s="970"/>
      <c r="HD25" s="970"/>
      <c r="HE25" s="970"/>
      <c r="HF25" s="970"/>
      <c r="HG25" s="970"/>
      <c r="HH25" s="970"/>
      <c r="HI25" s="970"/>
      <c r="HJ25" s="970"/>
      <c r="HK25" s="970"/>
      <c r="HL25" s="970"/>
      <c r="HM25" s="970"/>
      <c r="HN25" s="970"/>
      <c r="HO25" s="970"/>
      <c r="HP25" s="970"/>
      <c r="HQ25" s="970"/>
      <c r="HR25" s="970"/>
      <c r="HS25" s="970"/>
      <c r="HT25" s="970"/>
      <c r="HU25" s="970"/>
      <c r="HV25" s="970"/>
      <c r="HW25" s="970"/>
      <c r="HX25" s="970"/>
      <c r="HY25" s="970"/>
      <c r="HZ25" s="970"/>
      <c r="IA25" s="970"/>
      <c r="IB25" s="970"/>
      <c r="IC25" s="970"/>
      <c r="ID25" s="970"/>
      <c r="IE25" s="970"/>
      <c r="IF25" s="970"/>
      <c r="IG25" s="970"/>
      <c r="IH25" s="970"/>
      <c r="II25" s="970"/>
      <c r="IJ25" s="970"/>
      <c r="IK25" s="970"/>
      <c r="IL25" s="970"/>
      <c r="IM25" s="970"/>
      <c r="IN25" s="970"/>
      <c r="IO25" s="970"/>
      <c r="IP25" s="970"/>
      <c r="IQ25" s="970"/>
      <c r="IR25" s="970"/>
      <c r="IS25" s="970"/>
      <c r="IT25" s="970"/>
      <c r="IU25" s="970"/>
      <c r="IV25" s="970"/>
      <c r="IW25" s="970"/>
      <c r="IX25" s="970"/>
      <c r="IY25" s="970"/>
      <c r="IZ25" s="970"/>
      <c r="JA25" s="970"/>
      <c r="JB25" s="970"/>
      <c r="JC25" s="970"/>
      <c r="JD25" s="970"/>
      <c r="JE25" s="970"/>
      <c r="JF25" s="970"/>
      <c r="JG25" s="970"/>
      <c r="JH25" s="970"/>
      <c r="JI25" s="970"/>
      <c r="JJ25" s="970"/>
      <c r="JK25" s="970"/>
      <c r="JL25" s="970"/>
      <c r="JM25" s="970"/>
      <c r="JN25" s="970"/>
      <c r="JO25" s="970"/>
      <c r="JP25" s="970"/>
      <c r="JQ25" s="970"/>
      <c r="JR25" s="970"/>
      <c r="JS25" s="970"/>
      <c r="JT25" s="970"/>
      <c r="JU25" s="970"/>
      <c r="JV25" s="970"/>
      <c r="JW25" s="970"/>
      <c r="JX25" s="970"/>
      <c r="JY25" s="970"/>
      <c r="JZ25" s="970"/>
      <c r="KA25" s="970"/>
      <c r="KB25" s="970"/>
      <c r="KC25" s="970"/>
      <c r="KD25" s="970"/>
      <c r="KE25" s="970"/>
      <c r="KF25" s="970"/>
      <c r="KG25" s="970"/>
      <c r="KH25" s="970"/>
      <c r="KI25" s="970"/>
      <c r="KJ25" s="970"/>
      <c r="KK25" s="970"/>
      <c r="KL25" s="970"/>
      <c r="KM25" s="970"/>
      <c r="KN25" s="970"/>
      <c r="KO25" s="970"/>
      <c r="KP25" s="970"/>
      <c r="KQ25" s="970"/>
      <c r="KR25" s="970"/>
      <c r="KS25" s="970"/>
      <c r="KT25" s="970"/>
      <c r="KU25" s="970"/>
      <c r="KV25" s="970"/>
      <c r="KW25" s="970"/>
      <c r="KX25" s="970"/>
      <c r="KY25" s="970"/>
      <c r="KZ25" s="970"/>
      <c r="LA25" s="970"/>
      <c r="LB25" s="970"/>
      <c r="LC25" s="970"/>
      <c r="LD25" s="970"/>
      <c r="LE25" s="970"/>
      <c r="LF25" s="970"/>
      <c r="LG25" s="970"/>
      <c r="LH25" s="970"/>
      <c r="LI25" s="970"/>
      <c r="LJ25" s="970"/>
      <c r="LK25" s="970"/>
      <c r="LL25" s="970"/>
      <c r="LM25" s="970"/>
      <c r="LN25" s="970"/>
      <c r="LO25" s="970"/>
      <c r="LP25" s="970"/>
      <c r="LQ25" s="970"/>
      <c r="LR25" s="970"/>
      <c r="LS25" s="970"/>
      <c r="LT25" s="970"/>
      <c r="LU25" s="970"/>
      <c r="LV25" s="970"/>
      <c r="LW25" s="970"/>
      <c r="LX25" s="970"/>
      <c r="LY25" s="970"/>
      <c r="LZ25" s="970"/>
      <c r="MA25" s="970"/>
      <c r="MB25" s="970"/>
      <c r="MC25" s="970"/>
      <c r="MD25" s="970"/>
      <c r="ME25" s="970"/>
      <c r="MF25" s="970"/>
      <c r="MG25" s="970"/>
      <c r="MH25" s="970"/>
      <c r="MI25" s="970"/>
      <c r="MJ25" s="970"/>
      <c r="MK25" s="970"/>
      <c r="ML25" s="970"/>
      <c r="MM25" s="970"/>
      <c r="MN25" s="970"/>
      <c r="MO25" s="970"/>
      <c r="MP25" s="970"/>
      <c r="MQ25" s="970"/>
      <c r="MR25" s="970"/>
      <c r="MS25" s="970"/>
      <c r="MT25" s="970"/>
      <c r="MU25" s="970"/>
      <c r="MV25" s="970"/>
      <c r="MW25" s="970"/>
      <c r="MX25" s="970"/>
      <c r="MY25" s="970"/>
      <c r="MZ25" s="970"/>
      <c r="NA25" s="970"/>
      <c r="NB25" s="970"/>
      <c r="NC25" s="970"/>
      <c r="ND25" s="970"/>
      <c r="NE25" s="970"/>
      <c r="NF25" s="970"/>
      <c r="NG25" s="970"/>
      <c r="NH25" s="970"/>
      <c r="NI25" s="970"/>
      <c r="NJ25" s="970"/>
      <c r="NK25" s="970"/>
      <c r="NL25" s="970"/>
      <c r="NM25" s="970"/>
      <c r="NN25" s="970"/>
      <c r="NO25" s="970"/>
      <c r="NP25" s="970"/>
      <c r="NQ25" s="970"/>
      <c r="NR25" s="970"/>
      <c r="NS25" s="970"/>
      <c r="NT25" s="970"/>
      <c r="NU25" s="970"/>
      <c r="NV25" s="970"/>
      <c r="NW25" s="970"/>
      <c r="NX25" s="970"/>
      <c r="NY25" s="970"/>
      <c r="NZ25" s="970"/>
      <c r="OA25" s="970"/>
      <c r="OB25" s="970"/>
      <c r="OC25" s="970"/>
      <c r="OD25" s="970"/>
      <c r="OE25" s="970"/>
      <c r="OF25" s="970"/>
      <c r="OG25" s="970"/>
      <c r="OH25" s="970"/>
      <c r="OI25" s="970"/>
      <c r="OJ25" s="970"/>
      <c r="OK25" s="970"/>
      <c r="OL25" s="970"/>
      <c r="OM25" s="970"/>
      <c r="ON25" s="970"/>
      <c r="OO25" s="970"/>
      <c r="OP25" s="970"/>
      <c r="OQ25" s="970"/>
      <c r="OR25" s="970"/>
      <c r="OS25" s="970"/>
      <c r="OT25" s="970"/>
      <c r="OU25" s="970"/>
      <c r="OV25" s="970"/>
      <c r="OW25" s="970"/>
      <c r="OX25" s="970"/>
      <c r="OY25" s="970"/>
      <c r="OZ25" s="970"/>
      <c r="PA25" s="970"/>
      <c r="PB25" s="970"/>
      <c r="PC25" s="970"/>
      <c r="PD25" s="970"/>
      <c r="PE25" s="970"/>
      <c r="PF25" s="970"/>
      <c r="PG25" s="970"/>
      <c r="PH25" s="970"/>
      <c r="PI25" s="970"/>
      <c r="PJ25" s="970"/>
      <c r="PK25" s="970"/>
      <c r="PL25" s="970"/>
      <c r="PM25" s="970"/>
      <c r="PN25" s="970"/>
      <c r="PO25" s="970"/>
      <c r="PP25" s="970"/>
      <c r="PQ25" s="970"/>
      <c r="PR25" s="970"/>
      <c r="PS25" s="970"/>
      <c r="PT25" s="970"/>
      <c r="PU25" s="970"/>
      <c r="PV25" s="970"/>
      <c r="PW25" s="970"/>
      <c r="PX25" s="970"/>
      <c r="PY25" s="970"/>
      <c r="PZ25" s="970"/>
      <c r="QA25" s="970"/>
      <c r="QB25" s="970"/>
      <c r="QC25" s="970"/>
      <c r="QD25" s="970"/>
      <c r="QE25" s="970"/>
      <c r="QF25" s="970"/>
      <c r="QG25" s="970"/>
      <c r="QH25" s="970"/>
      <c r="QI25" s="970"/>
      <c r="QJ25" s="970"/>
      <c r="QK25" s="970"/>
      <c r="QL25" s="970"/>
      <c r="QM25" s="970"/>
      <c r="QN25" s="970"/>
      <c r="QO25" s="970"/>
      <c r="QP25" s="970"/>
      <c r="QQ25" s="970"/>
      <c r="QR25" s="970"/>
      <c r="QS25" s="970"/>
      <c r="QT25" s="970"/>
      <c r="QU25" s="970"/>
      <c r="QV25" s="970"/>
      <c r="QW25" s="970"/>
      <c r="QX25" s="970"/>
      <c r="QY25" s="970"/>
      <c r="QZ25" s="970"/>
      <c r="RA25" s="970"/>
      <c r="RB25" s="970"/>
      <c r="RC25" s="970"/>
      <c r="RD25" s="970"/>
      <c r="RE25" s="970"/>
      <c r="RF25" s="970"/>
      <c r="RG25" s="970"/>
      <c r="RH25" s="970"/>
      <c r="RI25" s="970"/>
      <c r="RJ25" s="970"/>
      <c r="RK25" s="970"/>
      <c r="RL25" s="970"/>
      <c r="RM25" s="970"/>
      <c r="RN25" s="970"/>
      <c r="RO25" s="970"/>
      <c r="RP25" s="970"/>
      <c r="RQ25" s="970"/>
      <c r="RR25" s="970"/>
      <c r="RS25" s="970"/>
      <c r="RT25" s="970"/>
      <c r="RU25" s="970"/>
      <c r="RV25" s="970"/>
      <c r="RW25" s="970"/>
      <c r="RX25" s="970"/>
      <c r="RY25" s="970"/>
      <c r="RZ25" s="970"/>
      <c r="SA25" s="970"/>
      <c r="SB25" s="970"/>
      <c r="SC25" s="970"/>
      <c r="SD25" s="970"/>
      <c r="SE25" s="970"/>
      <c r="SF25" s="970"/>
      <c r="SG25" s="970"/>
      <c r="SH25" s="970"/>
      <c r="SI25" s="970"/>
      <c r="SJ25" s="970"/>
      <c r="SK25" s="970"/>
      <c r="SL25" s="970"/>
      <c r="SM25" s="970"/>
      <c r="SN25" s="970"/>
      <c r="SO25" s="970"/>
      <c r="SP25" s="970"/>
      <c r="SQ25" s="970"/>
      <c r="SR25" s="970"/>
    </row>
    <row r="26" spans="1:512" ht="15" customHeight="1">
      <c r="A26"/>
      <c r="B26" t="s">
        <v>2428</v>
      </c>
      <c r="C26"/>
      <c r="D26"/>
      <c r="E26" t="s">
        <v>2299</v>
      </c>
      <c r="F26"/>
      <c r="G26" s="970">
        <v>3</v>
      </c>
      <c r="H26" s="970">
        <v>150</v>
      </c>
      <c r="I26" s="970"/>
      <c r="J26" s="970"/>
      <c r="K26" s="970"/>
      <c r="L26" s="970"/>
      <c r="M26" s="970"/>
      <c r="N26" s="970"/>
      <c r="O26" s="970"/>
      <c r="P26" s="970"/>
      <c r="Q26" s="970"/>
      <c r="R26" s="970"/>
      <c r="S26" s="970"/>
      <c r="T26" s="970"/>
      <c r="U26" s="970"/>
      <c r="V26" s="970"/>
      <c r="W26" s="970"/>
      <c r="X26" s="970"/>
      <c r="Y26" s="970"/>
      <c r="Z26" s="970"/>
      <c r="AA26" s="970"/>
      <c r="AB26" s="970"/>
      <c r="AC26" s="970"/>
      <c r="AD26" s="970"/>
      <c r="AE26" s="970"/>
      <c r="AF26" s="970"/>
      <c r="AG26" s="970"/>
      <c r="AH26" s="970"/>
      <c r="AI26" s="970"/>
      <c r="AJ26" s="970"/>
      <c r="AK26" s="970"/>
      <c r="AL26" s="970"/>
      <c r="AM26" s="970"/>
      <c r="AN26" s="970"/>
      <c r="AO26" s="970"/>
      <c r="AP26" s="970"/>
      <c r="AQ26" s="970"/>
      <c r="AR26" s="970"/>
      <c r="AS26" s="970"/>
      <c r="AT26" s="970"/>
      <c r="AU26" s="970"/>
      <c r="AV26" s="970"/>
      <c r="AW26" s="970"/>
      <c r="AX26" s="970"/>
      <c r="AY26" s="970"/>
      <c r="AZ26" s="970"/>
      <c r="BA26" s="970"/>
      <c r="BB26" s="970"/>
      <c r="BC26" s="970"/>
      <c r="BD26" s="970"/>
      <c r="BE26" s="970"/>
      <c r="BF26" s="970"/>
      <c r="BG26" s="970"/>
      <c r="BH26" s="970"/>
      <c r="BI26" s="970"/>
      <c r="BJ26" s="970"/>
      <c r="BK26" s="970"/>
      <c r="BL26" s="970"/>
      <c r="BM26" s="970"/>
      <c r="BN26" s="970"/>
      <c r="BO26" s="970"/>
      <c r="BP26" s="970"/>
      <c r="BQ26" s="970"/>
      <c r="BR26" s="970"/>
      <c r="BS26" s="970"/>
      <c r="BT26" s="970"/>
      <c r="BU26" s="970"/>
      <c r="BV26" s="970"/>
      <c r="BW26" s="970"/>
      <c r="BX26" s="970"/>
      <c r="BY26" s="970"/>
      <c r="BZ26" s="970"/>
      <c r="CA26" s="970"/>
      <c r="CB26" s="970"/>
      <c r="CC26" s="970"/>
      <c r="CD26" s="970"/>
      <c r="CE26" s="970"/>
      <c r="CF26" s="970"/>
      <c r="CG26" s="970"/>
      <c r="CH26" s="970"/>
      <c r="CI26" s="970"/>
      <c r="CJ26" s="970"/>
      <c r="CK26" s="970"/>
      <c r="CL26" s="970"/>
      <c r="CM26" s="970"/>
      <c r="CN26" s="970"/>
      <c r="CO26" s="970"/>
      <c r="CP26" s="970"/>
      <c r="CQ26" s="970"/>
      <c r="CR26" s="970"/>
      <c r="CS26" s="970"/>
      <c r="CT26" s="970"/>
      <c r="CU26" s="970"/>
      <c r="CV26" s="970"/>
      <c r="CW26" s="970"/>
      <c r="CX26" s="970"/>
      <c r="CY26" s="970"/>
      <c r="CZ26" s="970"/>
      <c r="DA26" s="970"/>
      <c r="DB26" s="970"/>
      <c r="DC26" s="970"/>
      <c r="DD26" s="970"/>
      <c r="DE26" s="970"/>
      <c r="DF26" s="970"/>
      <c r="DG26" s="970"/>
      <c r="DH26" s="970"/>
      <c r="DI26" s="970"/>
      <c r="DJ26" s="970"/>
      <c r="DK26" s="970"/>
      <c r="DL26" s="970"/>
      <c r="DM26" s="970"/>
      <c r="DN26" s="970"/>
      <c r="DO26" s="970"/>
      <c r="DP26" s="970"/>
      <c r="DQ26" s="970"/>
      <c r="DR26" s="970"/>
      <c r="DS26" s="970"/>
      <c r="DT26" s="970"/>
      <c r="DU26" s="970"/>
      <c r="DV26" s="970"/>
      <c r="DW26" s="970"/>
      <c r="DX26" s="970"/>
      <c r="DY26" s="970"/>
      <c r="DZ26" s="970"/>
      <c r="EA26" s="970"/>
      <c r="EB26" s="970"/>
      <c r="EC26" s="970"/>
      <c r="ED26" s="970"/>
      <c r="EE26" s="970"/>
      <c r="EF26" s="970"/>
      <c r="EG26" s="970"/>
      <c r="EH26" s="970"/>
      <c r="EI26" s="970"/>
      <c r="EJ26" s="970"/>
      <c r="EK26" s="970"/>
      <c r="EL26" s="970"/>
      <c r="EM26" s="970"/>
      <c r="EN26" s="970"/>
      <c r="EO26" s="970"/>
      <c r="EP26" s="970"/>
      <c r="EQ26" s="970"/>
      <c r="ER26" s="970"/>
      <c r="ES26" s="970"/>
      <c r="ET26" s="970"/>
      <c r="EU26" s="970"/>
      <c r="EV26" s="970"/>
      <c r="EW26" s="970"/>
      <c r="EX26" s="970"/>
      <c r="EY26" s="970"/>
      <c r="EZ26" s="970"/>
      <c r="FA26" s="970"/>
      <c r="FB26" s="970"/>
      <c r="FC26" s="970"/>
      <c r="FD26" s="970"/>
      <c r="FE26" s="970"/>
      <c r="FF26" s="970"/>
      <c r="FG26" s="970"/>
      <c r="FH26" s="970"/>
      <c r="FI26" s="970"/>
      <c r="FJ26" s="970"/>
      <c r="FK26" s="970"/>
      <c r="FL26" s="970"/>
      <c r="FM26" s="970"/>
      <c r="FN26" s="970"/>
      <c r="FO26" s="970"/>
      <c r="FP26" s="970"/>
      <c r="FQ26" s="970"/>
      <c r="FR26" s="970"/>
      <c r="FS26" s="970"/>
      <c r="FT26" s="970"/>
      <c r="FU26" s="970"/>
      <c r="FV26" s="970"/>
      <c r="FW26" s="970"/>
      <c r="FX26" s="970"/>
      <c r="FY26" s="970"/>
      <c r="FZ26" s="970"/>
      <c r="GA26" s="970"/>
      <c r="GB26" s="970"/>
      <c r="GC26" s="970"/>
      <c r="GD26" s="970"/>
      <c r="GE26" s="970"/>
      <c r="GF26" s="970"/>
      <c r="GG26" s="970"/>
      <c r="GH26" s="970"/>
      <c r="GI26" s="970"/>
      <c r="GJ26" s="970"/>
      <c r="GK26" s="970"/>
      <c r="GL26" s="970"/>
      <c r="GM26" s="970"/>
      <c r="GN26" s="970"/>
      <c r="GO26" s="970"/>
      <c r="GP26" s="970"/>
      <c r="GQ26" s="970"/>
      <c r="GR26" s="970"/>
      <c r="GS26" s="970"/>
      <c r="GT26" s="970"/>
      <c r="GU26" s="970"/>
      <c r="GV26" s="970"/>
      <c r="GW26" s="970"/>
      <c r="GX26" s="970"/>
      <c r="GY26" s="970"/>
      <c r="GZ26" s="970"/>
      <c r="HA26" s="970"/>
      <c r="HB26" s="970"/>
      <c r="HC26" s="970"/>
      <c r="HD26" s="970"/>
      <c r="HE26" s="970"/>
      <c r="HF26" s="970"/>
      <c r="HG26" s="970"/>
      <c r="HH26" s="970"/>
      <c r="HI26" s="970"/>
      <c r="HJ26" s="970"/>
      <c r="HK26" s="970"/>
      <c r="HL26" s="970"/>
      <c r="HM26" s="970"/>
      <c r="HN26" s="970"/>
      <c r="HO26" s="970"/>
      <c r="HP26" s="970"/>
      <c r="HQ26" s="970"/>
      <c r="HR26" s="970"/>
      <c r="HS26" s="970"/>
      <c r="HT26" s="970"/>
      <c r="HU26" s="970"/>
      <c r="HV26" s="970"/>
      <c r="HW26" s="970"/>
      <c r="HX26" s="970"/>
      <c r="HY26" s="970"/>
      <c r="HZ26" s="970"/>
      <c r="IA26" s="970"/>
      <c r="IB26" s="970"/>
      <c r="IC26" s="970"/>
      <c r="ID26" s="970"/>
      <c r="IE26" s="970"/>
      <c r="IF26" s="970"/>
      <c r="IG26" s="970"/>
      <c r="IH26" s="970"/>
      <c r="II26" s="970"/>
      <c r="IJ26" s="970"/>
      <c r="IK26" s="970"/>
      <c r="IL26" s="970"/>
      <c r="IM26" s="970"/>
      <c r="IN26" s="970"/>
      <c r="IO26" s="970"/>
      <c r="IP26" s="970"/>
      <c r="IQ26" s="970"/>
      <c r="IR26" s="970"/>
      <c r="IS26" s="970"/>
      <c r="IT26" s="970"/>
      <c r="IU26" s="970"/>
      <c r="IV26" s="970"/>
      <c r="IW26" s="970"/>
      <c r="IX26" s="970"/>
      <c r="IY26" s="970"/>
      <c r="IZ26" s="970"/>
      <c r="JA26" s="970"/>
      <c r="JB26" s="970"/>
      <c r="JC26" s="970"/>
      <c r="JD26" s="970"/>
      <c r="JE26" s="970"/>
      <c r="JF26" s="970"/>
      <c r="JG26" s="970"/>
      <c r="JH26" s="970"/>
      <c r="JI26" s="970"/>
      <c r="JJ26" s="970"/>
      <c r="JK26" s="970"/>
      <c r="JL26" s="970"/>
      <c r="JM26" s="970"/>
      <c r="JN26" s="970"/>
      <c r="JO26" s="970"/>
      <c r="JP26" s="970"/>
      <c r="JQ26" s="970"/>
      <c r="JR26" s="970"/>
      <c r="JS26" s="970"/>
      <c r="JT26" s="970"/>
      <c r="JU26" s="970"/>
      <c r="JV26" s="970"/>
      <c r="JW26" s="970"/>
      <c r="JX26" s="970"/>
      <c r="JY26" s="970"/>
      <c r="JZ26" s="970"/>
      <c r="KA26" s="970"/>
      <c r="KB26" s="970"/>
      <c r="KC26" s="970"/>
      <c r="KD26" s="970"/>
      <c r="KE26" s="970"/>
      <c r="KF26" s="970"/>
      <c r="KG26" s="970"/>
      <c r="KH26" s="970"/>
      <c r="KI26" s="970"/>
      <c r="KJ26" s="970"/>
      <c r="KK26" s="970"/>
      <c r="KL26" s="970"/>
      <c r="KM26" s="970"/>
      <c r="KN26" s="970"/>
      <c r="KO26" s="970"/>
      <c r="KP26" s="970"/>
      <c r="KQ26" s="970"/>
      <c r="KR26" s="970"/>
      <c r="KS26" s="970"/>
      <c r="KT26" s="970"/>
      <c r="KU26" s="970"/>
      <c r="KV26" s="970"/>
      <c r="KW26" s="970"/>
      <c r="KX26" s="970"/>
      <c r="KY26" s="970"/>
      <c r="KZ26" s="970"/>
      <c r="LA26" s="970"/>
      <c r="LB26" s="970"/>
      <c r="LC26" s="970"/>
      <c r="LD26" s="970"/>
      <c r="LE26" s="970"/>
      <c r="LF26" s="970"/>
      <c r="LG26" s="970"/>
      <c r="LH26" s="970"/>
      <c r="LI26" s="970"/>
      <c r="LJ26" s="970"/>
      <c r="LK26" s="970"/>
      <c r="LL26" s="970"/>
      <c r="LM26" s="970"/>
      <c r="LN26" s="970"/>
      <c r="LO26" s="970"/>
      <c r="LP26" s="970"/>
      <c r="LQ26" s="970"/>
      <c r="LR26" s="970"/>
      <c r="LS26" s="970"/>
      <c r="LT26" s="970"/>
      <c r="LU26" s="970"/>
      <c r="LV26" s="970"/>
      <c r="LW26" s="970"/>
      <c r="LX26" s="970"/>
      <c r="LY26" s="970"/>
      <c r="LZ26" s="970"/>
      <c r="MA26" s="970"/>
      <c r="MB26" s="970"/>
      <c r="MC26" s="970"/>
      <c r="MD26" s="970"/>
      <c r="ME26" s="970"/>
      <c r="MF26" s="970"/>
      <c r="MG26" s="970"/>
      <c r="MH26" s="970"/>
      <c r="MI26" s="970"/>
      <c r="MJ26" s="970"/>
      <c r="MK26" s="970"/>
      <c r="ML26" s="970"/>
      <c r="MM26" s="970"/>
      <c r="MN26" s="970"/>
      <c r="MO26" s="970"/>
      <c r="MP26" s="970"/>
      <c r="MQ26" s="970"/>
      <c r="MR26" s="970"/>
      <c r="MS26" s="970"/>
      <c r="MT26" s="970"/>
      <c r="MU26" s="970"/>
      <c r="MV26" s="970"/>
      <c r="MW26" s="970"/>
      <c r="MX26" s="970"/>
      <c r="MY26" s="970"/>
      <c r="MZ26" s="970"/>
      <c r="NA26" s="970"/>
      <c r="NB26" s="970"/>
      <c r="NC26" s="970"/>
      <c r="ND26" s="970"/>
      <c r="NE26" s="970"/>
      <c r="NF26" s="970"/>
      <c r="NG26" s="970"/>
      <c r="NH26" s="970"/>
      <c r="NI26" s="970"/>
      <c r="NJ26" s="970"/>
      <c r="NK26" s="970"/>
      <c r="NL26" s="970"/>
      <c r="NM26" s="970"/>
      <c r="NN26" s="970"/>
      <c r="NO26" s="970"/>
      <c r="NP26" s="970"/>
      <c r="NQ26" s="970"/>
      <c r="NR26" s="970"/>
      <c r="NS26" s="970"/>
      <c r="NT26" s="970"/>
      <c r="NU26" s="970"/>
      <c r="NV26" s="970"/>
      <c r="NW26" s="970"/>
      <c r="NX26" s="970"/>
      <c r="NY26" s="970"/>
      <c r="NZ26" s="970"/>
      <c r="OA26" s="970"/>
      <c r="OB26" s="970"/>
      <c r="OC26" s="970"/>
      <c r="OD26" s="970"/>
      <c r="OE26" s="970"/>
      <c r="OF26" s="970"/>
      <c r="OG26" s="970"/>
      <c r="OH26" s="970"/>
      <c r="OI26" s="970"/>
      <c r="OJ26" s="970"/>
      <c r="OK26" s="970"/>
      <c r="OL26" s="970"/>
      <c r="OM26" s="970"/>
      <c r="ON26" s="970"/>
      <c r="OO26" s="970"/>
      <c r="OP26" s="970"/>
      <c r="OQ26" s="970"/>
      <c r="OR26" s="970"/>
      <c r="OS26" s="970"/>
      <c r="OT26" s="970"/>
      <c r="OU26" s="970"/>
      <c r="OV26" s="970"/>
      <c r="OW26" s="970"/>
      <c r="OX26" s="970"/>
      <c r="OY26" s="970"/>
      <c r="OZ26" s="970"/>
      <c r="PA26" s="970"/>
      <c r="PB26" s="970"/>
      <c r="PC26" s="970"/>
      <c r="PD26" s="970"/>
      <c r="PE26" s="970"/>
      <c r="PF26" s="970"/>
      <c r="PG26" s="970"/>
      <c r="PH26" s="970"/>
      <c r="PI26" s="970"/>
      <c r="PJ26" s="970"/>
      <c r="PK26" s="970"/>
      <c r="PL26" s="970"/>
      <c r="PM26" s="970"/>
      <c r="PN26" s="970"/>
      <c r="PO26" s="970"/>
      <c r="PP26" s="970"/>
      <c r="PQ26" s="970"/>
      <c r="PR26" s="970"/>
      <c r="PS26" s="970"/>
      <c r="PT26" s="970"/>
      <c r="PU26" s="970"/>
      <c r="PV26" s="970"/>
      <c r="PW26" s="970"/>
      <c r="PX26" s="970"/>
      <c r="PY26" s="970"/>
      <c r="PZ26" s="970"/>
      <c r="QA26" s="970"/>
      <c r="QB26" s="970"/>
      <c r="QC26" s="970"/>
      <c r="QD26" s="970"/>
      <c r="QE26" s="970"/>
      <c r="QF26" s="970"/>
      <c r="QG26" s="970"/>
      <c r="QH26" s="970"/>
      <c r="QI26" s="970"/>
      <c r="QJ26" s="970"/>
      <c r="QK26" s="970"/>
      <c r="QL26" s="970"/>
      <c r="QM26" s="970"/>
      <c r="QN26" s="970"/>
      <c r="QO26" s="970"/>
      <c r="QP26" s="970"/>
      <c r="QQ26" s="970"/>
      <c r="QR26" s="970"/>
      <c r="QS26" s="970"/>
      <c r="QT26" s="970"/>
      <c r="QU26" s="970"/>
      <c r="QV26" s="970"/>
      <c r="QW26" s="970"/>
      <c r="QX26" s="970"/>
      <c r="QY26" s="970"/>
      <c r="QZ26" s="970"/>
      <c r="RA26" s="970"/>
      <c r="RB26" s="970"/>
      <c r="RC26" s="970"/>
      <c r="RD26" s="970"/>
      <c r="RE26" s="970"/>
      <c r="RF26" s="970"/>
      <c r="RG26" s="970"/>
      <c r="RH26" s="970"/>
      <c r="RI26" s="970"/>
      <c r="RJ26" s="970"/>
      <c r="RK26" s="970"/>
      <c r="RL26" s="970"/>
      <c r="RM26" s="970"/>
      <c r="RN26" s="970"/>
      <c r="RO26" s="970"/>
      <c r="RP26" s="970"/>
      <c r="RQ26" s="970"/>
      <c r="RR26" s="970"/>
      <c r="RS26" s="970"/>
      <c r="RT26" s="970"/>
      <c r="RU26" s="970"/>
      <c r="RV26" s="970"/>
      <c r="RW26" s="970"/>
      <c r="RX26" s="970"/>
      <c r="RY26" s="970"/>
      <c r="RZ26" s="970"/>
      <c r="SA26" s="970"/>
      <c r="SB26" s="970"/>
      <c r="SC26" s="970"/>
      <c r="SD26" s="970"/>
      <c r="SE26" s="970"/>
      <c r="SF26" s="970"/>
      <c r="SG26" s="970"/>
      <c r="SH26" s="970"/>
      <c r="SI26" s="970"/>
      <c r="SJ26" s="970"/>
      <c r="SK26" s="970"/>
      <c r="SL26" s="970"/>
      <c r="SM26" s="970"/>
      <c r="SN26" s="970"/>
      <c r="SO26" s="970"/>
      <c r="SP26" s="970"/>
      <c r="SQ26" s="970"/>
      <c r="SR26" s="970"/>
    </row>
    <row r="27" spans="1:512" ht="15" customHeight="1">
      <c r="A27"/>
      <c r="B27" t="s">
        <v>2429</v>
      </c>
      <c r="C27"/>
      <c r="D27"/>
      <c r="E27" t="s">
        <v>219</v>
      </c>
      <c r="F27"/>
      <c r="G27" s="987">
        <v>1556.6</v>
      </c>
      <c r="H27" s="987">
        <v>1470</v>
      </c>
      <c r="I27" s="987"/>
      <c r="J27" s="987"/>
      <c r="K27" s="987"/>
      <c r="L27" s="987"/>
      <c r="M27" s="987"/>
      <c r="N27" s="987"/>
      <c r="O27" s="987"/>
      <c r="P27" s="987"/>
      <c r="Q27" s="987"/>
      <c r="R27" s="987"/>
      <c r="S27" s="987"/>
      <c r="T27" s="987"/>
      <c r="U27" s="970"/>
      <c r="V27" s="970"/>
      <c r="W27" s="970"/>
      <c r="X27" s="970"/>
      <c r="Y27" s="970"/>
      <c r="Z27" s="970"/>
      <c r="AA27" s="970"/>
      <c r="AB27" s="970"/>
      <c r="AC27" s="970"/>
      <c r="AD27" s="970"/>
      <c r="AE27" s="970"/>
      <c r="AF27" s="970"/>
      <c r="AG27" s="970"/>
      <c r="AH27" s="970"/>
      <c r="AI27" s="970"/>
      <c r="AJ27" s="970"/>
      <c r="AK27" s="970"/>
      <c r="AL27" s="970"/>
      <c r="AM27" s="970"/>
      <c r="AN27" s="970"/>
      <c r="AO27" s="970"/>
      <c r="AP27" s="970"/>
      <c r="AQ27" s="970"/>
      <c r="AR27" s="970"/>
      <c r="AS27" s="970"/>
      <c r="AT27" s="970"/>
      <c r="AU27" s="970"/>
      <c r="AV27" s="970"/>
      <c r="AW27" s="970"/>
      <c r="AX27" s="970"/>
      <c r="AY27" s="970"/>
      <c r="AZ27" s="970"/>
      <c r="BA27" s="970"/>
      <c r="BB27" s="970"/>
      <c r="BC27" s="970"/>
      <c r="BD27" s="970"/>
      <c r="BE27" s="970"/>
      <c r="BF27" s="970"/>
      <c r="BG27" s="970"/>
      <c r="BH27" s="970"/>
      <c r="BI27" s="970"/>
      <c r="BJ27" s="970"/>
      <c r="BK27" s="970"/>
      <c r="BL27" s="970"/>
      <c r="BM27" s="970"/>
      <c r="BN27" s="970"/>
      <c r="BO27" s="970"/>
      <c r="BP27" s="970"/>
      <c r="BQ27" s="970"/>
      <c r="BR27" s="970"/>
      <c r="BS27" s="970"/>
      <c r="BT27" s="970"/>
      <c r="BU27" s="970"/>
      <c r="BV27" s="970"/>
      <c r="BW27" s="970"/>
      <c r="BX27" s="970"/>
      <c r="BY27" s="970"/>
      <c r="BZ27" s="970"/>
      <c r="CA27" s="970"/>
      <c r="CB27" s="970"/>
      <c r="CC27" s="970"/>
      <c r="CD27" s="970"/>
      <c r="CE27" s="970"/>
      <c r="CF27" s="970"/>
      <c r="CG27" s="970"/>
      <c r="CH27" s="970"/>
      <c r="CI27" s="970"/>
      <c r="CJ27" s="970"/>
      <c r="CK27" s="970"/>
      <c r="CL27" s="970"/>
      <c r="CM27" s="970"/>
      <c r="CN27" s="970"/>
      <c r="CO27" s="970"/>
      <c r="CP27" s="970"/>
      <c r="CQ27" s="970"/>
      <c r="CR27" s="970"/>
      <c r="CS27" s="970"/>
      <c r="CT27" s="970"/>
      <c r="CU27" s="970"/>
      <c r="CV27" s="970"/>
      <c r="CW27" s="970"/>
      <c r="CX27" s="970"/>
      <c r="CY27" s="970"/>
      <c r="CZ27" s="970"/>
      <c r="DA27" s="970"/>
      <c r="DB27" s="970"/>
      <c r="DC27" s="970"/>
      <c r="DD27" s="970"/>
      <c r="DE27" s="970"/>
      <c r="DF27" s="970"/>
      <c r="DG27" s="970"/>
      <c r="DH27" s="970"/>
      <c r="DI27" s="970"/>
      <c r="DJ27" s="970"/>
      <c r="DK27" s="970"/>
      <c r="DL27" s="970"/>
      <c r="DM27" s="970"/>
      <c r="DN27" s="970"/>
      <c r="DO27" s="970"/>
      <c r="DP27" s="970"/>
      <c r="DQ27" s="970"/>
      <c r="DR27" s="970"/>
      <c r="DS27" s="970"/>
      <c r="DT27" s="970"/>
      <c r="DU27" s="970"/>
      <c r="DV27" s="970"/>
      <c r="DW27" s="970"/>
      <c r="DX27" s="970"/>
      <c r="DY27" s="970"/>
      <c r="DZ27" s="970"/>
      <c r="EA27" s="970"/>
      <c r="EB27" s="970"/>
      <c r="EC27" s="970"/>
      <c r="ED27" s="970"/>
      <c r="EE27" s="970"/>
      <c r="EF27" s="970"/>
      <c r="EG27" s="970"/>
      <c r="EH27" s="970"/>
      <c r="EI27" s="970"/>
      <c r="EJ27" s="970"/>
      <c r="EK27" s="970"/>
      <c r="EL27" s="970"/>
      <c r="EM27" s="970"/>
      <c r="EN27" s="970"/>
      <c r="EO27" s="970"/>
      <c r="EP27" s="970"/>
      <c r="EQ27" s="970"/>
      <c r="ER27" s="970"/>
      <c r="ES27" s="970"/>
      <c r="ET27" s="970"/>
      <c r="EU27" s="970"/>
      <c r="EV27" s="970"/>
      <c r="EW27" s="970"/>
      <c r="EX27" s="970"/>
      <c r="EY27" s="970"/>
      <c r="EZ27" s="970"/>
      <c r="FA27" s="970"/>
      <c r="FB27" s="970"/>
      <c r="FC27" s="970"/>
      <c r="FD27" s="970"/>
      <c r="FE27" s="970"/>
      <c r="FF27" s="970"/>
      <c r="FG27" s="970"/>
      <c r="FH27" s="970"/>
      <c r="FI27" s="970"/>
      <c r="FJ27" s="970"/>
      <c r="FK27" s="970"/>
      <c r="FL27" s="970"/>
      <c r="FM27" s="970"/>
      <c r="FN27" s="970"/>
      <c r="FO27" s="970"/>
      <c r="FP27" s="970"/>
      <c r="FQ27" s="970"/>
      <c r="FR27" s="970"/>
      <c r="FS27" s="970"/>
      <c r="FT27" s="970"/>
      <c r="FU27" s="970"/>
      <c r="FV27" s="970"/>
      <c r="FW27" s="970"/>
      <c r="FX27" s="970"/>
      <c r="FY27" s="970"/>
      <c r="FZ27" s="970"/>
      <c r="GA27" s="970"/>
      <c r="GB27" s="970"/>
      <c r="GC27" s="970"/>
      <c r="GD27" s="970"/>
      <c r="GE27" s="970"/>
      <c r="GF27" s="970"/>
      <c r="GG27" s="970"/>
      <c r="GH27" s="970"/>
      <c r="GI27" s="970"/>
      <c r="GJ27" s="970"/>
      <c r="GK27" s="970"/>
      <c r="GL27" s="970"/>
      <c r="GM27" s="970"/>
      <c r="GN27" s="970"/>
      <c r="GO27" s="970"/>
      <c r="GP27" s="970"/>
      <c r="GQ27" s="970"/>
      <c r="GR27" s="970"/>
      <c r="GS27" s="970"/>
      <c r="GT27" s="970"/>
      <c r="GU27" s="970"/>
      <c r="GV27" s="970"/>
      <c r="GW27" s="970"/>
      <c r="GX27" s="970"/>
      <c r="GY27" s="970"/>
      <c r="GZ27" s="970"/>
      <c r="HA27" s="970"/>
      <c r="HB27" s="970"/>
      <c r="HC27" s="970"/>
      <c r="HD27" s="970"/>
      <c r="HE27" s="970"/>
      <c r="HF27" s="970"/>
      <c r="HG27" s="970"/>
      <c r="HH27" s="970"/>
      <c r="HI27" s="970"/>
      <c r="HJ27" s="970"/>
      <c r="HK27" s="970"/>
      <c r="HL27" s="970"/>
      <c r="HM27" s="970"/>
      <c r="HN27" s="970"/>
      <c r="HO27" s="970"/>
      <c r="HP27" s="970"/>
      <c r="HQ27" s="970"/>
      <c r="HR27" s="970"/>
      <c r="HS27" s="970"/>
      <c r="HT27" s="970"/>
      <c r="HU27" s="970"/>
      <c r="HV27" s="970"/>
      <c r="HW27" s="970"/>
      <c r="HX27" s="970"/>
      <c r="HY27" s="970"/>
      <c r="HZ27" s="970"/>
      <c r="IA27" s="970"/>
      <c r="IB27" s="970"/>
      <c r="IC27" s="970"/>
      <c r="ID27" s="970"/>
      <c r="IE27" s="970"/>
      <c r="IF27" s="970"/>
      <c r="IG27" s="970"/>
      <c r="IH27" s="970"/>
      <c r="II27" s="970"/>
      <c r="IJ27" s="970"/>
      <c r="IK27" s="970"/>
      <c r="IL27" s="970"/>
      <c r="IM27" s="970"/>
      <c r="IN27" s="970"/>
      <c r="IO27" s="970"/>
      <c r="IP27" s="970"/>
      <c r="IQ27" s="970"/>
      <c r="IR27" s="970"/>
      <c r="IS27" s="970"/>
      <c r="IT27" s="970"/>
      <c r="IU27" s="970"/>
      <c r="IV27" s="970"/>
      <c r="IW27" s="970"/>
      <c r="IX27" s="970"/>
      <c r="IY27" s="970"/>
      <c r="IZ27" s="970"/>
      <c r="JA27" s="970"/>
      <c r="JB27" s="970"/>
      <c r="JC27" s="970"/>
      <c r="JD27" s="970"/>
      <c r="JE27" s="970"/>
      <c r="JF27" s="970"/>
      <c r="JG27" s="970"/>
      <c r="JH27" s="970"/>
      <c r="JI27" s="970"/>
      <c r="JJ27" s="970"/>
      <c r="JK27" s="970"/>
      <c r="JL27" s="970"/>
      <c r="JM27" s="970"/>
      <c r="JN27" s="970"/>
      <c r="JO27" s="970"/>
      <c r="JP27" s="970"/>
      <c r="JQ27" s="970"/>
      <c r="JR27" s="970"/>
      <c r="JS27" s="970"/>
      <c r="JT27" s="970"/>
      <c r="JU27" s="970"/>
      <c r="JV27" s="970"/>
      <c r="JW27" s="970"/>
      <c r="JX27" s="970"/>
      <c r="JY27" s="970"/>
      <c r="JZ27" s="970"/>
      <c r="KA27" s="970"/>
      <c r="KB27" s="970"/>
      <c r="KC27" s="970"/>
      <c r="KD27" s="970"/>
      <c r="KE27" s="970"/>
      <c r="KF27" s="970"/>
      <c r="KG27" s="970"/>
      <c r="KH27" s="970"/>
      <c r="KI27" s="970"/>
      <c r="KJ27" s="970"/>
      <c r="KK27" s="970"/>
      <c r="KL27" s="970"/>
      <c r="KM27" s="970"/>
      <c r="KN27" s="970"/>
      <c r="KO27" s="970"/>
      <c r="KP27" s="970"/>
      <c r="KQ27" s="970"/>
      <c r="KR27" s="970"/>
      <c r="KS27" s="970"/>
      <c r="KT27" s="970"/>
      <c r="KU27" s="970"/>
      <c r="KV27" s="970"/>
      <c r="KW27" s="970"/>
      <c r="KX27" s="970"/>
      <c r="KY27" s="970"/>
      <c r="KZ27" s="970"/>
      <c r="LA27" s="970"/>
      <c r="LB27" s="970"/>
      <c r="LC27" s="970"/>
      <c r="LD27" s="970"/>
      <c r="LE27" s="970"/>
      <c r="LF27" s="970"/>
      <c r="LG27" s="970"/>
      <c r="LH27" s="970"/>
      <c r="LI27" s="970"/>
      <c r="LJ27" s="970"/>
      <c r="LK27" s="970"/>
      <c r="LL27" s="970"/>
      <c r="LM27" s="970"/>
      <c r="LN27" s="970"/>
      <c r="LO27" s="970"/>
      <c r="LP27" s="970"/>
      <c r="LQ27" s="970"/>
      <c r="LR27" s="970"/>
      <c r="LS27" s="970"/>
      <c r="LT27" s="970"/>
      <c r="LU27" s="970"/>
      <c r="LV27" s="970"/>
      <c r="LW27" s="970"/>
      <c r="LX27" s="970"/>
      <c r="LY27" s="970"/>
      <c r="LZ27" s="970"/>
      <c r="MA27" s="970"/>
      <c r="MB27" s="970"/>
      <c r="MC27" s="970"/>
      <c r="MD27" s="970"/>
      <c r="ME27" s="970"/>
      <c r="MF27" s="970"/>
      <c r="MG27" s="970"/>
      <c r="MH27" s="970"/>
      <c r="MI27" s="970"/>
      <c r="MJ27" s="970"/>
      <c r="MK27" s="970"/>
      <c r="ML27" s="970"/>
      <c r="MM27" s="970"/>
      <c r="MN27" s="970"/>
      <c r="MO27" s="970"/>
      <c r="MP27" s="970"/>
      <c r="MQ27" s="970"/>
      <c r="MR27" s="970"/>
      <c r="MS27" s="970"/>
      <c r="MT27" s="970"/>
      <c r="MU27" s="970"/>
      <c r="MV27" s="970"/>
      <c r="MW27" s="970"/>
      <c r="MX27" s="970"/>
      <c r="MY27" s="970"/>
      <c r="MZ27" s="970"/>
      <c r="NA27" s="970"/>
      <c r="NB27" s="970"/>
      <c r="NC27" s="970"/>
      <c r="ND27" s="970"/>
      <c r="NE27" s="970"/>
      <c r="NF27" s="970"/>
      <c r="NG27" s="970"/>
      <c r="NH27" s="970"/>
      <c r="NI27" s="970"/>
      <c r="NJ27" s="970"/>
      <c r="NK27" s="970"/>
      <c r="NL27" s="970"/>
      <c r="NM27" s="970"/>
      <c r="NN27" s="970"/>
      <c r="NO27" s="970"/>
      <c r="NP27" s="970"/>
      <c r="NQ27" s="970"/>
      <c r="NR27" s="970"/>
      <c r="NS27" s="970"/>
      <c r="NT27" s="970"/>
      <c r="NU27" s="970"/>
      <c r="NV27" s="970"/>
      <c r="NW27" s="970"/>
      <c r="NX27" s="970"/>
      <c r="NY27" s="970"/>
      <c r="NZ27" s="970"/>
      <c r="OA27" s="970"/>
      <c r="OB27" s="970"/>
      <c r="OC27" s="970"/>
      <c r="OD27" s="970"/>
      <c r="OE27" s="970"/>
      <c r="OF27" s="970"/>
      <c r="OG27" s="970"/>
      <c r="OH27" s="970"/>
      <c r="OI27" s="970"/>
      <c r="OJ27" s="970"/>
      <c r="OK27" s="970"/>
      <c r="OL27" s="970"/>
      <c r="OM27" s="970"/>
      <c r="ON27" s="970"/>
      <c r="OO27" s="970"/>
      <c r="OP27" s="970"/>
      <c r="OQ27" s="970"/>
      <c r="OR27" s="970"/>
      <c r="OS27" s="970"/>
      <c r="OT27" s="970"/>
      <c r="OU27" s="970"/>
      <c r="OV27" s="970"/>
      <c r="OW27" s="970"/>
      <c r="OX27" s="970"/>
      <c r="OY27" s="970"/>
      <c r="OZ27" s="970"/>
      <c r="PA27" s="970"/>
      <c r="PB27" s="970"/>
      <c r="PC27" s="970"/>
      <c r="PD27" s="970"/>
      <c r="PE27" s="970"/>
      <c r="PF27" s="970"/>
      <c r="PG27" s="970"/>
      <c r="PH27" s="970"/>
      <c r="PI27" s="970"/>
      <c r="PJ27" s="970"/>
      <c r="PK27" s="970"/>
      <c r="PL27" s="970"/>
      <c r="PM27" s="970"/>
      <c r="PN27" s="970"/>
      <c r="PO27" s="970"/>
      <c r="PP27" s="970"/>
      <c r="PQ27" s="970"/>
      <c r="PR27" s="970"/>
      <c r="PS27" s="970"/>
      <c r="PT27" s="970"/>
      <c r="PU27" s="970"/>
      <c r="PV27" s="970"/>
      <c r="PW27" s="970"/>
      <c r="PX27" s="970"/>
      <c r="PY27" s="970"/>
      <c r="PZ27" s="970"/>
      <c r="QA27" s="970"/>
      <c r="QB27" s="970"/>
      <c r="QC27" s="970"/>
      <c r="QD27" s="970"/>
      <c r="QE27" s="970"/>
      <c r="QF27" s="970"/>
      <c r="QG27" s="970"/>
      <c r="QH27" s="970"/>
      <c r="QI27" s="970"/>
      <c r="QJ27" s="970"/>
      <c r="QK27" s="970"/>
      <c r="QL27" s="970"/>
      <c r="QM27" s="970"/>
      <c r="QN27" s="970"/>
      <c r="QO27" s="970"/>
      <c r="QP27" s="970"/>
      <c r="QQ27" s="970"/>
      <c r="QR27" s="970"/>
      <c r="QS27" s="970"/>
      <c r="QT27" s="970"/>
      <c r="QU27" s="970"/>
      <c r="QV27" s="970"/>
      <c r="QW27" s="970"/>
      <c r="QX27" s="970"/>
      <c r="QY27" s="970"/>
      <c r="QZ27" s="970"/>
      <c r="RA27" s="970"/>
      <c r="RB27" s="970"/>
      <c r="RC27" s="970"/>
      <c r="RD27" s="970"/>
      <c r="RE27" s="970"/>
      <c r="RF27" s="970"/>
      <c r="RG27" s="970"/>
      <c r="RH27" s="970"/>
      <c r="RI27" s="970"/>
      <c r="RJ27" s="970"/>
      <c r="RK27" s="970"/>
      <c r="RL27" s="970"/>
      <c r="RM27" s="970"/>
      <c r="RN27" s="970"/>
      <c r="RO27" s="970"/>
      <c r="RP27" s="970"/>
      <c r="RQ27" s="970"/>
      <c r="RR27" s="970"/>
      <c r="RS27" s="970"/>
      <c r="RT27" s="970"/>
      <c r="RU27" s="970"/>
      <c r="RV27" s="970"/>
      <c r="RW27" s="970"/>
      <c r="RX27" s="970"/>
      <c r="RY27" s="970"/>
      <c r="RZ27" s="970"/>
      <c r="SA27" s="970"/>
      <c r="SB27" s="970"/>
      <c r="SC27" s="970"/>
      <c r="SD27" s="970"/>
      <c r="SE27" s="970"/>
      <c r="SF27" s="970"/>
      <c r="SG27" s="970"/>
      <c r="SH27" s="970"/>
      <c r="SI27" s="970"/>
      <c r="SJ27" s="970"/>
      <c r="SK27" s="970"/>
      <c r="SL27" s="970"/>
      <c r="SM27" s="970"/>
      <c r="SN27" s="970"/>
      <c r="SO27" s="970"/>
      <c r="SP27" s="970"/>
      <c r="SQ27" s="970"/>
      <c r="SR27" s="970"/>
    </row>
    <row r="28" spans="1:512" ht="15" customHeight="1">
      <c r="A28"/>
      <c r="B28"/>
      <c r="C28"/>
      <c r="D28"/>
      <c r="E28"/>
      <c r="F28"/>
      <c r="G28" s="972"/>
      <c r="H28" s="972"/>
      <c r="I28" s="972"/>
      <c r="J28" s="972"/>
      <c r="K28" s="972"/>
      <c r="L28" s="972"/>
      <c r="M28" s="972"/>
      <c r="N28" s="972"/>
      <c r="O28" s="972"/>
      <c r="P28" s="972"/>
      <c r="Q28" s="972"/>
      <c r="R28" s="972"/>
      <c r="S28" s="972"/>
      <c r="T28" s="972"/>
      <c r="U28" s="1016"/>
      <c r="V28" s="1016"/>
      <c r="W28" s="1016"/>
      <c r="X28" s="1016"/>
      <c r="Y28" s="1016"/>
      <c r="Z28" s="1016"/>
      <c r="AA28" s="1016"/>
      <c r="AB28" s="1016"/>
      <c r="AC28" s="1016"/>
      <c r="AD28" s="1016"/>
      <c r="AE28" s="1016"/>
      <c r="AF28" s="1016"/>
      <c r="AG28" s="1016"/>
      <c r="AH28" s="1016"/>
      <c r="AI28" s="1016"/>
      <c r="AJ28" s="1016"/>
      <c r="AK28" s="1016"/>
      <c r="AL28" s="1016"/>
      <c r="AM28" s="1016"/>
      <c r="AN28" s="1016"/>
      <c r="AO28" s="1016"/>
      <c r="AP28" s="1016"/>
      <c r="AQ28" s="1016"/>
      <c r="AR28" s="1016"/>
      <c r="AS28" s="1016"/>
      <c r="AT28" s="1016"/>
      <c r="AU28" s="1016"/>
      <c r="AV28" s="1016"/>
      <c r="AW28" s="1016"/>
      <c r="AX28" s="1016"/>
      <c r="AY28" s="1016"/>
      <c r="AZ28" s="1016"/>
      <c r="BA28" s="1016"/>
      <c r="BB28" s="1016"/>
      <c r="BC28" s="1016"/>
      <c r="BD28" s="1016"/>
      <c r="BE28" s="1016"/>
      <c r="BF28" s="971"/>
      <c r="BG28" s="971"/>
      <c r="BH28" s="971"/>
      <c r="BI28" s="971"/>
      <c r="BJ28" s="971"/>
      <c r="BK28" s="971"/>
      <c r="BL28" s="971"/>
      <c r="BM28" s="971"/>
      <c r="BN28" s="971"/>
      <c r="BO28" s="971"/>
      <c r="BP28" s="971"/>
      <c r="BQ28" s="971"/>
      <c r="BR28" s="971"/>
      <c r="BS28" s="971"/>
      <c r="BT28" s="971"/>
      <c r="BU28" s="971"/>
      <c r="BV28" s="971"/>
      <c r="BW28" s="971"/>
      <c r="BX28" s="971"/>
      <c r="BY28" s="971"/>
      <c r="BZ28" s="971"/>
      <c r="CA28" s="971"/>
      <c r="CB28" s="971"/>
      <c r="CC28" s="971"/>
      <c r="CD28" s="971"/>
      <c r="CE28" s="971"/>
      <c r="CF28" s="971"/>
      <c r="CG28" s="971"/>
      <c r="CH28" s="971"/>
      <c r="CI28" s="971"/>
      <c r="CJ28" s="971"/>
      <c r="CK28" s="971"/>
      <c r="CL28" s="971"/>
      <c r="CM28" s="971"/>
      <c r="CN28" s="971"/>
      <c r="CO28" s="971"/>
      <c r="CP28" s="971"/>
      <c r="CQ28" s="971"/>
      <c r="CR28" s="971"/>
      <c r="CS28" s="971"/>
      <c r="CT28" s="971"/>
      <c r="CU28" s="971"/>
      <c r="CV28" s="971"/>
      <c r="CW28" s="971"/>
      <c r="CX28" s="971"/>
      <c r="CY28" s="971"/>
      <c r="CZ28" s="971"/>
      <c r="DA28" s="971"/>
      <c r="DB28" s="971"/>
      <c r="DC28" s="971"/>
      <c r="DD28" s="971"/>
      <c r="DE28" s="971"/>
      <c r="DF28" s="971"/>
      <c r="DG28" s="971"/>
      <c r="DH28" s="971"/>
      <c r="DI28" s="971"/>
      <c r="DJ28" s="971"/>
      <c r="DK28" s="971"/>
      <c r="DL28" s="971"/>
      <c r="DM28" s="971"/>
      <c r="DN28" s="971"/>
      <c r="DO28" s="971"/>
      <c r="DP28" s="971"/>
      <c r="DQ28" s="971"/>
      <c r="DR28" s="971"/>
      <c r="DS28" s="971"/>
      <c r="DT28" s="971"/>
      <c r="DU28" s="971"/>
      <c r="DV28" s="971"/>
      <c r="DW28" s="971"/>
      <c r="DX28" s="971"/>
      <c r="DY28" s="971"/>
      <c r="DZ28" s="971"/>
      <c r="EA28" s="971"/>
      <c r="EB28" s="971"/>
      <c r="EC28" s="971"/>
      <c r="ED28" s="971"/>
      <c r="EE28" s="971"/>
      <c r="EF28" s="971"/>
      <c r="EG28" s="971"/>
      <c r="EH28" s="971"/>
      <c r="EI28" s="971"/>
      <c r="EJ28" s="971"/>
      <c r="EK28" s="971"/>
      <c r="EL28" s="971"/>
      <c r="EM28" s="971"/>
      <c r="EN28" s="971"/>
      <c r="EO28" s="971"/>
      <c r="EP28" s="971"/>
      <c r="EQ28" s="971"/>
      <c r="ER28" s="971"/>
      <c r="ES28" s="971"/>
      <c r="ET28" s="971"/>
      <c r="EU28" s="971"/>
      <c r="EV28" s="971"/>
      <c r="EW28" s="971"/>
      <c r="EX28" s="971"/>
      <c r="EY28" s="971"/>
      <c r="EZ28" s="971"/>
      <c r="FA28" s="971"/>
      <c r="FB28" s="971"/>
      <c r="FC28" s="971"/>
      <c r="FD28" s="971"/>
      <c r="FE28" s="971"/>
      <c r="FF28" s="971"/>
      <c r="FG28" s="971"/>
      <c r="FH28" s="971"/>
      <c r="FI28" s="971"/>
      <c r="FJ28" s="971"/>
      <c r="FK28" s="971"/>
      <c r="FL28" s="971"/>
      <c r="FM28" s="971"/>
      <c r="FN28" s="971"/>
      <c r="FO28" s="971"/>
      <c r="FP28" s="971"/>
      <c r="FQ28" s="971"/>
      <c r="FR28" s="971"/>
      <c r="FS28" s="971"/>
      <c r="FT28" s="971"/>
      <c r="FU28" s="971"/>
      <c r="FV28" s="971"/>
      <c r="FW28" s="971"/>
      <c r="FX28" s="971"/>
      <c r="FY28" s="971"/>
      <c r="FZ28" s="971"/>
      <c r="GA28" s="971"/>
      <c r="GB28" s="971"/>
      <c r="GC28" s="971"/>
      <c r="GD28" s="971"/>
      <c r="GE28" s="971"/>
      <c r="GF28" s="971"/>
      <c r="GG28" s="971"/>
      <c r="GH28" s="971"/>
      <c r="GI28" s="971"/>
      <c r="GJ28" s="971"/>
      <c r="GK28" s="971"/>
      <c r="GL28" s="971"/>
      <c r="GM28" s="971"/>
      <c r="GN28" s="971"/>
      <c r="GO28" s="971"/>
      <c r="GP28" s="971"/>
      <c r="GQ28" s="971"/>
      <c r="GR28" s="971"/>
      <c r="GS28" s="971"/>
      <c r="GT28" s="971"/>
      <c r="GU28" s="971"/>
      <c r="GV28" s="971"/>
      <c r="GW28" s="971"/>
      <c r="GX28" s="971"/>
      <c r="GY28" s="971"/>
      <c r="GZ28" s="971"/>
      <c r="HA28" s="971"/>
      <c r="HB28" s="971"/>
      <c r="HC28" s="971"/>
      <c r="HD28" s="971"/>
      <c r="HE28" s="971"/>
      <c r="HF28" s="971"/>
      <c r="HG28" s="971"/>
      <c r="HH28" s="971"/>
      <c r="HI28" s="971"/>
      <c r="HJ28" s="971"/>
      <c r="HK28" s="971"/>
      <c r="HL28" s="971"/>
      <c r="HM28" s="971"/>
      <c r="HN28" s="971"/>
      <c r="HO28" s="971"/>
      <c r="HP28" s="971"/>
      <c r="HQ28" s="971"/>
      <c r="HR28" s="971"/>
      <c r="HS28" s="971"/>
      <c r="HT28" s="971"/>
      <c r="HU28" s="971"/>
      <c r="HV28" s="971"/>
      <c r="HW28" s="971"/>
      <c r="HX28" s="971"/>
      <c r="HY28" s="971"/>
      <c r="HZ28" s="971"/>
      <c r="IA28" s="971"/>
      <c r="IB28" s="971"/>
      <c r="IC28" s="971"/>
      <c r="ID28" s="971"/>
      <c r="IE28" s="971"/>
      <c r="IF28" s="971"/>
      <c r="IG28" s="971"/>
      <c r="IH28" s="971"/>
      <c r="II28" s="971"/>
      <c r="IJ28" s="971"/>
      <c r="IK28" s="971"/>
      <c r="IL28" s="971"/>
      <c r="IM28" s="971"/>
      <c r="IN28" s="971"/>
      <c r="IO28" s="971"/>
      <c r="IP28" s="971"/>
      <c r="IQ28" s="971"/>
      <c r="IR28" s="971"/>
      <c r="IS28" s="971"/>
      <c r="IT28" s="971"/>
      <c r="IU28" s="971"/>
      <c r="IV28" s="971"/>
      <c r="IW28" s="971"/>
      <c r="IX28" s="971"/>
      <c r="IY28" s="971"/>
      <c r="IZ28" s="971"/>
      <c r="JA28" s="971"/>
      <c r="JB28" s="971"/>
      <c r="JC28" s="971"/>
      <c r="JD28" s="971"/>
      <c r="JE28" s="971"/>
      <c r="JF28" s="971"/>
      <c r="JG28" s="971"/>
      <c r="JH28" s="971"/>
      <c r="JI28" s="971"/>
      <c r="JJ28" s="971"/>
      <c r="JK28" s="971"/>
      <c r="JL28" s="971"/>
      <c r="JM28" s="971"/>
      <c r="JN28" s="971"/>
      <c r="JO28" s="971"/>
      <c r="JP28" s="971"/>
      <c r="JQ28" s="971"/>
      <c r="JR28" s="971"/>
      <c r="JS28" s="971"/>
      <c r="JT28" s="971"/>
      <c r="JU28" s="971"/>
      <c r="JV28" s="971"/>
      <c r="JW28" s="971"/>
      <c r="JX28" s="971"/>
      <c r="JY28" s="971"/>
      <c r="JZ28" s="971"/>
      <c r="KA28" s="971"/>
      <c r="KB28" s="971"/>
      <c r="KC28" s="971"/>
      <c r="KD28" s="971"/>
      <c r="KE28" s="971"/>
      <c r="KF28" s="971"/>
      <c r="KG28" s="971"/>
      <c r="KH28" s="971"/>
      <c r="KI28" s="971"/>
      <c r="KJ28" s="971"/>
      <c r="KK28" s="971"/>
      <c r="KL28" s="971"/>
      <c r="KM28" s="971"/>
      <c r="KN28" s="971"/>
      <c r="KO28" s="971"/>
      <c r="KP28" s="971"/>
      <c r="KQ28" s="971"/>
      <c r="KR28" s="971"/>
      <c r="KS28" s="971"/>
      <c r="KT28" s="971"/>
      <c r="KU28" s="971"/>
      <c r="KV28" s="971"/>
      <c r="KW28" s="971"/>
      <c r="KX28" s="971"/>
      <c r="KY28" s="971"/>
      <c r="KZ28" s="971"/>
      <c r="LA28" s="971"/>
      <c r="LB28" s="971"/>
      <c r="LC28" s="971"/>
      <c r="LD28" s="971"/>
      <c r="LE28" s="971"/>
      <c r="LF28" s="971"/>
      <c r="LG28" s="971"/>
      <c r="LH28" s="971"/>
      <c r="LI28" s="971"/>
      <c r="LJ28" s="971"/>
      <c r="LK28" s="971"/>
      <c r="LL28" s="971"/>
      <c r="LM28" s="971"/>
      <c r="LN28" s="971"/>
      <c r="LO28" s="971"/>
      <c r="LP28" s="971"/>
      <c r="LQ28" s="971"/>
      <c r="LR28" s="971"/>
      <c r="LS28" s="971"/>
      <c r="LT28" s="971"/>
      <c r="LU28" s="971"/>
      <c r="LV28" s="971"/>
      <c r="LW28" s="971"/>
      <c r="LX28" s="971"/>
      <c r="LY28" s="971"/>
      <c r="LZ28" s="971"/>
      <c r="MA28" s="971"/>
      <c r="MB28" s="971"/>
      <c r="MC28" s="971"/>
      <c r="MD28" s="971"/>
      <c r="ME28" s="971"/>
      <c r="MF28" s="971"/>
      <c r="MG28" s="971"/>
      <c r="MH28" s="971"/>
      <c r="MI28" s="971"/>
      <c r="MJ28" s="971"/>
      <c r="MK28" s="971"/>
      <c r="ML28" s="971"/>
      <c r="MM28" s="971"/>
      <c r="MN28" s="971"/>
      <c r="MO28" s="971"/>
      <c r="MP28" s="971"/>
      <c r="MQ28" s="971"/>
      <c r="MR28" s="971"/>
      <c r="MS28" s="971"/>
      <c r="MT28" s="971"/>
      <c r="MU28" s="971"/>
      <c r="MV28" s="971"/>
      <c r="MW28" s="971"/>
      <c r="MX28" s="971"/>
      <c r="MY28" s="971"/>
      <c r="MZ28" s="971"/>
      <c r="NA28" s="971"/>
      <c r="NB28" s="971"/>
      <c r="NC28" s="971"/>
      <c r="ND28" s="971"/>
      <c r="NE28" s="971"/>
      <c r="NF28" s="971"/>
      <c r="NG28" s="971"/>
      <c r="NH28" s="971"/>
      <c r="NI28" s="971"/>
      <c r="NJ28" s="971"/>
      <c r="NK28" s="971"/>
      <c r="NL28" s="971"/>
      <c r="NM28" s="971"/>
      <c r="NN28" s="971"/>
      <c r="NO28" s="971"/>
      <c r="NP28" s="971"/>
      <c r="NQ28" s="971"/>
      <c r="NR28" s="971"/>
      <c r="NS28" s="971"/>
      <c r="NT28" s="971"/>
      <c r="NU28" s="971"/>
      <c r="NV28" s="971"/>
      <c r="NW28" s="971"/>
      <c r="NX28" s="971"/>
      <c r="NY28" s="971"/>
      <c r="NZ28" s="971"/>
      <c r="OA28" s="971"/>
      <c r="OB28" s="971"/>
      <c r="OC28" s="971"/>
      <c r="OD28" s="971"/>
      <c r="OE28" s="971"/>
      <c r="OF28" s="971"/>
      <c r="OG28" s="971"/>
      <c r="OH28" s="971"/>
      <c r="OI28" s="971"/>
      <c r="OJ28" s="971"/>
      <c r="OK28" s="971"/>
      <c r="OL28" s="971"/>
      <c r="OM28" s="971"/>
      <c r="ON28" s="971"/>
      <c r="OO28" s="971"/>
      <c r="OP28" s="971"/>
      <c r="OQ28" s="971"/>
      <c r="OR28" s="971"/>
      <c r="OS28" s="971"/>
      <c r="OT28" s="971"/>
      <c r="OU28" s="971"/>
      <c r="OV28" s="971"/>
      <c r="OW28" s="971"/>
      <c r="OX28" s="971"/>
      <c r="OY28" s="971"/>
      <c r="OZ28" s="971"/>
      <c r="PA28" s="971"/>
      <c r="PB28" s="971"/>
      <c r="PC28" s="971"/>
      <c r="PD28" s="971"/>
      <c r="PE28" s="971"/>
      <c r="PF28" s="971"/>
      <c r="PG28" s="971"/>
      <c r="PH28" s="971"/>
      <c r="PI28" s="971"/>
      <c r="PJ28" s="971"/>
      <c r="PK28" s="971"/>
      <c r="PL28" s="971"/>
      <c r="PM28" s="971"/>
      <c r="PN28" s="971"/>
      <c r="PO28" s="971"/>
      <c r="PP28" s="971"/>
      <c r="PQ28" s="971"/>
      <c r="PR28" s="971"/>
      <c r="PS28" s="971"/>
      <c r="PT28" s="971"/>
      <c r="PU28" s="971"/>
      <c r="PV28" s="971"/>
      <c r="PW28" s="971"/>
      <c r="PX28" s="971"/>
      <c r="PY28" s="971"/>
      <c r="PZ28" s="971"/>
      <c r="QA28" s="971"/>
      <c r="QB28" s="971"/>
      <c r="QC28" s="971"/>
      <c r="QD28" s="971"/>
      <c r="QE28" s="971"/>
      <c r="QF28" s="971"/>
      <c r="QG28" s="971"/>
      <c r="QH28" s="971"/>
      <c r="QI28" s="971"/>
      <c r="QJ28" s="971"/>
      <c r="QK28" s="971"/>
      <c r="QL28" s="971"/>
      <c r="QM28" s="971"/>
      <c r="QN28" s="971"/>
      <c r="QO28" s="971"/>
      <c r="QP28" s="971"/>
      <c r="QQ28" s="971"/>
      <c r="QR28" s="971"/>
      <c r="QS28" s="971"/>
      <c r="QT28" s="971"/>
      <c r="QU28" s="971"/>
      <c r="QV28" s="971"/>
      <c r="QW28" s="971"/>
      <c r="QX28" s="971"/>
      <c r="QY28" s="971"/>
      <c r="QZ28" s="971"/>
      <c r="RA28" s="971"/>
      <c r="RB28" s="971"/>
      <c r="RC28" s="971"/>
      <c r="RD28" s="971"/>
      <c r="RE28" s="971"/>
      <c r="RF28" s="971"/>
      <c r="RG28" s="971"/>
      <c r="RH28" s="971"/>
      <c r="RI28" s="971"/>
      <c r="RJ28" s="971"/>
      <c r="RK28" s="971"/>
      <c r="RL28" s="971"/>
      <c r="RM28" s="971"/>
      <c r="RN28" s="971"/>
      <c r="RO28" s="971"/>
      <c r="RP28" s="971"/>
      <c r="RQ28" s="971"/>
      <c r="RR28" s="971"/>
      <c r="RS28" s="971"/>
      <c r="RT28" s="971"/>
      <c r="RU28" s="971"/>
      <c r="RV28" s="971"/>
      <c r="RW28" s="971"/>
      <c r="RX28" s="971"/>
      <c r="RY28" s="971"/>
      <c r="RZ28" s="971"/>
      <c r="SA28" s="971"/>
      <c r="SB28" s="971"/>
      <c r="SC28" s="971"/>
      <c r="SD28" s="971"/>
      <c r="SE28" s="971"/>
      <c r="SF28" s="971"/>
      <c r="SG28" s="971"/>
      <c r="SH28" s="971"/>
      <c r="SI28" s="971"/>
      <c r="SJ28" s="971"/>
      <c r="SK28" s="971"/>
      <c r="SL28" s="971"/>
      <c r="SM28" s="971"/>
      <c r="SN28" s="971"/>
      <c r="SO28" s="971"/>
      <c r="SP28" s="971"/>
      <c r="SQ28" s="971"/>
      <c r="SR28" s="971"/>
    </row>
    <row r="29" spans="1:512" ht="15" customHeight="1">
      <c r="A29" t="s">
        <v>2208</v>
      </c>
      <c r="B29"/>
      <c r="C29"/>
      <c r="D29"/>
      <c r="E29"/>
      <c r="F29"/>
      <c r="G29" s="972"/>
      <c r="H29" s="972"/>
      <c r="I29" s="972"/>
      <c r="J29" s="972"/>
      <c r="K29" s="972"/>
      <c r="L29" s="972"/>
      <c r="M29" s="972"/>
      <c r="N29" s="972"/>
      <c r="O29" s="972"/>
      <c r="P29" s="972"/>
      <c r="Q29" s="972"/>
      <c r="R29" s="972"/>
      <c r="S29" s="972"/>
      <c r="T29" s="972"/>
      <c r="U29" s="1016"/>
      <c r="V29" s="1016"/>
      <c r="W29" s="1016"/>
      <c r="X29" s="1016"/>
      <c r="Y29" s="1016"/>
      <c r="Z29" s="1016"/>
      <c r="AA29" s="1016"/>
      <c r="AB29" s="1016"/>
      <c r="AC29" s="1016"/>
      <c r="AD29" s="1016"/>
      <c r="AE29" s="1016"/>
      <c r="AF29" s="1016"/>
      <c r="AG29" s="1016"/>
      <c r="AH29" s="1016"/>
      <c r="AI29" s="1016"/>
      <c r="AJ29" s="1016"/>
      <c r="AK29" s="1016"/>
      <c r="AL29" s="1016"/>
      <c r="AM29" s="1016"/>
      <c r="AN29" s="1016"/>
      <c r="AO29" s="1016"/>
      <c r="AP29" s="1016"/>
      <c r="AQ29" s="1016"/>
      <c r="AR29" s="1016"/>
      <c r="AS29" s="1016"/>
      <c r="AT29" s="1016"/>
      <c r="AU29" s="1016"/>
      <c r="AV29" s="1016"/>
      <c r="AW29" s="1016"/>
      <c r="AX29" s="1016"/>
      <c r="AY29" s="1016"/>
      <c r="AZ29" s="1016"/>
      <c r="BA29" s="1016"/>
      <c r="BB29" s="1016"/>
      <c r="BC29" s="1016"/>
      <c r="BD29" s="1016"/>
      <c r="BE29" s="1016"/>
      <c r="BF29" s="971"/>
      <c r="BG29" s="971"/>
      <c r="BH29" s="971"/>
      <c r="BI29" s="971"/>
      <c r="BJ29" s="971"/>
      <c r="BK29" s="971"/>
      <c r="BL29" s="971"/>
      <c r="BM29" s="971"/>
      <c r="BN29" s="971"/>
      <c r="BO29" s="971"/>
      <c r="BP29" s="971"/>
      <c r="BQ29" s="971"/>
      <c r="BR29" s="971"/>
      <c r="BS29" s="971"/>
      <c r="BT29" s="971"/>
      <c r="BU29" s="971"/>
      <c r="BV29" s="971"/>
      <c r="BW29" s="971"/>
      <c r="BX29" s="971"/>
      <c r="BY29" s="971"/>
      <c r="BZ29" s="971"/>
      <c r="CA29" s="971"/>
      <c r="CB29" s="971"/>
      <c r="CC29" s="971"/>
      <c r="CD29" s="971"/>
      <c r="CE29" s="971"/>
      <c r="CF29" s="971"/>
      <c r="CG29" s="971"/>
      <c r="CH29" s="971"/>
      <c r="CI29" s="971"/>
      <c r="CJ29" s="971"/>
      <c r="CK29" s="971"/>
      <c r="CL29" s="971"/>
      <c r="CM29" s="971"/>
      <c r="CN29" s="971"/>
      <c r="CO29" s="971"/>
      <c r="CP29" s="971"/>
      <c r="CQ29" s="971"/>
      <c r="CR29" s="971"/>
      <c r="CS29" s="971"/>
      <c r="CT29" s="971"/>
      <c r="CU29" s="971"/>
      <c r="CV29" s="971"/>
      <c r="CW29" s="971"/>
      <c r="CX29" s="971"/>
      <c r="CY29" s="971"/>
      <c r="CZ29" s="971"/>
      <c r="DA29" s="971"/>
      <c r="DB29" s="971"/>
      <c r="DC29" s="971"/>
      <c r="DD29" s="971"/>
      <c r="DE29" s="971"/>
      <c r="DF29" s="971"/>
      <c r="DG29" s="971"/>
      <c r="DH29" s="971"/>
      <c r="DI29" s="971"/>
      <c r="DJ29" s="971"/>
      <c r="DK29" s="971"/>
      <c r="DL29" s="971"/>
      <c r="DM29" s="971"/>
      <c r="DN29" s="971"/>
      <c r="DO29" s="971"/>
      <c r="DP29" s="971"/>
      <c r="DQ29" s="971"/>
      <c r="DR29" s="971"/>
      <c r="DS29" s="971"/>
      <c r="DT29" s="971"/>
      <c r="DU29" s="971"/>
      <c r="DV29" s="971"/>
      <c r="DW29" s="971"/>
      <c r="DX29" s="971"/>
      <c r="DY29" s="971"/>
      <c r="DZ29" s="971"/>
      <c r="EA29" s="971"/>
      <c r="EB29" s="971"/>
      <c r="EC29" s="971"/>
      <c r="ED29" s="971"/>
      <c r="EE29" s="971"/>
      <c r="EF29" s="971"/>
      <c r="EG29" s="971"/>
      <c r="EH29" s="971"/>
      <c r="EI29" s="971"/>
      <c r="EJ29" s="971"/>
      <c r="EK29" s="971"/>
      <c r="EL29" s="971"/>
      <c r="EM29" s="971"/>
      <c r="EN29" s="971"/>
      <c r="EO29" s="971"/>
      <c r="EP29" s="971"/>
      <c r="EQ29" s="971"/>
      <c r="ER29" s="971"/>
      <c r="ES29" s="971"/>
      <c r="ET29" s="971"/>
      <c r="EU29" s="971"/>
      <c r="EV29" s="971"/>
      <c r="EW29" s="971"/>
      <c r="EX29" s="971"/>
      <c r="EY29" s="971"/>
      <c r="EZ29" s="971"/>
      <c r="FA29" s="971"/>
      <c r="FB29" s="971"/>
      <c r="FC29" s="971"/>
      <c r="FD29" s="971"/>
      <c r="FE29" s="971"/>
      <c r="FF29" s="971"/>
      <c r="FG29" s="971"/>
      <c r="FH29" s="971"/>
      <c r="FI29" s="971"/>
      <c r="FJ29" s="971"/>
      <c r="FK29" s="971"/>
      <c r="FL29" s="971"/>
      <c r="FM29" s="971"/>
      <c r="FN29" s="971"/>
      <c r="FO29" s="971"/>
      <c r="FP29" s="971"/>
      <c r="FQ29" s="971"/>
      <c r="FR29" s="971"/>
      <c r="FS29" s="971"/>
      <c r="FT29" s="971"/>
      <c r="FU29" s="971"/>
      <c r="FV29" s="971"/>
      <c r="FW29" s="971"/>
      <c r="FX29" s="971"/>
      <c r="FY29" s="971"/>
      <c r="FZ29" s="971"/>
      <c r="GA29" s="971"/>
      <c r="GB29" s="971"/>
      <c r="GC29" s="971"/>
      <c r="GD29" s="971"/>
      <c r="GE29" s="971"/>
      <c r="GF29" s="971"/>
      <c r="GG29" s="971"/>
      <c r="GH29" s="971"/>
      <c r="GI29" s="971"/>
      <c r="GJ29" s="971"/>
      <c r="GK29" s="971"/>
      <c r="GL29" s="971"/>
      <c r="GM29" s="971"/>
      <c r="GN29" s="971"/>
      <c r="GO29" s="971"/>
      <c r="GP29" s="971"/>
      <c r="GQ29" s="971"/>
      <c r="GR29" s="971"/>
      <c r="GS29" s="971"/>
      <c r="GT29" s="971"/>
      <c r="GU29" s="971"/>
      <c r="GV29" s="971"/>
      <c r="GW29" s="971"/>
      <c r="GX29" s="971"/>
      <c r="GY29" s="971"/>
      <c r="GZ29" s="971"/>
      <c r="HA29" s="971"/>
      <c r="HB29" s="971"/>
      <c r="HC29" s="971"/>
      <c r="HD29" s="971"/>
      <c r="HE29" s="971"/>
      <c r="HF29" s="971"/>
      <c r="HG29" s="971"/>
      <c r="HH29" s="971"/>
      <c r="HI29" s="971"/>
      <c r="HJ29" s="971"/>
      <c r="HK29" s="971"/>
      <c r="HL29" s="971"/>
      <c r="HM29" s="971"/>
      <c r="HN29" s="971"/>
      <c r="HO29" s="971"/>
      <c r="HP29" s="971"/>
      <c r="HQ29" s="971"/>
      <c r="HR29" s="971"/>
      <c r="HS29" s="971"/>
      <c r="HT29" s="971"/>
      <c r="HU29" s="971"/>
      <c r="HV29" s="971"/>
      <c r="HW29" s="971"/>
      <c r="HX29" s="971"/>
      <c r="HY29" s="971"/>
      <c r="HZ29" s="971"/>
      <c r="IA29" s="971"/>
      <c r="IB29" s="971"/>
      <c r="IC29" s="971"/>
      <c r="ID29" s="971"/>
      <c r="IE29" s="971"/>
      <c r="IF29" s="971"/>
      <c r="IG29" s="971"/>
      <c r="IH29" s="971"/>
      <c r="II29" s="971"/>
      <c r="IJ29" s="971"/>
      <c r="IK29" s="971"/>
      <c r="IL29" s="971"/>
      <c r="IM29" s="971"/>
      <c r="IN29" s="971"/>
      <c r="IO29" s="971"/>
      <c r="IP29" s="971"/>
      <c r="IQ29" s="971"/>
      <c r="IR29" s="971"/>
      <c r="IS29" s="971"/>
      <c r="IT29" s="971"/>
      <c r="IU29" s="971"/>
      <c r="IV29" s="971"/>
      <c r="IW29" s="971"/>
      <c r="IX29" s="971"/>
      <c r="IY29" s="971"/>
      <c r="IZ29" s="971"/>
      <c r="JA29" s="971"/>
      <c r="JB29" s="971"/>
      <c r="JC29" s="971"/>
      <c r="JD29" s="971"/>
      <c r="JE29" s="971"/>
      <c r="JF29" s="971"/>
      <c r="JG29" s="971"/>
      <c r="JH29" s="971"/>
      <c r="JI29" s="971"/>
      <c r="JJ29" s="971"/>
      <c r="JK29" s="971"/>
      <c r="JL29" s="971"/>
      <c r="JM29" s="971"/>
      <c r="JN29" s="971"/>
      <c r="JO29" s="971"/>
      <c r="JP29" s="971"/>
      <c r="JQ29" s="971"/>
      <c r="JR29" s="971"/>
      <c r="JS29" s="971"/>
      <c r="JT29" s="971"/>
      <c r="JU29" s="971"/>
      <c r="JV29" s="971"/>
      <c r="JW29" s="971"/>
      <c r="JX29" s="971"/>
      <c r="JY29" s="971"/>
      <c r="JZ29" s="971"/>
      <c r="KA29" s="971"/>
      <c r="KB29" s="971"/>
      <c r="KC29" s="971"/>
      <c r="KD29" s="971"/>
      <c r="KE29" s="971"/>
      <c r="KF29" s="971"/>
      <c r="KG29" s="971"/>
      <c r="KH29" s="971"/>
      <c r="KI29" s="971"/>
      <c r="KJ29" s="971"/>
      <c r="KK29" s="971"/>
      <c r="KL29" s="971"/>
      <c r="KM29" s="971"/>
      <c r="KN29" s="971"/>
      <c r="KO29" s="971"/>
      <c r="KP29" s="971"/>
      <c r="KQ29" s="971"/>
      <c r="KR29" s="971"/>
      <c r="KS29" s="971"/>
      <c r="KT29" s="971"/>
      <c r="KU29" s="971"/>
      <c r="KV29" s="971"/>
      <c r="KW29" s="971"/>
      <c r="KX29" s="971"/>
      <c r="KY29" s="971"/>
      <c r="KZ29" s="971"/>
      <c r="LA29" s="971"/>
      <c r="LB29" s="971"/>
      <c r="LC29" s="971"/>
      <c r="LD29" s="971"/>
      <c r="LE29" s="971"/>
      <c r="LF29" s="971"/>
      <c r="LG29" s="971"/>
      <c r="LH29" s="971"/>
      <c r="LI29" s="971"/>
      <c r="LJ29" s="971"/>
      <c r="LK29" s="971"/>
      <c r="LL29" s="971"/>
      <c r="LM29" s="971"/>
      <c r="LN29" s="971"/>
      <c r="LO29" s="971"/>
      <c r="LP29" s="971"/>
      <c r="LQ29" s="971"/>
      <c r="LR29" s="971"/>
      <c r="LS29" s="971"/>
      <c r="LT29" s="971"/>
      <c r="LU29" s="971"/>
      <c r="LV29" s="971"/>
      <c r="LW29" s="971"/>
      <c r="LX29" s="971"/>
      <c r="LY29" s="971"/>
      <c r="LZ29" s="971"/>
      <c r="MA29" s="971"/>
      <c r="MB29" s="971"/>
      <c r="MC29" s="971"/>
      <c r="MD29" s="971"/>
      <c r="ME29" s="971"/>
      <c r="MF29" s="971"/>
      <c r="MG29" s="971"/>
      <c r="MH29" s="971"/>
      <c r="MI29" s="971"/>
      <c r="MJ29" s="971"/>
      <c r="MK29" s="971"/>
      <c r="ML29" s="971"/>
      <c r="MM29" s="971"/>
      <c r="MN29" s="971"/>
      <c r="MO29" s="971"/>
      <c r="MP29" s="971"/>
      <c r="MQ29" s="971"/>
      <c r="MR29" s="971"/>
      <c r="MS29" s="971"/>
      <c r="MT29" s="971"/>
      <c r="MU29" s="971"/>
      <c r="MV29" s="971"/>
      <c r="MW29" s="971"/>
      <c r="MX29" s="971"/>
      <c r="MY29" s="971"/>
      <c r="MZ29" s="971"/>
      <c r="NA29" s="971"/>
      <c r="NB29" s="971"/>
      <c r="NC29" s="971"/>
      <c r="ND29" s="971"/>
      <c r="NE29" s="971"/>
      <c r="NF29" s="971"/>
      <c r="NG29" s="971"/>
      <c r="NH29" s="971"/>
      <c r="NI29" s="971"/>
      <c r="NJ29" s="971"/>
      <c r="NK29" s="971"/>
      <c r="NL29" s="971"/>
      <c r="NM29" s="971"/>
      <c r="NN29" s="971"/>
      <c r="NO29" s="971"/>
      <c r="NP29" s="971"/>
      <c r="NQ29" s="971"/>
      <c r="NR29" s="971"/>
      <c r="NS29" s="971"/>
      <c r="NT29" s="971"/>
      <c r="NU29" s="971"/>
      <c r="NV29" s="971"/>
      <c r="NW29" s="971"/>
      <c r="NX29" s="971"/>
      <c r="NY29" s="971"/>
      <c r="NZ29" s="971"/>
      <c r="OA29" s="971"/>
      <c r="OB29" s="971"/>
      <c r="OC29" s="971"/>
      <c r="OD29" s="971"/>
      <c r="OE29" s="971"/>
      <c r="OF29" s="971"/>
      <c r="OG29" s="971"/>
      <c r="OH29" s="971"/>
      <c r="OI29" s="971"/>
      <c r="OJ29" s="971"/>
      <c r="OK29" s="971"/>
      <c r="OL29" s="971"/>
      <c r="OM29" s="971"/>
      <c r="ON29" s="971"/>
      <c r="OO29" s="971"/>
      <c r="OP29" s="971"/>
      <c r="OQ29" s="971"/>
      <c r="OR29" s="971"/>
      <c r="OS29" s="971"/>
      <c r="OT29" s="971"/>
      <c r="OU29" s="971"/>
      <c r="OV29" s="971"/>
      <c r="OW29" s="971"/>
      <c r="OX29" s="971"/>
      <c r="OY29" s="971"/>
      <c r="OZ29" s="971"/>
      <c r="PA29" s="971"/>
      <c r="PB29" s="971"/>
      <c r="PC29" s="971"/>
      <c r="PD29" s="971"/>
      <c r="PE29" s="971"/>
      <c r="PF29" s="971"/>
      <c r="PG29" s="971"/>
      <c r="PH29" s="971"/>
      <c r="PI29" s="971"/>
      <c r="PJ29" s="971"/>
      <c r="PK29" s="971"/>
      <c r="PL29" s="971"/>
      <c r="PM29" s="971"/>
      <c r="PN29" s="971"/>
      <c r="PO29" s="971"/>
      <c r="PP29" s="971"/>
      <c r="PQ29" s="971"/>
      <c r="PR29" s="971"/>
      <c r="PS29" s="971"/>
      <c r="PT29" s="971"/>
      <c r="PU29" s="971"/>
      <c r="PV29" s="971"/>
      <c r="PW29" s="971"/>
      <c r="PX29" s="971"/>
      <c r="PY29" s="971"/>
      <c r="PZ29" s="971"/>
      <c r="QA29" s="971"/>
      <c r="QB29" s="971"/>
      <c r="QC29" s="971"/>
      <c r="QD29" s="971"/>
      <c r="QE29" s="971"/>
      <c r="QF29" s="971"/>
      <c r="QG29" s="971"/>
      <c r="QH29" s="971"/>
      <c r="QI29" s="971"/>
      <c r="QJ29" s="971"/>
      <c r="QK29" s="971"/>
      <c r="QL29" s="971"/>
      <c r="QM29" s="971"/>
      <c r="QN29" s="971"/>
      <c r="QO29" s="971"/>
      <c r="QP29" s="971"/>
      <c r="QQ29" s="971"/>
      <c r="QR29" s="971"/>
      <c r="QS29" s="971"/>
      <c r="QT29" s="971"/>
      <c r="QU29" s="971"/>
      <c r="QV29" s="971"/>
      <c r="QW29" s="971"/>
      <c r="QX29" s="971"/>
      <c r="QY29" s="971"/>
      <c r="QZ29" s="971"/>
      <c r="RA29" s="971"/>
      <c r="RB29" s="971"/>
      <c r="RC29" s="971"/>
      <c r="RD29" s="971"/>
      <c r="RE29" s="971"/>
      <c r="RF29" s="971"/>
      <c r="RG29" s="971"/>
      <c r="RH29" s="971"/>
      <c r="RI29" s="971"/>
      <c r="RJ29" s="971"/>
      <c r="RK29" s="971"/>
      <c r="RL29" s="971"/>
      <c r="RM29" s="971"/>
      <c r="RN29" s="971"/>
      <c r="RO29" s="971"/>
      <c r="RP29" s="971"/>
      <c r="RQ29" s="971"/>
      <c r="RR29" s="971"/>
      <c r="RS29" s="971"/>
      <c r="RT29" s="971"/>
      <c r="RU29" s="971"/>
      <c r="RV29" s="971"/>
      <c r="RW29" s="971"/>
      <c r="RX29" s="971"/>
      <c r="RY29" s="971"/>
      <c r="RZ29" s="971"/>
      <c r="SA29" s="971"/>
      <c r="SB29" s="971"/>
      <c r="SC29" s="971"/>
      <c r="SD29" s="971"/>
      <c r="SE29" s="971"/>
      <c r="SF29" s="971"/>
      <c r="SG29" s="971"/>
      <c r="SH29" s="971"/>
      <c r="SI29" s="971"/>
      <c r="SJ29" s="971"/>
      <c r="SK29" s="971"/>
      <c r="SL29" s="971"/>
      <c r="SM29" s="971"/>
      <c r="SN29" s="971"/>
      <c r="SO29" s="971"/>
      <c r="SP29" s="971"/>
      <c r="SQ29" s="971"/>
      <c r="SR29" s="971"/>
    </row>
    <row r="30" spans="1:512" ht="15" customHeight="1">
      <c r="A30"/>
      <c r="B30" t="s">
        <v>2209</v>
      </c>
      <c r="C30"/>
      <c r="D30"/>
      <c r="E30" t="s">
        <v>350</v>
      </c>
      <c r="F30"/>
      <c r="G30" s="970">
        <v>30</v>
      </c>
      <c r="H30" s="970">
        <v>22</v>
      </c>
      <c r="I30" s="970"/>
      <c r="J30" s="970"/>
      <c r="K30" s="970"/>
      <c r="L30" s="970"/>
      <c r="M30" s="970"/>
      <c r="N30" s="970"/>
      <c r="O30" s="970"/>
      <c r="P30" s="970"/>
      <c r="Q30" s="970"/>
      <c r="R30" s="970"/>
      <c r="S30" s="970"/>
      <c r="T30" s="970"/>
      <c r="U30" s="970"/>
      <c r="V30" s="970"/>
      <c r="W30" s="970"/>
      <c r="X30" s="970"/>
      <c r="Y30" s="970"/>
      <c r="Z30" s="970"/>
      <c r="AA30" s="970"/>
      <c r="AB30" s="970"/>
      <c r="AC30" s="970"/>
      <c r="AD30" s="970"/>
      <c r="AE30" s="970"/>
      <c r="AF30" s="970"/>
      <c r="AG30" s="970"/>
      <c r="AH30" s="970"/>
      <c r="AI30" s="970"/>
      <c r="AJ30" s="970"/>
      <c r="AK30" s="970"/>
      <c r="AL30" s="970"/>
      <c r="AM30" s="970"/>
      <c r="AN30" s="970"/>
      <c r="AO30" s="970"/>
      <c r="AP30" s="970"/>
      <c r="AQ30" s="970"/>
      <c r="AR30" s="970"/>
      <c r="AS30" s="970"/>
      <c r="AT30" s="970"/>
      <c r="AU30" s="970"/>
      <c r="AV30" s="970"/>
      <c r="AW30" s="970"/>
      <c r="AX30" s="970"/>
      <c r="AY30" s="970"/>
      <c r="AZ30" s="970"/>
      <c r="BA30" s="970"/>
      <c r="BB30" s="970"/>
      <c r="BC30" s="970"/>
      <c r="BD30" s="970"/>
      <c r="BE30" s="970"/>
      <c r="BF30" s="970"/>
      <c r="BG30" s="970"/>
      <c r="BH30" s="970"/>
      <c r="BI30" s="970"/>
      <c r="BJ30" s="970"/>
      <c r="BK30" s="970"/>
      <c r="BL30" s="970"/>
      <c r="BM30" s="970"/>
      <c r="BN30" s="970"/>
      <c r="BO30" s="970"/>
      <c r="BP30" s="970"/>
      <c r="BQ30" s="970"/>
      <c r="BR30" s="970"/>
      <c r="BS30" s="970"/>
      <c r="BT30" s="970"/>
      <c r="BU30" s="970"/>
      <c r="BV30" s="970"/>
      <c r="BW30" s="970"/>
      <c r="BX30" s="970"/>
      <c r="BY30" s="970"/>
      <c r="BZ30" s="970"/>
      <c r="CA30" s="970"/>
      <c r="CB30" s="970"/>
      <c r="CC30" s="970"/>
      <c r="CD30" s="970"/>
      <c r="CE30" s="970"/>
      <c r="CF30" s="970"/>
      <c r="CG30" s="970"/>
      <c r="CH30" s="970"/>
      <c r="CI30" s="970"/>
      <c r="CJ30" s="970"/>
      <c r="CK30" s="970"/>
      <c r="CL30" s="970"/>
      <c r="CM30" s="970"/>
      <c r="CN30" s="970"/>
      <c r="CO30" s="970"/>
      <c r="CP30" s="970"/>
      <c r="CQ30" s="970"/>
      <c r="CR30" s="970"/>
      <c r="CS30" s="970"/>
      <c r="CT30" s="970"/>
      <c r="CU30" s="970"/>
      <c r="CV30" s="970"/>
      <c r="CW30" s="970"/>
      <c r="CX30" s="970"/>
      <c r="CY30" s="970"/>
      <c r="CZ30" s="970"/>
      <c r="DA30" s="970"/>
      <c r="DB30" s="970"/>
      <c r="DC30" s="970"/>
      <c r="DD30" s="970"/>
      <c r="DE30" s="970"/>
      <c r="DF30" s="970"/>
      <c r="DG30" s="970"/>
      <c r="DH30" s="970"/>
      <c r="DI30" s="970"/>
      <c r="DJ30" s="970"/>
      <c r="DK30" s="970"/>
      <c r="DL30" s="970"/>
      <c r="DM30" s="970"/>
      <c r="DN30" s="970"/>
      <c r="DO30" s="970"/>
      <c r="DP30" s="970"/>
      <c r="DQ30" s="970"/>
      <c r="DR30" s="970"/>
      <c r="DS30" s="970"/>
      <c r="DT30" s="970"/>
      <c r="DU30" s="970"/>
      <c r="DV30" s="970"/>
      <c r="DW30" s="970"/>
      <c r="DX30" s="970"/>
      <c r="DY30" s="970"/>
      <c r="DZ30" s="970"/>
      <c r="EA30" s="970"/>
      <c r="EB30" s="970"/>
      <c r="EC30" s="970"/>
      <c r="ED30" s="970"/>
      <c r="EE30" s="970"/>
      <c r="EF30" s="970"/>
      <c r="EG30" s="970"/>
      <c r="EH30" s="970"/>
      <c r="EI30" s="970"/>
      <c r="EJ30" s="970"/>
      <c r="EK30" s="970"/>
      <c r="EL30" s="970"/>
      <c r="EM30" s="970"/>
      <c r="EN30" s="970"/>
      <c r="EO30" s="970"/>
      <c r="EP30" s="970"/>
      <c r="EQ30" s="970"/>
      <c r="ER30" s="970"/>
      <c r="ES30" s="970"/>
      <c r="ET30" s="970"/>
      <c r="EU30" s="970"/>
      <c r="EV30" s="970"/>
      <c r="EW30" s="970"/>
      <c r="EX30" s="970"/>
      <c r="EY30" s="970"/>
      <c r="EZ30" s="970"/>
      <c r="FA30" s="970"/>
      <c r="FB30" s="970"/>
      <c r="FC30" s="970"/>
      <c r="FD30" s="970"/>
      <c r="FE30" s="970"/>
      <c r="FF30" s="970"/>
      <c r="FG30" s="970"/>
      <c r="FH30" s="970"/>
      <c r="FI30" s="970"/>
      <c r="FJ30" s="970"/>
      <c r="FK30" s="970"/>
      <c r="FL30" s="970"/>
      <c r="FM30" s="970"/>
      <c r="FN30" s="970"/>
      <c r="FO30" s="970"/>
      <c r="FP30" s="970"/>
      <c r="FQ30" s="970"/>
      <c r="FR30" s="970"/>
      <c r="FS30" s="970"/>
      <c r="FT30" s="970"/>
      <c r="FU30" s="970"/>
      <c r="FV30" s="970"/>
      <c r="FW30" s="970"/>
      <c r="FX30" s="970"/>
      <c r="FY30" s="970"/>
      <c r="FZ30" s="970"/>
      <c r="GA30" s="970"/>
      <c r="GB30" s="970"/>
      <c r="GC30" s="970"/>
      <c r="GD30" s="970"/>
      <c r="GE30" s="970"/>
      <c r="GF30" s="970"/>
      <c r="GG30" s="970"/>
      <c r="GH30" s="970"/>
      <c r="GI30" s="970"/>
      <c r="GJ30" s="970"/>
      <c r="GK30" s="970"/>
      <c r="GL30" s="970"/>
      <c r="GM30" s="970"/>
      <c r="GN30" s="970"/>
      <c r="GO30" s="970"/>
      <c r="GP30" s="970"/>
      <c r="GQ30" s="970"/>
      <c r="GR30" s="970"/>
      <c r="GS30" s="970"/>
      <c r="GT30" s="970"/>
      <c r="GU30" s="970"/>
      <c r="GV30" s="970"/>
      <c r="GW30" s="970"/>
      <c r="GX30" s="970"/>
      <c r="GY30" s="970"/>
      <c r="GZ30" s="970"/>
      <c r="HA30" s="970"/>
      <c r="HB30" s="970"/>
      <c r="HC30" s="970"/>
      <c r="HD30" s="970"/>
      <c r="HE30" s="970"/>
      <c r="HF30" s="970"/>
      <c r="HG30" s="970"/>
      <c r="HH30" s="970"/>
      <c r="HI30" s="970"/>
      <c r="HJ30" s="970"/>
      <c r="HK30" s="970"/>
      <c r="HL30" s="970"/>
      <c r="HM30" s="970"/>
      <c r="HN30" s="970"/>
      <c r="HO30" s="970"/>
      <c r="HP30" s="970"/>
      <c r="HQ30" s="970"/>
      <c r="HR30" s="970"/>
      <c r="HS30" s="970"/>
      <c r="HT30" s="970"/>
      <c r="HU30" s="970"/>
      <c r="HV30" s="970"/>
      <c r="HW30" s="970"/>
      <c r="HX30" s="970"/>
      <c r="HY30" s="970"/>
      <c r="HZ30" s="970"/>
      <c r="IA30" s="970"/>
      <c r="IB30" s="970"/>
      <c r="IC30" s="970"/>
      <c r="ID30" s="970"/>
      <c r="IE30" s="970"/>
      <c r="IF30" s="970"/>
      <c r="IG30" s="970"/>
      <c r="IH30" s="970"/>
      <c r="II30" s="970"/>
      <c r="IJ30" s="970"/>
      <c r="IK30" s="970"/>
      <c r="IL30" s="970"/>
      <c r="IM30" s="970"/>
      <c r="IN30" s="970"/>
      <c r="IO30" s="970"/>
      <c r="IP30" s="970"/>
      <c r="IQ30" s="970"/>
      <c r="IR30" s="970"/>
      <c r="IS30" s="970"/>
      <c r="IT30" s="970"/>
      <c r="IU30" s="970"/>
      <c r="IV30" s="970"/>
      <c r="IW30" s="970"/>
      <c r="IX30" s="970"/>
      <c r="IY30" s="970"/>
      <c r="IZ30" s="970"/>
      <c r="JA30" s="970"/>
      <c r="JB30" s="970"/>
      <c r="JC30" s="970"/>
      <c r="JD30" s="970"/>
      <c r="JE30" s="970"/>
      <c r="JF30" s="970"/>
      <c r="JG30" s="970"/>
      <c r="JH30" s="970"/>
      <c r="JI30" s="970"/>
      <c r="JJ30" s="970"/>
      <c r="JK30" s="970"/>
      <c r="JL30" s="970"/>
      <c r="JM30" s="970"/>
      <c r="JN30" s="970"/>
      <c r="JO30" s="970"/>
      <c r="JP30" s="970"/>
      <c r="JQ30" s="970"/>
      <c r="JR30" s="970"/>
      <c r="JS30" s="970"/>
      <c r="JT30" s="970"/>
      <c r="JU30" s="970"/>
      <c r="JV30" s="970"/>
      <c r="JW30" s="970"/>
      <c r="JX30" s="970"/>
      <c r="JY30" s="970"/>
      <c r="JZ30" s="970"/>
      <c r="KA30" s="970"/>
      <c r="KB30" s="970"/>
      <c r="KC30" s="970"/>
      <c r="KD30" s="970"/>
      <c r="KE30" s="970"/>
      <c r="KF30" s="970"/>
      <c r="KG30" s="970"/>
      <c r="KH30" s="970"/>
      <c r="KI30" s="970"/>
      <c r="KJ30" s="970"/>
      <c r="KK30" s="970"/>
      <c r="KL30" s="970"/>
      <c r="KM30" s="970"/>
      <c r="KN30" s="970"/>
      <c r="KO30" s="970"/>
      <c r="KP30" s="970"/>
      <c r="KQ30" s="970"/>
      <c r="KR30" s="970"/>
      <c r="KS30" s="970"/>
      <c r="KT30" s="970"/>
      <c r="KU30" s="970"/>
      <c r="KV30" s="970"/>
      <c r="KW30" s="970"/>
      <c r="KX30" s="970"/>
      <c r="KY30" s="970"/>
      <c r="KZ30" s="970"/>
      <c r="LA30" s="970"/>
      <c r="LB30" s="970"/>
      <c r="LC30" s="970"/>
      <c r="LD30" s="970"/>
      <c r="LE30" s="970"/>
      <c r="LF30" s="970"/>
      <c r="LG30" s="970"/>
      <c r="LH30" s="970"/>
      <c r="LI30" s="970"/>
      <c r="LJ30" s="970"/>
      <c r="LK30" s="970"/>
      <c r="LL30" s="970"/>
      <c r="LM30" s="970"/>
      <c r="LN30" s="970"/>
      <c r="LO30" s="970"/>
      <c r="LP30" s="970"/>
      <c r="LQ30" s="970"/>
      <c r="LR30" s="970"/>
      <c r="LS30" s="970"/>
      <c r="LT30" s="970"/>
      <c r="LU30" s="970"/>
      <c r="LV30" s="970"/>
      <c r="LW30" s="970"/>
      <c r="LX30" s="970"/>
      <c r="LY30" s="970"/>
      <c r="LZ30" s="970"/>
      <c r="MA30" s="970"/>
      <c r="MB30" s="970"/>
      <c r="MC30" s="970"/>
      <c r="MD30" s="970"/>
      <c r="ME30" s="970"/>
      <c r="MF30" s="970"/>
      <c r="MG30" s="970"/>
      <c r="MH30" s="970"/>
      <c r="MI30" s="970"/>
      <c r="MJ30" s="970"/>
      <c r="MK30" s="970"/>
      <c r="ML30" s="970"/>
      <c r="MM30" s="970"/>
      <c r="MN30" s="970"/>
      <c r="MO30" s="970"/>
      <c r="MP30" s="970"/>
      <c r="MQ30" s="970"/>
      <c r="MR30" s="970"/>
      <c r="MS30" s="970"/>
      <c r="MT30" s="970"/>
      <c r="MU30" s="970"/>
      <c r="MV30" s="970"/>
      <c r="MW30" s="970"/>
      <c r="MX30" s="970"/>
      <c r="MY30" s="970"/>
      <c r="MZ30" s="970"/>
      <c r="NA30" s="970"/>
      <c r="NB30" s="970"/>
      <c r="NC30" s="970"/>
      <c r="ND30" s="970"/>
      <c r="NE30" s="970"/>
      <c r="NF30" s="970"/>
      <c r="NG30" s="970"/>
      <c r="NH30" s="970"/>
      <c r="NI30" s="970"/>
      <c r="NJ30" s="970"/>
      <c r="NK30" s="970"/>
      <c r="NL30" s="970"/>
      <c r="NM30" s="970"/>
      <c r="NN30" s="970"/>
      <c r="NO30" s="970"/>
      <c r="NP30" s="970"/>
      <c r="NQ30" s="970"/>
      <c r="NR30" s="970"/>
      <c r="NS30" s="970"/>
      <c r="NT30" s="970"/>
      <c r="NU30" s="970"/>
      <c r="NV30" s="970"/>
      <c r="NW30" s="970"/>
      <c r="NX30" s="970"/>
      <c r="NY30" s="970"/>
      <c r="NZ30" s="970"/>
      <c r="OA30" s="970"/>
      <c r="OB30" s="970"/>
      <c r="OC30" s="970"/>
      <c r="OD30" s="970"/>
      <c r="OE30" s="970"/>
      <c r="OF30" s="970"/>
      <c r="OG30" s="970"/>
      <c r="OH30" s="970"/>
      <c r="OI30" s="970"/>
      <c r="OJ30" s="970"/>
      <c r="OK30" s="970"/>
      <c r="OL30" s="970"/>
      <c r="OM30" s="970"/>
      <c r="ON30" s="970"/>
      <c r="OO30" s="970"/>
      <c r="OP30" s="970"/>
      <c r="OQ30" s="970"/>
      <c r="OR30" s="970"/>
      <c r="OS30" s="970"/>
      <c r="OT30" s="970"/>
      <c r="OU30" s="970"/>
      <c r="OV30" s="970"/>
      <c r="OW30" s="970"/>
      <c r="OX30" s="970"/>
      <c r="OY30" s="970"/>
      <c r="OZ30" s="970"/>
      <c r="PA30" s="970"/>
      <c r="PB30" s="970"/>
      <c r="PC30" s="970"/>
      <c r="PD30" s="970"/>
      <c r="PE30" s="970"/>
      <c r="PF30" s="970"/>
      <c r="PG30" s="970"/>
      <c r="PH30" s="970"/>
      <c r="PI30" s="970"/>
      <c r="PJ30" s="970"/>
      <c r="PK30" s="970"/>
      <c r="PL30" s="970"/>
      <c r="PM30" s="970"/>
      <c r="PN30" s="970"/>
      <c r="PO30" s="970"/>
      <c r="PP30" s="970"/>
      <c r="PQ30" s="970"/>
      <c r="PR30" s="970"/>
      <c r="PS30" s="970"/>
      <c r="PT30" s="970"/>
      <c r="PU30" s="970"/>
      <c r="PV30" s="970"/>
      <c r="PW30" s="970"/>
      <c r="PX30" s="970"/>
      <c r="PY30" s="970"/>
      <c r="PZ30" s="970"/>
      <c r="QA30" s="970"/>
      <c r="QB30" s="970"/>
      <c r="QC30" s="970"/>
      <c r="QD30" s="970"/>
      <c r="QE30" s="970"/>
      <c r="QF30" s="970"/>
      <c r="QG30" s="970"/>
      <c r="QH30" s="970"/>
      <c r="QI30" s="970"/>
      <c r="QJ30" s="970"/>
      <c r="QK30" s="970"/>
      <c r="QL30" s="970"/>
      <c r="QM30" s="970"/>
      <c r="QN30" s="970"/>
      <c r="QO30" s="970"/>
      <c r="QP30" s="970"/>
      <c r="QQ30" s="970"/>
      <c r="QR30" s="970"/>
      <c r="QS30" s="970"/>
      <c r="QT30" s="970"/>
      <c r="QU30" s="970"/>
      <c r="QV30" s="970"/>
      <c r="QW30" s="970"/>
      <c r="QX30" s="970"/>
      <c r="QY30" s="970"/>
      <c r="QZ30" s="970"/>
      <c r="RA30" s="970"/>
      <c r="RB30" s="970"/>
      <c r="RC30" s="970"/>
      <c r="RD30" s="970"/>
      <c r="RE30" s="970"/>
      <c r="RF30" s="970"/>
      <c r="RG30" s="970"/>
      <c r="RH30" s="970"/>
      <c r="RI30" s="970"/>
      <c r="RJ30" s="970"/>
      <c r="RK30" s="970"/>
      <c r="RL30" s="970"/>
      <c r="RM30" s="970"/>
      <c r="RN30" s="970"/>
      <c r="RO30" s="970"/>
      <c r="RP30" s="970"/>
      <c r="RQ30" s="970"/>
      <c r="RR30" s="970"/>
      <c r="RS30" s="970"/>
      <c r="RT30" s="970"/>
      <c r="RU30" s="970"/>
      <c r="RV30" s="970"/>
      <c r="RW30" s="970"/>
      <c r="RX30" s="970"/>
      <c r="RY30" s="970"/>
      <c r="RZ30" s="970"/>
      <c r="SA30" s="970"/>
      <c r="SB30" s="970"/>
      <c r="SC30" s="970"/>
      <c r="SD30" s="970"/>
      <c r="SE30" s="970"/>
      <c r="SF30" s="970"/>
      <c r="SG30" s="970"/>
      <c r="SH30" s="970"/>
      <c r="SI30" s="970"/>
      <c r="SJ30" s="970"/>
      <c r="SK30" s="970"/>
      <c r="SL30" s="970"/>
      <c r="SM30" s="970"/>
      <c r="SN30" s="970"/>
      <c r="SO30" s="970"/>
      <c r="SP30" s="970"/>
      <c r="SQ30" s="970"/>
      <c r="SR30" s="970"/>
    </row>
    <row r="31" spans="1:512" ht="15" customHeight="1">
      <c r="A31"/>
      <c r="B31" t="s">
        <v>2210</v>
      </c>
      <c r="C31"/>
      <c r="D31"/>
      <c r="E31"/>
      <c r="F31"/>
      <c r="G31" s="973"/>
      <c r="H31" s="973"/>
      <c r="I31" s="973"/>
      <c r="J31" s="973"/>
      <c r="K31" s="973"/>
      <c r="L31" s="973"/>
      <c r="M31" s="973"/>
      <c r="N31" s="973"/>
      <c r="O31" s="973"/>
      <c r="P31" s="973"/>
      <c r="Q31" s="973"/>
      <c r="R31" s="973"/>
      <c r="S31" s="973"/>
      <c r="T31" s="973"/>
      <c r="U31" s="1017"/>
      <c r="V31" s="1017"/>
      <c r="W31" s="1017"/>
      <c r="X31" s="1017"/>
      <c r="Y31" s="1017"/>
      <c r="Z31" s="1017"/>
      <c r="AA31" s="1017"/>
      <c r="AB31" s="1017"/>
      <c r="AC31" s="1017"/>
      <c r="AD31" s="1017"/>
      <c r="AE31" s="1017"/>
      <c r="AF31" s="1017"/>
      <c r="AG31" s="1017"/>
      <c r="AH31" s="1017"/>
      <c r="AI31" s="1017"/>
      <c r="AJ31" s="1017"/>
      <c r="AK31" s="1017"/>
      <c r="AL31" s="1017"/>
      <c r="AM31" s="1017"/>
      <c r="AN31" s="1017"/>
      <c r="AO31" s="1017"/>
      <c r="AP31" s="1017"/>
      <c r="AQ31" s="1017"/>
      <c r="AR31" s="1017"/>
      <c r="AS31" s="1017"/>
      <c r="AT31" s="1017"/>
      <c r="AU31" s="1017"/>
      <c r="AV31" s="1017"/>
      <c r="AW31" s="1017"/>
      <c r="AX31" s="1017"/>
      <c r="AY31" s="1017"/>
      <c r="AZ31" s="1017"/>
      <c r="BA31" s="1017"/>
      <c r="BB31" s="1017"/>
      <c r="BC31" s="1017"/>
      <c r="BD31" s="1017"/>
      <c r="BE31" s="1017"/>
      <c r="BF31" s="971"/>
      <c r="BG31" s="971"/>
      <c r="BH31" s="971"/>
      <c r="BI31" s="971"/>
      <c r="BJ31" s="971"/>
      <c r="BK31" s="971"/>
      <c r="BL31" s="971"/>
      <c r="BM31" s="971"/>
      <c r="BN31" s="971"/>
      <c r="BO31" s="971"/>
      <c r="BP31" s="971"/>
      <c r="BQ31" s="971"/>
      <c r="BR31" s="971"/>
      <c r="BS31" s="971"/>
      <c r="BT31" s="971"/>
      <c r="BU31" s="971"/>
      <c r="BV31" s="971"/>
      <c r="BW31" s="971"/>
      <c r="BX31" s="971"/>
      <c r="BY31" s="971"/>
      <c r="BZ31" s="971"/>
      <c r="CA31" s="971"/>
      <c r="CB31" s="971"/>
      <c r="CC31" s="971"/>
      <c r="CD31" s="971"/>
      <c r="CE31" s="971"/>
      <c r="CF31" s="971"/>
      <c r="CG31" s="971"/>
      <c r="CH31" s="971"/>
      <c r="CI31" s="971"/>
      <c r="CJ31" s="971"/>
      <c r="CK31" s="971"/>
      <c r="CL31" s="971"/>
      <c r="CM31" s="971"/>
      <c r="CN31" s="971"/>
      <c r="CO31" s="971"/>
      <c r="CP31" s="971"/>
      <c r="CQ31" s="971"/>
      <c r="CR31" s="971"/>
      <c r="CS31" s="971"/>
      <c r="CT31" s="971"/>
      <c r="CU31" s="971"/>
      <c r="CV31" s="971"/>
      <c r="CW31" s="971"/>
      <c r="CX31" s="971"/>
      <c r="CY31" s="971"/>
      <c r="CZ31" s="971"/>
      <c r="DA31" s="971"/>
      <c r="DB31" s="971"/>
      <c r="DC31" s="971"/>
      <c r="DD31" s="971"/>
      <c r="DE31" s="971"/>
      <c r="DF31" s="971"/>
      <c r="DG31" s="971"/>
      <c r="DH31" s="971"/>
      <c r="DI31" s="971"/>
      <c r="DJ31" s="971"/>
      <c r="DK31" s="971"/>
      <c r="DL31" s="971"/>
      <c r="DM31" s="971"/>
      <c r="DN31" s="971"/>
      <c r="DO31" s="971"/>
      <c r="DP31" s="971"/>
      <c r="DQ31" s="971"/>
      <c r="DR31" s="971"/>
      <c r="DS31" s="971"/>
      <c r="DT31" s="971"/>
      <c r="DU31" s="971"/>
      <c r="DV31" s="971"/>
      <c r="DW31" s="971"/>
      <c r="DX31" s="971"/>
      <c r="DY31" s="971"/>
      <c r="DZ31" s="971"/>
      <c r="EA31" s="971"/>
      <c r="EB31" s="971"/>
      <c r="EC31" s="971"/>
      <c r="ED31" s="971"/>
      <c r="EE31" s="971"/>
      <c r="EF31" s="971"/>
      <c r="EG31" s="971"/>
      <c r="EH31" s="971"/>
      <c r="EI31" s="971"/>
      <c r="EJ31" s="971"/>
      <c r="EK31" s="971"/>
      <c r="EL31" s="971"/>
      <c r="EM31" s="971"/>
      <c r="EN31" s="971"/>
      <c r="EO31" s="971"/>
      <c r="EP31" s="971"/>
      <c r="EQ31" s="971"/>
      <c r="ER31" s="971"/>
      <c r="ES31" s="971"/>
      <c r="ET31" s="971"/>
      <c r="EU31" s="971"/>
      <c r="EV31" s="971"/>
      <c r="EW31" s="971"/>
      <c r="EX31" s="971"/>
      <c r="EY31" s="971"/>
      <c r="EZ31" s="971"/>
      <c r="FA31" s="971"/>
      <c r="FB31" s="971"/>
      <c r="FC31" s="971"/>
      <c r="FD31" s="971"/>
      <c r="FE31" s="971"/>
      <c r="FF31" s="971"/>
      <c r="FG31" s="971"/>
      <c r="FH31" s="971"/>
      <c r="FI31" s="971"/>
      <c r="FJ31" s="971"/>
      <c r="FK31" s="971"/>
      <c r="FL31" s="971"/>
      <c r="FM31" s="971"/>
      <c r="FN31" s="971"/>
      <c r="FO31" s="971"/>
      <c r="FP31" s="971"/>
      <c r="FQ31" s="971"/>
      <c r="FR31" s="971"/>
      <c r="FS31" s="971"/>
      <c r="FT31" s="971"/>
      <c r="FU31" s="971"/>
      <c r="FV31" s="971"/>
      <c r="FW31" s="971"/>
      <c r="FX31" s="971"/>
      <c r="FY31" s="971"/>
      <c r="FZ31" s="971"/>
      <c r="GA31" s="971"/>
      <c r="GB31" s="971"/>
      <c r="GC31" s="971"/>
      <c r="GD31" s="971"/>
      <c r="GE31" s="971"/>
      <c r="GF31" s="971"/>
      <c r="GG31" s="971"/>
      <c r="GH31" s="971"/>
      <c r="GI31" s="971"/>
      <c r="GJ31" s="971"/>
      <c r="GK31" s="971"/>
      <c r="GL31" s="971"/>
      <c r="GM31" s="971"/>
      <c r="GN31" s="971"/>
      <c r="GO31" s="971"/>
      <c r="GP31" s="971"/>
      <c r="GQ31" s="971"/>
      <c r="GR31" s="971"/>
      <c r="GS31" s="971"/>
      <c r="GT31" s="971"/>
      <c r="GU31" s="971"/>
      <c r="GV31" s="971"/>
      <c r="GW31" s="971"/>
      <c r="GX31" s="971"/>
      <c r="GY31" s="971"/>
      <c r="GZ31" s="971"/>
      <c r="HA31" s="971"/>
      <c r="HB31" s="971"/>
      <c r="HC31" s="971"/>
      <c r="HD31" s="971"/>
      <c r="HE31" s="971"/>
      <c r="HF31" s="971"/>
      <c r="HG31" s="971"/>
      <c r="HH31" s="971"/>
      <c r="HI31" s="971"/>
      <c r="HJ31" s="971"/>
      <c r="HK31" s="971"/>
      <c r="HL31" s="971"/>
      <c r="HM31" s="971"/>
      <c r="HN31" s="971"/>
      <c r="HO31" s="971"/>
      <c r="HP31" s="971"/>
      <c r="HQ31" s="971"/>
      <c r="HR31" s="971"/>
      <c r="HS31" s="971"/>
      <c r="HT31" s="971"/>
      <c r="HU31" s="971"/>
      <c r="HV31" s="971"/>
      <c r="HW31" s="971"/>
      <c r="HX31" s="971"/>
      <c r="HY31" s="971"/>
      <c r="HZ31" s="971"/>
      <c r="IA31" s="971"/>
      <c r="IB31" s="971"/>
      <c r="IC31" s="971"/>
      <c r="ID31" s="971"/>
      <c r="IE31" s="971"/>
      <c r="IF31" s="971"/>
      <c r="IG31" s="971"/>
      <c r="IH31" s="971"/>
      <c r="II31" s="971"/>
      <c r="IJ31" s="971"/>
      <c r="IK31" s="971"/>
      <c r="IL31" s="971"/>
      <c r="IM31" s="971"/>
      <c r="IN31" s="971"/>
      <c r="IO31" s="971"/>
      <c r="IP31" s="971"/>
      <c r="IQ31" s="971"/>
      <c r="IR31" s="971"/>
      <c r="IS31" s="971"/>
      <c r="IT31" s="971"/>
      <c r="IU31" s="971"/>
      <c r="IV31" s="971"/>
      <c r="IW31" s="971"/>
      <c r="IX31" s="971"/>
      <c r="IY31" s="971"/>
      <c r="IZ31" s="971"/>
      <c r="JA31" s="971"/>
      <c r="JB31" s="971"/>
      <c r="JC31" s="971"/>
      <c r="JD31" s="971"/>
      <c r="JE31" s="971"/>
      <c r="JF31" s="971"/>
      <c r="JG31" s="971"/>
      <c r="JH31" s="971"/>
      <c r="JI31" s="971"/>
      <c r="JJ31" s="971"/>
      <c r="JK31" s="971"/>
      <c r="JL31" s="971"/>
      <c r="JM31" s="971"/>
      <c r="JN31" s="971"/>
      <c r="JO31" s="971"/>
      <c r="JP31" s="971"/>
      <c r="JQ31" s="971"/>
      <c r="JR31" s="971"/>
      <c r="JS31" s="971"/>
      <c r="JT31" s="971"/>
      <c r="JU31" s="971"/>
      <c r="JV31" s="971"/>
      <c r="JW31" s="971"/>
      <c r="JX31" s="971"/>
      <c r="JY31" s="971"/>
      <c r="JZ31" s="971"/>
      <c r="KA31" s="971"/>
      <c r="KB31" s="971"/>
      <c r="KC31" s="971"/>
      <c r="KD31" s="971"/>
      <c r="KE31" s="971"/>
      <c r="KF31" s="971"/>
      <c r="KG31" s="971"/>
      <c r="KH31" s="971"/>
      <c r="KI31" s="971"/>
      <c r="KJ31" s="971"/>
      <c r="KK31" s="971"/>
      <c r="KL31" s="971"/>
      <c r="KM31" s="971"/>
      <c r="KN31" s="971"/>
      <c r="KO31" s="971"/>
      <c r="KP31" s="971"/>
      <c r="KQ31" s="971"/>
      <c r="KR31" s="971"/>
      <c r="KS31" s="971"/>
      <c r="KT31" s="971"/>
      <c r="KU31" s="971"/>
      <c r="KV31" s="971"/>
      <c r="KW31" s="971"/>
      <c r="KX31" s="971"/>
      <c r="KY31" s="971"/>
      <c r="KZ31" s="971"/>
      <c r="LA31" s="971"/>
      <c r="LB31" s="971"/>
      <c r="LC31" s="971"/>
      <c r="LD31" s="971"/>
      <c r="LE31" s="971"/>
      <c r="LF31" s="971"/>
      <c r="LG31" s="971"/>
      <c r="LH31" s="971"/>
      <c r="LI31" s="971"/>
      <c r="LJ31" s="971"/>
      <c r="LK31" s="971"/>
      <c r="LL31" s="971"/>
      <c r="LM31" s="971"/>
      <c r="LN31" s="971"/>
      <c r="LO31" s="971"/>
      <c r="LP31" s="971"/>
      <c r="LQ31" s="971"/>
      <c r="LR31" s="971"/>
      <c r="LS31" s="971"/>
      <c r="LT31" s="971"/>
      <c r="LU31" s="971"/>
      <c r="LV31" s="971"/>
      <c r="LW31" s="971"/>
      <c r="LX31" s="971"/>
      <c r="LY31" s="971"/>
      <c r="LZ31" s="971"/>
      <c r="MA31" s="971"/>
      <c r="MB31" s="971"/>
      <c r="MC31" s="971"/>
      <c r="MD31" s="971"/>
      <c r="ME31" s="971"/>
      <c r="MF31" s="971"/>
      <c r="MG31" s="971"/>
      <c r="MH31" s="971"/>
      <c r="MI31" s="971"/>
      <c r="MJ31" s="971"/>
      <c r="MK31" s="971"/>
      <c r="ML31" s="971"/>
      <c r="MM31" s="971"/>
      <c r="MN31" s="971"/>
      <c r="MO31" s="971"/>
      <c r="MP31" s="971"/>
      <c r="MQ31" s="971"/>
      <c r="MR31" s="971"/>
      <c r="MS31" s="971"/>
      <c r="MT31" s="971"/>
      <c r="MU31" s="971"/>
      <c r="MV31" s="971"/>
      <c r="MW31" s="971"/>
      <c r="MX31" s="971"/>
      <c r="MY31" s="971"/>
      <c r="MZ31" s="971"/>
      <c r="NA31" s="971"/>
      <c r="NB31" s="971"/>
      <c r="NC31" s="971"/>
      <c r="ND31" s="971"/>
      <c r="NE31" s="971"/>
      <c r="NF31" s="971"/>
      <c r="NG31" s="971"/>
      <c r="NH31" s="971"/>
      <c r="NI31" s="971"/>
      <c r="NJ31" s="971"/>
      <c r="NK31" s="971"/>
      <c r="NL31" s="971"/>
      <c r="NM31" s="971"/>
      <c r="NN31" s="971"/>
      <c r="NO31" s="971"/>
      <c r="NP31" s="971"/>
      <c r="NQ31" s="971"/>
      <c r="NR31" s="971"/>
      <c r="NS31" s="971"/>
      <c r="NT31" s="971"/>
      <c r="NU31" s="971"/>
      <c r="NV31" s="971"/>
      <c r="NW31" s="971"/>
      <c r="NX31" s="971"/>
      <c r="NY31" s="971"/>
      <c r="NZ31" s="971"/>
      <c r="OA31" s="971"/>
      <c r="OB31" s="971"/>
      <c r="OC31" s="971"/>
      <c r="OD31" s="971"/>
      <c r="OE31" s="971"/>
      <c r="OF31" s="971"/>
      <c r="OG31" s="971"/>
      <c r="OH31" s="971"/>
      <c r="OI31" s="971"/>
      <c r="OJ31" s="971"/>
      <c r="OK31" s="971"/>
      <c r="OL31" s="971"/>
      <c r="OM31" s="971"/>
      <c r="ON31" s="971"/>
      <c r="OO31" s="971"/>
      <c r="OP31" s="971"/>
      <c r="OQ31" s="971"/>
      <c r="OR31" s="971"/>
      <c r="OS31" s="971"/>
      <c r="OT31" s="971"/>
      <c r="OU31" s="971"/>
      <c r="OV31" s="971"/>
      <c r="OW31" s="971"/>
      <c r="OX31" s="971"/>
      <c r="OY31" s="971"/>
      <c r="OZ31" s="971"/>
      <c r="PA31" s="971"/>
      <c r="PB31" s="971"/>
      <c r="PC31" s="971"/>
      <c r="PD31" s="971"/>
      <c r="PE31" s="971"/>
      <c r="PF31" s="971"/>
      <c r="PG31" s="971"/>
      <c r="PH31" s="971"/>
      <c r="PI31" s="971"/>
      <c r="PJ31" s="971"/>
      <c r="PK31" s="971"/>
      <c r="PL31" s="971"/>
      <c r="PM31" s="971"/>
      <c r="PN31" s="971"/>
      <c r="PO31" s="971"/>
      <c r="PP31" s="971"/>
      <c r="PQ31" s="971"/>
      <c r="PR31" s="971"/>
      <c r="PS31" s="971"/>
      <c r="PT31" s="971"/>
      <c r="PU31" s="971"/>
      <c r="PV31" s="971"/>
      <c r="PW31" s="971"/>
      <c r="PX31" s="971"/>
      <c r="PY31" s="971"/>
      <c r="PZ31" s="971"/>
      <c r="QA31" s="971"/>
      <c r="QB31" s="971"/>
      <c r="QC31" s="971"/>
      <c r="QD31" s="971"/>
      <c r="QE31" s="971"/>
      <c r="QF31" s="971"/>
      <c r="QG31" s="971"/>
      <c r="QH31" s="971"/>
      <c r="QI31" s="971"/>
      <c r="QJ31" s="971"/>
      <c r="QK31" s="971"/>
      <c r="QL31" s="971"/>
      <c r="QM31" s="971"/>
      <c r="QN31" s="971"/>
      <c r="QO31" s="971"/>
      <c r="QP31" s="971"/>
      <c r="QQ31" s="971"/>
      <c r="QR31" s="971"/>
      <c r="QS31" s="971"/>
      <c r="QT31" s="971"/>
      <c r="QU31" s="971"/>
      <c r="QV31" s="971"/>
      <c r="QW31" s="971"/>
      <c r="QX31" s="971"/>
      <c r="QY31" s="971"/>
      <c r="QZ31" s="971"/>
      <c r="RA31" s="971"/>
      <c r="RB31" s="971"/>
      <c r="RC31" s="971"/>
      <c r="RD31" s="971"/>
      <c r="RE31" s="971"/>
      <c r="RF31" s="971"/>
      <c r="RG31" s="971"/>
      <c r="RH31" s="971"/>
      <c r="RI31" s="971"/>
      <c r="RJ31" s="971"/>
      <c r="RK31" s="971"/>
      <c r="RL31" s="971"/>
      <c r="RM31" s="971"/>
      <c r="RN31" s="971"/>
      <c r="RO31" s="971"/>
      <c r="RP31" s="971"/>
      <c r="RQ31" s="971"/>
      <c r="RR31" s="971"/>
      <c r="RS31" s="971"/>
      <c r="RT31" s="971"/>
      <c r="RU31" s="971"/>
      <c r="RV31" s="971"/>
      <c r="RW31" s="971"/>
      <c r="RX31" s="971"/>
      <c r="RY31" s="971"/>
      <c r="RZ31" s="971"/>
      <c r="SA31" s="971"/>
      <c r="SB31" s="971"/>
      <c r="SC31" s="971"/>
      <c r="SD31" s="971"/>
      <c r="SE31" s="971"/>
      <c r="SF31" s="971"/>
      <c r="SG31" s="971"/>
      <c r="SH31" s="971"/>
      <c r="SI31" s="971"/>
      <c r="SJ31" s="971"/>
      <c r="SK31" s="971"/>
      <c r="SL31" s="971"/>
      <c r="SM31" s="971"/>
      <c r="SN31" s="971"/>
      <c r="SO31" s="971"/>
      <c r="SP31" s="971"/>
      <c r="SQ31" s="971"/>
      <c r="SR31" s="971"/>
    </row>
    <row r="32" spans="1:512" ht="15" customHeight="1">
      <c r="A32"/>
      <c r="B32"/>
      <c r="C32"/>
      <c r="D32" t="s">
        <v>216</v>
      </c>
      <c r="E32" t="s">
        <v>210</v>
      </c>
      <c r="F32"/>
      <c r="G32" s="974">
        <v>2</v>
      </c>
      <c r="H32" s="1033">
        <v>2.370869299565538</v>
      </c>
      <c r="I32" s="974"/>
      <c r="J32" s="974"/>
      <c r="K32" s="974"/>
      <c r="L32" s="974"/>
      <c r="M32" s="974"/>
      <c r="N32" s="974"/>
      <c r="O32" s="974"/>
      <c r="P32" s="974"/>
      <c r="Q32" s="974"/>
      <c r="R32" s="974"/>
      <c r="S32" s="974"/>
      <c r="T32" s="974"/>
      <c r="U32" s="970"/>
      <c r="V32" s="970"/>
      <c r="W32" s="970"/>
      <c r="X32" s="970"/>
      <c r="Y32" s="970"/>
      <c r="Z32" s="970"/>
      <c r="AA32" s="970"/>
      <c r="AB32" s="970"/>
      <c r="AC32" s="970"/>
      <c r="AD32" s="970"/>
      <c r="AE32" s="970"/>
      <c r="AF32" s="970"/>
      <c r="AG32" s="970"/>
      <c r="AH32" s="970"/>
      <c r="AI32" s="970"/>
      <c r="AJ32" s="970"/>
      <c r="AK32" s="970"/>
      <c r="AL32" s="970"/>
      <c r="AM32" s="970"/>
      <c r="AN32" s="970"/>
      <c r="AO32" s="970"/>
      <c r="AP32" s="970"/>
      <c r="AQ32" s="970"/>
      <c r="AR32" s="970"/>
      <c r="AS32" s="970"/>
      <c r="AT32" s="970"/>
      <c r="AU32" s="970"/>
      <c r="AV32" s="970"/>
      <c r="AW32" s="970"/>
      <c r="AX32" s="970"/>
      <c r="AY32" s="970"/>
      <c r="AZ32" s="970"/>
      <c r="BA32" s="970"/>
      <c r="BB32" s="970"/>
      <c r="BC32" s="970"/>
      <c r="BD32" s="970"/>
      <c r="BE32" s="970"/>
      <c r="BF32" s="970"/>
      <c r="BG32" s="970"/>
      <c r="BH32" s="970"/>
      <c r="BI32" s="970"/>
      <c r="BJ32" s="970"/>
      <c r="BK32" s="970"/>
      <c r="BL32" s="970"/>
      <c r="BM32" s="970"/>
      <c r="BN32" s="970"/>
      <c r="BO32" s="970"/>
      <c r="BP32" s="970"/>
      <c r="BQ32" s="970"/>
      <c r="BR32" s="970"/>
      <c r="BS32" s="970"/>
      <c r="BT32" s="970"/>
      <c r="BU32" s="970"/>
      <c r="BV32" s="970"/>
      <c r="BW32" s="970"/>
      <c r="BX32" s="970"/>
      <c r="BY32" s="970"/>
      <c r="BZ32" s="970"/>
      <c r="CA32" s="970"/>
      <c r="CB32" s="970"/>
      <c r="CC32" s="970"/>
      <c r="CD32" s="970"/>
      <c r="CE32" s="970"/>
      <c r="CF32" s="970"/>
      <c r="CG32" s="970"/>
      <c r="CH32" s="970"/>
      <c r="CI32" s="970"/>
      <c r="CJ32" s="970"/>
      <c r="CK32" s="970"/>
      <c r="CL32" s="970"/>
      <c r="CM32" s="970"/>
      <c r="CN32" s="970"/>
      <c r="CO32" s="970"/>
      <c r="CP32" s="970"/>
      <c r="CQ32" s="970"/>
      <c r="CR32" s="970"/>
      <c r="CS32" s="970"/>
      <c r="CT32" s="970"/>
      <c r="CU32" s="970"/>
      <c r="CV32" s="970"/>
      <c r="CW32" s="970"/>
      <c r="CX32" s="970"/>
      <c r="CY32" s="970"/>
      <c r="CZ32" s="970"/>
      <c r="DA32" s="970"/>
      <c r="DB32" s="970"/>
      <c r="DC32" s="970"/>
      <c r="DD32" s="970"/>
      <c r="DE32" s="970"/>
      <c r="DF32" s="970"/>
      <c r="DG32" s="970"/>
      <c r="DH32" s="970"/>
      <c r="DI32" s="970"/>
      <c r="DJ32" s="970"/>
      <c r="DK32" s="970"/>
      <c r="DL32" s="970"/>
      <c r="DM32" s="970"/>
      <c r="DN32" s="970"/>
      <c r="DO32" s="970"/>
      <c r="DP32" s="970"/>
      <c r="DQ32" s="970"/>
      <c r="DR32" s="970"/>
      <c r="DS32" s="970"/>
      <c r="DT32" s="970"/>
      <c r="DU32" s="970"/>
      <c r="DV32" s="970"/>
      <c r="DW32" s="970"/>
      <c r="DX32" s="970"/>
      <c r="DY32" s="970"/>
      <c r="DZ32" s="970"/>
      <c r="EA32" s="970"/>
      <c r="EB32" s="970"/>
      <c r="EC32" s="970"/>
      <c r="ED32" s="970"/>
      <c r="EE32" s="970"/>
      <c r="EF32" s="970"/>
      <c r="EG32" s="970"/>
      <c r="EH32" s="970"/>
      <c r="EI32" s="970"/>
      <c r="EJ32" s="970"/>
      <c r="EK32" s="970"/>
      <c r="EL32" s="970"/>
      <c r="EM32" s="970"/>
      <c r="EN32" s="970"/>
      <c r="EO32" s="970"/>
      <c r="EP32" s="970"/>
      <c r="EQ32" s="970"/>
      <c r="ER32" s="970"/>
      <c r="ES32" s="970"/>
      <c r="ET32" s="970"/>
      <c r="EU32" s="970"/>
      <c r="EV32" s="970"/>
      <c r="EW32" s="970"/>
      <c r="EX32" s="970"/>
      <c r="EY32" s="970"/>
      <c r="EZ32" s="970"/>
      <c r="FA32" s="970"/>
      <c r="FB32" s="970"/>
      <c r="FC32" s="970"/>
      <c r="FD32" s="970"/>
      <c r="FE32" s="970"/>
      <c r="FF32" s="970"/>
      <c r="FG32" s="970"/>
      <c r="FH32" s="970"/>
      <c r="FI32" s="970"/>
      <c r="FJ32" s="970"/>
      <c r="FK32" s="970"/>
      <c r="FL32" s="970"/>
      <c r="FM32" s="970"/>
      <c r="FN32" s="970"/>
      <c r="FO32" s="970"/>
      <c r="FP32" s="970"/>
      <c r="FQ32" s="970"/>
      <c r="FR32" s="970"/>
      <c r="FS32" s="970"/>
      <c r="FT32" s="970"/>
      <c r="FU32" s="970"/>
      <c r="FV32" s="970"/>
      <c r="FW32" s="970"/>
      <c r="FX32" s="970"/>
      <c r="FY32" s="970"/>
      <c r="FZ32" s="970"/>
      <c r="GA32" s="970"/>
      <c r="GB32" s="970"/>
      <c r="GC32" s="970"/>
      <c r="GD32" s="970"/>
      <c r="GE32" s="970"/>
      <c r="GF32" s="970"/>
      <c r="GG32" s="970"/>
      <c r="GH32" s="970"/>
      <c r="GI32" s="970"/>
      <c r="GJ32" s="970"/>
      <c r="GK32" s="970"/>
      <c r="GL32" s="970"/>
      <c r="GM32" s="970"/>
      <c r="GN32" s="970"/>
      <c r="GO32" s="970"/>
      <c r="GP32" s="970"/>
      <c r="GQ32" s="970"/>
      <c r="GR32" s="970"/>
      <c r="GS32" s="970"/>
      <c r="GT32" s="970"/>
      <c r="GU32" s="970"/>
      <c r="GV32" s="970"/>
      <c r="GW32" s="970"/>
      <c r="GX32" s="970"/>
      <c r="GY32" s="970"/>
      <c r="GZ32" s="970"/>
      <c r="HA32" s="970"/>
      <c r="HB32" s="970"/>
      <c r="HC32" s="970"/>
      <c r="HD32" s="970"/>
      <c r="HE32" s="970"/>
      <c r="HF32" s="970"/>
      <c r="HG32" s="970"/>
      <c r="HH32" s="970"/>
      <c r="HI32" s="970"/>
      <c r="HJ32" s="970"/>
      <c r="HK32" s="970"/>
      <c r="HL32" s="970"/>
      <c r="HM32" s="970"/>
      <c r="HN32" s="970"/>
      <c r="HO32" s="970"/>
      <c r="HP32" s="970"/>
      <c r="HQ32" s="970"/>
      <c r="HR32" s="970"/>
      <c r="HS32" s="970"/>
      <c r="HT32" s="970"/>
      <c r="HU32" s="970"/>
      <c r="HV32" s="970"/>
      <c r="HW32" s="970"/>
      <c r="HX32" s="970"/>
      <c r="HY32" s="970"/>
      <c r="HZ32" s="970"/>
      <c r="IA32" s="970"/>
      <c r="IB32" s="970"/>
      <c r="IC32" s="970"/>
      <c r="ID32" s="970"/>
      <c r="IE32" s="970"/>
      <c r="IF32" s="970"/>
      <c r="IG32" s="970"/>
      <c r="IH32" s="970"/>
      <c r="II32" s="970"/>
      <c r="IJ32" s="970"/>
      <c r="IK32" s="970"/>
      <c r="IL32" s="970"/>
      <c r="IM32" s="970"/>
      <c r="IN32" s="970"/>
      <c r="IO32" s="970"/>
      <c r="IP32" s="970"/>
      <c r="IQ32" s="970"/>
      <c r="IR32" s="970"/>
      <c r="IS32" s="970"/>
      <c r="IT32" s="970"/>
      <c r="IU32" s="970"/>
      <c r="IV32" s="970"/>
      <c r="IW32" s="970"/>
      <c r="IX32" s="970"/>
      <c r="IY32" s="970"/>
      <c r="IZ32" s="970"/>
      <c r="JA32" s="970"/>
      <c r="JB32" s="970"/>
      <c r="JC32" s="970"/>
      <c r="JD32" s="970"/>
      <c r="JE32" s="970"/>
      <c r="JF32" s="970"/>
      <c r="JG32" s="970"/>
      <c r="JH32" s="970"/>
      <c r="JI32" s="970"/>
      <c r="JJ32" s="970"/>
      <c r="JK32" s="970"/>
      <c r="JL32" s="970"/>
      <c r="JM32" s="970"/>
      <c r="JN32" s="970"/>
      <c r="JO32" s="970"/>
      <c r="JP32" s="970"/>
      <c r="JQ32" s="970"/>
      <c r="JR32" s="970"/>
      <c r="JS32" s="970"/>
      <c r="JT32" s="970"/>
      <c r="JU32" s="970"/>
      <c r="JV32" s="970"/>
      <c r="JW32" s="970"/>
      <c r="JX32" s="970"/>
      <c r="JY32" s="970"/>
      <c r="JZ32" s="970"/>
      <c r="KA32" s="970"/>
      <c r="KB32" s="970"/>
      <c r="KC32" s="970"/>
      <c r="KD32" s="970"/>
      <c r="KE32" s="970"/>
      <c r="KF32" s="970"/>
      <c r="KG32" s="970"/>
      <c r="KH32" s="970"/>
      <c r="KI32" s="970"/>
      <c r="KJ32" s="970"/>
      <c r="KK32" s="970"/>
      <c r="KL32" s="970"/>
      <c r="KM32" s="970"/>
      <c r="KN32" s="970"/>
      <c r="KO32" s="970"/>
      <c r="KP32" s="970"/>
      <c r="KQ32" s="970"/>
      <c r="KR32" s="970"/>
      <c r="KS32" s="970"/>
      <c r="KT32" s="970"/>
      <c r="KU32" s="970"/>
      <c r="KV32" s="970"/>
      <c r="KW32" s="970"/>
      <c r="KX32" s="970"/>
      <c r="KY32" s="970"/>
      <c r="KZ32" s="970"/>
      <c r="LA32" s="970"/>
      <c r="LB32" s="970"/>
      <c r="LC32" s="970"/>
      <c r="LD32" s="970"/>
      <c r="LE32" s="970"/>
      <c r="LF32" s="970"/>
      <c r="LG32" s="970"/>
      <c r="LH32" s="970"/>
      <c r="LI32" s="970"/>
      <c r="LJ32" s="970"/>
      <c r="LK32" s="970"/>
      <c r="LL32" s="970"/>
      <c r="LM32" s="970"/>
      <c r="LN32" s="970"/>
      <c r="LO32" s="970"/>
      <c r="LP32" s="970"/>
      <c r="LQ32" s="970"/>
      <c r="LR32" s="970"/>
      <c r="LS32" s="970"/>
      <c r="LT32" s="970"/>
      <c r="LU32" s="970"/>
      <c r="LV32" s="970"/>
      <c r="LW32" s="970"/>
      <c r="LX32" s="970"/>
      <c r="LY32" s="970"/>
      <c r="LZ32" s="970"/>
      <c r="MA32" s="970"/>
      <c r="MB32" s="970"/>
      <c r="MC32" s="970"/>
      <c r="MD32" s="970"/>
      <c r="ME32" s="970"/>
      <c r="MF32" s="970"/>
      <c r="MG32" s="970"/>
      <c r="MH32" s="970"/>
      <c r="MI32" s="970"/>
      <c r="MJ32" s="970"/>
      <c r="MK32" s="970"/>
      <c r="ML32" s="970"/>
      <c r="MM32" s="970"/>
      <c r="MN32" s="970"/>
      <c r="MO32" s="970"/>
      <c r="MP32" s="970"/>
      <c r="MQ32" s="970"/>
      <c r="MR32" s="970"/>
      <c r="MS32" s="970"/>
      <c r="MT32" s="970"/>
      <c r="MU32" s="970"/>
      <c r="MV32" s="970"/>
      <c r="MW32" s="970"/>
      <c r="MX32" s="970"/>
      <c r="MY32" s="970"/>
      <c r="MZ32" s="970"/>
      <c r="NA32" s="970"/>
      <c r="NB32" s="970"/>
      <c r="NC32" s="970"/>
      <c r="ND32" s="970"/>
      <c r="NE32" s="970"/>
      <c r="NF32" s="970"/>
      <c r="NG32" s="970"/>
      <c r="NH32" s="970"/>
      <c r="NI32" s="970"/>
      <c r="NJ32" s="970"/>
      <c r="NK32" s="970"/>
      <c r="NL32" s="970"/>
      <c r="NM32" s="970"/>
      <c r="NN32" s="970"/>
      <c r="NO32" s="970"/>
      <c r="NP32" s="970"/>
      <c r="NQ32" s="970"/>
      <c r="NR32" s="970"/>
      <c r="NS32" s="970"/>
      <c r="NT32" s="970"/>
      <c r="NU32" s="970"/>
      <c r="NV32" s="970"/>
      <c r="NW32" s="970"/>
      <c r="NX32" s="970"/>
      <c r="NY32" s="970"/>
      <c r="NZ32" s="970"/>
      <c r="OA32" s="970"/>
      <c r="OB32" s="970"/>
      <c r="OC32" s="970"/>
      <c r="OD32" s="970"/>
      <c r="OE32" s="970"/>
      <c r="OF32" s="970"/>
      <c r="OG32" s="970"/>
      <c r="OH32" s="970"/>
      <c r="OI32" s="970"/>
      <c r="OJ32" s="970"/>
      <c r="OK32" s="970"/>
      <c r="OL32" s="970"/>
      <c r="OM32" s="970"/>
      <c r="ON32" s="970"/>
      <c r="OO32" s="970"/>
      <c r="OP32" s="970"/>
      <c r="OQ32" s="970"/>
      <c r="OR32" s="970"/>
      <c r="OS32" s="970"/>
      <c r="OT32" s="970"/>
      <c r="OU32" s="970"/>
      <c r="OV32" s="970"/>
      <c r="OW32" s="970"/>
      <c r="OX32" s="970"/>
      <c r="OY32" s="970"/>
      <c r="OZ32" s="970"/>
      <c r="PA32" s="970"/>
      <c r="PB32" s="970"/>
      <c r="PC32" s="970"/>
      <c r="PD32" s="970"/>
      <c r="PE32" s="970"/>
      <c r="PF32" s="970"/>
      <c r="PG32" s="970"/>
      <c r="PH32" s="970"/>
      <c r="PI32" s="970"/>
      <c r="PJ32" s="970"/>
      <c r="PK32" s="970"/>
      <c r="PL32" s="970"/>
      <c r="PM32" s="970"/>
      <c r="PN32" s="970"/>
      <c r="PO32" s="970"/>
      <c r="PP32" s="970"/>
      <c r="PQ32" s="970"/>
      <c r="PR32" s="970"/>
      <c r="PS32" s="970"/>
      <c r="PT32" s="970"/>
      <c r="PU32" s="970"/>
      <c r="PV32" s="970"/>
      <c r="PW32" s="970"/>
      <c r="PX32" s="970"/>
      <c r="PY32" s="970"/>
      <c r="PZ32" s="970"/>
      <c r="QA32" s="970"/>
      <c r="QB32" s="970"/>
      <c r="QC32" s="970"/>
      <c r="QD32" s="970"/>
      <c r="QE32" s="970"/>
      <c r="QF32" s="970"/>
      <c r="QG32" s="970"/>
      <c r="QH32" s="970"/>
      <c r="QI32" s="970"/>
      <c r="QJ32" s="970"/>
      <c r="QK32" s="970"/>
      <c r="QL32" s="970"/>
      <c r="QM32" s="970"/>
      <c r="QN32" s="970"/>
      <c r="QO32" s="970"/>
      <c r="QP32" s="970"/>
      <c r="QQ32" s="970"/>
      <c r="QR32" s="970"/>
      <c r="QS32" s="970"/>
      <c r="QT32" s="970"/>
      <c r="QU32" s="970"/>
      <c r="QV32" s="970"/>
      <c r="QW32" s="970"/>
      <c r="QX32" s="970"/>
      <c r="QY32" s="970"/>
      <c r="QZ32" s="970"/>
      <c r="RA32" s="970"/>
      <c r="RB32" s="970"/>
      <c r="RC32" s="970"/>
      <c r="RD32" s="970"/>
      <c r="RE32" s="970"/>
      <c r="RF32" s="970"/>
      <c r="RG32" s="970"/>
      <c r="RH32" s="970"/>
      <c r="RI32" s="970"/>
      <c r="RJ32" s="970"/>
      <c r="RK32" s="970"/>
      <c r="RL32" s="970"/>
      <c r="RM32" s="970"/>
      <c r="RN32" s="970"/>
      <c r="RO32" s="970"/>
      <c r="RP32" s="970"/>
      <c r="RQ32" s="970"/>
      <c r="RR32" s="970"/>
      <c r="RS32" s="970"/>
      <c r="RT32" s="970"/>
      <c r="RU32" s="970"/>
      <c r="RV32" s="970"/>
      <c r="RW32" s="970"/>
      <c r="RX32" s="970"/>
      <c r="RY32" s="970"/>
      <c r="RZ32" s="970"/>
      <c r="SA32" s="970"/>
      <c r="SB32" s="970"/>
      <c r="SC32" s="970"/>
      <c r="SD32" s="970"/>
      <c r="SE32" s="970"/>
      <c r="SF32" s="970"/>
      <c r="SG32" s="970"/>
      <c r="SH32" s="970"/>
      <c r="SI32" s="970"/>
      <c r="SJ32" s="970"/>
      <c r="SK32" s="970"/>
      <c r="SL32" s="970"/>
      <c r="SM32" s="970"/>
      <c r="SN32" s="970"/>
      <c r="SO32" s="970"/>
      <c r="SP32" s="970"/>
      <c r="SQ32" s="970"/>
      <c r="SR32" s="970"/>
    </row>
    <row r="33" spans="1:512" ht="15" customHeight="1">
      <c r="A33"/>
      <c r="B33"/>
      <c r="C33"/>
      <c r="D33" t="s">
        <v>215</v>
      </c>
      <c r="E33" t="s">
        <v>210</v>
      </c>
      <c r="F33"/>
      <c r="G33" s="974">
        <v>6</v>
      </c>
      <c r="H33" s="1033">
        <v>0.70588235294117652</v>
      </c>
      <c r="I33" s="974"/>
      <c r="J33" s="974"/>
      <c r="K33" s="974"/>
      <c r="L33" s="974"/>
      <c r="M33" s="974"/>
      <c r="N33" s="974"/>
      <c r="O33" s="974"/>
      <c r="P33" s="974"/>
      <c r="Q33" s="974"/>
      <c r="R33" s="974"/>
      <c r="S33" s="974"/>
      <c r="T33" s="974"/>
      <c r="U33" s="970"/>
      <c r="V33" s="970"/>
      <c r="W33" s="970"/>
      <c r="X33" s="970"/>
      <c r="Y33" s="970"/>
      <c r="Z33" s="970"/>
      <c r="AA33" s="970"/>
      <c r="AB33" s="970"/>
      <c r="AC33" s="970"/>
      <c r="AD33" s="970"/>
      <c r="AE33" s="970"/>
      <c r="AF33" s="970"/>
      <c r="AG33" s="970"/>
      <c r="AH33" s="970"/>
      <c r="AI33" s="970"/>
      <c r="AJ33" s="970"/>
      <c r="AK33" s="970"/>
      <c r="AL33" s="970"/>
      <c r="AM33" s="970"/>
      <c r="AN33" s="970"/>
      <c r="AO33" s="970"/>
      <c r="AP33" s="970"/>
      <c r="AQ33" s="970"/>
      <c r="AR33" s="970"/>
      <c r="AS33" s="970"/>
      <c r="AT33" s="970"/>
      <c r="AU33" s="970"/>
      <c r="AV33" s="970"/>
      <c r="AW33" s="970"/>
      <c r="AX33" s="970"/>
      <c r="AY33" s="970"/>
      <c r="AZ33" s="970"/>
      <c r="BA33" s="970"/>
      <c r="BB33" s="970"/>
      <c r="BC33" s="970"/>
      <c r="BD33" s="970"/>
      <c r="BE33" s="970"/>
      <c r="BF33" s="970"/>
      <c r="BG33" s="970"/>
      <c r="BH33" s="970"/>
      <c r="BI33" s="970"/>
      <c r="BJ33" s="970"/>
      <c r="BK33" s="970"/>
      <c r="BL33" s="970"/>
      <c r="BM33" s="970"/>
      <c r="BN33" s="970"/>
      <c r="BO33" s="970"/>
      <c r="BP33" s="970"/>
      <c r="BQ33" s="970"/>
      <c r="BR33" s="970"/>
      <c r="BS33" s="970"/>
      <c r="BT33" s="970"/>
      <c r="BU33" s="970"/>
      <c r="BV33" s="970"/>
      <c r="BW33" s="970"/>
      <c r="BX33" s="970"/>
      <c r="BY33" s="970"/>
      <c r="BZ33" s="970"/>
      <c r="CA33" s="970"/>
      <c r="CB33" s="970"/>
      <c r="CC33" s="970"/>
      <c r="CD33" s="970"/>
      <c r="CE33" s="970"/>
      <c r="CF33" s="970"/>
      <c r="CG33" s="970"/>
      <c r="CH33" s="970"/>
      <c r="CI33" s="970"/>
      <c r="CJ33" s="970"/>
      <c r="CK33" s="970"/>
      <c r="CL33" s="970"/>
      <c r="CM33" s="970"/>
      <c r="CN33" s="970"/>
      <c r="CO33" s="970"/>
      <c r="CP33" s="970"/>
      <c r="CQ33" s="970"/>
      <c r="CR33" s="970"/>
      <c r="CS33" s="970"/>
      <c r="CT33" s="970"/>
      <c r="CU33" s="970"/>
      <c r="CV33" s="970"/>
      <c r="CW33" s="970"/>
      <c r="CX33" s="970"/>
      <c r="CY33" s="970"/>
      <c r="CZ33" s="970"/>
      <c r="DA33" s="970"/>
      <c r="DB33" s="970"/>
      <c r="DC33" s="970"/>
      <c r="DD33" s="970"/>
      <c r="DE33" s="970"/>
      <c r="DF33" s="970"/>
      <c r="DG33" s="970"/>
      <c r="DH33" s="970"/>
      <c r="DI33" s="970"/>
      <c r="DJ33" s="970"/>
      <c r="DK33" s="970"/>
      <c r="DL33" s="970"/>
      <c r="DM33" s="970"/>
      <c r="DN33" s="970"/>
      <c r="DO33" s="970"/>
      <c r="DP33" s="970"/>
      <c r="DQ33" s="970"/>
      <c r="DR33" s="970"/>
      <c r="DS33" s="970"/>
      <c r="DT33" s="970"/>
      <c r="DU33" s="970"/>
      <c r="DV33" s="970"/>
      <c r="DW33" s="970"/>
      <c r="DX33" s="970"/>
      <c r="DY33" s="970"/>
      <c r="DZ33" s="970"/>
      <c r="EA33" s="970"/>
      <c r="EB33" s="970"/>
      <c r="EC33" s="970"/>
      <c r="ED33" s="970"/>
      <c r="EE33" s="970"/>
      <c r="EF33" s="970"/>
      <c r="EG33" s="970"/>
      <c r="EH33" s="970"/>
      <c r="EI33" s="970"/>
      <c r="EJ33" s="970"/>
      <c r="EK33" s="970"/>
      <c r="EL33" s="970"/>
      <c r="EM33" s="970"/>
      <c r="EN33" s="970"/>
      <c r="EO33" s="970"/>
      <c r="EP33" s="970"/>
      <c r="EQ33" s="970"/>
      <c r="ER33" s="970"/>
      <c r="ES33" s="970"/>
      <c r="ET33" s="970"/>
      <c r="EU33" s="970"/>
      <c r="EV33" s="970"/>
      <c r="EW33" s="970"/>
      <c r="EX33" s="970"/>
      <c r="EY33" s="970"/>
      <c r="EZ33" s="970"/>
      <c r="FA33" s="970"/>
      <c r="FB33" s="970"/>
      <c r="FC33" s="970"/>
      <c r="FD33" s="970"/>
      <c r="FE33" s="970"/>
      <c r="FF33" s="970"/>
      <c r="FG33" s="970"/>
      <c r="FH33" s="970"/>
      <c r="FI33" s="970"/>
      <c r="FJ33" s="970"/>
      <c r="FK33" s="970"/>
      <c r="FL33" s="970"/>
      <c r="FM33" s="970"/>
      <c r="FN33" s="970"/>
      <c r="FO33" s="970"/>
      <c r="FP33" s="970"/>
      <c r="FQ33" s="970"/>
      <c r="FR33" s="970"/>
      <c r="FS33" s="970"/>
      <c r="FT33" s="970"/>
      <c r="FU33" s="970"/>
      <c r="FV33" s="970"/>
      <c r="FW33" s="970"/>
      <c r="FX33" s="970"/>
      <c r="FY33" s="970"/>
      <c r="FZ33" s="970"/>
      <c r="GA33" s="970"/>
      <c r="GB33" s="970"/>
      <c r="GC33" s="970"/>
      <c r="GD33" s="970"/>
      <c r="GE33" s="970"/>
      <c r="GF33" s="970"/>
      <c r="GG33" s="970"/>
      <c r="GH33" s="970"/>
      <c r="GI33" s="970"/>
      <c r="GJ33" s="970"/>
      <c r="GK33" s="970"/>
      <c r="GL33" s="970"/>
      <c r="GM33" s="970"/>
      <c r="GN33" s="970"/>
      <c r="GO33" s="970"/>
      <c r="GP33" s="970"/>
      <c r="GQ33" s="970"/>
      <c r="GR33" s="970"/>
      <c r="GS33" s="970"/>
      <c r="GT33" s="970"/>
      <c r="GU33" s="970"/>
      <c r="GV33" s="970"/>
      <c r="GW33" s="970"/>
      <c r="GX33" s="970"/>
      <c r="GY33" s="970"/>
      <c r="GZ33" s="970"/>
      <c r="HA33" s="970"/>
      <c r="HB33" s="970"/>
      <c r="HC33" s="970"/>
      <c r="HD33" s="970"/>
      <c r="HE33" s="970"/>
      <c r="HF33" s="970"/>
      <c r="HG33" s="970"/>
      <c r="HH33" s="970"/>
      <c r="HI33" s="970"/>
      <c r="HJ33" s="970"/>
      <c r="HK33" s="970"/>
      <c r="HL33" s="970"/>
      <c r="HM33" s="970"/>
      <c r="HN33" s="970"/>
      <c r="HO33" s="970"/>
      <c r="HP33" s="970"/>
      <c r="HQ33" s="970"/>
      <c r="HR33" s="970"/>
      <c r="HS33" s="970"/>
      <c r="HT33" s="970"/>
      <c r="HU33" s="970"/>
      <c r="HV33" s="970"/>
      <c r="HW33" s="970"/>
      <c r="HX33" s="970"/>
      <c r="HY33" s="970"/>
      <c r="HZ33" s="970"/>
      <c r="IA33" s="970"/>
      <c r="IB33" s="970"/>
      <c r="IC33" s="970"/>
      <c r="ID33" s="970"/>
      <c r="IE33" s="970"/>
      <c r="IF33" s="970"/>
      <c r="IG33" s="970"/>
      <c r="IH33" s="970"/>
      <c r="II33" s="970"/>
      <c r="IJ33" s="970"/>
      <c r="IK33" s="970"/>
      <c r="IL33" s="970"/>
      <c r="IM33" s="970"/>
      <c r="IN33" s="970"/>
      <c r="IO33" s="970"/>
      <c r="IP33" s="970"/>
      <c r="IQ33" s="970"/>
      <c r="IR33" s="970"/>
      <c r="IS33" s="970"/>
      <c r="IT33" s="970"/>
      <c r="IU33" s="970"/>
      <c r="IV33" s="970"/>
      <c r="IW33" s="970"/>
      <c r="IX33" s="970"/>
      <c r="IY33" s="970"/>
      <c r="IZ33" s="970"/>
      <c r="JA33" s="970"/>
      <c r="JB33" s="970"/>
      <c r="JC33" s="970"/>
      <c r="JD33" s="970"/>
      <c r="JE33" s="970"/>
      <c r="JF33" s="970"/>
      <c r="JG33" s="970"/>
      <c r="JH33" s="970"/>
      <c r="JI33" s="970"/>
      <c r="JJ33" s="970"/>
      <c r="JK33" s="970"/>
      <c r="JL33" s="970"/>
      <c r="JM33" s="970"/>
      <c r="JN33" s="970"/>
      <c r="JO33" s="970"/>
      <c r="JP33" s="970"/>
      <c r="JQ33" s="970"/>
      <c r="JR33" s="970"/>
      <c r="JS33" s="970"/>
      <c r="JT33" s="970"/>
      <c r="JU33" s="970"/>
      <c r="JV33" s="970"/>
      <c r="JW33" s="970"/>
      <c r="JX33" s="970"/>
      <c r="JY33" s="970"/>
      <c r="JZ33" s="970"/>
      <c r="KA33" s="970"/>
      <c r="KB33" s="970"/>
      <c r="KC33" s="970"/>
      <c r="KD33" s="970"/>
      <c r="KE33" s="970"/>
      <c r="KF33" s="970"/>
      <c r="KG33" s="970"/>
      <c r="KH33" s="970"/>
      <c r="KI33" s="970"/>
      <c r="KJ33" s="970"/>
      <c r="KK33" s="970"/>
      <c r="KL33" s="970"/>
      <c r="KM33" s="970"/>
      <c r="KN33" s="970"/>
      <c r="KO33" s="970"/>
      <c r="KP33" s="970"/>
      <c r="KQ33" s="970"/>
      <c r="KR33" s="970"/>
      <c r="KS33" s="970"/>
      <c r="KT33" s="970"/>
      <c r="KU33" s="970"/>
      <c r="KV33" s="970"/>
      <c r="KW33" s="970"/>
      <c r="KX33" s="970"/>
      <c r="KY33" s="970"/>
      <c r="KZ33" s="970"/>
      <c r="LA33" s="970"/>
      <c r="LB33" s="970"/>
      <c r="LC33" s="970"/>
      <c r="LD33" s="970"/>
      <c r="LE33" s="970"/>
      <c r="LF33" s="970"/>
      <c r="LG33" s="970"/>
      <c r="LH33" s="970"/>
      <c r="LI33" s="970"/>
      <c r="LJ33" s="970"/>
      <c r="LK33" s="970"/>
      <c r="LL33" s="970"/>
      <c r="LM33" s="970"/>
      <c r="LN33" s="970"/>
      <c r="LO33" s="970"/>
      <c r="LP33" s="970"/>
      <c r="LQ33" s="970"/>
      <c r="LR33" s="970"/>
      <c r="LS33" s="970"/>
      <c r="LT33" s="970"/>
      <c r="LU33" s="970"/>
      <c r="LV33" s="970"/>
      <c r="LW33" s="970"/>
      <c r="LX33" s="970"/>
      <c r="LY33" s="970"/>
      <c r="LZ33" s="970"/>
      <c r="MA33" s="970"/>
      <c r="MB33" s="970"/>
      <c r="MC33" s="970"/>
      <c r="MD33" s="970"/>
      <c r="ME33" s="970"/>
      <c r="MF33" s="970"/>
      <c r="MG33" s="970"/>
      <c r="MH33" s="970"/>
      <c r="MI33" s="970"/>
      <c r="MJ33" s="970"/>
      <c r="MK33" s="970"/>
      <c r="ML33" s="970"/>
      <c r="MM33" s="970"/>
      <c r="MN33" s="970"/>
      <c r="MO33" s="970"/>
      <c r="MP33" s="970"/>
      <c r="MQ33" s="970"/>
      <c r="MR33" s="970"/>
      <c r="MS33" s="970"/>
      <c r="MT33" s="970"/>
      <c r="MU33" s="970"/>
      <c r="MV33" s="970"/>
      <c r="MW33" s="970"/>
      <c r="MX33" s="970"/>
      <c r="MY33" s="970"/>
      <c r="MZ33" s="970"/>
      <c r="NA33" s="970"/>
      <c r="NB33" s="970"/>
      <c r="NC33" s="970"/>
      <c r="ND33" s="970"/>
      <c r="NE33" s="970"/>
      <c r="NF33" s="970"/>
      <c r="NG33" s="970"/>
      <c r="NH33" s="970"/>
      <c r="NI33" s="970"/>
      <c r="NJ33" s="970"/>
      <c r="NK33" s="970"/>
      <c r="NL33" s="970"/>
      <c r="NM33" s="970"/>
      <c r="NN33" s="970"/>
      <c r="NO33" s="970"/>
      <c r="NP33" s="970"/>
      <c r="NQ33" s="970"/>
      <c r="NR33" s="970"/>
      <c r="NS33" s="970"/>
      <c r="NT33" s="970"/>
      <c r="NU33" s="970"/>
      <c r="NV33" s="970"/>
      <c r="NW33" s="970"/>
      <c r="NX33" s="970"/>
      <c r="NY33" s="970"/>
      <c r="NZ33" s="970"/>
      <c r="OA33" s="970"/>
      <c r="OB33" s="970"/>
      <c r="OC33" s="970"/>
      <c r="OD33" s="970"/>
      <c r="OE33" s="970"/>
      <c r="OF33" s="970"/>
      <c r="OG33" s="970"/>
      <c r="OH33" s="970"/>
      <c r="OI33" s="970"/>
      <c r="OJ33" s="970"/>
      <c r="OK33" s="970"/>
      <c r="OL33" s="970"/>
      <c r="OM33" s="970"/>
      <c r="ON33" s="970"/>
      <c r="OO33" s="970"/>
      <c r="OP33" s="970"/>
      <c r="OQ33" s="970"/>
      <c r="OR33" s="970"/>
      <c r="OS33" s="970"/>
      <c r="OT33" s="970"/>
      <c r="OU33" s="970"/>
      <c r="OV33" s="970"/>
      <c r="OW33" s="970"/>
      <c r="OX33" s="970"/>
      <c r="OY33" s="970"/>
      <c r="OZ33" s="970"/>
      <c r="PA33" s="970"/>
      <c r="PB33" s="970"/>
      <c r="PC33" s="970"/>
      <c r="PD33" s="970"/>
      <c r="PE33" s="970"/>
      <c r="PF33" s="970"/>
      <c r="PG33" s="970"/>
      <c r="PH33" s="970"/>
      <c r="PI33" s="970"/>
      <c r="PJ33" s="970"/>
      <c r="PK33" s="970"/>
      <c r="PL33" s="970"/>
      <c r="PM33" s="970"/>
      <c r="PN33" s="970"/>
      <c r="PO33" s="970"/>
      <c r="PP33" s="970"/>
      <c r="PQ33" s="970"/>
      <c r="PR33" s="970"/>
      <c r="PS33" s="970"/>
      <c r="PT33" s="970"/>
      <c r="PU33" s="970"/>
      <c r="PV33" s="970"/>
      <c r="PW33" s="970"/>
      <c r="PX33" s="970"/>
      <c r="PY33" s="970"/>
      <c r="PZ33" s="970"/>
      <c r="QA33" s="970"/>
      <c r="QB33" s="970"/>
      <c r="QC33" s="970"/>
      <c r="QD33" s="970"/>
      <c r="QE33" s="970"/>
      <c r="QF33" s="970"/>
      <c r="QG33" s="970"/>
      <c r="QH33" s="970"/>
      <c r="QI33" s="970"/>
      <c r="QJ33" s="970"/>
      <c r="QK33" s="970"/>
      <c r="QL33" s="970"/>
      <c r="QM33" s="970"/>
      <c r="QN33" s="970"/>
      <c r="QO33" s="970"/>
      <c r="QP33" s="970"/>
      <c r="QQ33" s="970"/>
      <c r="QR33" s="970"/>
      <c r="QS33" s="970"/>
      <c r="QT33" s="970"/>
      <c r="QU33" s="970"/>
      <c r="QV33" s="970"/>
      <c r="QW33" s="970"/>
      <c r="QX33" s="970"/>
      <c r="QY33" s="970"/>
      <c r="QZ33" s="970"/>
      <c r="RA33" s="970"/>
      <c r="RB33" s="970"/>
      <c r="RC33" s="970"/>
      <c r="RD33" s="970"/>
      <c r="RE33" s="970"/>
      <c r="RF33" s="970"/>
      <c r="RG33" s="970"/>
      <c r="RH33" s="970"/>
      <c r="RI33" s="970"/>
      <c r="RJ33" s="970"/>
      <c r="RK33" s="970"/>
      <c r="RL33" s="970"/>
      <c r="RM33" s="970"/>
      <c r="RN33" s="970"/>
      <c r="RO33" s="970"/>
      <c r="RP33" s="970"/>
      <c r="RQ33" s="970"/>
      <c r="RR33" s="970"/>
      <c r="RS33" s="970"/>
      <c r="RT33" s="970"/>
      <c r="RU33" s="970"/>
      <c r="RV33" s="970"/>
      <c r="RW33" s="970"/>
      <c r="RX33" s="970"/>
      <c r="RY33" s="970"/>
      <c r="RZ33" s="970"/>
      <c r="SA33" s="970"/>
      <c r="SB33" s="970"/>
      <c r="SC33" s="970"/>
      <c r="SD33" s="970"/>
      <c r="SE33" s="970"/>
      <c r="SF33" s="970"/>
      <c r="SG33" s="970"/>
      <c r="SH33" s="970"/>
      <c r="SI33" s="970"/>
      <c r="SJ33" s="970"/>
      <c r="SK33" s="970"/>
      <c r="SL33" s="970"/>
      <c r="SM33" s="970"/>
      <c r="SN33" s="970"/>
      <c r="SO33" s="970"/>
      <c r="SP33" s="970"/>
      <c r="SQ33" s="970"/>
      <c r="SR33" s="970"/>
    </row>
    <row r="34" spans="1:512" ht="15" customHeight="1">
      <c r="A34"/>
      <c r="B34"/>
      <c r="C34"/>
      <c r="D34" t="s">
        <v>921</v>
      </c>
      <c r="E34" t="s">
        <v>210</v>
      </c>
      <c r="F34"/>
      <c r="G34" s="974">
        <v>84</v>
      </c>
      <c r="H34" s="1033">
        <v>95.936476909622343</v>
      </c>
      <c r="I34" s="974"/>
      <c r="J34" s="974"/>
      <c r="K34" s="974"/>
      <c r="L34" s="974"/>
      <c r="M34" s="974"/>
      <c r="N34" s="974"/>
      <c r="O34" s="974"/>
      <c r="P34" s="974"/>
      <c r="Q34" s="974"/>
      <c r="R34" s="974"/>
      <c r="S34" s="974"/>
      <c r="T34" s="974"/>
      <c r="U34" s="970"/>
      <c r="V34" s="970"/>
      <c r="W34" s="970"/>
      <c r="X34" s="970"/>
      <c r="Y34" s="970"/>
      <c r="Z34" s="970"/>
      <c r="AA34" s="970"/>
      <c r="AB34" s="970"/>
      <c r="AC34" s="970"/>
      <c r="AD34" s="970"/>
      <c r="AE34" s="970"/>
      <c r="AF34" s="970"/>
      <c r="AG34" s="970"/>
      <c r="AH34" s="970"/>
      <c r="AI34" s="970"/>
      <c r="AJ34" s="970"/>
      <c r="AK34" s="970"/>
      <c r="AL34" s="970"/>
      <c r="AM34" s="970"/>
      <c r="AN34" s="970"/>
      <c r="AO34" s="970"/>
      <c r="AP34" s="970"/>
      <c r="AQ34" s="970"/>
      <c r="AR34" s="970"/>
      <c r="AS34" s="970"/>
      <c r="AT34" s="970"/>
      <c r="AU34" s="970"/>
      <c r="AV34" s="970"/>
      <c r="AW34" s="970"/>
      <c r="AX34" s="970"/>
      <c r="AY34" s="970"/>
      <c r="AZ34" s="970"/>
      <c r="BA34" s="970"/>
      <c r="BB34" s="970"/>
      <c r="BC34" s="970"/>
      <c r="BD34" s="970"/>
      <c r="BE34" s="970"/>
      <c r="BF34" s="970"/>
      <c r="BG34" s="970"/>
      <c r="BH34" s="970"/>
      <c r="BI34" s="970"/>
      <c r="BJ34" s="970"/>
      <c r="BK34" s="970"/>
      <c r="BL34" s="970"/>
      <c r="BM34" s="970"/>
      <c r="BN34" s="970"/>
      <c r="BO34" s="970"/>
      <c r="BP34" s="970"/>
      <c r="BQ34" s="970"/>
      <c r="BR34" s="970"/>
      <c r="BS34" s="970"/>
      <c r="BT34" s="970"/>
      <c r="BU34" s="970"/>
      <c r="BV34" s="970"/>
      <c r="BW34" s="970"/>
      <c r="BX34" s="970"/>
      <c r="BY34" s="970"/>
      <c r="BZ34" s="970"/>
      <c r="CA34" s="970"/>
      <c r="CB34" s="970"/>
      <c r="CC34" s="970"/>
      <c r="CD34" s="970"/>
      <c r="CE34" s="970"/>
      <c r="CF34" s="970"/>
      <c r="CG34" s="970"/>
      <c r="CH34" s="970"/>
      <c r="CI34" s="970"/>
      <c r="CJ34" s="970"/>
      <c r="CK34" s="970"/>
      <c r="CL34" s="970"/>
      <c r="CM34" s="970"/>
      <c r="CN34" s="970"/>
      <c r="CO34" s="970"/>
      <c r="CP34" s="970"/>
      <c r="CQ34" s="970"/>
      <c r="CR34" s="970"/>
      <c r="CS34" s="970"/>
      <c r="CT34" s="970"/>
      <c r="CU34" s="970"/>
      <c r="CV34" s="970"/>
      <c r="CW34" s="970"/>
      <c r="CX34" s="970"/>
      <c r="CY34" s="970"/>
      <c r="CZ34" s="970"/>
      <c r="DA34" s="970"/>
      <c r="DB34" s="970"/>
      <c r="DC34" s="970"/>
      <c r="DD34" s="970"/>
      <c r="DE34" s="970"/>
      <c r="DF34" s="970"/>
      <c r="DG34" s="970"/>
      <c r="DH34" s="970"/>
      <c r="DI34" s="970"/>
      <c r="DJ34" s="970"/>
      <c r="DK34" s="970"/>
      <c r="DL34" s="970"/>
      <c r="DM34" s="970"/>
      <c r="DN34" s="970"/>
      <c r="DO34" s="970"/>
      <c r="DP34" s="970"/>
      <c r="DQ34" s="970"/>
      <c r="DR34" s="970"/>
      <c r="DS34" s="970"/>
      <c r="DT34" s="970"/>
      <c r="DU34" s="970"/>
      <c r="DV34" s="970"/>
      <c r="DW34" s="970"/>
      <c r="DX34" s="970"/>
      <c r="DY34" s="970"/>
      <c r="DZ34" s="970"/>
      <c r="EA34" s="970"/>
      <c r="EB34" s="970"/>
      <c r="EC34" s="970"/>
      <c r="ED34" s="970"/>
      <c r="EE34" s="970"/>
      <c r="EF34" s="970"/>
      <c r="EG34" s="970"/>
      <c r="EH34" s="970"/>
      <c r="EI34" s="970"/>
      <c r="EJ34" s="970"/>
      <c r="EK34" s="970"/>
      <c r="EL34" s="970"/>
      <c r="EM34" s="970"/>
      <c r="EN34" s="970"/>
      <c r="EO34" s="970"/>
      <c r="EP34" s="970"/>
      <c r="EQ34" s="970"/>
      <c r="ER34" s="970"/>
      <c r="ES34" s="970"/>
      <c r="ET34" s="970"/>
      <c r="EU34" s="970"/>
      <c r="EV34" s="970"/>
      <c r="EW34" s="970"/>
      <c r="EX34" s="970"/>
      <c r="EY34" s="970"/>
      <c r="EZ34" s="970"/>
      <c r="FA34" s="970"/>
      <c r="FB34" s="970"/>
      <c r="FC34" s="970"/>
      <c r="FD34" s="970"/>
      <c r="FE34" s="970"/>
      <c r="FF34" s="970"/>
      <c r="FG34" s="970"/>
      <c r="FH34" s="970"/>
      <c r="FI34" s="970"/>
      <c r="FJ34" s="970"/>
      <c r="FK34" s="970"/>
      <c r="FL34" s="970"/>
      <c r="FM34" s="970"/>
      <c r="FN34" s="970"/>
      <c r="FO34" s="970"/>
      <c r="FP34" s="970"/>
      <c r="FQ34" s="970"/>
      <c r="FR34" s="970"/>
      <c r="FS34" s="970"/>
      <c r="FT34" s="970"/>
      <c r="FU34" s="970"/>
      <c r="FV34" s="970"/>
      <c r="FW34" s="970"/>
      <c r="FX34" s="970"/>
      <c r="FY34" s="970"/>
      <c r="FZ34" s="970"/>
      <c r="GA34" s="970"/>
      <c r="GB34" s="970"/>
      <c r="GC34" s="970"/>
      <c r="GD34" s="970"/>
      <c r="GE34" s="970"/>
      <c r="GF34" s="970"/>
      <c r="GG34" s="970"/>
      <c r="GH34" s="970"/>
      <c r="GI34" s="970"/>
      <c r="GJ34" s="970"/>
      <c r="GK34" s="970"/>
      <c r="GL34" s="970"/>
      <c r="GM34" s="970"/>
      <c r="GN34" s="970"/>
      <c r="GO34" s="970"/>
      <c r="GP34" s="970"/>
      <c r="GQ34" s="970"/>
      <c r="GR34" s="970"/>
      <c r="GS34" s="970"/>
      <c r="GT34" s="970"/>
      <c r="GU34" s="970"/>
      <c r="GV34" s="970"/>
      <c r="GW34" s="970"/>
      <c r="GX34" s="970"/>
      <c r="GY34" s="970"/>
      <c r="GZ34" s="970"/>
      <c r="HA34" s="970"/>
      <c r="HB34" s="970"/>
      <c r="HC34" s="970"/>
      <c r="HD34" s="970"/>
      <c r="HE34" s="970"/>
      <c r="HF34" s="970"/>
      <c r="HG34" s="970"/>
      <c r="HH34" s="970"/>
      <c r="HI34" s="970"/>
      <c r="HJ34" s="970"/>
      <c r="HK34" s="970"/>
      <c r="HL34" s="970"/>
      <c r="HM34" s="970"/>
      <c r="HN34" s="970"/>
      <c r="HO34" s="970"/>
      <c r="HP34" s="970"/>
      <c r="HQ34" s="970"/>
      <c r="HR34" s="970"/>
      <c r="HS34" s="970"/>
      <c r="HT34" s="970"/>
      <c r="HU34" s="970"/>
      <c r="HV34" s="970"/>
      <c r="HW34" s="970"/>
      <c r="HX34" s="970"/>
      <c r="HY34" s="970"/>
      <c r="HZ34" s="970"/>
      <c r="IA34" s="970"/>
      <c r="IB34" s="970"/>
      <c r="IC34" s="970"/>
      <c r="ID34" s="970"/>
      <c r="IE34" s="970"/>
      <c r="IF34" s="970"/>
      <c r="IG34" s="970"/>
      <c r="IH34" s="970"/>
      <c r="II34" s="970"/>
      <c r="IJ34" s="970"/>
      <c r="IK34" s="970"/>
      <c r="IL34" s="970"/>
      <c r="IM34" s="970"/>
      <c r="IN34" s="970"/>
      <c r="IO34" s="970"/>
      <c r="IP34" s="970"/>
      <c r="IQ34" s="970"/>
      <c r="IR34" s="970"/>
      <c r="IS34" s="970"/>
      <c r="IT34" s="970"/>
      <c r="IU34" s="970"/>
      <c r="IV34" s="970"/>
      <c r="IW34" s="970"/>
      <c r="IX34" s="970"/>
      <c r="IY34" s="970"/>
      <c r="IZ34" s="970"/>
      <c r="JA34" s="970"/>
      <c r="JB34" s="970"/>
      <c r="JC34" s="970"/>
      <c r="JD34" s="970"/>
      <c r="JE34" s="970"/>
      <c r="JF34" s="970"/>
      <c r="JG34" s="970"/>
      <c r="JH34" s="970"/>
      <c r="JI34" s="970"/>
      <c r="JJ34" s="970"/>
      <c r="JK34" s="970"/>
      <c r="JL34" s="970"/>
      <c r="JM34" s="970"/>
      <c r="JN34" s="970"/>
      <c r="JO34" s="970"/>
      <c r="JP34" s="970"/>
      <c r="JQ34" s="970"/>
      <c r="JR34" s="970"/>
      <c r="JS34" s="970"/>
      <c r="JT34" s="970"/>
      <c r="JU34" s="970"/>
      <c r="JV34" s="970"/>
      <c r="JW34" s="970"/>
      <c r="JX34" s="970"/>
      <c r="JY34" s="970"/>
      <c r="JZ34" s="970"/>
      <c r="KA34" s="970"/>
      <c r="KB34" s="970"/>
      <c r="KC34" s="970"/>
      <c r="KD34" s="970"/>
      <c r="KE34" s="970"/>
      <c r="KF34" s="970"/>
      <c r="KG34" s="970"/>
      <c r="KH34" s="970"/>
      <c r="KI34" s="970"/>
      <c r="KJ34" s="970"/>
      <c r="KK34" s="970"/>
      <c r="KL34" s="970"/>
      <c r="KM34" s="970"/>
      <c r="KN34" s="970"/>
      <c r="KO34" s="970"/>
      <c r="KP34" s="970"/>
      <c r="KQ34" s="970"/>
      <c r="KR34" s="970"/>
      <c r="KS34" s="970"/>
      <c r="KT34" s="970"/>
      <c r="KU34" s="970"/>
      <c r="KV34" s="970"/>
      <c r="KW34" s="970"/>
      <c r="KX34" s="970"/>
      <c r="KY34" s="970"/>
      <c r="KZ34" s="970"/>
      <c r="LA34" s="970"/>
      <c r="LB34" s="970"/>
      <c r="LC34" s="970"/>
      <c r="LD34" s="970"/>
      <c r="LE34" s="970"/>
      <c r="LF34" s="970"/>
      <c r="LG34" s="970"/>
      <c r="LH34" s="970"/>
      <c r="LI34" s="970"/>
      <c r="LJ34" s="970"/>
      <c r="LK34" s="970"/>
      <c r="LL34" s="970"/>
      <c r="LM34" s="970"/>
      <c r="LN34" s="970"/>
      <c r="LO34" s="970"/>
      <c r="LP34" s="970"/>
      <c r="LQ34" s="970"/>
      <c r="LR34" s="970"/>
      <c r="LS34" s="970"/>
      <c r="LT34" s="970"/>
      <c r="LU34" s="970"/>
      <c r="LV34" s="970"/>
      <c r="LW34" s="970"/>
      <c r="LX34" s="970"/>
      <c r="LY34" s="970"/>
      <c r="LZ34" s="970"/>
      <c r="MA34" s="970"/>
      <c r="MB34" s="970"/>
      <c r="MC34" s="970"/>
      <c r="MD34" s="970"/>
      <c r="ME34" s="970"/>
      <c r="MF34" s="970"/>
      <c r="MG34" s="970"/>
      <c r="MH34" s="970"/>
      <c r="MI34" s="970"/>
      <c r="MJ34" s="970"/>
      <c r="MK34" s="970"/>
      <c r="ML34" s="970"/>
      <c r="MM34" s="970"/>
      <c r="MN34" s="970"/>
      <c r="MO34" s="970"/>
      <c r="MP34" s="970"/>
      <c r="MQ34" s="970"/>
      <c r="MR34" s="970"/>
      <c r="MS34" s="970"/>
      <c r="MT34" s="970"/>
      <c r="MU34" s="970"/>
      <c r="MV34" s="970"/>
      <c r="MW34" s="970"/>
      <c r="MX34" s="970"/>
      <c r="MY34" s="970"/>
      <c r="MZ34" s="970"/>
      <c r="NA34" s="970"/>
      <c r="NB34" s="970"/>
      <c r="NC34" s="970"/>
      <c r="ND34" s="970"/>
      <c r="NE34" s="970"/>
      <c r="NF34" s="970"/>
      <c r="NG34" s="970"/>
      <c r="NH34" s="970"/>
      <c r="NI34" s="970"/>
      <c r="NJ34" s="970"/>
      <c r="NK34" s="970"/>
      <c r="NL34" s="970"/>
      <c r="NM34" s="970"/>
      <c r="NN34" s="970"/>
      <c r="NO34" s="970"/>
      <c r="NP34" s="970"/>
      <c r="NQ34" s="970"/>
      <c r="NR34" s="970"/>
      <c r="NS34" s="970"/>
      <c r="NT34" s="970"/>
      <c r="NU34" s="970"/>
      <c r="NV34" s="970"/>
      <c r="NW34" s="970"/>
      <c r="NX34" s="970"/>
      <c r="NY34" s="970"/>
      <c r="NZ34" s="970"/>
      <c r="OA34" s="970"/>
      <c r="OB34" s="970"/>
      <c r="OC34" s="970"/>
      <c r="OD34" s="970"/>
      <c r="OE34" s="970"/>
      <c r="OF34" s="970"/>
      <c r="OG34" s="970"/>
      <c r="OH34" s="970"/>
      <c r="OI34" s="970"/>
      <c r="OJ34" s="970"/>
      <c r="OK34" s="970"/>
      <c r="OL34" s="970"/>
      <c r="OM34" s="970"/>
      <c r="ON34" s="970"/>
      <c r="OO34" s="970"/>
      <c r="OP34" s="970"/>
      <c r="OQ34" s="970"/>
      <c r="OR34" s="970"/>
      <c r="OS34" s="970"/>
      <c r="OT34" s="970"/>
      <c r="OU34" s="970"/>
      <c r="OV34" s="970"/>
      <c r="OW34" s="970"/>
      <c r="OX34" s="970"/>
      <c r="OY34" s="970"/>
      <c r="OZ34" s="970"/>
      <c r="PA34" s="970"/>
      <c r="PB34" s="970"/>
      <c r="PC34" s="970"/>
      <c r="PD34" s="970"/>
      <c r="PE34" s="970"/>
      <c r="PF34" s="970"/>
      <c r="PG34" s="970"/>
      <c r="PH34" s="970"/>
      <c r="PI34" s="970"/>
      <c r="PJ34" s="970"/>
      <c r="PK34" s="970"/>
      <c r="PL34" s="970"/>
      <c r="PM34" s="970"/>
      <c r="PN34" s="970"/>
      <c r="PO34" s="970"/>
      <c r="PP34" s="970"/>
      <c r="PQ34" s="970"/>
      <c r="PR34" s="970"/>
      <c r="PS34" s="970"/>
      <c r="PT34" s="970"/>
      <c r="PU34" s="970"/>
      <c r="PV34" s="970"/>
      <c r="PW34" s="970"/>
      <c r="PX34" s="970"/>
      <c r="PY34" s="970"/>
      <c r="PZ34" s="970"/>
      <c r="QA34" s="970"/>
      <c r="QB34" s="970"/>
      <c r="QC34" s="970"/>
      <c r="QD34" s="970"/>
      <c r="QE34" s="970"/>
      <c r="QF34" s="970"/>
      <c r="QG34" s="970"/>
      <c r="QH34" s="970"/>
      <c r="QI34" s="970"/>
      <c r="QJ34" s="970"/>
      <c r="QK34" s="970"/>
      <c r="QL34" s="970"/>
      <c r="QM34" s="970"/>
      <c r="QN34" s="970"/>
      <c r="QO34" s="970"/>
      <c r="QP34" s="970"/>
      <c r="QQ34" s="970"/>
      <c r="QR34" s="970"/>
      <c r="QS34" s="970"/>
      <c r="QT34" s="970"/>
      <c r="QU34" s="970"/>
      <c r="QV34" s="970"/>
      <c r="QW34" s="970"/>
      <c r="QX34" s="970"/>
      <c r="QY34" s="970"/>
      <c r="QZ34" s="970"/>
      <c r="RA34" s="970"/>
      <c r="RB34" s="970"/>
      <c r="RC34" s="970"/>
      <c r="RD34" s="970"/>
      <c r="RE34" s="970"/>
      <c r="RF34" s="970"/>
      <c r="RG34" s="970"/>
      <c r="RH34" s="970"/>
      <c r="RI34" s="970"/>
      <c r="RJ34" s="970"/>
      <c r="RK34" s="970"/>
      <c r="RL34" s="970"/>
      <c r="RM34" s="970"/>
      <c r="RN34" s="970"/>
      <c r="RO34" s="970"/>
      <c r="RP34" s="970"/>
      <c r="RQ34" s="970"/>
      <c r="RR34" s="970"/>
      <c r="RS34" s="970"/>
      <c r="RT34" s="970"/>
      <c r="RU34" s="970"/>
      <c r="RV34" s="970"/>
      <c r="RW34" s="970"/>
      <c r="RX34" s="970"/>
      <c r="RY34" s="970"/>
      <c r="RZ34" s="970"/>
      <c r="SA34" s="970"/>
      <c r="SB34" s="970"/>
      <c r="SC34" s="970"/>
      <c r="SD34" s="970"/>
      <c r="SE34" s="970"/>
      <c r="SF34" s="970"/>
      <c r="SG34" s="970"/>
      <c r="SH34" s="970"/>
      <c r="SI34" s="970"/>
      <c r="SJ34" s="970"/>
      <c r="SK34" s="970"/>
      <c r="SL34" s="970"/>
      <c r="SM34" s="970"/>
      <c r="SN34" s="970"/>
      <c r="SO34" s="970"/>
      <c r="SP34" s="970"/>
      <c r="SQ34" s="970"/>
      <c r="SR34" s="970"/>
    </row>
    <row r="35" spans="1:512" ht="15" customHeight="1">
      <c r="A35"/>
      <c r="B35"/>
      <c r="C35"/>
      <c r="D35" t="s">
        <v>922</v>
      </c>
      <c r="E35" t="s">
        <v>210</v>
      </c>
      <c r="F35"/>
      <c r="G35" s="974">
        <v>4</v>
      </c>
      <c r="H35" s="1033">
        <v>0.51618320257682326</v>
      </c>
      <c r="I35" s="974"/>
      <c r="J35" s="974"/>
      <c r="K35" s="974"/>
      <c r="L35" s="974"/>
      <c r="M35" s="974"/>
      <c r="N35" s="974"/>
      <c r="O35" s="974"/>
      <c r="P35" s="974"/>
      <c r="Q35" s="974"/>
      <c r="R35" s="974"/>
      <c r="S35" s="974"/>
      <c r="T35" s="974"/>
      <c r="U35" s="970"/>
      <c r="V35" s="970"/>
      <c r="W35" s="970"/>
      <c r="X35" s="970"/>
      <c r="Y35" s="970"/>
      <c r="Z35" s="970"/>
      <c r="AA35" s="970"/>
      <c r="AB35" s="970"/>
      <c r="AC35" s="970"/>
      <c r="AD35" s="970"/>
      <c r="AE35" s="970"/>
      <c r="AF35" s="970"/>
      <c r="AG35" s="970"/>
      <c r="AH35" s="970"/>
      <c r="AI35" s="970"/>
      <c r="AJ35" s="970"/>
      <c r="AK35" s="970"/>
      <c r="AL35" s="970"/>
      <c r="AM35" s="970"/>
      <c r="AN35" s="970"/>
      <c r="AO35" s="970"/>
      <c r="AP35" s="970"/>
      <c r="AQ35" s="970"/>
      <c r="AR35" s="970"/>
      <c r="AS35" s="970"/>
      <c r="AT35" s="970"/>
      <c r="AU35" s="970"/>
      <c r="AV35" s="970"/>
      <c r="AW35" s="970"/>
      <c r="AX35" s="970"/>
      <c r="AY35" s="970"/>
      <c r="AZ35" s="970"/>
      <c r="BA35" s="970"/>
      <c r="BB35" s="970"/>
      <c r="BC35" s="970"/>
      <c r="BD35" s="970"/>
      <c r="BE35" s="970"/>
      <c r="BF35" s="970"/>
      <c r="BG35" s="970"/>
      <c r="BH35" s="970"/>
      <c r="BI35" s="970"/>
      <c r="BJ35" s="970"/>
      <c r="BK35" s="970"/>
      <c r="BL35" s="970"/>
      <c r="BM35" s="970"/>
      <c r="BN35" s="970"/>
      <c r="BO35" s="970"/>
      <c r="BP35" s="970"/>
      <c r="BQ35" s="970"/>
      <c r="BR35" s="970"/>
      <c r="BS35" s="970"/>
      <c r="BT35" s="970"/>
      <c r="BU35" s="970"/>
      <c r="BV35" s="970"/>
      <c r="BW35" s="970"/>
      <c r="BX35" s="970"/>
      <c r="BY35" s="970"/>
      <c r="BZ35" s="970"/>
      <c r="CA35" s="970"/>
      <c r="CB35" s="970"/>
      <c r="CC35" s="970"/>
      <c r="CD35" s="970"/>
      <c r="CE35" s="970"/>
      <c r="CF35" s="970"/>
      <c r="CG35" s="970"/>
      <c r="CH35" s="970"/>
      <c r="CI35" s="970"/>
      <c r="CJ35" s="970"/>
      <c r="CK35" s="970"/>
      <c r="CL35" s="970"/>
      <c r="CM35" s="970"/>
      <c r="CN35" s="970"/>
      <c r="CO35" s="970"/>
      <c r="CP35" s="970"/>
      <c r="CQ35" s="970"/>
      <c r="CR35" s="970"/>
      <c r="CS35" s="970"/>
      <c r="CT35" s="970"/>
      <c r="CU35" s="970"/>
      <c r="CV35" s="970"/>
      <c r="CW35" s="970"/>
      <c r="CX35" s="970"/>
      <c r="CY35" s="970"/>
      <c r="CZ35" s="970"/>
      <c r="DA35" s="970"/>
      <c r="DB35" s="970"/>
      <c r="DC35" s="970"/>
      <c r="DD35" s="970"/>
      <c r="DE35" s="970"/>
      <c r="DF35" s="970"/>
      <c r="DG35" s="970"/>
      <c r="DH35" s="970"/>
      <c r="DI35" s="970"/>
      <c r="DJ35" s="970"/>
      <c r="DK35" s="970"/>
      <c r="DL35" s="970"/>
      <c r="DM35" s="970"/>
      <c r="DN35" s="970"/>
      <c r="DO35" s="970"/>
      <c r="DP35" s="970"/>
      <c r="DQ35" s="970"/>
      <c r="DR35" s="970"/>
      <c r="DS35" s="970"/>
      <c r="DT35" s="970"/>
      <c r="DU35" s="970"/>
      <c r="DV35" s="970"/>
      <c r="DW35" s="970"/>
      <c r="DX35" s="970"/>
      <c r="DY35" s="970"/>
      <c r="DZ35" s="970"/>
      <c r="EA35" s="970"/>
      <c r="EB35" s="970"/>
      <c r="EC35" s="970"/>
      <c r="ED35" s="970"/>
      <c r="EE35" s="970"/>
      <c r="EF35" s="970"/>
      <c r="EG35" s="970"/>
      <c r="EH35" s="970"/>
      <c r="EI35" s="970"/>
      <c r="EJ35" s="970"/>
      <c r="EK35" s="970"/>
      <c r="EL35" s="970"/>
      <c r="EM35" s="970"/>
      <c r="EN35" s="970"/>
      <c r="EO35" s="970"/>
      <c r="EP35" s="970"/>
      <c r="EQ35" s="970"/>
      <c r="ER35" s="970"/>
      <c r="ES35" s="970"/>
      <c r="ET35" s="970"/>
      <c r="EU35" s="970"/>
      <c r="EV35" s="970"/>
      <c r="EW35" s="970"/>
      <c r="EX35" s="970"/>
      <c r="EY35" s="970"/>
      <c r="EZ35" s="970"/>
      <c r="FA35" s="970"/>
      <c r="FB35" s="970"/>
      <c r="FC35" s="970"/>
      <c r="FD35" s="970"/>
      <c r="FE35" s="970"/>
      <c r="FF35" s="970"/>
      <c r="FG35" s="970"/>
      <c r="FH35" s="970"/>
      <c r="FI35" s="970"/>
      <c r="FJ35" s="970"/>
      <c r="FK35" s="970"/>
      <c r="FL35" s="970"/>
      <c r="FM35" s="970"/>
      <c r="FN35" s="970"/>
      <c r="FO35" s="970"/>
      <c r="FP35" s="970"/>
      <c r="FQ35" s="970"/>
      <c r="FR35" s="970"/>
      <c r="FS35" s="970"/>
      <c r="FT35" s="970"/>
      <c r="FU35" s="970"/>
      <c r="FV35" s="970"/>
      <c r="FW35" s="970"/>
      <c r="FX35" s="970"/>
      <c r="FY35" s="970"/>
      <c r="FZ35" s="970"/>
      <c r="GA35" s="970"/>
      <c r="GB35" s="970"/>
      <c r="GC35" s="970"/>
      <c r="GD35" s="970"/>
      <c r="GE35" s="970"/>
      <c r="GF35" s="970"/>
      <c r="GG35" s="970"/>
      <c r="GH35" s="970"/>
      <c r="GI35" s="970"/>
      <c r="GJ35" s="970"/>
      <c r="GK35" s="970"/>
      <c r="GL35" s="970"/>
      <c r="GM35" s="970"/>
      <c r="GN35" s="970"/>
      <c r="GO35" s="970"/>
      <c r="GP35" s="970"/>
      <c r="GQ35" s="970"/>
      <c r="GR35" s="970"/>
      <c r="GS35" s="970"/>
      <c r="GT35" s="970"/>
      <c r="GU35" s="970"/>
      <c r="GV35" s="970"/>
      <c r="GW35" s="970"/>
      <c r="GX35" s="970"/>
      <c r="GY35" s="970"/>
      <c r="GZ35" s="970"/>
      <c r="HA35" s="970"/>
      <c r="HB35" s="970"/>
      <c r="HC35" s="970"/>
      <c r="HD35" s="970"/>
      <c r="HE35" s="970"/>
      <c r="HF35" s="970"/>
      <c r="HG35" s="970"/>
      <c r="HH35" s="970"/>
      <c r="HI35" s="970"/>
      <c r="HJ35" s="970"/>
      <c r="HK35" s="970"/>
      <c r="HL35" s="970"/>
      <c r="HM35" s="970"/>
      <c r="HN35" s="970"/>
      <c r="HO35" s="970"/>
      <c r="HP35" s="970"/>
      <c r="HQ35" s="970"/>
      <c r="HR35" s="970"/>
      <c r="HS35" s="970"/>
      <c r="HT35" s="970"/>
      <c r="HU35" s="970"/>
      <c r="HV35" s="970"/>
      <c r="HW35" s="970"/>
      <c r="HX35" s="970"/>
      <c r="HY35" s="970"/>
      <c r="HZ35" s="970"/>
      <c r="IA35" s="970"/>
      <c r="IB35" s="970"/>
      <c r="IC35" s="970"/>
      <c r="ID35" s="970"/>
      <c r="IE35" s="970"/>
      <c r="IF35" s="970"/>
      <c r="IG35" s="970"/>
      <c r="IH35" s="970"/>
      <c r="II35" s="970"/>
      <c r="IJ35" s="970"/>
      <c r="IK35" s="970"/>
      <c r="IL35" s="970"/>
      <c r="IM35" s="970"/>
      <c r="IN35" s="970"/>
      <c r="IO35" s="970"/>
      <c r="IP35" s="970"/>
      <c r="IQ35" s="970"/>
      <c r="IR35" s="970"/>
      <c r="IS35" s="970"/>
      <c r="IT35" s="970"/>
      <c r="IU35" s="970"/>
      <c r="IV35" s="970"/>
      <c r="IW35" s="970"/>
      <c r="IX35" s="970"/>
      <c r="IY35" s="970"/>
      <c r="IZ35" s="970"/>
      <c r="JA35" s="970"/>
      <c r="JB35" s="970"/>
      <c r="JC35" s="970"/>
      <c r="JD35" s="970"/>
      <c r="JE35" s="970"/>
      <c r="JF35" s="970"/>
      <c r="JG35" s="970"/>
      <c r="JH35" s="970"/>
      <c r="JI35" s="970"/>
      <c r="JJ35" s="970"/>
      <c r="JK35" s="970"/>
      <c r="JL35" s="970"/>
      <c r="JM35" s="970"/>
      <c r="JN35" s="970"/>
      <c r="JO35" s="970"/>
      <c r="JP35" s="970"/>
      <c r="JQ35" s="970"/>
      <c r="JR35" s="970"/>
      <c r="JS35" s="970"/>
      <c r="JT35" s="970"/>
      <c r="JU35" s="970"/>
      <c r="JV35" s="970"/>
      <c r="JW35" s="970"/>
      <c r="JX35" s="970"/>
      <c r="JY35" s="970"/>
      <c r="JZ35" s="970"/>
      <c r="KA35" s="970"/>
      <c r="KB35" s="970"/>
      <c r="KC35" s="970"/>
      <c r="KD35" s="970"/>
      <c r="KE35" s="970"/>
      <c r="KF35" s="970"/>
      <c r="KG35" s="970"/>
      <c r="KH35" s="970"/>
      <c r="KI35" s="970"/>
      <c r="KJ35" s="970"/>
      <c r="KK35" s="970"/>
      <c r="KL35" s="970"/>
      <c r="KM35" s="970"/>
      <c r="KN35" s="970"/>
      <c r="KO35" s="970"/>
      <c r="KP35" s="970"/>
      <c r="KQ35" s="970"/>
      <c r="KR35" s="970"/>
      <c r="KS35" s="970"/>
      <c r="KT35" s="970"/>
      <c r="KU35" s="970"/>
      <c r="KV35" s="970"/>
      <c r="KW35" s="970"/>
      <c r="KX35" s="970"/>
      <c r="KY35" s="970"/>
      <c r="KZ35" s="970"/>
      <c r="LA35" s="970"/>
      <c r="LB35" s="970"/>
      <c r="LC35" s="970"/>
      <c r="LD35" s="970"/>
      <c r="LE35" s="970"/>
      <c r="LF35" s="970"/>
      <c r="LG35" s="970"/>
      <c r="LH35" s="970"/>
      <c r="LI35" s="970"/>
      <c r="LJ35" s="970"/>
      <c r="LK35" s="970"/>
      <c r="LL35" s="970"/>
      <c r="LM35" s="970"/>
      <c r="LN35" s="970"/>
      <c r="LO35" s="970"/>
      <c r="LP35" s="970"/>
      <c r="LQ35" s="970"/>
      <c r="LR35" s="970"/>
      <c r="LS35" s="970"/>
      <c r="LT35" s="970"/>
      <c r="LU35" s="970"/>
      <c r="LV35" s="970"/>
      <c r="LW35" s="970"/>
      <c r="LX35" s="970"/>
      <c r="LY35" s="970"/>
      <c r="LZ35" s="970"/>
      <c r="MA35" s="970"/>
      <c r="MB35" s="970"/>
      <c r="MC35" s="970"/>
      <c r="MD35" s="970"/>
      <c r="ME35" s="970"/>
      <c r="MF35" s="970"/>
      <c r="MG35" s="970"/>
      <c r="MH35" s="970"/>
      <c r="MI35" s="970"/>
      <c r="MJ35" s="970"/>
      <c r="MK35" s="970"/>
      <c r="ML35" s="970"/>
      <c r="MM35" s="970"/>
      <c r="MN35" s="970"/>
      <c r="MO35" s="970"/>
      <c r="MP35" s="970"/>
      <c r="MQ35" s="970"/>
      <c r="MR35" s="970"/>
      <c r="MS35" s="970"/>
      <c r="MT35" s="970"/>
      <c r="MU35" s="970"/>
      <c r="MV35" s="970"/>
      <c r="MW35" s="970"/>
      <c r="MX35" s="970"/>
      <c r="MY35" s="970"/>
      <c r="MZ35" s="970"/>
      <c r="NA35" s="970"/>
      <c r="NB35" s="970"/>
      <c r="NC35" s="970"/>
      <c r="ND35" s="970"/>
      <c r="NE35" s="970"/>
      <c r="NF35" s="970"/>
      <c r="NG35" s="970"/>
      <c r="NH35" s="970"/>
      <c r="NI35" s="970"/>
      <c r="NJ35" s="970"/>
      <c r="NK35" s="970"/>
      <c r="NL35" s="970"/>
      <c r="NM35" s="970"/>
      <c r="NN35" s="970"/>
      <c r="NO35" s="970"/>
      <c r="NP35" s="970"/>
      <c r="NQ35" s="970"/>
      <c r="NR35" s="970"/>
      <c r="NS35" s="970"/>
      <c r="NT35" s="970"/>
      <c r="NU35" s="970"/>
      <c r="NV35" s="970"/>
      <c r="NW35" s="970"/>
      <c r="NX35" s="970"/>
      <c r="NY35" s="970"/>
      <c r="NZ35" s="970"/>
      <c r="OA35" s="970"/>
      <c r="OB35" s="970"/>
      <c r="OC35" s="970"/>
      <c r="OD35" s="970"/>
      <c r="OE35" s="970"/>
      <c r="OF35" s="970"/>
      <c r="OG35" s="970"/>
      <c r="OH35" s="970"/>
      <c r="OI35" s="970"/>
      <c r="OJ35" s="970"/>
      <c r="OK35" s="970"/>
      <c r="OL35" s="970"/>
      <c r="OM35" s="970"/>
      <c r="ON35" s="970"/>
      <c r="OO35" s="970"/>
      <c r="OP35" s="970"/>
      <c r="OQ35" s="970"/>
      <c r="OR35" s="970"/>
      <c r="OS35" s="970"/>
      <c r="OT35" s="970"/>
      <c r="OU35" s="970"/>
      <c r="OV35" s="970"/>
      <c r="OW35" s="970"/>
      <c r="OX35" s="970"/>
      <c r="OY35" s="970"/>
      <c r="OZ35" s="970"/>
      <c r="PA35" s="970"/>
      <c r="PB35" s="970"/>
      <c r="PC35" s="970"/>
      <c r="PD35" s="970"/>
      <c r="PE35" s="970"/>
      <c r="PF35" s="970"/>
      <c r="PG35" s="970"/>
      <c r="PH35" s="970"/>
      <c r="PI35" s="970"/>
      <c r="PJ35" s="970"/>
      <c r="PK35" s="970"/>
      <c r="PL35" s="970"/>
      <c r="PM35" s="970"/>
      <c r="PN35" s="970"/>
      <c r="PO35" s="970"/>
      <c r="PP35" s="970"/>
      <c r="PQ35" s="970"/>
      <c r="PR35" s="970"/>
      <c r="PS35" s="970"/>
      <c r="PT35" s="970"/>
      <c r="PU35" s="970"/>
      <c r="PV35" s="970"/>
      <c r="PW35" s="970"/>
      <c r="PX35" s="970"/>
      <c r="PY35" s="970"/>
      <c r="PZ35" s="970"/>
      <c r="QA35" s="970"/>
      <c r="QB35" s="970"/>
      <c r="QC35" s="970"/>
      <c r="QD35" s="970"/>
      <c r="QE35" s="970"/>
      <c r="QF35" s="970"/>
      <c r="QG35" s="970"/>
      <c r="QH35" s="970"/>
      <c r="QI35" s="970"/>
      <c r="QJ35" s="970"/>
      <c r="QK35" s="970"/>
      <c r="QL35" s="970"/>
      <c r="QM35" s="970"/>
      <c r="QN35" s="970"/>
      <c r="QO35" s="970"/>
      <c r="QP35" s="970"/>
      <c r="QQ35" s="970"/>
      <c r="QR35" s="970"/>
      <c r="QS35" s="970"/>
      <c r="QT35" s="970"/>
      <c r="QU35" s="970"/>
      <c r="QV35" s="970"/>
      <c r="QW35" s="970"/>
      <c r="QX35" s="970"/>
      <c r="QY35" s="970"/>
      <c r="QZ35" s="970"/>
      <c r="RA35" s="970"/>
      <c r="RB35" s="970"/>
      <c r="RC35" s="970"/>
      <c r="RD35" s="970"/>
      <c r="RE35" s="970"/>
      <c r="RF35" s="970"/>
      <c r="RG35" s="970"/>
      <c r="RH35" s="970"/>
      <c r="RI35" s="970"/>
      <c r="RJ35" s="970"/>
      <c r="RK35" s="970"/>
      <c r="RL35" s="970"/>
      <c r="RM35" s="970"/>
      <c r="RN35" s="970"/>
      <c r="RO35" s="970"/>
      <c r="RP35" s="970"/>
      <c r="RQ35" s="970"/>
      <c r="RR35" s="970"/>
      <c r="RS35" s="970"/>
      <c r="RT35" s="970"/>
      <c r="RU35" s="970"/>
      <c r="RV35" s="970"/>
      <c r="RW35" s="970"/>
      <c r="RX35" s="970"/>
      <c r="RY35" s="970"/>
      <c r="RZ35" s="970"/>
      <c r="SA35" s="970"/>
      <c r="SB35" s="970"/>
      <c r="SC35" s="970"/>
      <c r="SD35" s="970"/>
      <c r="SE35" s="970"/>
      <c r="SF35" s="970"/>
      <c r="SG35" s="970"/>
      <c r="SH35" s="970"/>
      <c r="SI35" s="970"/>
      <c r="SJ35" s="970"/>
      <c r="SK35" s="970"/>
      <c r="SL35" s="970"/>
      <c r="SM35" s="970"/>
      <c r="SN35" s="970"/>
      <c r="SO35" s="970"/>
      <c r="SP35" s="970"/>
      <c r="SQ35" s="970"/>
      <c r="SR35" s="970"/>
    </row>
    <row r="36" spans="1:512" ht="15" customHeight="1">
      <c r="A36"/>
      <c r="B36"/>
      <c r="C36"/>
      <c r="D36" t="s">
        <v>923</v>
      </c>
      <c r="E36" t="s">
        <v>210</v>
      </c>
      <c r="F36"/>
      <c r="G36" s="974">
        <v>2</v>
      </c>
      <c r="H36" s="1033">
        <v>0.23529411764705882</v>
      </c>
      <c r="I36" s="974"/>
      <c r="J36" s="974"/>
      <c r="K36" s="974"/>
      <c r="L36" s="974"/>
      <c r="M36" s="974"/>
      <c r="N36" s="974"/>
      <c r="O36" s="974"/>
      <c r="P36" s="974"/>
      <c r="Q36" s="974"/>
      <c r="R36" s="974"/>
      <c r="S36" s="974"/>
      <c r="T36" s="974"/>
      <c r="U36" s="970"/>
      <c r="V36" s="970"/>
      <c r="W36" s="970"/>
      <c r="X36" s="970"/>
      <c r="Y36" s="970"/>
      <c r="Z36" s="970"/>
      <c r="AA36" s="970"/>
      <c r="AB36" s="970"/>
      <c r="AC36" s="970"/>
      <c r="AD36" s="970"/>
      <c r="AE36" s="970"/>
      <c r="AF36" s="970"/>
      <c r="AG36" s="970"/>
      <c r="AH36" s="970"/>
      <c r="AI36" s="970"/>
      <c r="AJ36" s="970"/>
      <c r="AK36" s="970"/>
      <c r="AL36" s="970"/>
      <c r="AM36" s="970"/>
      <c r="AN36" s="970"/>
      <c r="AO36" s="970"/>
      <c r="AP36" s="970"/>
      <c r="AQ36" s="970"/>
      <c r="AR36" s="970"/>
      <c r="AS36" s="970"/>
      <c r="AT36" s="970"/>
      <c r="AU36" s="970"/>
      <c r="AV36" s="970"/>
      <c r="AW36" s="970"/>
      <c r="AX36" s="970"/>
      <c r="AY36" s="970"/>
      <c r="AZ36" s="970"/>
      <c r="BA36" s="970"/>
      <c r="BB36" s="970"/>
      <c r="BC36" s="970"/>
      <c r="BD36" s="970"/>
      <c r="BE36" s="970"/>
      <c r="BF36" s="970"/>
      <c r="BG36" s="970"/>
      <c r="BH36" s="970"/>
      <c r="BI36" s="970"/>
      <c r="BJ36" s="970"/>
      <c r="BK36" s="970"/>
      <c r="BL36" s="970"/>
      <c r="BM36" s="970"/>
      <c r="BN36" s="970"/>
      <c r="BO36" s="970"/>
      <c r="BP36" s="970"/>
      <c r="BQ36" s="970"/>
      <c r="BR36" s="970"/>
      <c r="BS36" s="970"/>
      <c r="BT36" s="970"/>
      <c r="BU36" s="970"/>
      <c r="BV36" s="970"/>
      <c r="BW36" s="970"/>
      <c r="BX36" s="970"/>
      <c r="BY36" s="970"/>
      <c r="BZ36" s="970"/>
      <c r="CA36" s="970"/>
      <c r="CB36" s="970"/>
      <c r="CC36" s="970"/>
      <c r="CD36" s="970"/>
      <c r="CE36" s="970"/>
      <c r="CF36" s="970"/>
      <c r="CG36" s="970"/>
      <c r="CH36" s="970"/>
      <c r="CI36" s="970"/>
      <c r="CJ36" s="970"/>
      <c r="CK36" s="970"/>
      <c r="CL36" s="970"/>
      <c r="CM36" s="970"/>
      <c r="CN36" s="970"/>
      <c r="CO36" s="970"/>
      <c r="CP36" s="970"/>
      <c r="CQ36" s="970"/>
      <c r="CR36" s="970"/>
      <c r="CS36" s="970"/>
      <c r="CT36" s="970"/>
      <c r="CU36" s="970"/>
      <c r="CV36" s="970"/>
      <c r="CW36" s="970"/>
      <c r="CX36" s="970"/>
      <c r="CY36" s="970"/>
      <c r="CZ36" s="970"/>
      <c r="DA36" s="970"/>
      <c r="DB36" s="970"/>
      <c r="DC36" s="970"/>
      <c r="DD36" s="970"/>
      <c r="DE36" s="970"/>
      <c r="DF36" s="970"/>
      <c r="DG36" s="970"/>
      <c r="DH36" s="970"/>
      <c r="DI36" s="970"/>
      <c r="DJ36" s="970"/>
      <c r="DK36" s="970"/>
      <c r="DL36" s="970"/>
      <c r="DM36" s="970"/>
      <c r="DN36" s="970"/>
      <c r="DO36" s="970"/>
      <c r="DP36" s="970"/>
      <c r="DQ36" s="970"/>
      <c r="DR36" s="970"/>
      <c r="DS36" s="970"/>
      <c r="DT36" s="970"/>
      <c r="DU36" s="970"/>
      <c r="DV36" s="970"/>
      <c r="DW36" s="970"/>
      <c r="DX36" s="970"/>
      <c r="DY36" s="970"/>
      <c r="DZ36" s="970"/>
      <c r="EA36" s="970"/>
      <c r="EB36" s="970"/>
      <c r="EC36" s="970"/>
      <c r="ED36" s="970"/>
      <c r="EE36" s="970"/>
      <c r="EF36" s="970"/>
      <c r="EG36" s="970"/>
      <c r="EH36" s="970"/>
      <c r="EI36" s="970"/>
      <c r="EJ36" s="970"/>
      <c r="EK36" s="970"/>
      <c r="EL36" s="970"/>
      <c r="EM36" s="970"/>
      <c r="EN36" s="970"/>
      <c r="EO36" s="970"/>
      <c r="EP36" s="970"/>
      <c r="EQ36" s="970"/>
      <c r="ER36" s="970"/>
      <c r="ES36" s="970"/>
      <c r="ET36" s="970"/>
      <c r="EU36" s="970"/>
      <c r="EV36" s="970"/>
      <c r="EW36" s="970"/>
      <c r="EX36" s="970"/>
      <c r="EY36" s="970"/>
      <c r="EZ36" s="970"/>
      <c r="FA36" s="970"/>
      <c r="FB36" s="970"/>
      <c r="FC36" s="970"/>
      <c r="FD36" s="970"/>
      <c r="FE36" s="970"/>
      <c r="FF36" s="970"/>
      <c r="FG36" s="970"/>
      <c r="FH36" s="970"/>
      <c r="FI36" s="970"/>
      <c r="FJ36" s="970"/>
      <c r="FK36" s="970"/>
      <c r="FL36" s="970"/>
      <c r="FM36" s="970"/>
      <c r="FN36" s="970"/>
      <c r="FO36" s="970"/>
      <c r="FP36" s="970"/>
      <c r="FQ36" s="970"/>
      <c r="FR36" s="970"/>
      <c r="FS36" s="970"/>
      <c r="FT36" s="970"/>
      <c r="FU36" s="970"/>
      <c r="FV36" s="970"/>
      <c r="FW36" s="970"/>
      <c r="FX36" s="970"/>
      <c r="FY36" s="970"/>
      <c r="FZ36" s="970"/>
      <c r="GA36" s="970"/>
      <c r="GB36" s="970"/>
      <c r="GC36" s="970"/>
      <c r="GD36" s="970"/>
      <c r="GE36" s="970"/>
      <c r="GF36" s="970"/>
      <c r="GG36" s="970"/>
      <c r="GH36" s="970"/>
      <c r="GI36" s="970"/>
      <c r="GJ36" s="970"/>
      <c r="GK36" s="970"/>
      <c r="GL36" s="970"/>
      <c r="GM36" s="970"/>
      <c r="GN36" s="970"/>
      <c r="GO36" s="970"/>
      <c r="GP36" s="970"/>
      <c r="GQ36" s="970"/>
      <c r="GR36" s="970"/>
      <c r="GS36" s="970"/>
      <c r="GT36" s="970"/>
      <c r="GU36" s="970"/>
      <c r="GV36" s="970"/>
      <c r="GW36" s="970"/>
      <c r="GX36" s="970"/>
      <c r="GY36" s="970"/>
      <c r="GZ36" s="970"/>
      <c r="HA36" s="970"/>
      <c r="HB36" s="970"/>
      <c r="HC36" s="970"/>
      <c r="HD36" s="970"/>
      <c r="HE36" s="970"/>
      <c r="HF36" s="970"/>
      <c r="HG36" s="970"/>
      <c r="HH36" s="970"/>
      <c r="HI36" s="970"/>
      <c r="HJ36" s="970"/>
      <c r="HK36" s="970"/>
      <c r="HL36" s="970"/>
      <c r="HM36" s="970"/>
      <c r="HN36" s="970"/>
      <c r="HO36" s="970"/>
      <c r="HP36" s="970"/>
      <c r="HQ36" s="970"/>
      <c r="HR36" s="970"/>
      <c r="HS36" s="970"/>
      <c r="HT36" s="970"/>
      <c r="HU36" s="970"/>
      <c r="HV36" s="970"/>
      <c r="HW36" s="970"/>
      <c r="HX36" s="970"/>
      <c r="HY36" s="970"/>
      <c r="HZ36" s="970"/>
      <c r="IA36" s="970"/>
      <c r="IB36" s="970"/>
      <c r="IC36" s="970"/>
      <c r="ID36" s="970"/>
      <c r="IE36" s="970"/>
      <c r="IF36" s="970"/>
      <c r="IG36" s="970"/>
      <c r="IH36" s="970"/>
      <c r="II36" s="970"/>
      <c r="IJ36" s="970"/>
      <c r="IK36" s="970"/>
      <c r="IL36" s="970"/>
      <c r="IM36" s="970"/>
      <c r="IN36" s="970"/>
      <c r="IO36" s="970"/>
      <c r="IP36" s="970"/>
      <c r="IQ36" s="970"/>
      <c r="IR36" s="970"/>
      <c r="IS36" s="970"/>
      <c r="IT36" s="970"/>
      <c r="IU36" s="970"/>
      <c r="IV36" s="970"/>
      <c r="IW36" s="970"/>
      <c r="IX36" s="970"/>
      <c r="IY36" s="970"/>
      <c r="IZ36" s="970"/>
      <c r="JA36" s="970"/>
      <c r="JB36" s="970"/>
      <c r="JC36" s="970"/>
      <c r="JD36" s="970"/>
      <c r="JE36" s="970"/>
      <c r="JF36" s="970"/>
      <c r="JG36" s="970"/>
      <c r="JH36" s="970"/>
      <c r="JI36" s="970"/>
      <c r="JJ36" s="970"/>
      <c r="JK36" s="970"/>
      <c r="JL36" s="970"/>
      <c r="JM36" s="970"/>
      <c r="JN36" s="970"/>
      <c r="JO36" s="970"/>
      <c r="JP36" s="970"/>
      <c r="JQ36" s="970"/>
      <c r="JR36" s="970"/>
      <c r="JS36" s="970"/>
      <c r="JT36" s="970"/>
      <c r="JU36" s="970"/>
      <c r="JV36" s="970"/>
      <c r="JW36" s="970"/>
      <c r="JX36" s="970"/>
      <c r="JY36" s="970"/>
      <c r="JZ36" s="970"/>
      <c r="KA36" s="970"/>
      <c r="KB36" s="970"/>
      <c r="KC36" s="970"/>
      <c r="KD36" s="970"/>
      <c r="KE36" s="970"/>
      <c r="KF36" s="970"/>
      <c r="KG36" s="970"/>
      <c r="KH36" s="970"/>
      <c r="KI36" s="970"/>
      <c r="KJ36" s="970"/>
      <c r="KK36" s="970"/>
      <c r="KL36" s="970"/>
      <c r="KM36" s="970"/>
      <c r="KN36" s="970"/>
      <c r="KO36" s="970"/>
      <c r="KP36" s="970"/>
      <c r="KQ36" s="970"/>
      <c r="KR36" s="970"/>
      <c r="KS36" s="970"/>
      <c r="KT36" s="970"/>
      <c r="KU36" s="970"/>
      <c r="KV36" s="970"/>
      <c r="KW36" s="970"/>
      <c r="KX36" s="970"/>
      <c r="KY36" s="970"/>
      <c r="KZ36" s="970"/>
      <c r="LA36" s="970"/>
      <c r="LB36" s="970"/>
      <c r="LC36" s="970"/>
      <c r="LD36" s="970"/>
      <c r="LE36" s="970"/>
      <c r="LF36" s="970"/>
      <c r="LG36" s="970"/>
      <c r="LH36" s="970"/>
      <c r="LI36" s="970"/>
      <c r="LJ36" s="970"/>
      <c r="LK36" s="970"/>
      <c r="LL36" s="970"/>
      <c r="LM36" s="970"/>
      <c r="LN36" s="970"/>
      <c r="LO36" s="970"/>
      <c r="LP36" s="970"/>
      <c r="LQ36" s="970"/>
      <c r="LR36" s="970"/>
      <c r="LS36" s="970"/>
      <c r="LT36" s="970"/>
      <c r="LU36" s="970"/>
      <c r="LV36" s="970"/>
      <c r="LW36" s="970"/>
      <c r="LX36" s="970"/>
      <c r="LY36" s="970"/>
      <c r="LZ36" s="970"/>
      <c r="MA36" s="970"/>
      <c r="MB36" s="970"/>
      <c r="MC36" s="970"/>
      <c r="MD36" s="970"/>
      <c r="ME36" s="970"/>
      <c r="MF36" s="970"/>
      <c r="MG36" s="970"/>
      <c r="MH36" s="970"/>
      <c r="MI36" s="970"/>
      <c r="MJ36" s="970"/>
      <c r="MK36" s="970"/>
      <c r="ML36" s="970"/>
      <c r="MM36" s="970"/>
      <c r="MN36" s="970"/>
      <c r="MO36" s="970"/>
      <c r="MP36" s="970"/>
      <c r="MQ36" s="970"/>
      <c r="MR36" s="970"/>
      <c r="MS36" s="970"/>
      <c r="MT36" s="970"/>
      <c r="MU36" s="970"/>
      <c r="MV36" s="970"/>
      <c r="MW36" s="970"/>
      <c r="MX36" s="970"/>
      <c r="MY36" s="970"/>
      <c r="MZ36" s="970"/>
      <c r="NA36" s="970"/>
      <c r="NB36" s="970"/>
      <c r="NC36" s="970"/>
      <c r="ND36" s="970"/>
      <c r="NE36" s="970"/>
      <c r="NF36" s="970"/>
      <c r="NG36" s="970"/>
      <c r="NH36" s="970"/>
      <c r="NI36" s="970"/>
      <c r="NJ36" s="970"/>
      <c r="NK36" s="970"/>
      <c r="NL36" s="970"/>
      <c r="NM36" s="970"/>
      <c r="NN36" s="970"/>
      <c r="NO36" s="970"/>
      <c r="NP36" s="970"/>
      <c r="NQ36" s="970"/>
      <c r="NR36" s="970"/>
      <c r="NS36" s="970"/>
      <c r="NT36" s="970"/>
      <c r="NU36" s="970"/>
      <c r="NV36" s="970"/>
      <c r="NW36" s="970"/>
      <c r="NX36" s="970"/>
      <c r="NY36" s="970"/>
      <c r="NZ36" s="970"/>
      <c r="OA36" s="970"/>
      <c r="OB36" s="970"/>
      <c r="OC36" s="970"/>
      <c r="OD36" s="970"/>
      <c r="OE36" s="970"/>
      <c r="OF36" s="970"/>
      <c r="OG36" s="970"/>
      <c r="OH36" s="970"/>
      <c r="OI36" s="970"/>
      <c r="OJ36" s="970"/>
      <c r="OK36" s="970"/>
      <c r="OL36" s="970"/>
      <c r="OM36" s="970"/>
      <c r="ON36" s="970"/>
      <c r="OO36" s="970"/>
      <c r="OP36" s="970"/>
      <c r="OQ36" s="970"/>
      <c r="OR36" s="970"/>
      <c r="OS36" s="970"/>
      <c r="OT36" s="970"/>
      <c r="OU36" s="970"/>
      <c r="OV36" s="970"/>
      <c r="OW36" s="970"/>
      <c r="OX36" s="970"/>
      <c r="OY36" s="970"/>
      <c r="OZ36" s="970"/>
      <c r="PA36" s="970"/>
      <c r="PB36" s="970"/>
      <c r="PC36" s="970"/>
      <c r="PD36" s="970"/>
      <c r="PE36" s="970"/>
      <c r="PF36" s="970"/>
      <c r="PG36" s="970"/>
      <c r="PH36" s="970"/>
      <c r="PI36" s="970"/>
      <c r="PJ36" s="970"/>
      <c r="PK36" s="970"/>
      <c r="PL36" s="970"/>
      <c r="PM36" s="970"/>
      <c r="PN36" s="970"/>
      <c r="PO36" s="970"/>
      <c r="PP36" s="970"/>
      <c r="PQ36" s="970"/>
      <c r="PR36" s="970"/>
      <c r="PS36" s="970"/>
      <c r="PT36" s="970"/>
      <c r="PU36" s="970"/>
      <c r="PV36" s="970"/>
      <c r="PW36" s="970"/>
      <c r="PX36" s="970"/>
      <c r="PY36" s="970"/>
      <c r="PZ36" s="970"/>
      <c r="QA36" s="970"/>
      <c r="QB36" s="970"/>
      <c r="QC36" s="970"/>
      <c r="QD36" s="970"/>
      <c r="QE36" s="970"/>
      <c r="QF36" s="970"/>
      <c r="QG36" s="970"/>
      <c r="QH36" s="970"/>
      <c r="QI36" s="970"/>
      <c r="QJ36" s="970"/>
      <c r="QK36" s="970"/>
      <c r="QL36" s="970"/>
      <c r="QM36" s="970"/>
      <c r="QN36" s="970"/>
      <c r="QO36" s="970"/>
      <c r="QP36" s="970"/>
      <c r="QQ36" s="970"/>
      <c r="QR36" s="970"/>
      <c r="QS36" s="970"/>
      <c r="QT36" s="970"/>
      <c r="QU36" s="970"/>
      <c r="QV36" s="970"/>
      <c r="QW36" s="970"/>
      <c r="QX36" s="970"/>
      <c r="QY36" s="970"/>
      <c r="QZ36" s="970"/>
      <c r="RA36" s="970"/>
      <c r="RB36" s="970"/>
      <c r="RC36" s="970"/>
      <c r="RD36" s="970"/>
      <c r="RE36" s="970"/>
      <c r="RF36" s="970"/>
      <c r="RG36" s="970"/>
      <c r="RH36" s="970"/>
      <c r="RI36" s="970"/>
      <c r="RJ36" s="970"/>
      <c r="RK36" s="970"/>
      <c r="RL36" s="970"/>
      <c r="RM36" s="970"/>
      <c r="RN36" s="970"/>
      <c r="RO36" s="970"/>
      <c r="RP36" s="970"/>
      <c r="RQ36" s="970"/>
      <c r="RR36" s="970"/>
      <c r="RS36" s="970"/>
      <c r="RT36" s="970"/>
      <c r="RU36" s="970"/>
      <c r="RV36" s="970"/>
      <c r="RW36" s="970"/>
      <c r="RX36" s="970"/>
      <c r="RY36" s="970"/>
      <c r="RZ36" s="970"/>
      <c r="SA36" s="970"/>
      <c r="SB36" s="970"/>
      <c r="SC36" s="970"/>
      <c r="SD36" s="970"/>
      <c r="SE36" s="970"/>
      <c r="SF36" s="970"/>
      <c r="SG36" s="970"/>
      <c r="SH36" s="970"/>
      <c r="SI36" s="970"/>
      <c r="SJ36" s="970"/>
      <c r="SK36" s="970"/>
      <c r="SL36" s="970"/>
      <c r="SM36" s="970"/>
      <c r="SN36" s="970"/>
      <c r="SO36" s="970"/>
      <c r="SP36" s="970"/>
      <c r="SQ36" s="970"/>
      <c r="SR36" s="970"/>
    </row>
    <row r="37" spans="1:512" ht="15" customHeight="1">
      <c r="A37"/>
      <c r="B37"/>
      <c r="C37"/>
      <c r="D37" t="s">
        <v>3849</v>
      </c>
      <c r="E37" t="s">
        <v>210</v>
      </c>
      <c r="F37"/>
      <c r="G37" s="974">
        <v>1</v>
      </c>
      <c r="H37" s="1033">
        <v>0.11764705882352941</v>
      </c>
      <c r="I37" s="974"/>
      <c r="J37" s="974"/>
      <c r="K37" s="974"/>
      <c r="L37" s="974"/>
      <c r="M37" s="974"/>
      <c r="N37" s="974"/>
      <c r="O37" s="974"/>
      <c r="P37" s="974"/>
      <c r="Q37" s="974"/>
      <c r="R37" s="974"/>
      <c r="S37" s="974"/>
      <c r="T37" s="974"/>
      <c r="U37" s="970"/>
      <c r="V37" s="970"/>
      <c r="W37" s="970"/>
      <c r="X37" s="970"/>
      <c r="Y37" s="970"/>
      <c r="Z37" s="970"/>
      <c r="AA37" s="970"/>
      <c r="AB37" s="970"/>
      <c r="AC37" s="970"/>
      <c r="AD37" s="970"/>
      <c r="AE37" s="970"/>
      <c r="AF37" s="970"/>
      <c r="AG37" s="970"/>
      <c r="AH37" s="970"/>
      <c r="AI37" s="970"/>
      <c r="AJ37" s="970"/>
      <c r="AK37" s="970"/>
      <c r="AL37" s="970"/>
      <c r="AM37" s="970"/>
      <c r="AN37" s="970"/>
      <c r="AO37" s="970"/>
      <c r="AP37" s="970"/>
      <c r="AQ37" s="970"/>
      <c r="AR37" s="970"/>
      <c r="AS37" s="970"/>
      <c r="AT37" s="970"/>
      <c r="AU37" s="970"/>
      <c r="AV37" s="970"/>
      <c r="AW37" s="970"/>
      <c r="AX37" s="970"/>
      <c r="AY37" s="970"/>
      <c r="AZ37" s="970"/>
      <c r="BA37" s="970"/>
      <c r="BB37" s="970"/>
      <c r="BC37" s="970"/>
      <c r="BD37" s="970"/>
      <c r="BE37" s="970"/>
      <c r="BF37" s="970"/>
      <c r="BG37" s="970"/>
      <c r="BH37" s="970"/>
      <c r="BI37" s="970"/>
      <c r="BJ37" s="970"/>
      <c r="BK37" s="970"/>
      <c r="BL37" s="970"/>
      <c r="BM37" s="970"/>
      <c r="BN37" s="970"/>
      <c r="BO37" s="970"/>
      <c r="BP37" s="970"/>
      <c r="BQ37" s="970"/>
      <c r="BR37" s="970"/>
      <c r="BS37" s="970"/>
      <c r="BT37" s="970"/>
      <c r="BU37" s="970"/>
      <c r="BV37" s="970"/>
      <c r="BW37" s="970"/>
      <c r="BX37" s="970"/>
      <c r="BY37" s="970"/>
      <c r="BZ37" s="970"/>
      <c r="CA37" s="970"/>
      <c r="CB37" s="970"/>
      <c r="CC37" s="970"/>
      <c r="CD37" s="970"/>
      <c r="CE37" s="970"/>
      <c r="CF37" s="970"/>
      <c r="CG37" s="970"/>
      <c r="CH37" s="970"/>
      <c r="CI37" s="970"/>
      <c r="CJ37" s="970"/>
      <c r="CK37" s="970"/>
      <c r="CL37" s="970"/>
      <c r="CM37" s="970"/>
      <c r="CN37" s="970"/>
      <c r="CO37" s="970"/>
      <c r="CP37" s="970"/>
      <c r="CQ37" s="970"/>
      <c r="CR37" s="970"/>
      <c r="CS37" s="970"/>
      <c r="CT37" s="970"/>
      <c r="CU37" s="970"/>
      <c r="CV37" s="970"/>
      <c r="CW37" s="970"/>
      <c r="CX37" s="970"/>
      <c r="CY37" s="970"/>
      <c r="CZ37" s="970"/>
      <c r="DA37" s="970"/>
      <c r="DB37" s="970"/>
      <c r="DC37" s="970"/>
      <c r="DD37" s="970"/>
      <c r="DE37" s="970"/>
      <c r="DF37" s="970"/>
      <c r="DG37" s="970"/>
      <c r="DH37" s="970"/>
      <c r="DI37" s="970"/>
      <c r="DJ37" s="970"/>
      <c r="DK37" s="970"/>
      <c r="DL37" s="970"/>
      <c r="DM37" s="970"/>
      <c r="DN37" s="970"/>
      <c r="DO37" s="970"/>
      <c r="DP37" s="970"/>
      <c r="DQ37" s="970"/>
      <c r="DR37" s="970"/>
      <c r="DS37" s="970"/>
      <c r="DT37" s="970"/>
      <c r="DU37" s="970"/>
      <c r="DV37" s="970"/>
      <c r="DW37" s="970"/>
      <c r="DX37" s="970"/>
      <c r="DY37" s="970"/>
      <c r="DZ37" s="970"/>
      <c r="EA37" s="970"/>
      <c r="EB37" s="970"/>
      <c r="EC37" s="970"/>
      <c r="ED37" s="970"/>
      <c r="EE37" s="970"/>
      <c r="EF37" s="970"/>
      <c r="EG37" s="970"/>
      <c r="EH37" s="970"/>
      <c r="EI37" s="970"/>
      <c r="EJ37" s="970"/>
      <c r="EK37" s="970"/>
      <c r="EL37" s="970"/>
      <c r="EM37" s="970"/>
      <c r="EN37" s="970"/>
      <c r="EO37" s="970"/>
      <c r="EP37" s="970"/>
      <c r="EQ37" s="970"/>
      <c r="ER37" s="970"/>
      <c r="ES37" s="970"/>
      <c r="ET37" s="970"/>
      <c r="EU37" s="970"/>
      <c r="EV37" s="970"/>
      <c r="EW37" s="970"/>
      <c r="EX37" s="970"/>
      <c r="EY37" s="970"/>
      <c r="EZ37" s="970"/>
      <c r="FA37" s="970"/>
      <c r="FB37" s="970"/>
      <c r="FC37" s="970"/>
      <c r="FD37" s="970"/>
      <c r="FE37" s="970"/>
      <c r="FF37" s="970"/>
      <c r="FG37" s="970"/>
      <c r="FH37" s="970"/>
      <c r="FI37" s="970"/>
      <c r="FJ37" s="970"/>
      <c r="FK37" s="970"/>
      <c r="FL37" s="970"/>
      <c r="FM37" s="970"/>
      <c r="FN37" s="970"/>
      <c r="FO37" s="970"/>
      <c r="FP37" s="970"/>
      <c r="FQ37" s="970"/>
      <c r="FR37" s="970"/>
      <c r="FS37" s="970"/>
      <c r="FT37" s="970"/>
      <c r="FU37" s="970"/>
      <c r="FV37" s="970"/>
      <c r="FW37" s="970"/>
      <c r="FX37" s="970"/>
      <c r="FY37" s="970"/>
      <c r="FZ37" s="970"/>
      <c r="GA37" s="970"/>
      <c r="GB37" s="970"/>
      <c r="GC37" s="970"/>
      <c r="GD37" s="970"/>
      <c r="GE37" s="970"/>
      <c r="GF37" s="970"/>
      <c r="GG37" s="970"/>
      <c r="GH37" s="970"/>
      <c r="GI37" s="970"/>
      <c r="GJ37" s="970"/>
      <c r="GK37" s="970"/>
      <c r="GL37" s="970"/>
      <c r="GM37" s="970"/>
      <c r="GN37" s="970"/>
      <c r="GO37" s="970"/>
      <c r="GP37" s="970"/>
      <c r="GQ37" s="970"/>
      <c r="GR37" s="970"/>
      <c r="GS37" s="970"/>
      <c r="GT37" s="970"/>
      <c r="GU37" s="970"/>
      <c r="GV37" s="970"/>
      <c r="GW37" s="970"/>
      <c r="GX37" s="970"/>
      <c r="GY37" s="970"/>
      <c r="GZ37" s="970"/>
      <c r="HA37" s="970"/>
      <c r="HB37" s="970"/>
      <c r="HC37" s="970"/>
      <c r="HD37" s="970"/>
      <c r="HE37" s="970"/>
      <c r="HF37" s="970"/>
      <c r="HG37" s="970"/>
      <c r="HH37" s="970"/>
      <c r="HI37" s="970"/>
      <c r="HJ37" s="970"/>
      <c r="HK37" s="970"/>
      <c r="HL37" s="970"/>
      <c r="HM37" s="970"/>
      <c r="HN37" s="970"/>
      <c r="HO37" s="970"/>
      <c r="HP37" s="970"/>
      <c r="HQ37" s="970"/>
      <c r="HR37" s="970"/>
      <c r="HS37" s="970"/>
      <c r="HT37" s="970"/>
      <c r="HU37" s="970"/>
      <c r="HV37" s="970"/>
      <c r="HW37" s="970"/>
      <c r="HX37" s="970"/>
      <c r="HY37" s="970"/>
      <c r="HZ37" s="970"/>
      <c r="IA37" s="970"/>
      <c r="IB37" s="970"/>
      <c r="IC37" s="970"/>
      <c r="ID37" s="970"/>
      <c r="IE37" s="970"/>
      <c r="IF37" s="970"/>
      <c r="IG37" s="970"/>
      <c r="IH37" s="970"/>
      <c r="II37" s="970"/>
      <c r="IJ37" s="970"/>
      <c r="IK37" s="970"/>
      <c r="IL37" s="970"/>
      <c r="IM37" s="970"/>
      <c r="IN37" s="970"/>
      <c r="IO37" s="970"/>
      <c r="IP37" s="970"/>
      <c r="IQ37" s="970"/>
      <c r="IR37" s="970"/>
      <c r="IS37" s="970"/>
      <c r="IT37" s="970"/>
      <c r="IU37" s="970"/>
      <c r="IV37" s="970"/>
      <c r="IW37" s="970"/>
      <c r="IX37" s="970"/>
      <c r="IY37" s="970"/>
      <c r="IZ37" s="970"/>
      <c r="JA37" s="970"/>
      <c r="JB37" s="970"/>
      <c r="JC37" s="970"/>
      <c r="JD37" s="970"/>
      <c r="JE37" s="970"/>
      <c r="JF37" s="970"/>
      <c r="JG37" s="970"/>
      <c r="JH37" s="970"/>
      <c r="JI37" s="970"/>
      <c r="JJ37" s="970"/>
      <c r="JK37" s="970"/>
      <c r="JL37" s="970"/>
      <c r="JM37" s="970"/>
      <c r="JN37" s="970"/>
      <c r="JO37" s="970"/>
      <c r="JP37" s="970"/>
      <c r="JQ37" s="970"/>
      <c r="JR37" s="970"/>
      <c r="JS37" s="970"/>
      <c r="JT37" s="970"/>
      <c r="JU37" s="970"/>
      <c r="JV37" s="970"/>
      <c r="JW37" s="970"/>
      <c r="JX37" s="970"/>
      <c r="JY37" s="970"/>
      <c r="JZ37" s="970"/>
      <c r="KA37" s="970"/>
      <c r="KB37" s="970"/>
      <c r="KC37" s="970"/>
      <c r="KD37" s="970"/>
      <c r="KE37" s="970"/>
      <c r="KF37" s="970"/>
      <c r="KG37" s="970"/>
      <c r="KH37" s="970"/>
      <c r="KI37" s="970"/>
      <c r="KJ37" s="970"/>
      <c r="KK37" s="970"/>
      <c r="KL37" s="970"/>
      <c r="KM37" s="970"/>
      <c r="KN37" s="970"/>
      <c r="KO37" s="970"/>
      <c r="KP37" s="970"/>
      <c r="KQ37" s="970"/>
      <c r="KR37" s="970"/>
      <c r="KS37" s="970"/>
      <c r="KT37" s="970"/>
      <c r="KU37" s="970"/>
      <c r="KV37" s="970"/>
      <c r="KW37" s="970"/>
      <c r="KX37" s="970"/>
      <c r="KY37" s="970"/>
      <c r="KZ37" s="970"/>
      <c r="LA37" s="970"/>
      <c r="LB37" s="970"/>
      <c r="LC37" s="970"/>
      <c r="LD37" s="970"/>
      <c r="LE37" s="970"/>
      <c r="LF37" s="970"/>
      <c r="LG37" s="970"/>
      <c r="LH37" s="970"/>
      <c r="LI37" s="970"/>
      <c r="LJ37" s="970"/>
      <c r="LK37" s="970"/>
      <c r="LL37" s="970"/>
      <c r="LM37" s="970"/>
      <c r="LN37" s="970"/>
      <c r="LO37" s="970"/>
      <c r="LP37" s="970"/>
      <c r="LQ37" s="970"/>
      <c r="LR37" s="970"/>
      <c r="LS37" s="970"/>
      <c r="LT37" s="970"/>
      <c r="LU37" s="970"/>
      <c r="LV37" s="970"/>
      <c r="LW37" s="970"/>
      <c r="LX37" s="970"/>
      <c r="LY37" s="970"/>
      <c r="LZ37" s="970"/>
      <c r="MA37" s="970"/>
      <c r="MB37" s="970"/>
      <c r="MC37" s="970"/>
      <c r="MD37" s="970"/>
      <c r="ME37" s="970"/>
      <c r="MF37" s="970"/>
      <c r="MG37" s="970"/>
      <c r="MH37" s="970"/>
      <c r="MI37" s="970"/>
      <c r="MJ37" s="970"/>
      <c r="MK37" s="970"/>
      <c r="ML37" s="970"/>
      <c r="MM37" s="970"/>
      <c r="MN37" s="970"/>
      <c r="MO37" s="970"/>
      <c r="MP37" s="970"/>
      <c r="MQ37" s="970"/>
      <c r="MR37" s="970"/>
      <c r="MS37" s="970"/>
      <c r="MT37" s="970"/>
      <c r="MU37" s="970"/>
      <c r="MV37" s="970"/>
      <c r="MW37" s="970"/>
      <c r="MX37" s="970"/>
      <c r="MY37" s="970"/>
      <c r="MZ37" s="970"/>
      <c r="NA37" s="970"/>
      <c r="NB37" s="970"/>
      <c r="NC37" s="970"/>
      <c r="ND37" s="970"/>
      <c r="NE37" s="970"/>
      <c r="NF37" s="970"/>
      <c r="NG37" s="970"/>
      <c r="NH37" s="970"/>
      <c r="NI37" s="970"/>
      <c r="NJ37" s="970"/>
      <c r="NK37" s="970"/>
      <c r="NL37" s="970"/>
      <c r="NM37" s="970"/>
      <c r="NN37" s="970"/>
      <c r="NO37" s="970"/>
      <c r="NP37" s="970"/>
      <c r="NQ37" s="970"/>
      <c r="NR37" s="970"/>
      <c r="NS37" s="970"/>
      <c r="NT37" s="970"/>
      <c r="NU37" s="970"/>
      <c r="NV37" s="970"/>
      <c r="NW37" s="970"/>
      <c r="NX37" s="970"/>
      <c r="NY37" s="970"/>
      <c r="NZ37" s="970"/>
      <c r="OA37" s="970"/>
      <c r="OB37" s="970"/>
      <c r="OC37" s="970"/>
      <c r="OD37" s="970"/>
      <c r="OE37" s="970"/>
      <c r="OF37" s="970"/>
      <c r="OG37" s="970"/>
      <c r="OH37" s="970"/>
      <c r="OI37" s="970"/>
      <c r="OJ37" s="970"/>
      <c r="OK37" s="970"/>
      <c r="OL37" s="970"/>
      <c r="OM37" s="970"/>
      <c r="ON37" s="970"/>
      <c r="OO37" s="970"/>
      <c r="OP37" s="970"/>
      <c r="OQ37" s="970"/>
      <c r="OR37" s="970"/>
      <c r="OS37" s="970"/>
      <c r="OT37" s="970"/>
      <c r="OU37" s="970"/>
      <c r="OV37" s="970"/>
      <c r="OW37" s="970"/>
      <c r="OX37" s="970"/>
      <c r="OY37" s="970"/>
      <c r="OZ37" s="970"/>
      <c r="PA37" s="970"/>
      <c r="PB37" s="970"/>
      <c r="PC37" s="970"/>
      <c r="PD37" s="970"/>
      <c r="PE37" s="970"/>
      <c r="PF37" s="970"/>
      <c r="PG37" s="970"/>
      <c r="PH37" s="970"/>
      <c r="PI37" s="970"/>
      <c r="PJ37" s="970"/>
      <c r="PK37" s="970"/>
      <c r="PL37" s="970"/>
      <c r="PM37" s="970"/>
      <c r="PN37" s="970"/>
      <c r="PO37" s="970"/>
      <c r="PP37" s="970"/>
      <c r="PQ37" s="970"/>
      <c r="PR37" s="970"/>
      <c r="PS37" s="970"/>
      <c r="PT37" s="970"/>
      <c r="PU37" s="970"/>
      <c r="PV37" s="970"/>
      <c r="PW37" s="970"/>
      <c r="PX37" s="970"/>
      <c r="PY37" s="970"/>
      <c r="PZ37" s="970"/>
      <c r="QA37" s="970"/>
      <c r="QB37" s="970"/>
      <c r="QC37" s="970"/>
      <c r="QD37" s="970"/>
      <c r="QE37" s="970"/>
      <c r="QF37" s="970"/>
      <c r="QG37" s="970"/>
      <c r="QH37" s="970"/>
      <c r="QI37" s="970"/>
      <c r="QJ37" s="970"/>
      <c r="QK37" s="970"/>
      <c r="QL37" s="970"/>
      <c r="QM37" s="970"/>
      <c r="QN37" s="970"/>
      <c r="QO37" s="970"/>
      <c r="QP37" s="970"/>
      <c r="QQ37" s="970"/>
      <c r="QR37" s="970"/>
      <c r="QS37" s="970"/>
      <c r="QT37" s="970"/>
      <c r="QU37" s="970"/>
      <c r="QV37" s="970"/>
      <c r="QW37" s="970"/>
      <c r="QX37" s="970"/>
      <c r="QY37" s="970"/>
      <c r="QZ37" s="970"/>
      <c r="RA37" s="970"/>
      <c r="RB37" s="970"/>
      <c r="RC37" s="970"/>
      <c r="RD37" s="970"/>
      <c r="RE37" s="970"/>
      <c r="RF37" s="970"/>
      <c r="RG37" s="970"/>
      <c r="RH37" s="970"/>
      <c r="RI37" s="970"/>
      <c r="RJ37" s="970"/>
      <c r="RK37" s="970"/>
      <c r="RL37" s="970"/>
      <c r="RM37" s="970"/>
      <c r="RN37" s="970"/>
      <c r="RO37" s="970"/>
      <c r="RP37" s="970"/>
      <c r="RQ37" s="970"/>
      <c r="RR37" s="970"/>
      <c r="RS37" s="970"/>
      <c r="RT37" s="970"/>
      <c r="RU37" s="970"/>
      <c r="RV37" s="970"/>
      <c r="RW37" s="970"/>
      <c r="RX37" s="970"/>
      <c r="RY37" s="970"/>
      <c r="RZ37" s="970"/>
      <c r="SA37" s="970"/>
      <c r="SB37" s="970"/>
      <c r="SC37" s="970"/>
      <c r="SD37" s="970"/>
      <c r="SE37" s="970"/>
      <c r="SF37" s="970"/>
      <c r="SG37" s="970"/>
      <c r="SH37" s="970"/>
      <c r="SI37" s="970"/>
      <c r="SJ37" s="970"/>
      <c r="SK37" s="970"/>
      <c r="SL37" s="970"/>
      <c r="SM37" s="970"/>
      <c r="SN37" s="970"/>
      <c r="SO37" s="970"/>
      <c r="SP37" s="970"/>
      <c r="SQ37" s="970"/>
      <c r="SR37" s="970"/>
    </row>
    <row r="38" spans="1:512" ht="15" customHeight="1">
      <c r="A38"/>
      <c r="B38"/>
      <c r="C38"/>
      <c r="D38" t="s">
        <v>3850</v>
      </c>
      <c r="E38" t="s">
        <v>210</v>
      </c>
      <c r="F38"/>
      <c r="G38" s="974">
        <v>1</v>
      </c>
      <c r="H38" s="1033">
        <v>0.11764705882352941</v>
      </c>
      <c r="I38" s="974"/>
      <c r="J38" s="974"/>
      <c r="K38" s="974"/>
      <c r="L38" s="974"/>
      <c r="M38" s="974"/>
      <c r="N38" s="974"/>
      <c r="O38" s="974"/>
      <c r="P38" s="974"/>
      <c r="Q38" s="974"/>
      <c r="R38" s="974"/>
      <c r="S38" s="974"/>
      <c r="T38" s="974"/>
      <c r="U38" s="970"/>
      <c r="V38" s="970"/>
      <c r="W38" s="970"/>
      <c r="X38" s="970"/>
      <c r="Y38" s="970"/>
      <c r="Z38" s="970"/>
      <c r="AA38" s="970"/>
      <c r="AB38" s="970"/>
      <c r="AC38" s="970"/>
      <c r="AD38" s="970"/>
      <c r="AE38" s="970"/>
      <c r="AF38" s="970"/>
      <c r="AG38" s="970"/>
      <c r="AH38" s="970"/>
      <c r="AI38" s="970"/>
      <c r="AJ38" s="970"/>
      <c r="AK38" s="970"/>
      <c r="AL38" s="970"/>
      <c r="AM38" s="970"/>
      <c r="AN38" s="970"/>
      <c r="AO38" s="970"/>
      <c r="AP38" s="970"/>
      <c r="AQ38" s="970"/>
      <c r="AR38" s="970"/>
      <c r="AS38" s="970"/>
      <c r="AT38" s="970"/>
      <c r="AU38" s="970"/>
      <c r="AV38" s="970"/>
      <c r="AW38" s="970"/>
      <c r="AX38" s="970"/>
      <c r="AY38" s="970"/>
      <c r="AZ38" s="970"/>
      <c r="BA38" s="970"/>
      <c r="BB38" s="970"/>
      <c r="BC38" s="970"/>
      <c r="BD38" s="970"/>
      <c r="BE38" s="970"/>
      <c r="BF38" s="970"/>
      <c r="BG38" s="970"/>
      <c r="BH38" s="970"/>
      <c r="BI38" s="970"/>
      <c r="BJ38" s="970"/>
      <c r="BK38" s="970"/>
      <c r="BL38" s="970"/>
      <c r="BM38" s="970"/>
      <c r="BN38" s="970"/>
      <c r="BO38" s="970"/>
      <c r="BP38" s="970"/>
      <c r="BQ38" s="970"/>
      <c r="BR38" s="970"/>
      <c r="BS38" s="970"/>
      <c r="BT38" s="970"/>
      <c r="BU38" s="970"/>
      <c r="BV38" s="970"/>
      <c r="BW38" s="970"/>
      <c r="BX38" s="970"/>
      <c r="BY38" s="970"/>
      <c r="BZ38" s="970"/>
      <c r="CA38" s="970"/>
      <c r="CB38" s="970"/>
      <c r="CC38" s="970"/>
      <c r="CD38" s="970"/>
      <c r="CE38" s="970"/>
      <c r="CF38" s="970"/>
      <c r="CG38" s="970"/>
      <c r="CH38" s="970"/>
      <c r="CI38" s="970"/>
      <c r="CJ38" s="970"/>
      <c r="CK38" s="970"/>
      <c r="CL38" s="970"/>
      <c r="CM38" s="970"/>
      <c r="CN38" s="970"/>
      <c r="CO38" s="970"/>
      <c r="CP38" s="970"/>
      <c r="CQ38" s="970"/>
      <c r="CR38" s="970"/>
      <c r="CS38" s="970"/>
      <c r="CT38" s="970"/>
      <c r="CU38" s="970"/>
      <c r="CV38" s="970"/>
      <c r="CW38" s="970"/>
      <c r="CX38" s="970"/>
      <c r="CY38" s="970"/>
      <c r="CZ38" s="970"/>
      <c r="DA38" s="970"/>
      <c r="DB38" s="970"/>
      <c r="DC38" s="970"/>
      <c r="DD38" s="970"/>
      <c r="DE38" s="970"/>
      <c r="DF38" s="970"/>
      <c r="DG38" s="970"/>
      <c r="DH38" s="970"/>
      <c r="DI38" s="970"/>
      <c r="DJ38" s="970"/>
      <c r="DK38" s="970"/>
      <c r="DL38" s="970"/>
      <c r="DM38" s="970"/>
      <c r="DN38" s="970"/>
      <c r="DO38" s="970"/>
      <c r="DP38" s="970"/>
      <c r="DQ38" s="970"/>
      <c r="DR38" s="970"/>
      <c r="DS38" s="970"/>
      <c r="DT38" s="970"/>
      <c r="DU38" s="970"/>
      <c r="DV38" s="970"/>
      <c r="DW38" s="970"/>
      <c r="DX38" s="970"/>
      <c r="DY38" s="970"/>
      <c r="DZ38" s="970"/>
      <c r="EA38" s="970"/>
      <c r="EB38" s="970"/>
      <c r="EC38" s="970"/>
      <c r="ED38" s="970"/>
      <c r="EE38" s="970"/>
      <c r="EF38" s="970"/>
      <c r="EG38" s="970"/>
      <c r="EH38" s="970"/>
      <c r="EI38" s="970"/>
      <c r="EJ38" s="970"/>
      <c r="EK38" s="970"/>
      <c r="EL38" s="970"/>
      <c r="EM38" s="970"/>
      <c r="EN38" s="970"/>
      <c r="EO38" s="970"/>
      <c r="EP38" s="970"/>
      <c r="EQ38" s="970"/>
      <c r="ER38" s="970"/>
      <c r="ES38" s="970"/>
      <c r="ET38" s="970"/>
      <c r="EU38" s="970"/>
      <c r="EV38" s="970"/>
      <c r="EW38" s="970"/>
      <c r="EX38" s="970"/>
      <c r="EY38" s="970"/>
      <c r="EZ38" s="970"/>
      <c r="FA38" s="970"/>
      <c r="FB38" s="970"/>
      <c r="FC38" s="970"/>
      <c r="FD38" s="970"/>
      <c r="FE38" s="970"/>
      <c r="FF38" s="970"/>
      <c r="FG38" s="970"/>
      <c r="FH38" s="970"/>
      <c r="FI38" s="970"/>
      <c r="FJ38" s="970"/>
      <c r="FK38" s="970"/>
      <c r="FL38" s="970"/>
      <c r="FM38" s="970"/>
      <c r="FN38" s="970"/>
      <c r="FO38" s="970"/>
      <c r="FP38" s="970"/>
      <c r="FQ38" s="970"/>
      <c r="FR38" s="970"/>
      <c r="FS38" s="970"/>
      <c r="FT38" s="970"/>
      <c r="FU38" s="970"/>
      <c r="FV38" s="970"/>
      <c r="FW38" s="970"/>
      <c r="FX38" s="970"/>
      <c r="FY38" s="970"/>
      <c r="FZ38" s="970"/>
      <c r="GA38" s="970"/>
      <c r="GB38" s="970"/>
      <c r="GC38" s="970"/>
      <c r="GD38" s="970"/>
      <c r="GE38" s="970"/>
      <c r="GF38" s="970"/>
      <c r="GG38" s="970"/>
      <c r="GH38" s="970"/>
      <c r="GI38" s="970"/>
      <c r="GJ38" s="970"/>
      <c r="GK38" s="970"/>
      <c r="GL38" s="970"/>
      <c r="GM38" s="970"/>
      <c r="GN38" s="970"/>
      <c r="GO38" s="970"/>
      <c r="GP38" s="970"/>
      <c r="GQ38" s="970"/>
      <c r="GR38" s="970"/>
      <c r="GS38" s="970"/>
      <c r="GT38" s="970"/>
      <c r="GU38" s="970"/>
      <c r="GV38" s="970"/>
      <c r="GW38" s="970"/>
      <c r="GX38" s="970"/>
      <c r="GY38" s="970"/>
      <c r="GZ38" s="970"/>
      <c r="HA38" s="970"/>
      <c r="HB38" s="970"/>
      <c r="HC38" s="970"/>
      <c r="HD38" s="970"/>
      <c r="HE38" s="970"/>
      <c r="HF38" s="970"/>
      <c r="HG38" s="970"/>
      <c r="HH38" s="970"/>
      <c r="HI38" s="970"/>
      <c r="HJ38" s="970"/>
      <c r="HK38" s="970"/>
      <c r="HL38" s="970"/>
      <c r="HM38" s="970"/>
      <c r="HN38" s="970"/>
      <c r="HO38" s="970"/>
      <c r="HP38" s="970"/>
      <c r="HQ38" s="970"/>
      <c r="HR38" s="970"/>
      <c r="HS38" s="970"/>
      <c r="HT38" s="970"/>
      <c r="HU38" s="970"/>
      <c r="HV38" s="970"/>
      <c r="HW38" s="970"/>
      <c r="HX38" s="970"/>
      <c r="HY38" s="970"/>
      <c r="HZ38" s="970"/>
      <c r="IA38" s="970"/>
      <c r="IB38" s="970"/>
      <c r="IC38" s="970"/>
      <c r="ID38" s="970"/>
      <c r="IE38" s="970"/>
      <c r="IF38" s="970"/>
      <c r="IG38" s="970"/>
      <c r="IH38" s="970"/>
      <c r="II38" s="970"/>
      <c r="IJ38" s="970"/>
      <c r="IK38" s="970"/>
      <c r="IL38" s="970"/>
      <c r="IM38" s="970"/>
      <c r="IN38" s="970"/>
      <c r="IO38" s="970"/>
      <c r="IP38" s="970"/>
      <c r="IQ38" s="970"/>
      <c r="IR38" s="970"/>
      <c r="IS38" s="970"/>
      <c r="IT38" s="970"/>
      <c r="IU38" s="970"/>
      <c r="IV38" s="970"/>
      <c r="IW38" s="970"/>
      <c r="IX38" s="970"/>
      <c r="IY38" s="970"/>
      <c r="IZ38" s="970"/>
      <c r="JA38" s="970"/>
      <c r="JB38" s="970"/>
      <c r="JC38" s="970"/>
      <c r="JD38" s="970"/>
      <c r="JE38" s="970"/>
      <c r="JF38" s="970"/>
      <c r="JG38" s="970"/>
      <c r="JH38" s="970"/>
      <c r="JI38" s="970"/>
      <c r="JJ38" s="970"/>
      <c r="JK38" s="970"/>
      <c r="JL38" s="970"/>
      <c r="JM38" s="970"/>
      <c r="JN38" s="970"/>
      <c r="JO38" s="970"/>
      <c r="JP38" s="970"/>
      <c r="JQ38" s="970"/>
      <c r="JR38" s="970"/>
      <c r="JS38" s="970"/>
      <c r="JT38" s="970"/>
      <c r="JU38" s="970"/>
      <c r="JV38" s="970"/>
      <c r="JW38" s="970"/>
      <c r="JX38" s="970"/>
      <c r="JY38" s="970"/>
      <c r="JZ38" s="970"/>
      <c r="KA38" s="970"/>
      <c r="KB38" s="970"/>
      <c r="KC38" s="970"/>
      <c r="KD38" s="970"/>
      <c r="KE38" s="970"/>
      <c r="KF38" s="970"/>
      <c r="KG38" s="970"/>
      <c r="KH38" s="970"/>
      <c r="KI38" s="970"/>
      <c r="KJ38" s="970"/>
      <c r="KK38" s="970"/>
      <c r="KL38" s="970"/>
      <c r="KM38" s="970"/>
      <c r="KN38" s="970"/>
      <c r="KO38" s="970"/>
      <c r="KP38" s="970"/>
      <c r="KQ38" s="970"/>
      <c r="KR38" s="970"/>
      <c r="KS38" s="970"/>
      <c r="KT38" s="970"/>
      <c r="KU38" s="970"/>
      <c r="KV38" s="970"/>
      <c r="KW38" s="970"/>
      <c r="KX38" s="970"/>
      <c r="KY38" s="970"/>
      <c r="KZ38" s="970"/>
      <c r="LA38" s="970"/>
      <c r="LB38" s="970"/>
      <c r="LC38" s="970"/>
      <c r="LD38" s="970"/>
      <c r="LE38" s="970"/>
      <c r="LF38" s="970"/>
      <c r="LG38" s="970"/>
      <c r="LH38" s="970"/>
      <c r="LI38" s="970"/>
      <c r="LJ38" s="970"/>
      <c r="LK38" s="970"/>
      <c r="LL38" s="970"/>
      <c r="LM38" s="970"/>
      <c r="LN38" s="970"/>
      <c r="LO38" s="970"/>
      <c r="LP38" s="970"/>
      <c r="LQ38" s="970"/>
      <c r="LR38" s="970"/>
      <c r="LS38" s="970"/>
      <c r="LT38" s="970"/>
      <c r="LU38" s="970"/>
      <c r="LV38" s="970"/>
      <c r="LW38" s="970"/>
      <c r="LX38" s="970"/>
      <c r="LY38" s="970"/>
      <c r="LZ38" s="970"/>
      <c r="MA38" s="970"/>
      <c r="MB38" s="970"/>
      <c r="MC38" s="970"/>
      <c r="MD38" s="970"/>
      <c r="ME38" s="970"/>
      <c r="MF38" s="970"/>
      <c r="MG38" s="970"/>
      <c r="MH38" s="970"/>
      <c r="MI38" s="970"/>
      <c r="MJ38" s="970"/>
      <c r="MK38" s="970"/>
      <c r="ML38" s="970"/>
      <c r="MM38" s="970"/>
      <c r="MN38" s="970"/>
      <c r="MO38" s="970"/>
      <c r="MP38" s="970"/>
      <c r="MQ38" s="970"/>
      <c r="MR38" s="970"/>
      <c r="MS38" s="970"/>
      <c r="MT38" s="970"/>
      <c r="MU38" s="970"/>
      <c r="MV38" s="970"/>
      <c r="MW38" s="970"/>
      <c r="MX38" s="970"/>
      <c r="MY38" s="970"/>
      <c r="MZ38" s="970"/>
      <c r="NA38" s="970"/>
      <c r="NB38" s="970"/>
      <c r="NC38" s="970"/>
      <c r="ND38" s="970"/>
      <c r="NE38" s="970"/>
      <c r="NF38" s="970"/>
      <c r="NG38" s="970"/>
      <c r="NH38" s="970"/>
      <c r="NI38" s="970"/>
      <c r="NJ38" s="970"/>
      <c r="NK38" s="970"/>
      <c r="NL38" s="970"/>
      <c r="NM38" s="970"/>
      <c r="NN38" s="970"/>
      <c r="NO38" s="970"/>
      <c r="NP38" s="970"/>
      <c r="NQ38" s="970"/>
      <c r="NR38" s="970"/>
      <c r="NS38" s="970"/>
      <c r="NT38" s="970"/>
      <c r="NU38" s="970"/>
      <c r="NV38" s="970"/>
      <c r="NW38" s="970"/>
      <c r="NX38" s="970"/>
      <c r="NY38" s="970"/>
      <c r="NZ38" s="970"/>
      <c r="OA38" s="970"/>
      <c r="OB38" s="970"/>
      <c r="OC38" s="970"/>
      <c r="OD38" s="970"/>
      <c r="OE38" s="970"/>
      <c r="OF38" s="970"/>
      <c r="OG38" s="970"/>
      <c r="OH38" s="970"/>
      <c r="OI38" s="970"/>
      <c r="OJ38" s="970"/>
      <c r="OK38" s="970"/>
      <c r="OL38" s="970"/>
      <c r="OM38" s="970"/>
      <c r="ON38" s="970"/>
      <c r="OO38" s="970"/>
      <c r="OP38" s="970"/>
      <c r="OQ38" s="970"/>
      <c r="OR38" s="970"/>
      <c r="OS38" s="970"/>
      <c r="OT38" s="970"/>
      <c r="OU38" s="970"/>
      <c r="OV38" s="970"/>
      <c r="OW38" s="970"/>
      <c r="OX38" s="970"/>
      <c r="OY38" s="970"/>
      <c r="OZ38" s="970"/>
      <c r="PA38" s="970"/>
      <c r="PB38" s="970"/>
      <c r="PC38" s="970"/>
      <c r="PD38" s="970"/>
      <c r="PE38" s="970"/>
      <c r="PF38" s="970"/>
      <c r="PG38" s="970"/>
      <c r="PH38" s="970"/>
      <c r="PI38" s="970"/>
      <c r="PJ38" s="970"/>
      <c r="PK38" s="970"/>
      <c r="PL38" s="970"/>
      <c r="PM38" s="970"/>
      <c r="PN38" s="970"/>
      <c r="PO38" s="970"/>
      <c r="PP38" s="970"/>
      <c r="PQ38" s="970"/>
      <c r="PR38" s="970"/>
      <c r="PS38" s="970"/>
      <c r="PT38" s="970"/>
      <c r="PU38" s="970"/>
      <c r="PV38" s="970"/>
      <c r="PW38" s="970"/>
      <c r="PX38" s="970"/>
      <c r="PY38" s="970"/>
      <c r="PZ38" s="970"/>
      <c r="QA38" s="970"/>
      <c r="QB38" s="970"/>
      <c r="QC38" s="970"/>
      <c r="QD38" s="970"/>
      <c r="QE38" s="970"/>
      <c r="QF38" s="970"/>
      <c r="QG38" s="970"/>
      <c r="QH38" s="970"/>
      <c r="QI38" s="970"/>
      <c r="QJ38" s="970"/>
      <c r="QK38" s="970"/>
      <c r="QL38" s="970"/>
      <c r="QM38" s="970"/>
      <c r="QN38" s="970"/>
      <c r="QO38" s="970"/>
      <c r="QP38" s="970"/>
      <c r="QQ38" s="970"/>
      <c r="QR38" s="970"/>
      <c r="QS38" s="970"/>
      <c r="QT38" s="970"/>
      <c r="QU38" s="970"/>
      <c r="QV38" s="970"/>
      <c r="QW38" s="970"/>
      <c r="QX38" s="970"/>
      <c r="QY38" s="970"/>
      <c r="QZ38" s="970"/>
      <c r="RA38" s="970"/>
      <c r="RB38" s="970"/>
      <c r="RC38" s="970"/>
      <c r="RD38" s="970"/>
      <c r="RE38" s="970"/>
      <c r="RF38" s="970"/>
      <c r="RG38" s="970"/>
      <c r="RH38" s="970"/>
      <c r="RI38" s="970"/>
      <c r="RJ38" s="970"/>
      <c r="RK38" s="970"/>
      <c r="RL38" s="970"/>
      <c r="RM38" s="970"/>
      <c r="RN38" s="970"/>
      <c r="RO38" s="970"/>
      <c r="RP38" s="970"/>
      <c r="RQ38" s="970"/>
      <c r="RR38" s="970"/>
      <c r="RS38" s="970"/>
      <c r="RT38" s="970"/>
      <c r="RU38" s="970"/>
      <c r="RV38" s="970"/>
      <c r="RW38" s="970"/>
      <c r="RX38" s="970"/>
      <c r="RY38" s="970"/>
      <c r="RZ38" s="970"/>
      <c r="SA38" s="970"/>
      <c r="SB38" s="970"/>
      <c r="SC38" s="970"/>
      <c r="SD38" s="970"/>
      <c r="SE38" s="970"/>
      <c r="SF38" s="970"/>
      <c r="SG38" s="970"/>
      <c r="SH38" s="970"/>
      <c r="SI38" s="970"/>
      <c r="SJ38" s="970"/>
      <c r="SK38" s="970"/>
      <c r="SL38" s="970"/>
      <c r="SM38" s="970"/>
      <c r="SN38" s="970"/>
      <c r="SO38" s="970"/>
      <c r="SP38" s="970"/>
      <c r="SQ38" s="970"/>
      <c r="SR38" s="970"/>
    </row>
    <row r="39" spans="1:512" ht="15" customHeight="1">
      <c r="A39"/>
      <c r="B39"/>
      <c r="C39"/>
      <c r="D39"/>
      <c r="E39"/>
      <c r="F39"/>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975"/>
      <c r="AX39" s="975"/>
      <c r="AY39" s="975"/>
      <c r="AZ39" s="975"/>
      <c r="BA39" s="975"/>
      <c r="BB39" s="975"/>
      <c r="BC39" s="975"/>
      <c r="BD39" s="975"/>
      <c r="BE39" s="975"/>
      <c r="BF39" s="971"/>
      <c r="BG39" s="971"/>
      <c r="BH39" s="971"/>
      <c r="BI39" s="971"/>
      <c r="BJ39" s="971"/>
      <c r="BK39" s="971"/>
      <c r="BL39" s="971"/>
      <c r="BM39" s="971"/>
      <c r="BN39" s="971"/>
      <c r="BO39" s="971"/>
      <c r="BP39" s="971"/>
      <c r="BQ39" s="971"/>
      <c r="BR39" s="971"/>
      <c r="BS39" s="971"/>
      <c r="BT39" s="971"/>
      <c r="BU39" s="971"/>
      <c r="BV39" s="971"/>
      <c r="BW39" s="971"/>
      <c r="BX39" s="971"/>
      <c r="BY39" s="971"/>
      <c r="BZ39" s="971"/>
      <c r="CA39" s="971"/>
      <c r="CB39" s="971"/>
      <c r="CC39" s="971"/>
      <c r="CD39" s="971"/>
      <c r="CE39" s="971"/>
      <c r="CF39" s="971"/>
      <c r="CG39" s="971"/>
      <c r="CH39" s="971"/>
      <c r="CI39" s="971"/>
      <c r="CJ39" s="971"/>
      <c r="CK39" s="971"/>
      <c r="CL39" s="971"/>
      <c r="CM39" s="971"/>
      <c r="CN39" s="971"/>
      <c r="CO39" s="971"/>
      <c r="CP39" s="971"/>
      <c r="CQ39" s="971"/>
      <c r="CR39" s="971"/>
      <c r="CS39" s="971"/>
      <c r="CT39" s="971"/>
      <c r="CU39" s="971"/>
      <c r="CV39" s="971"/>
      <c r="CW39" s="971"/>
      <c r="CX39" s="971"/>
      <c r="CY39" s="971"/>
      <c r="CZ39" s="971"/>
      <c r="DA39" s="971"/>
      <c r="DB39" s="971"/>
      <c r="DC39" s="971"/>
      <c r="DD39" s="971"/>
      <c r="DE39" s="971"/>
      <c r="DF39" s="971"/>
      <c r="DG39" s="971"/>
      <c r="DH39" s="971"/>
      <c r="DI39" s="971"/>
      <c r="DJ39" s="971"/>
      <c r="DK39" s="971"/>
      <c r="DL39" s="971"/>
      <c r="DM39" s="971"/>
      <c r="DN39" s="971"/>
      <c r="DO39" s="971"/>
      <c r="DP39" s="971"/>
      <c r="DQ39" s="971"/>
      <c r="DR39" s="971"/>
      <c r="DS39" s="971"/>
      <c r="DT39" s="971"/>
      <c r="DU39" s="971"/>
      <c r="DV39" s="971"/>
      <c r="DW39" s="971"/>
      <c r="DX39" s="971"/>
      <c r="DY39" s="971"/>
      <c r="DZ39" s="971"/>
      <c r="EA39" s="971"/>
      <c r="EB39" s="971"/>
      <c r="EC39" s="971"/>
      <c r="ED39" s="971"/>
      <c r="EE39" s="971"/>
      <c r="EF39" s="971"/>
      <c r="EG39" s="971"/>
      <c r="EH39" s="971"/>
      <c r="EI39" s="971"/>
      <c r="EJ39" s="971"/>
      <c r="EK39" s="971"/>
      <c r="EL39" s="971"/>
      <c r="EM39" s="971"/>
      <c r="EN39" s="971"/>
      <c r="EO39" s="971"/>
      <c r="EP39" s="971"/>
      <c r="EQ39" s="971"/>
      <c r="ER39" s="971"/>
      <c r="ES39" s="971"/>
      <c r="ET39" s="971"/>
      <c r="EU39" s="971"/>
      <c r="EV39" s="971"/>
      <c r="EW39" s="971"/>
      <c r="EX39" s="971"/>
      <c r="EY39" s="971"/>
      <c r="EZ39" s="971"/>
      <c r="FA39" s="971"/>
      <c r="FB39" s="971"/>
      <c r="FC39" s="971"/>
      <c r="FD39" s="971"/>
      <c r="FE39" s="971"/>
      <c r="FF39" s="971"/>
      <c r="FG39" s="971"/>
      <c r="FH39" s="971"/>
      <c r="FI39" s="971"/>
      <c r="FJ39" s="971"/>
      <c r="FK39" s="971"/>
      <c r="FL39" s="971"/>
      <c r="FM39" s="971"/>
      <c r="FN39" s="971"/>
      <c r="FO39" s="971"/>
      <c r="FP39" s="971"/>
      <c r="FQ39" s="971"/>
      <c r="FR39" s="971"/>
      <c r="FS39" s="971"/>
      <c r="FT39" s="971"/>
      <c r="FU39" s="971"/>
      <c r="FV39" s="971"/>
      <c r="FW39" s="971"/>
      <c r="FX39" s="971"/>
      <c r="FY39" s="971"/>
      <c r="FZ39" s="971"/>
      <c r="GA39" s="971"/>
      <c r="GB39" s="971"/>
      <c r="GC39" s="971"/>
      <c r="GD39" s="971"/>
      <c r="GE39" s="971"/>
      <c r="GF39" s="971"/>
      <c r="GG39" s="971"/>
      <c r="GH39" s="971"/>
      <c r="GI39" s="971"/>
      <c r="GJ39" s="971"/>
      <c r="GK39" s="971"/>
      <c r="GL39" s="971"/>
      <c r="GM39" s="971"/>
      <c r="GN39" s="971"/>
      <c r="GO39" s="971"/>
      <c r="GP39" s="971"/>
      <c r="GQ39" s="971"/>
      <c r="GR39" s="971"/>
      <c r="GS39" s="971"/>
      <c r="GT39" s="971"/>
      <c r="GU39" s="971"/>
      <c r="GV39" s="971"/>
      <c r="GW39" s="971"/>
      <c r="GX39" s="971"/>
      <c r="GY39" s="971"/>
      <c r="GZ39" s="971"/>
      <c r="HA39" s="971"/>
      <c r="HB39" s="971"/>
      <c r="HC39" s="971"/>
      <c r="HD39" s="971"/>
      <c r="HE39" s="971"/>
      <c r="HF39" s="971"/>
      <c r="HG39" s="971"/>
      <c r="HH39" s="971"/>
      <c r="HI39" s="971"/>
      <c r="HJ39" s="971"/>
      <c r="HK39" s="971"/>
      <c r="HL39" s="971"/>
      <c r="HM39" s="971"/>
      <c r="HN39" s="971"/>
      <c r="HO39" s="971"/>
      <c r="HP39" s="971"/>
      <c r="HQ39" s="971"/>
      <c r="HR39" s="971"/>
      <c r="HS39" s="971"/>
      <c r="HT39" s="971"/>
      <c r="HU39" s="971"/>
      <c r="HV39" s="971"/>
      <c r="HW39" s="971"/>
      <c r="HX39" s="971"/>
      <c r="HY39" s="971"/>
      <c r="HZ39" s="971"/>
      <c r="IA39" s="971"/>
      <c r="IB39" s="971"/>
      <c r="IC39" s="971"/>
      <c r="ID39" s="971"/>
      <c r="IE39" s="971"/>
      <c r="IF39" s="971"/>
      <c r="IG39" s="971"/>
      <c r="IH39" s="971"/>
      <c r="II39" s="971"/>
      <c r="IJ39" s="971"/>
      <c r="IK39" s="971"/>
      <c r="IL39" s="971"/>
      <c r="IM39" s="971"/>
      <c r="IN39" s="971"/>
      <c r="IO39" s="971"/>
      <c r="IP39" s="971"/>
      <c r="IQ39" s="971"/>
      <c r="IR39" s="971"/>
      <c r="IS39" s="971"/>
      <c r="IT39" s="971"/>
      <c r="IU39" s="971"/>
      <c r="IV39" s="971"/>
      <c r="IW39" s="971"/>
      <c r="IX39" s="971"/>
      <c r="IY39" s="971"/>
      <c r="IZ39" s="971"/>
      <c r="JA39" s="971"/>
      <c r="JB39" s="971"/>
      <c r="JC39" s="971"/>
      <c r="JD39" s="971"/>
      <c r="JE39" s="971"/>
      <c r="JF39" s="971"/>
      <c r="JG39" s="971"/>
      <c r="JH39" s="971"/>
      <c r="JI39" s="971"/>
      <c r="JJ39" s="971"/>
      <c r="JK39" s="971"/>
      <c r="JL39" s="971"/>
      <c r="JM39" s="971"/>
      <c r="JN39" s="971"/>
      <c r="JO39" s="971"/>
      <c r="JP39" s="971"/>
      <c r="JQ39" s="971"/>
      <c r="JR39" s="971"/>
      <c r="JS39" s="971"/>
      <c r="JT39" s="971"/>
      <c r="JU39" s="971"/>
      <c r="JV39" s="971"/>
      <c r="JW39" s="971"/>
      <c r="JX39" s="971"/>
      <c r="JY39" s="971"/>
      <c r="JZ39" s="971"/>
      <c r="KA39" s="971"/>
      <c r="KB39" s="971"/>
      <c r="KC39" s="971"/>
      <c r="KD39" s="971"/>
      <c r="KE39" s="971"/>
      <c r="KF39" s="971"/>
      <c r="KG39" s="971"/>
      <c r="KH39" s="971"/>
      <c r="KI39" s="971"/>
      <c r="KJ39" s="971"/>
      <c r="KK39" s="971"/>
      <c r="KL39" s="971"/>
      <c r="KM39" s="971"/>
      <c r="KN39" s="971"/>
      <c r="KO39" s="971"/>
      <c r="KP39" s="971"/>
      <c r="KQ39" s="971"/>
      <c r="KR39" s="971"/>
      <c r="KS39" s="971"/>
      <c r="KT39" s="971"/>
      <c r="KU39" s="971"/>
      <c r="KV39" s="971"/>
      <c r="KW39" s="971"/>
      <c r="KX39" s="971"/>
      <c r="KY39" s="971"/>
      <c r="KZ39" s="971"/>
      <c r="LA39" s="971"/>
      <c r="LB39" s="971"/>
      <c r="LC39" s="971"/>
      <c r="LD39" s="971"/>
      <c r="LE39" s="971"/>
      <c r="LF39" s="971"/>
      <c r="LG39" s="971"/>
      <c r="LH39" s="971"/>
      <c r="LI39" s="971"/>
      <c r="LJ39" s="971"/>
      <c r="LK39" s="971"/>
      <c r="LL39" s="971"/>
      <c r="LM39" s="971"/>
      <c r="LN39" s="971"/>
      <c r="LO39" s="971"/>
      <c r="LP39" s="971"/>
      <c r="LQ39" s="971"/>
      <c r="LR39" s="971"/>
      <c r="LS39" s="971"/>
      <c r="LT39" s="971"/>
      <c r="LU39" s="971"/>
      <c r="LV39" s="971"/>
      <c r="LW39" s="971"/>
      <c r="LX39" s="971"/>
      <c r="LY39" s="971"/>
      <c r="LZ39" s="971"/>
      <c r="MA39" s="971"/>
      <c r="MB39" s="971"/>
      <c r="MC39" s="971"/>
      <c r="MD39" s="971"/>
      <c r="ME39" s="971"/>
      <c r="MF39" s="971"/>
      <c r="MG39" s="971"/>
      <c r="MH39" s="971"/>
      <c r="MI39" s="971"/>
      <c r="MJ39" s="971"/>
      <c r="MK39" s="971"/>
      <c r="ML39" s="971"/>
      <c r="MM39" s="971"/>
      <c r="MN39" s="971"/>
      <c r="MO39" s="971"/>
      <c r="MP39" s="971"/>
      <c r="MQ39" s="971"/>
      <c r="MR39" s="971"/>
      <c r="MS39" s="971"/>
      <c r="MT39" s="971"/>
      <c r="MU39" s="971"/>
      <c r="MV39" s="971"/>
      <c r="MW39" s="971"/>
      <c r="MX39" s="971"/>
      <c r="MY39" s="971"/>
      <c r="MZ39" s="971"/>
      <c r="NA39" s="971"/>
      <c r="NB39" s="971"/>
      <c r="NC39" s="971"/>
      <c r="ND39" s="971"/>
      <c r="NE39" s="971"/>
      <c r="NF39" s="971"/>
      <c r="NG39" s="971"/>
      <c r="NH39" s="971"/>
      <c r="NI39" s="971"/>
      <c r="NJ39" s="971"/>
      <c r="NK39" s="971"/>
      <c r="NL39" s="971"/>
      <c r="NM39" s="971"/>
      <c r="NN39" s="971"/>
      <c r="NO39" s="971"/>
      <c r="NP39" s="971"/>
      <c r="NQ39" s="971"/>
      <c r="NR39" s="971"/>
      <c r="NS39" s="971"/>
      <c r="NT39" s="971"/>
      <c r="NU39" s="971"/>
      <c r="NV39" s="971"/>
      <c r="NW39" s="971"/>
      <c r="NX39" s="971"/>
      <c r="NY39" s="971"/>
      <c r="NZ39" s="971"/>
      <c r="OA39" s="971"/>
      <c r="OB39" s="971"/>
      <c r="OC39" s="971"/>
      <c r="OD39" s="971"/>
      <c r="OE39" s="971"/>
      <c r="OF39" s="971"/>
      <c r="OG39" s="971"/>
      <c r="OH39" s="971"/>
      <c r="OI39" s="971"/>
      <c r="OJ39" s="971"/>
      <c r="OK39" s="971"/>
      <c r="OL39" s="971"/>
      <c r="OM39" s="971"/>
      <c r="ON39" s="971"/>
      <c r="OO39" s="971"/>
      <c r="OP39" s="971"/>
      <c r="OQ39" s="971"/>
      <c r="OR39" s="971"/>
      <c r="OS39" s="971"/>
      <c r="OT39" s="971"/>
      <c r="OU39" s="971"/>
      <c r="OV39" s="971"/>
      <c r="OW39" s="971"/>
      <c r="OX39" s="971"/>
      <c r="OY39" s="971"/>
      <c r="OZ39" s="971"/>
      <c r="PA39" s="971"/>
      <c r="PB39" s="971"/>
      <c r="PC39" s="971"/>
      <c r="PD39" s="971"/>
      <c r="PE39" s="971"/>
      <c r="PF39" s="971"/>
      <c r="PG39" s="971"/>
      <c r="PH39" s="971"/>
      <c r="PI39" s="971"/>
      <c r="PJ39" s="971"/>
      <c r="PK39" s="971"/>
      <c r="PL39" s="971"/>
      <c r="PM39" s="971"/>
      <c r="PN39" s="971"/>
      <c r="PO39" s="971"/>
      <c r="PP39" s="971"/>
      <c r="PQ39" s="971"/>
      <c r="PR39" s="971"/>
      <c r="PS39" s="971"/>
      <c r="PT39" s="971"/>
      <c r="PU39" s="971"/>
      <c r="PV39" s="971"/>
      <c r="PW39" s="971"/>
      <c r="PX39" s="971"/>
      <c r="PY39" s="971"/>
      <c r="PZ39" s="971"/>
      <c r="QA39" s="971"/>
      <c r="QB39" s="971"/>
      <c r="QC39" s="971"/>
      <c r="QD39" s="971"/>
      <c r="QE39" s="971"/>
      <c r="QF39" s="971"/>
      <c r="QG39" s="971"/>
      <c r="QH39" s="971"/>
      <c r="QI39" s="971"/>
      <c r="QJ39" s="971"/>
      <c r="QK39" s="971"/>
      <c r="QL39" s="971"/>
      <c r="QM39" s="971"/>
      <c r="QN39" s="971"/>
      <c r="QO39" s="971"/>
      <c r="QP39" s="971"/>
      <c r="QQ39" s="971"/>
      <c r="QR39" s="971"/>
      <c r="QS39" s="971"/>
      <c r="QT39" s="971"/>
      <c r="QU39" s="971"/>
      <c r="QV39" s="971"/>
      <c r="QW39" s="971"/>
      <c r="QX39" s="971"/>
      <c r="QY39" s="971"/>
      <c r="QZ39" s="971"/>
      <c r="RA39" s="971"/>
      <c r="RB39" s="971"/>
      <c r="RC39" s="971"/>
      <c r="RD39" s="971"/>
      <c r="RE39" s="971"/>
      <c r="RF39" s="971"/>
      <c r="RG39" s="971"/>
      <c r="RH39" s="971"/>
      <c r="RI39" s="971"/>
      <c r="RJ39" s="971"/>
      <c r="RK39" s="971"/>
      <c r="RL39" s="971"/>
      <c r="RM39" s="971"/>
      <c r="RN39" s="971"/>
      <c r="RO39" s="971"/>
      <c r="RP39" s="971"/>
      <c r="RQ39" s="971"/>
      <c r="RR39" s="971"/>
      <c r="RS39" s="971"/>
      <c r="RT39" s="971"/>
      <c r="RU39" s="971"/>
      <c r="RV39" s="971"/>
      <c r="RW39" s="971"/>
      <c r="RX39" s="971"/>
      <c r="RY39" s="971"/>
      <c r="RZ39" s="971"/>
      <c r="SA39" s="971"/>
      <c r="SB39" s="971"/>
      <c r="SC39" s="971"/>
      <c r="SD39" s="971"/>
      <c r="SE39" s="971"/>
      <c r="SF39" s="971"/>
      <c r="SG39" s="971"/>
      <c r="SH39" s="971"/>
      <c r="SI39" s="971"/>
      <c r="SJ39" s="971"/>
      <c r="SK39" s="971"/>
      <c r="SL39" s="971"/>
      <c r="SM39" s="971"/>
      <c r="SN39" s="971"/>
      <c r="SO39" s="971"/>
      <c r="SP39" s="971"/>
      <c r="SQ39" s="971"/>
      <c r="SR39" s="971"/>
    </row>
    <row r="40" spans="1:512" ht="15" customHeight="1">
      <c r="A40" t="s">
        <v>2211</v>
      </c>
      <c r="B40"/>
      <c r="C40"/>
      <c r="D40"/>
      <c r="E40"/>
      <c r="F40"/>
      <c r="G40" s="976"/>
      <c r="H40" s="976"/>
      <c r="I40" s="976"/>
      <c r="J40" s="976"/>
      <c r="K40" s="976"/>
      <c r="L40" s="976"/>
      <c r="M40" s="976"/>
      <c r="N40" s="976"/>
      <c r="O40" s="976"/>
      <c r="P40" s="976"/>
      <c r="Q40" s="976"/>
      <c r="R40" s="976"/>
      <c r="S40" s="976"/>
      <c r="T40" s="976"/>
      <c r="U40" s="1018"/>
      <c r="V40" s="1018"/>
      <c r="W40" s="1018"/>
      <c r="X40" s="1018"/>
      <c r="Y40" s="1018"/>
      <c r="Z40" s="1018"/>
      <c r="AA40" s="1018"/>
      <c r="AB40" s="1018"/>
      <c r="AC40" s="1018"/>
      <c r="AD40" s="1018"/>
      <c r="AE40" s="1018"/>
      <c r="AF40" s="1018"/>
      <c r="AG40" s="1018"/>
      <c r="AH40" s="1018"/>
      <c r="AI40" s="1018"/>
      <c r="AJ40" s="1018"/>
      <c r="AK40" s="1018"/>
      <c r="AL40" s="1018"/>
      <c r="AM40" s="1018"/>
      <c r="AN40" s="1018"/>
      <c r="AO40" s="1018"/>
      <c r="AP40" s="1018"/>
      <c r="AQ40" s="1018"/>
      <c r="AR40" s="1018"/>
      <c r="AS40" s="1018"/>
      <c r="AT40" s="1018"/>
      <c r="AU40" s="1018"/>
      <c r="AV40" s="1018"/>
      <c r="AW40" s="1018"/>
      <c r="AX40" s="1018"/>
      <c r="AY40" s="1018"/>
      <c r="AZ40" s="1018"/>
      <c r="BA40" s="1018"/>
      <c r="BB40" s="1018"/>
      <c r="BC40" s="1018"/>
      <c r="BD40" s="1018"/>
      <c r="BE40" s="1018"/>
      <c r="BF40" s="971"/>
      <c r="BG40" s="971"/>
      <c r="BH40" s="971"/>
      <c r="BI40" s="971"/>
      <c r="BJ40" s="971"/>
      <c r="BK40" s="971"/>
      <c r="BL40" s="971"/>
      <c r="BM40" s="971"/>
      <c r="BN40" s="971"/>
      <c r="BO40" s="971"/>
      <c r="BP40" s="971"/>
      <c r="BQ40" s="971"/>
      <c r="BR40" s="971"/>
      <c r="BS40" s="971"/>
      <c r="BT40" s="971"/>
      <c r="BU40" s="971"/>
      <c r="BV40" s="971"/>
      <c r="BW40" s="971"/>
      <c r="BX40" s="971"/>
      <c r="BY40" s="971"/>
      <c r="BZ40" s="971"/>
      <c r="CA40" s="971"/>
      <c r="CB40" s="971"/>
      <c r="CC40" s="971"/>
      <c r="CD40" s="971"/>
      <c r="CE40" s="971"/>
      <c r="CF40" s="971"/>
      <c r="CG40" s="971"/>
      <c r="CH40" s="971"/>
      <c r="CI40" s="971"/>
      <c r="CJ40" s="971"/>
      <c r="CK40" s="971"/>
      <c r="CL40" s="971"/>
      <c r="CM40" s="971"/>
      <c r="CN40" s="971"/>
      <c r="CO40" s="971"/>
      <c r="CP40" s="971"/>
      <c r="CQ40" s="971"/>
      <c r="CR40" s="971"/>
      <c r="CS40" s="971"/>
      <c r="CT40" s="971"/>
      <c r="CU40" s="971"/>
      <c r="CV40" s="971"/>
      <c r="CW40" s="971"/>
      <c r="CX40" s="971"/>
      <c r="CY40" s="971"/>
      <c r="CZ40" s="971"/>
      <c r="DA40" s="971"/>
      <c r="DB40" s="971"/>
      <c r="DC40" s="971"/>
      <c r="DD40" s="971"/>
      <c r="DE40" s="971"/>
      <c r="DF40" s="971"/>
      <c r="DG40" s="971"/>
      <c r="DH40" s="971"/>
      <c r="DI40" s="971"/>
      <c r="DJ40" s="971"/>
      <c r="DK40" s="971"/>
      <c r="DL40" s="971"/>
      <c r="DM40" s="971"/>
      <c r="DN40" s="971"/>
      <c r="DO40" s="971"/>
      <c r="DP40" s="971"/>
      <c r="DQ40" s="971"/>
      <c r="DR40" s="971"/>
      <c r="DS40" s="971"/>
      <c r="DT40" s="971"/>
      <c r="DU40" s="971"/>
      <c r="DV40" s="971"/>
      <c r="DW40" s="971"/>
      <c r="DX40" s="971"/>
      <c r="DY40" s="971"/>
      <c r="DZ40" s="971"/>
      <c r="EA40" s="971"/>
      <c r="EB40" s="971"/>
      <c r="EC40" s="971"/>
      <c r="ED40" s="971"/>
      <c r="EE40" s="971"/>
      <c r="EF40" s="971"/>
      <c r="EG40" s="971"/>
      <c r="EH40" s="971"/>
      <c r="EI40" s="971"/>
      <c r="EJ40" s="971"/>
      <c r="EK40" s="971"/>
      <c r="EL40" s="971"/>
      <c r="EM40" s="971"/>
      <c r="EN40" s="971"/>
      <c r="EO40" s="971"/>
      <c r="EP40" s="971"/>
      <c r="EQ40" s="971"/>
      <c r="ER40" s="971"/>
      <c r="ES40" s="971"/>
      <c r="ET40" s="971"/>
      <c r="EU40" s="971"/>
      <c r="EV40" s="971"/>
      <c r="EW40" s="971"/>
      <c r="EX40" s="971"/>
      <c r="EY40" s="971"/>
      <c r="EZ40" s="971"/>
      <c r="FA40" s="971"/>
      <c r="FB40" s="971"/>
      <c r="FC40" s="971"/>
      <c r="FD40" s="971"/>
      <c r="FE40" s="971"/>
      <c r="FF40" s="971"/>
      <c r="FG40" s="971"/>
      <c r="FH40" s="971"/>
      <c r="FI40" s="971"/>
      <c r="FJ40" s="971"/>
      <c r="FK40" s="971"/>
      <c r="FL40" s="971"/>
      <c r="FM40" s="971"/>
      <c r="FN40" s="971"/>
      <c r="FO40" s="971"/>
      <c r="FP40" s="971"/>
      <c r="FQ40" s="971"/>
      <c r="FR40" s="971"/>
      <c r="FS40" s="971"/>
      <c r="FT40" s="971"/>
      <c r="FU40" s="971"/>
      <c r="FV40" s="971"/>
      <c r="FW40" s="971"/>
      <c r="FX40" s="971"/>
      <c r="FY40" s="971"/>
      <c r="FZ40" s="971"/>
      <c r="GA40" s="971"/>
      <c r="GB40" s="971"/>
      <c r="GC40" s="971"/>
      <c r="GD40" s="971"/>
      <c r="GE40" s="971"/>
      <c r="GF40" s="971"/>
      <c r="GG40" s="971"/>
      <c r="GH40" s="971"/>
      <c r="GI40" s="971"/>
      <c r="GJ40" s="971"/>
      <c r="GK40" s="971"/>
      <c r="GL40" s="971"/>
      <c r="GM40" s="971"/>
      <c r="GN40" s="971"/>
      <c r="GO40" s="971"/>
      <c r="GP40" s="971"/>
      <c r="GQ40" s="971"/>
      <c r="GR40" s="971"/>
      <c r="GS40" s="971"/>
      <c r="GT40" s="971"/>
      <c r="GU40" s="971"/>
      <c r="GV40" s="971"/>
      <c r="GW40" s="971"/>
      <c r="GX40" s="971"/>
      <c r="GY40" s="971"/>
      <c r="GZ40" s="971"/>
      <c r="HA40" s="971"/>
      <c r="HB40" s="971"/>
      <c r="HC40" s="971"/>
      <c r="HD40" s="971"/>
      <c r="HE40" s="971"/>
      <c r="HF40" s="971"/>
      <c r="HG40" s="971"/>
      <c r="HH40" s="971"/>
      <c r="HI40" s="971"/>
      <c r="HJ40" s="971"/>
      <c r="HK40" s="971"/>
      <c r="HL40" s="971"/>
      <c r="HM40" s="971"/>
      <c r="HN40" s="971"/>
      <c r="HO40" s="971"/>
      <c r="HP40" s="971"/>
      <c r="HQ40" s="971"/>
      <c r="HR40" s="971"/>
      <c r="HS40" s="971"/>
      <c r="HT40" s="971"/>
      <c r="HU40" s="971"/>
      <c r="HV40" s="971"/>
      <c r="HW40" s="971"/>
      <c r="HX40" s="971"/>
      <c r="HY40" s="971"/>
      <c r="HZ40" s="971"/>
      <c r="IA40" s="971"/>
      <c r="IB40" s="971"/>
      <c r="IC40" s="971"/>
      <c r="ID40" s="971"/>
      <c r="IE40" s="971"/>
      <c r="IF40" s="971"/>
      <c r="IG40" s="971"/>
      <c r="IH40" s="971"/>
      <c r="II40" s="971"/>
      <c r="IJ40" s="971"/>
      <c r="IK40" s="971"/>
      <c r="IL40" s="971"/>
      <c r="IM40" s="971"/>
      <c r="IN40" s="971"/>
      <c r="IO40" s="971"/>
      <c r="IP40" s="971"/>
      <c r="IQ40" s="971"/>
      <c r="IR40" s="971"/>
      <c r="IS40" s="971"/>
      <c r="IT40" s="971"/>
      <c r="IU40" s="971"/>
      <c r="IV40" s="971"/>
      <c r="IW40" s="971"/>
      <c r="IX40" s="971"/>
      <c r="IY40" s="971"/>
      <c r="IZ40" s="971"/>
      <c r="JA40" s="971"/>
      <c r="JB40" s="971"/>
      <c r="JC40" s="971"/>
      <c r="JD40" s="971"/>
      <c r="JE40" s="971"/>
      <c r="JF40" s="971"/>
      <c r="JG40" s="971"/>
      <c r="JH40" s="971"/>
      <c r="JI40" s="971"/>
      <c r="JJ40" s="971"/>
      <c r="JK40" s="971"/>
      <c r="JL40" s="971"/>
      <c r="JM40" s="971"/>
      <c r="JN40" s="971"/>
      <c r="JO40" s="971"/>
      <c r="JP40" s="971"/>
      <c r="JQ40" s="971"/>
      <c r="JR40" s="971"/>
      <c r="JS40" s="971"/>
      <c r="JT40" s="971"/>
      <c r="JU40" s="971"/>
      <c r="JV40" s="971"/>
      <c r="JW40" s="971"/>
      <c r="JX40" s="971"/>
      <c r="JY40" s="971"/>
      <c r="JZ40" s="971"/>
      <c r="KA40" s="971"/>
      <c r="KB40" s="971"/>
      <c r="KC40" s="971"/>
      <c r="KD40" s="971"/>
      <c r="KE40" s="971"/>
      <c r="KF40" s="971"/>
      <c r="KG40" s="971"/>
      <c r="KH40" s="971"/>
      <c r="KI40" s="971"/>
      <c r="KJ40" s="971"/>
      <c r="KK40" s="971"/>
      <c r="KL40" s="971"/>
      <c r="KM40" s="971"/>
      <c r="KN40" s="971"/>
      <c r="KO40" s="971"/>
      <c r="KP40" s="971"/>
      <c r="KQ40" s="971"/>
      <c r="KR40" s="971"/>
      <c r="KS40" s="971"/>
      <c r="KT40" s="971"/>
      <c r="KU40" s="971"/>
      <c r="KV40" s="971"/>
      <c r="KW40" s="971"/>
      <c r="KX40" s="971"/>
      <c r="KY40" s="971"/>
      <c r="KZ40" s="971"/>
      <c r="LA40" s="971"/>
      <c r="LB40" s="971"/>
      <c r="LC40" s="971"/>
      <c r="LD40" s="971"/>
      <c r="LE40" s="971"/>
      <c r="LF40" s="971"/>
      <c r="LG40" s="971"/>
      <c r="LH40" s="971"/>
      <c r="LI40" s="971"/>
      <c r="LJ40" s="971"/>
      <c r="LK40" s="971"/>
      <c r="LL40" s="971"/>
      <c r="LM40" s="971"/>
      <c r="LN40" s="971"/>
      <c r="LO40" s="971"/>
      <c r="LP40" s="971"/>
      <c r="LQ40" s="971"/>
      <c r="LR40" s="971"/>
      <c r="LS40" s="971"/>
      <c r="LT40" s="971"/>
      <c r="LU40" s="971"/>
      <c r="LV40" s="971"/>
      <c r="LW40" s="971"/>
      <c r="LX40" s="971"/>
      <c r="LY40" s="971"/>
      <c r="LZ40" s="971"/>
      <c r="MA40" s="971"/>
      <c r="MB40" s="971"/>
      <c r="MC40" s="971"/>
      <c r="MD40" s="971"/>
      <c r="ME40" s="971"/>
      <c r="MF40" s="971"/>
      <c r="MG40" s="971"/>
      <c r="MH40" s="971"/>
      <c r="MI40" s="971"/>
      <c r="MJ40" s="971"/>
      <c r="MK40" s="971"/>
      <c r="ML40" s="971"/>
      <c r="MM40" s="971"/>
      <c r="MN40" s="971"/>
      <c r="MO40" s="971"/>
      <c r="MP40" s="971"/>
      <c r="MQ40" s="971"/>
      <c r="MR40" s="971"/>
      <c r="MS40" s="971"/>
      <c r="MT40" s="971"/>
      <c r="MU40" s="971"/>
      <c r="MV40" s="971"/>
      <c r="MW40" s="971"/>
      <c r="MX40" s="971"/>
      <c r="MY40" s="971"/>
      <c r="MZ40" s="971"/>
      <c r="NA40" s="971"/>
      <c r="NB40" s="971"/>
      <c r="NC40" s="971"/>
      <c r="ND40" s="971"/>
      <c r="NE40" s="971"/>
      <c r="NF40" s="971"/>
      <c r="NG40" s="971"/>
      <c r="NH40" s="971"/>
      <c r="NI40" s="971"/>
      <c r="NJ40" s="971"/>
      <c r="NK40" s="971"/>
      <c r="NL40" s="971"/>
      <c r="NM40" s="971"/>
      <c r="NN40" s="971"/>
      <c r="NO40" s="971"/>
      <c r="NP40" s="971"/>
      <c r="NQ40" s="971"/>
      <c r="NR40" s="971"/>
      <c r="NS40" s="971"/>
      <c r="NT40" s="971"/>
      <c r="NU40" s="971"/>
      <c r="NV40" s="971"/>
      <c r="NW40" s="971"/>
      <c r="NX40" s="971"/>
      <c r="NY40" s="971"/>
      <c r="NZ40" s="971"/>
      <c r="OA40" s="971"/>
      <c r="OB40" s="971"/>
      <c r="OC40" s="971"/>
      <c r="OD40" s="971"/>
      <c r="OE40" s="971"/>
      <c r="OF40" s="971"/>
      <c r="OG40" s="971"/>
      <c r="OH40" s="971"/>
      <c r="OI40" s="971"/>
      <c r="OJ40" s="971"/>
      <c r="OK40" s="971"/>
      <c r="OL40" s="971"/>
      <c r="OM40" s="971"/>
      <c r="ON40" s="971"/>
      <c r="OO40" s="971"/>
      <c r="OP40" s="971"/>
      <c r="OQ40" s="971"/>
      <c r="OR40" s="971"/>
      <c r="OS40" s="971"/>
      <c r="OT40" s="971"/>
      <c r="OU40" s="971"/>
      <c r="OV40" s="971"/>
      <c r="OW40" s="971"/>
      <c r="OX40" s="971"/>
      <c r="OY40" s="971"/>
      <c r="OZ40" s="971"/>
      <c r="PA40" s="971"/>
      <c r="PB40" s="971"/>
      <c r="PC40" s="971"/>
      <c r="PD40" s="971"/>
      <c r="PE40" s="971"/>
      <c r="PF40" s="971"/>
      <c r="PG40" s="971"/>
      <c r="PH40" s="971"/>
      <c r="PI40" s="971"/>
      <c r="PJ40" s="971"/>
      <c r="PK40" s="971"/>
      <c r="PL40" s="971"/>
      <c r="PM40" s="971"/>
      <c r="PN40" s="971"/>
      <c r="PO40" s="971"/>
      <c r="PP40" s="971"/>
      <c r="PQ40" s="971"/>
      <c r="PR40" s="971"/>
      <c r="PS40" s="971"/>
      <c r="PT40" s="971"/>
      <c r="PU40" s="971"/>
      <c r="PV40" s="971"/>
      <c r="PW40" s="971"/>
      <c r="PX40" s="971"/>
      <c r="PY40" s="971"/>
      <c r="PZ40" s="971"/>
      <c r="QA40" s="971"/>
      <c r="QB40" s="971"/>
      <c r="QC40" s="971"/>
      <c r="QD40" s="971"/>
      <c r="QE40" s="971"/>
      <c r="QF40" s="971"/>
      <c r="QG40" s="971"/>
      <c r="QH40" s="971"/>
      <c r="QI40" s="971"/>
      <c r="QJ40" s="971"/>
      <c r="QK40" s="971"/>
      <c r="QL40" s="971"/>
      <c r="QM40" s="971"/>
      <c r="QN40" s="971"/>
      <c r="QO40" s="971"/>
      <c r="QP40" s="971"/>
      <c r="QQ40" s="971"/>
      <c r="QR40" s="971"/>
      <c r="QS40" s="971"/>
      <c r="QT40" s="971"/>
      <c r="QU40" s="971"/>
      <c r="QV40" s="971"/>
      <c r="QW40" s="971"/>
      <c r="QX40" s="971"/>
      <c r="QY40" s="971"/>
      <c r="QZ40" s="971"/>
      <c r="RA40" s="971"/>
      <c r="RB40" s="971"/>
      <c r="RC40" s="971"/>
      <c r="RD40" s="971"/>
      <c r="RE40" s="971"/>
      <c r="RF40" s="971"/>
      <c r="RG40" s="971"/>
      <c r="RH40" s="971"/>
      <c r="RI40" s="971"/>
      <c r="RJ40" s="971"/>
      <c r="RK40" s="971"/>
      <c r="RL40" s="971"/>
      <c r="RM40" s="971"/>
      <c r="RN40" s="971"/>
      <c r="RO40" s="971"/>
      <c r="RP40" s="971"/>
      <c r="RQ40" s="971"/>
      <c r="RR40" s="971"/>
      <c r="RS40" s="971"/>
      <c r="RT40" s="971"/>
      <c r="RU40" s="971"/>
      <c r="RV40" s="971"/>
      <c r="RW40" s="971"/>
      <c r="RX40" s="971"/>
      <c r="RY40" s="971"/>
      <c r="RZ40" s="971"/>
      <c r="SA40" s="971"/>
      <c r="SB40" s="971"/>
      <c r="SC40" s="971"/>
      <c r="SD40" s="971"/>
      <c r="SE40" s="971"/>
      <c r="SF40" s="971"/>
      <c r="SG40" s="971"/>
      <c r="SH40" s="971"/>
      <c r="SI40" s="971"/>
      <c r="SJ40" s="971"/>
      <c r="SK40" s="971"/>
      <c r="SL40" s="971"/>
      <c r="SM40" s="971"/>
      <c r="SN40" s="971"/>
      <c r="SO40" s="971"/>
      <c r="SP40" s="971"/>
      <c r="SQ40" s="971"/>
      <c r="SR40" s="971"/>
    </row>
    <row r="41" spans="1:512" ht="15" customHeight="1">
      <c r="A41" t="s">
        <v>920</v>
      </c>
      <c r="B41"/>
      <c r="C41"/>
      <c r="D41"/>
      <c r="E41"/>
      <c r="F41"/>
      <c r="G41" s="977"/>
      <c r="H41" s="977"/>
      <c r="I41" s="977"/>
      <c r="J41" s="977"/>
      <c r="K41" s="977"/>
      <c r="L41" s="977"/>
      <c r="M41" s="977"/>
      <c r="N41" s="977"/>
      <c r="O41" s="977"/>
      <c r="P41" s="977"/>
      <c r="Q41" s="977"/>
      <c r="R41" s="977"/>
      <c r="S41" s="977"/>
      <c r="T41" s="977"/>
      <c r="U41" s="1019"/>
      <c r="V41" s="1019"/>
      <c r="W41" s="1019"/>
      <c r="X41" s="1019"/>
      <c r="Y41" s="1019"/>
      <c r="Z41" s="1019"/>
      <c r="AA41" s="1019"/>
      <c r="AB41" s="1019"/>
      <c r="AC41" s="1019"/>
      <c r="AD41" s="1019"/>
      <c r="AE41" s="1019"/>
      <c r="AF41" s="1019"/>
      <c r="AG41" s="1019"/>
      <c r="AH41" s="1019"/>
      <c r="AI41" s="1019"/>
      <c r="AJ41" s="1019"/>
      <c r="AK41" s="1019"/>
      <c r="AL41" s="1019"/>
      <c r="AM41" s="1019"/>
      <c r="AN41" s="1019"/>
      <c r="AO41" s="1019"/>
      <c r="AP41" s="1019"/>
      <c r="AQ41" s="1019"/>
      <c r="AR41" s="1019"/>
      <c r="AS41" s="1019"/>
      <c r="AT41" s="1019"/>
      <c r="AU41" s="1019"/>
      <c r="AV41" s="1019"/>
      <c r="AW41" s="1019"/>
      <c r="AX41" s="1019"/>
      <c r="AY41" s="1019"/>
      <c r="AZ41" s="1019"/>
      <c r="BA41" s="1019"/>
      <c r="BB41" s="1019"/>
      <c r="BC41" s="1019"/>
      <c r="BD41" s="1019"/>
      <c r="BE41" s="1019"/>
      <c r="BF41" s="971"/>
      <c r="BG41" s="971"/>
      <c r="BH41" s="971"/>
      <c r="BI41" s="971"/>
      <c r="BJ41" s="971"/>
      <c r="BK41" s="971"/>
      <c r="BL41" s="971"/>
      <c r="BM41" s="971"/>
      <c r="BN41" s="971"/>
      <c r="BO41" s="971"/>
      <c r="BP41" s="971"/>
      <c r="BQ41" s="971"/>
      <c r="BR41" s="971"/>
      <c r="BS41" s="971"/>
      <c r="BT41" s="971"/>
      <c r="BU41" s="971"/>
      <c r="BV41" s="971"/>
      <c r="BW41" s="971"/>
      <c r="BX41" s="971"/>
      <c r="BY41" s="971"/>
      <c r="BZ41" s="971"/>
      <c r="CA41" s="971"/>
      <c r="CB41" s="971"/>
      <c r="CC41" s="971"/>
      <c r="CD41" s="971"/>
      <c r="CE41" s="971"/>
      <c r="CF41" s="971"/>
      <c r="CG41" s="971"/>
      <c r="CH41" s="971"/>
      <c r="CI41" s="971"/>
      <c r="CJ41" s="971"/>
      <c r="CK41" s="971"/>
      <c r="CL41" s="971"/>
      <c r="CM41" s="971"/>
      <c r="CN41" s="971"/>
      <c r="CO41" s="971"/>
      <c r="CP41" s="971"/>
      <c r="CQ41" s="971"/>
      <c r="CR41" s="971"/>
      <c r="CS41" s="971"/>
      <c r="CT41" s="971"/>
      <c r="CU41" s="971"/>
      <c r="CV41" s="971"/>
      <c r="CW41" s="971"/>
      <c r="CX41" s="971"/>
      <c r="CY41" s="971"/>
      <c r="CZ41" s="971"/>
      <c r="DA41" s="971"/>
      <c r="DB41" s="971"/>
      <c r="DC41" s="971"/>
      <c r="DD41" s="971"/>
      <c r="DE41" s="971"/>
      <c r="DF41" s="971"/>
      <c r="DG41" s="971"/>
      <c r="DH41" s="971"/>
      <c r="DI41" s="971"/>
      <c r="DJ41" s="971"/>
      <c r="DK41" s="971"/>
      <c r="DL41" s="971"/>
      <c r="DM41" s="971"/>
      <c r="DN41" s="971"/>
      <c r="DO41" s="971"/>
      <c r="DP41" s="971"/>
      <c r="DQ41" s="971"/>
      <c r="DR41" s="971"/>
      <c r="DS41" s="971"/>
      <c r="DT41" s="971"/>
      <c r="DU41" s="971"/>
      <c r="DV41" s="971"/>
      <c r="DW41" s="971"/>
      <c r="DX41" s="971"/>
      <c r="DY41" s="971"/>
      <c r="DZ41" s="971"/>
      <c r="EA41" s="971"/>
      <c r="EB41" s="971"/>
      <c r="EC41" s="971"/>
      <c r="ED41" s="971"/>
      <c r="EE41" s="971"/>
      <c r="EF41" s="971"/>
      <c r="EG41" s="971"/>
      <c r="EH41" s="971"/>
      <c r="EI41" s="971"/>
      <c r="EJ41" s="971"/>
      <c r="EK41" s="971"/>
      <c r="EL41" s="971"/>
      <c r="EM41" s="971"/>
      <c r="EN41" s="971"/>
      <c r="EO41" s="971"/>
      <c r="EP41" s="971"/>
      <c r="EQ41" s="971"/>
      <c r="ER41" s="971"/>
      <c r="ES41" s="971"/>
      <c r="ET41" s="971"/>
      <c r="EU41" s="971"/>
      <c r="EV41" s="971"/>
      <c r="EW41" s="971"/>
      <c r="EX41" s="971"/>
      <c r="EY41" s="971"/>
      <c r="EZ41" s="971"/>
      <c r="FA41" s="971"/>
      <c r="FB41" s="971"/>
      <c r="FC41" s="971"/>
      <c r="FD41" s="971"/>
      <c r="FE41" s="971"/>
      <c r="FF41" s="971"/>
      <c r="FG41" s="971"/>
      <c r="FH41" s="971"/>
      <c r="FI41" s="971"/>
      <c r="FJ41" s="971"/>
      <c r="FK41" s="971"/>
      <c r="FL41" s="971"/>
      <c r="FM41" s="971"/>
      <c r="FN41" s="971"/>
      <c r="FO41" s="971"/>
      <c r="FP41" s="971"/>
      <c r="FQ41" s="971"/>
      <c r="FR41" s="971"/>
      <c r="FS41" s="971"/>
      <c r="FT41" s="971"/>
      <c r="FU41" s="971"/>
      <c r="FV41" s="971"/>
      <c r="FW41" s="971"/>
      <c r="FX41" s="971"/>
      <c r="FY41" s="971"/>
      <c r="FZ41" s="971"/>
      <c r="GA41" s="971"/>
      <c r="GB41" s="971"/>
      <c r="GC41" s="971"/>
      <c r="GD41" s="971"/>
      <c r="GE41" s="971"/>
      <c r="GF41" s="971"/>
      <c r="GG41" s="971"/>
      <c r="GH41" s="971"/>
      <c r="GI41" s="971"/>
      <c r="GJ41" s="971"/>
      <c r="GK41" s="971"/>
      <c r="GL41" s="971"/>
      <c r="GM41" s="971"/>
      <c r="GN41" s="971"/>
      <c r="GO41" s="971"/>
      <c r="GP41" s="971"/>
      <c r="GQ41" s="971"/>
      <c r="GR41" s="971"/>
      <c r="GS41" s="971"/>
      <c r="GT41" s="971"/>
      <c r="GU41" s="971"/>
      <c r="GV41" s="971"/>
      <c r="GW41" s="971"/>
      <c r="GX41" s="971"/>
      <c r="GY41" s="971"/>
      <c r="GZ41" s="971"/>
      <c r="HA41" s="971"/>
      <c r="HB41" s="971"/>
      <c r="HC41" s="971"/>
      <c r="HD41" s="971"/>
      <c r="HE41" s="971"/>
      <c r="HF41" s="971"/>
      <c r="HG41" s="971"/>
      <c r="HH41" s="971"/>
      <c r="HI41" s="971"/>
      <c r="HJ41" s="971"/>
      <c r="HK41" s="971"/>
      <c r="HL41" s="971"/>
      <c r="HM41" s="971"/>
      <c r="HN41" s="971"/>
      <c r="HO41" s="971"/>
      <c r="HP41" s="971"/>
      <c r="HQ41" s="971"/>
      <c r="HR41" s="971"/>
      <c r="HS41" s="971"/>
      <c r="HT41" s="971"/>
      <c r="HU41" s="971"/>
      <c r="HV41" s="971"/>
      <c r="HW41" s="971"/>
      <c r="HX41" s="971"/>
      <c r="HY41" s="971"/>
      <c r="HZ41" s="971"/>
      <c r="IA41" s="971"/>
      <c r="IB41" s="971"/>
      <c r="IC41" s="971"/>
      <c r="ID41" s="971"/>
      <c r="IE41" s="971"/>
      <c r="IF41" s="971"/>
      <c r="IG41" s="971"/>
      <c r="IH41" s="971"/>
      <c r="II41" s="971"/>
      <c r="IJ41" s="971"/>
      <c r="IK41" s="971"/>
      <c r="IL41" s="971"/>
      <c r="IM41" s="971"/>
      <c r="IN41" s="971"/>
      <c r="IO41" s="971"/>
      <c r="IP41" s="971"/>
      <c r="IQ41" s="971"/>
      <c r="IR41" s="971"/>
      <c r="IS41" s="971"/>
      <c r="IT41" s="971"/>
      <c r="IU41" s="971"/>
      <c r="IV41" s="971"/>
      <c r="IW41" s="971"/>
      <c r="IX41" s="971"/>
      <c r="IY41" s="971"/>
      <c r="IZ41" s="971"/>
      <c r="JA41" s="971"/>
      <c r="JB41" s="971"/>
      <c r="JC41" s="971"/>
      <c r="JD41" s="971"/>
      <c r="JE41" s="971"/>
      <c r="JF41" s="971"/>
      <c r="JG41" s="971"/>
      <c r="JH41" s="971"/>
      <c r="JI41" s="971"/>
      <c r="JJ41" s="971"/>
      <c r="JK41" s="971"/>
      <c r="JL41" s="971"/>
      <c r="JM41" s="971"/>
      <c r="JN41" s="971"/>
      <c r="JO41" s="971"/>
      <c r="JP41" s="971"/>
      <c r="JQ41" s="971"/>
      <c r="JR41" s="971"/>
      <c r="JS41" s="971"/>
      <c r="JT41" s="971"/>
      <c r="JU41" s="971"/>
      <c r="JV41" s="971"/>
      <c r="JW41" s="971"/>
      <c r="JX41" s="971"/>
      <c r="JY41" s="971"/>
      <c r="JZ41" s="971"/>
      <c r="KA41" s="971"/>
      <c r="KB41" s="971"/>
      <c r="KC41" s="971"/>
      <c r="KD41" s="971"/>
      <c r="KE41" s="971"/>
      <c r="KF41" s="971"/>
      <c r="KG41" s="971"/>
      <c r="KH41" s="971"/>
      <c r="KI41" s="971"/>
      <c r="KJ41" s="971"/>
      <c r="KK41" s="971"/>
      <c r="KL41" s="971"/>
      <c r="KM41" s="971"/>
      <c r="KN41" s="971"/>
      <c r="KO41" s="971"/>
      <c r="KP41" s="971"/>
      <c r="KQ41" s="971"/>
      <c r="KR41" s="971"/>
      <c r="KS41" s="971"/>
      <c r="KT41" s="971"/>
      <c r="KU41" s="971"/>
      <c r="KV41" s="971"/>
      <c r="KW41" s="971"/>
      <c r="KX41" s="971"/>
      <c r="KY41" s="971"/>
      <c r="KZ41" s="971"/>
      <c r="LA41" s="971"/>
      <c r="LB41" s="971"/>
      <c r="LC41" s="971"/>
      <c r="LD41" s="971"/>
      <c r="LE41" s="971"/>
      <c r="LF41" s="971"/>
      <c r="LG41" s="971"/>
      <c r="LH41" s="971"/>
      <c r="LI41" s="971"/>
      <c r="LJ41" s="971"/>
      <c r="LK41" s="971"/>
      <c r="LL41" s="971"/>
      <c r="LM41" s="971"/>
      <c r="LN41" s="971"/>
      <c r="LO41" s="971"/>
      <c r="LP41" s="971"/>
      <c r="LQ41" s="971"/>
      <c r="LR41" s="971"/>
      <c r="LS41" s="971"/>
      <c r="LT41" s="971"/>
      <c r="LU41" s="971"/>
      <c r="LV41" s="971"/>
      <c r="LW41" s="971"/>
      <c r="LX41" s="971"/>
      <c r="LY41" s="971"/>
      <c r="LZ41" s="971"/>
      <c r="MA41" s="971"/>
      <c r="MB41" s="971"/>
      <c r="MC41" s="971"/>
      <c r="MD41" s="971"/>
      <c r="ME41" s="971"/>
      <c r="MF41" s="971"/>
      <c r="MG41" s="971"/>
      <c r="MH41" s="971"/>
      <c r="MI41" s="971"/>
      <c r="MJ41" s="971"/>
      <c r="MK41" s="971"/>
      <c r="ML41" s="971"/>
      <c r="MM41" s="971"/>
      <c r="MN41" s="971"/>
      <c r="MO41" s="971"/>
      <c r="MP41" s="971"/>
      <c r="MQ41" s="971"/>
      <c r="MR41" s="971"/>
      <c r="MS41" s="971"/>
      <c r="MT41" s="971"/>
      <c r="MU41" s="971"/>
      <c r="MV41" s="971"/>
      <c r="MW41" s="971"/>
      <c r="MX41" s="971"/>
      <c r="MY41" s="971"/>
      <c r="MZ41" s="971"/>
      <c r="NA41" s="971"/>
      <c r="NB41" s="971"/>
      <c r="NC41" s="971"/>
      <c r="ND41" s="971"/>
      <c r="NE41" s="971"/>
      <c r="NF41" s="971"/>
      <c r="NG41" s="971"/>
      <c r="NH41" s="971"/>
      <c r="NI41" s="971"/>
      <c r="NJ41" s="971"/>
      <c r="NK41" s="971"/>
      <c r="NL41" s="971"/>
      <c r="NM41" s="971"/>
      <c r="NN41" s="971"/>
      <c r="NO41" s="971"/>
      <c r="NP41" s="971"/>
      <c r="NQ41" s="971"/>
      <c r="NR41" s="971"/>
      <c r="NS41" s="971"/>
      <c r="NT41" s="971"/>
      <c r="NU41" s="971"/>
      <c r="NV41" s="971"/>
      <c r="NW41" s="971"/>
      <c r="NX41" s="971"/>
      <c r="NY41" s="971"/>
      <c r="NZ41" s="971"/>
      <c r="OA41" s="971"/>
      <c r="OB41" s="971"/>
      <c r="OC41" s="971"/>
      <c r="OD41" s="971"/>
      <c r="OE41" s="971"/>
      <c r="OF41" s="971"/>
      <c r="OG41" s="971"/>
      <c r="OH41" s="971"/>
      <c r="OI41" s="971"/>
      <c r="OJ41" s="971"/>
      <c r="OK41" s="971"/>
      <c r="OL41" s="971"/>
      <c r="OM41" s="971"/>
      <c r="ON41" s="971"/>
      <c r="OO41" s="971"/>
      <c r="OP41" s="971"/>
      <c r="OQ41" s="971"/>
      <c r="OR41" s="971"/>
      <c r="OS41" s="971"/>
      <c r="OT41" s="971"/>
      <c r="OU41" s="971"/>
      <c r="OV41" s="971"/>
      <c r="OW41" s="971"/>
      <c r="OX41" s="971"/>
      <c r="OY41" s="971"/>
      <c r="OZ41" s="971"/>
      <c r="PA41" s="971"/>
      <c r="PB41" s="971"/>
      <c r="PC41" s="971"/>
      <c r="PD41" s="971"/>
      <c r="PE41" s="971"/>
      <c r="PF41" s="971"/>
      <c r="PG41" s="971"/>
      <c r="PH41" s="971"/>
      <c r="PI41" s="971"/>
      <c r="PJ41" s="971"/>
      <c r="PK41" s="971"/>
      <c r="PL41" s="971"/>
      <c r="PM41" s="971"/>
      <c r="PN41" s="971"/>
      <c r="PO41" s="971"/>
      <c r="PP41" s="971"/>
      <c r="PQ41" s="971"/>
      <c r="PR41" s="971"/>
      <c r="PS41" s="971"/>
      <c r="PT41" s="971"/>
      <c r="PU41" s="971"/>
      <c r="PV41" s="971"/>
      <c r="PW41" s="971"/>
      <c r="PX41" s="971"/>
      <c r="PY41" s="971"/>
      <c r="PZ41" s="971"/>
      <c r="QA41" s="971"/>
      <c r="QB41" s="971"/>
      <c r="QC41" s="971"/>
      <c r="QD41" s="971"/>
      <c r="QE41" s="971"/>
      <c r="QF41" s="971"/>
      <c r="QG41" s="971"/>
      <c r="QH41" s="971"/>
      <c r="QI41" s="971"/>
      <c r="QJ41" s="971"/>
      <c r="QK41" s="971"/>
      <c r="QL41" s="971"/>
      <c r="QM41" s="971"/>
      <c r="QN41" s="971"/>
      <c r="QO41" s="971"/>
      <c r="QP41" s="971"/>
      <c r="QQ41" s="971"/>
      <c r="QR41" s="971"/>
      <c r="QS41" s="971"/>
      <c r="QT41" s="971"/>
      <c r="QU41" s="971"/>
      <c r="QV41" s="971"/>
      <c r="QW41" s="971"/>
      <c r="QX41" s="971"/>
      <c r="QY41" s="971"/>
      <c r="QZ41" s="971"/>
      <c r="RA41" s="971"/>
      <c r="RB41" s="971"/>
      <c r="RC41" s="971"/>
      <c r="RD41" s="971"/>
      <c r="RE41" s="971"/>
      <c r="RF41" s="971"/>
      <c r="RG41" s="971"/>
      <c r="RH41" s="971"/>
      <c r="RI41" s="971"/>
      <c r="RJ41" s="971"/>
      <c r="RK41" s="971"/>
      <c r="RL41" s="971"/>
      <c r="RM41" s="971"/>
      <c r="RN41" s="971"/>
      <c r="RO41" s="971"/>
      <c r="RP41" s="971"/>
      <c r="RQ41" s="971"/>
      <c r="RR41" s="971"/>
      <c r="RS41" s="971"/>
      <c r="RT41" s="971"/>
      <c r="RU41" s="971"/>
      <c r="RV41" s="971"/>
      <c r="RW41" s="971"/>
      <c r="RX41" s="971"/>
      <c r="RY41" s="971"/>
      <c r="RZ41" s="971"/>
      <c r="SA41" s="971"/>
      <c r="SB41" s="971"/>
      <c r="SC41" s="971"/>
      <c r="SD41" s="971"/>
      <c r="SE41" s="971"/>
      <c r="SF41" s="971"/>
      <c r="SG41" s="971"/>
      <c r="SH41" s="971"/>
      <c r="SI41" s="971"/>
      <c r="SJ41" s="971"/>
      <c r="SK41" s="971"/>
      <c r="SL41" s="971"/>
      <c r="SM41" s="971"/>
      <c r="SN41" s="971"/>
      <c r="SO41" s="971"/>
      <c r="SP41" s="971"/>
      <c r="SQ41" s="971"/>
      <c r="SR41" s="971"/>
    </row>
    <row r="42" spans="1:512" ht="15" customHeight="1">
      <c r="A42"/>
      <c r="B42" t="s">
        <v>2212</v>
      </c>
      <c r="C42"/>
      <c r="D42"/>
      <c r="E42" t="s">
        <v>876</v>
      </c>
      <c r="F42"/>
      <c r="G42" s="970">
        <v>908</v>
      </c>
      <c r="H42" s="1032">
        <v>2125</v>
      </c>
      <c r="I42" s="970"/>
      <c r="J42" s="970"/>
      <c r="K42" s="970"/>
      <c r="L42" s="970"/>
      <c r="M42" s="970"/>
      <c r="N42" s="970"/>
      <c r="O42" s="970"/>
      <c r="P42" s="970"/>
      <c r="Q42" s="970"/>
      <c r="R42" s="970"/>
      <c r="S42" s="970"/>
      <c r="T42" s="970"/>
      <c r="U42" s="970"/>
      <c r="V42" s="970"/>
      <c r="W42" s="970"/>
      <c r="X42" s="970"/>
      <c r="Y42" s="970"/>
      <c r="Z42" s="970"/>
      <c r="AA42" s="970"/>
      <c r="AB42" s="970"/>
      <c r="AC42" s="970"/>
      <c r="AD42" s="970"/>
      <c r="AE42" s="970"/>
      <c r="AF42" s="970"/>
      <c r="AG42" s="970"/>
      <c r="AH42" s="970"/>
      <c r="AI42" s="970"/>
      <c r="AJ42" s="970"/>
      <c r="AK42" s="970"/>
      <c r="AL42" s="970"/>
      <c r="AM42" s="970"/>
      <c r="AN42" s="970"/>
      <c r="AO42" s="970"/>
      <c r="AP42" s="970"/>
      <c r="AQ42" s="970"/>
      <c r="AR42" s="970"/>
      <c r="AS42" s="970"/>
      <c r="AT42" s="970"/>
      <c r="AU42" s="970"/>
      <c r="AV42" s="970"/>
      <c r="AW42" s="970"/>
      <c r="AX42" s="970"/>
      <c r="AY42" s="970"/>
      <c r="AZ42" s="970"/>
      <c r="BA42" s="970"/>
      <c r="BB42" s="970"/>
      <c r="BC42" s="970"/>
      <c r="BD42" s="970"/>
      <c r="BE42" s="970"/>
      <c r="BF42" s="970"/>
      <c r="BG42" s="970"/>
      <c r="BH42" s="970"/>
      <c r="BI42" s="970"/>
      <c r="BJ42" s="970"/>
      <c r="BK42" s="970"/>
      <c r="BL42" s="970"/>
      <c r="BM42" s="970"/>
      <c r="BN42" s="970"/>
      <c r="BO42" s="970"/>
      <c r="BP42" s="970"/>
      <c r="BQ42" s="970"/>
      <c r="BR42" s="970"/>
      <c r="BS42" s="970"/>
      <c r="BT42" s="970"/>
      <c r="BU42" s="970"/>
      <c r="BV42" s="970"/>
      <c r="BW42" s="970"/>
      <c r="BX42" s="970"/>
      <c r="BY42" s="970"/>
      <c r="BZ42" s="970"/>
      <c r="CA42" s="970"/>
      <c r="CB42" s="970"/>
      <c r="CC42" s="970"/>
      <c r="CD42" s="970"/>
      <c r="CE42" s="970"/>
      <c r="CF42" s="970"/>
      <c r="CG42" s="970"/>
      <c r="CH42" s="970"/>
      <c r="CI42" s="970"/>
      <c r="CJ42" s="970"/>
      <c r="CK42" s="970"/>
      <c r="CL42" s="970"/>
      <c r="CM42" s="970"/>
      <c r="CN42" s="970"/>
      <c r="CO42" s="970"/>
      <c r="CP42" s="970"/>
      <c r="CQ42" s="970"/>
      <c r="CR42" s="970"/>
      <c r="CS42" s="970"/>
      <c r="CT42" s="970"/>
      <c r="CU42" s="970"/>
      <c r="CV42" s="970"/>
      <c r="CW42" s="970"/>
      <c r="CX42" s="970"/>
      <c r="CY42" s="970"/>
      <c r="CZ42" s="970"/>
      <c r="DA42" s="970"/>
      <c r="DB42" s="970"/>
      <c r="DC42" s="970"/>
      <c r="DD42" s="970"/>
      <c r="DE42" s="970"/>
      <c r="DF42" s="970"/>
      <c r="DG42" s="970"/>
      <c r="DH42" s="970"/>
      <c r="DI42" s="970"/>
      <c r="DJ42" s="970"/>
      <c r="DK42" s="970"/>
      <c r="DL42" s="970"/>
      <c r="DM42" s="970"/>
      <c r="DN42" s="970"/>
      <c r="DO42" s="970"/>
      <c r="DP42" s="970"/>
      <c r="DQ42" s="970"/>
      <c r="DR42" s="970"/>
      <c r="DS42" s="970"/>
      <c r="DT42" s="970"/>
      <c r="DU42" s="970"/>
      <c r="DV42" s="970"/>
      <c r="DW42" s="970"/>
      <c r="DX42" s="970"/>
      <c r="DY42" s="970"/>
      <c r="DZ42" s="970"/>
      <c r="EA42" s="970"/>
      <c r="EB42" s="970"/>
      <c r="EC42" s="970"/>
      <c r="ED42" s="970"/>
      <c r="EE42" s="970"/>
      <c r="EF42" s="970"/>
      <c r="EG42" s="970"/>
      <c r="EH42" s="970"/>
      <c r="EI42" s="970"/>
      <c r="EJ42" s="970"/>
      <c r="EK42" s="970"/>
      <c r="EL42" s="970"/>
      <c r="EM42" s="970"/>
      <c r="EN42" s="970"/>
      <c r="EO42" s="970"/>
      <c r="EP42" s="970"/>
      <c r="EQ42" s="970"/>
      <c r="ER42" s="970"/>
      <c r="ES42" s="970"/>
      <c r="ET42" s="970"/>
      <c r="EU42" s="970"/>
      <c r="EV42" s="970"/>
      <c r="EW42" s="970"/>
      <c r="EX42" s="970"/>
      <c r="EY42" s="970"/>
      <c r="EZ42" s="970"/>
      <c r="FA42" s="970"/>
      <c r="FB42" s="970"/>
      <c r="FC42" s="970"/>
      <c r="FD42" s="970"/>
      <c r="FE42" s="970"/>
      <c r="FF42" s="970"/>
      <c r="FG42" s="970"/>
      <c r="FH42" s="970"/>
      <c r="FI42" s="970"/>
      <c r="FJ42" s="970"/>
      <c r="FK42" s="970"/>
      <c r="FL42" s="970"/>
      <c r="FM42" s="970"/>
      <c r="FN42" s="970"/>
      <c r="FO42" s="970"/>
      <c r="FP42" s="970"/>
      <c r="FQ42" s="970"/>
      <c r="FR42" s="970"/>
      <c r="FS42" s="970"/>
      <c r="FT42" s="970"/>
      <c r="FU42" s="970"/>
      <c r="FV42" s="970"/>
      <c r="FW42" s="970"/>
      <c r="FX42" s="970"/>
      <c r="FY42" s="970"/>
      <c r="FZ42" s="970"/>
      <c r="GA42" s="970"/>
      <c r="GB42" s="970"/>
      <c r="GC42" s="970"/>
      <c r="GD42" s="970"/>
      <c r="GE42" s="970"/>
      <c r="GF42" s="970"/>
      <c r="GG42" s="970"/>
      <c r="GH42" s="970"/>
      <c r="GI42" s="970"/>
      <c r="GJ42" s="970"/>
      <c r="GK42" s="970"/>
      <c r="GL42" s="970"/>
      <c r="GM42" s="970"/>
      <c r="GN42" s="970"/>
      <c r="GO42" s="970"/>
      <c r="GP42" s="970"/>
      <c r="GQ42" s="970"/>
      <c r="GR42" s="970"/>
      <c r="GS42" s="970"/>
      <c r="GT42" s="970"/>
      <c r="GU42" s="970"/>
      <c r="GV42" s="970"/>
      <c r="GW42" s="970"/>
      <c r="GX42" s="970"/>
      <c r="GY42" s="970"/>
      <c r="GZ42" s="970"/>
      <c r="HA42" s="970"/>
      <c r="HB42" s="970"/>
      <c r="HC42" s="970"/>
      <c r="HD42" s="970"/>
      <c r="HE42" s="970"/>
      <c r="HF42" s="970"/>
      <c r="HG42" s="970"/>
      <c r="HH42" s="970"/>
      <c r="HI42" s="970"/>
      <c r="HJ42" s="970"/>
      <c r="HK42" s="970"/>
      <c r="HL42" s="970"/>
      <c r="HM42" s="970"/>
      <c r="HN42" s="970"/>
      <c r="HO42" s="970"/>
      <c r="HP42" s="970"/>
      <c r="HQ42" s="970"/>
      <c r="HR42" s="970"/>
      <c r="HS42" s="970"/>
      <c r="HT42" s="970"/>
      <c r="HU42" s="970"/>
      <c r="HV42" s="970"/>
      <c r="HW42" s="970"/>
      <c r="HX42" s="970"/>
      <c r="HY42" s="970"/>
      <c r="HZ42" s="970"/>
      <c r="IA42" s="970"/>
      <c r="IB42" s="970"/>
      <c r="IC42" s="970"/>
      <c r="ID42" s="970"/>
      <c r="IE42" s="970"/>
      <c r="IF42" s="970"/>
      <c r="IG42" s="970"/>
      <c r="IH42" s="970"/>
      <c r="II42" s="970"/>
      <c r="IJ42" s="970"/>
      <c r="IK42" s="970"/>
      <c r="IL42" s="970"/>
      <c r="IM42" s="970"/>
      <c r="IN42" s="970"/>
      <c r="IO42" s="970"/>
      <c r="IP42" s="970"/>
      <c r="IQ42" s="970"/>
      <c r="IR42" s="970"/>
      <c r="IS42" s="970"/>
      <c r="IT42" s="970"/>
      <c r="IU42" s="970"/>
      <c r="IV42" s="970"/>
      <c r="IW42" s="970"/>
      <c r="IX42" s="970"/>
      <c r="IY42" s="970"/>
      <c r="IZ42" s="970"/>
      <c r="JA42" s="970"/>
      <c r="JB42" s="970"/>
      <c r="JC42" s="970"/>
      <c r="JD42" s="970"/>
      <c r="JE42" s="970"/>
      <c r="JF42" s="970"/>
      <c r="JG42" s="970"/>
      <c r="JH42" s="970"/>
      <c r="JI42" s="970"/>
      <c r="JJ42" s="970"/>
      <c r="JK42" s="970"/>
      <c r="JL42" s="970"/>
      <c r="JM42" s="970"/>
      <c r="JN42" s="970"/>
      <c r="JO42" s="970"/>
      <c r="JP42" s="970"/>
      <c r="JQ42" s="970"/>
      <c r="JR42" s="970"/>
      <c r="JS42" s="970"/>
      <c r="JT42" s="970"/>
      <c r="JU42" s="970"/>
      <c r="JV42" s="970"/>
      <c r="JW42" s="970"/>
      <c r="JX42" s="970"/>
      <c r="JY42" s="970"/>
      <c r="JZ42" s="970"/>
      <c r="KA42" s="970"/>
      <c r="KB42" s="970"/>
      <c r="KC42" s="970"/>
      <c r="KD42" s="970"/>
      <c r="KE42" s="970"/>
      <c r="KF42" s="970"/>
      <c r="KG42" s="970"/>
      <c r="KH42" s="970"/>
      <c r="KI42" s="970"/>
      <c r="KJ42" s="970"/>
      <c r="KK42" s="970"/>
      <c r="KL42" s="970"/>
      <c r="KM42" s="970"/>
      <c r="KN42" s="970"/>
      <c r="KO42" s="970"/>
      <c r="KP42" s="970"/>
      <c r="KQ42" s="970"/>
      <c r="KR42" s="970"/>
      <c r="KS42" s="970"/>
      <c r="KT42" s="970"/>
      <c r="KU42" s="970"/>
      <c r="KV42" s="970"/>
      <c r="KW42" s="970"/>
      <c r="KX42" s="970"/>
      <c r="KY42" s="970"/>
      <c r="KZ42" s="970"/>
      <c r="LA42" s="970"/>
      <c r="LB42" s="970"/>
      <c r="LC42" s="970"/>
      <c r="LD42" s="970"/>
      <c r="LE42" s="970"/>
      <c r="LF42" s="970"/>
      <c r="LG42" s="970"/>
      <c r="LH42" s="970"/>
      <c r="LI42" s="970"/>
      <c r="LJ42" s="970"/>
      <c r="LK42" s="970"/>
      <c r="LL42" s="970"/>
      <c r="LM42" s="970"/>
      <c r="LN42" s="970"/>
      <c r="LO42" s="970"/>
      <c r="LP42" s="970"/>
      <c r="LQ42" s="970"/>
      <c r="LR42" s="970"/>
      <c r="LS42" s="970"/>
      <c r="LT42" s="970"/>
      <c r="LU42" s="970"/>
      <c r="LV42" s="970"/>
      <c r="LW42" s="970"/>
      <c r="LX42" s="970"/>
      <c r="LY42" s="970"/>
      <c r="LZ42" s="970"/>
      <c r="MA42" s="970"/>
      <c r="MB42" s="970"/>
      <c r="MC42" s="970"/>
      <c r="MD42" s="970"/>
      <c r="ME42" s="970"/>
      <c r="MF42" s="970"/>
      <c r="MG42" s="970"/>
      <c r="MH42" s="970"/>
      <c r="MI42" s="970"/>
      <c r="MJ42" s="970"/>
      <c r="MK42" s="970"/>
      <c r="ML42" s="970"/>
      <c r="MM42" s="970"/>
      <c r="MN42" s="970"/>
      <c r="MO42" s="970"/>
      <c r="MP42" s="970"/>
      <c r="MQ42" s="970"/>
      <c r="MR42" s="970"/>
      <c r="MS42" s="970"/>
      <c r="MT42" s="970"/>
      <c r="MU42" s="970"/>
      <c r="MV42" s="970"/>
      <c r="MW42" s="970"/>
      <c r="MX42" s="970"/>
      <c r="MY42" s="970"/>
      <c r="MZ42" s="970"/>
      <c r="NA42" s="970"/>
      <c r="NB42" s="970"/>
      <c r="NC42" s="970"/>
      <c r="ND42" s="970"/>
      <c r="NE42" s="970"/>
      <c r="NF42" s="970"/>
      <c r="NG42" s="970"/>
      <c r="NH42" s="970"/>
      <c r="NI42" s="970"/>
      <c r="NJ42" s="970"/>
      <c r="NK42" s="970"/>
      <c r="NL42" s="970"/>
      <c r="NM42" s="970"/>
      <c r="NN42" s="970"/>
      <c r="NO42" s="970"/>
      <c r="NP42" s="970"/>
      <c r="NQ42" s="970"/>
      <c r="NR42" s="970"/>
      <c r="NS42" s="970"/>
      <c r="NT42" s="970"/>
      <c r="NU42" s="970"/>
      <c r="NV42" s="970"/>
      <c r="NW42" s="970"/>
      <c r="NX42" s="970"/>
      <c r="NY42" s="970"/>
      <c r="NZ42" s="970"/>
      <c r="OA42" s="970"/>
      <c r="OB42" s="970"/>
      <c r="OC42" s="970"/>
      <c r="OD42" s="970"/>
      <c r="OE42" s="970"/>
      <c r="OF42" s="970"/>
      <c r="OG42" s="970"/>
      <c r="OH42" s="970"/>
      <c r="OI42" s="970"/>
      <c r="OJ42" s="970"/>
      <c r="OK42" s="970"/>
      <c r="OL42" s="970"/>
      <c r="OM42" s="970"/>
      <c r="ON42" s="970"/>
      <c r="OO42" s="970"/>
      <c r="OP42" s="970"/>
      <c r="OQ42" s="970"/>
      <c r="OR42" s="970"/>
      <c r="OS42" s="970"/>
      <c r="OT42" s="970"/>
      <c r="OU42" s="970"/>
      <c r="OV42" s="970"/>
      <c r="OW42" s="970"/>
      <c r="OX42" s="970"/>
      <c r="OY42" s="970"/>
      <c r="OZ42" s="970"/>
      <c r="PA42" s="970"/>
      <c r="PB42" s="970"/>
      <c r="PC42" s="970"/>
      <c r="PD42" s="970"/>
      <c r="PE42" s="970"/>
      <c r="PF42" s="970"/>
      <c r="PG42" s="970"/>
      <c r="PH42" s="970"/>
      <c r="PI42" s="970"/>
      <c r="PJ42" s="970"/>
      <c r="PK42" s="970"/>
      <c r="PL42" s="970"/>
      <c r="PM42" s="970"/>
      <c r="PN42" s="970"/>
      <c r="PO42" s="970"/>
      <c r="PP42" s="970"/>
      <c r="PQ42" s="970"/>
      <c r="PR42" s="970"/>
      <c r="PS42" s="970"/>
      <c r="PT42" s="970"/>
      <c r="PU42" s="970"/>
      <c r="PV42" s="970"/>
      <c r="PW42" s="970"/>
      <c r="PX42" s="970"/>
      <c r="PY42" s="970"/>
      <c r="PZ42" s="970"/>
      <c r="QA42" s="970"/>
      <c r="QB42" s="970"/>
      <c r="QC42" s="970"/>
      <c r="QD42" s="970"/>
      <c r="QE42" s="970"/>
      <c r="QF42" s="970"/>
      <c r="QG42" s="970"/>
      <c r="QH42" s="970"/>
      <c r="QI42" s="970"/>
      <c r="QJ42" s="970"/>
      <c r="QK42" s="970"/>
      <c r="QL42" s="970"/>
      <c r="QM42" s="970"/>
      <c r="QN42" s="970"/>
      <c r="QO42" s="970"/>
      <c r="QP42" s="970"/>
      <c r="QQ42" s="970"/>
      <c r="QR42" s="970"/>
      <c r="QS42" s="970"/>
      <c r="QT42" s="970"/>
      <c r="QU42" s="970"/>
      <c r="QV42" s="970"/>
      <c r="QW42" s="970"/>
      <c r="QX42" s="970"/>
      <c r="QY42" s="970"/>
      <c r="QZ42" s="970"/>
      <c r="RA42" s="970"/>
      <c r="RB42" s="970"/>
      <c r="RC42" s="970"/>
      <c r="RD42" s="970"/>
      <c r="RE42" s="970"/>
      <c r="RF42" s="970"/>
      <c r="RG42" s="970"/>
      <c r="RH42" s="970"/>
      <c r="RI42" s="970"/>
      <c r="RJ42" s="970"/>
      <c r="RK42" s="970"/>
      <c r="RL42" s="970"/>
      <c r="RM42" s="970"/>
      <c r="RN42" s="970"/>
      <c r="RO42" s="970"/>
      <c r="RP42" s="970"/>
      <c r="RQ42" s="970"/>
      <c r="RR42" s="970"/>
      <c r="RS42" s="970"/>
      <c r="RT42" s="970"/>
      <c r="RU42" s="970"/>
      <c r="RV42" s="970"/>
      <c r="RW42" s="970"/>
      <c r="RX42" s="970"/>
      <c r="RY42" s="970"/>
      <c r="RZ42" s="970"/>
      <c r="SA42" s="970"/>
      <c r="SB42" s="970"/>
      <c r="SC42" s="970"/>
      <c r="SD42" s="970"/>
      <c r="SE42" s="970"/>
      <c r="SF42" s="970"/>
      <c r="SG42" s="970"/>
      <c r="SH42" s="970"/>
      <c r="SI42" s="970"/>
      <c r="SJ42" s="970"/>
      <c r="SK42" s="970"/>
      <c r="SL42" s="970"/>
      <c r="SM42" s="970"/>
      <c r="SN42" s="970"/>
      <c r="SO42" s="970"/>
      <c r="SP42" s="970"/>
      <c r="SQ42" s="970"/>
      <c r="SR42" s="970"/>
    </row>
    <row r="43" spans="1:512" s="850" customFormat="1" ht="15" customHeight="1">
      <c r="A43"/>
      <c r="B43" t="s">
        <v>2213</v>
      </c>
      <c r="C43"/>
      <c r="D43"/>
      <c r="E43" t="s">
        <v>875</v>
      </c>
      <c r="F43"/>
      <c r="G43" s="974">
        <v>4.3083690574453417</v>
      </c>
      <c r="H43" s="974">
        <v>0.25</v>
      </c>
      <c r="I43" s="974"/>
      <c r="J43" s="974"/>
      <c r="K43" s="974"/>
      <c r="L43" s="974"/>
      <c r="M43" s="974"/>
      <c r="N43" s="974"/>
      <c r="O43" s="974"/>
      <c r="P43" s="974"/>
      <c r="Q43" s="974"/>
      <c r="R43" s="974"/>
      <c r="S43" s="974"/>
      <c r="T43" s="974"/>
      <c r="U43" s="974"/>
      <c r="V43" s="974"/>
      <c r="W43" s="974"/>
      <c r="X43" s="974"/>
      <c r="Y43" s="974"/>
      <c r="Z43" s="974"/>
      <c r="AA43" s="974"/>
      <c r="AB43" s="974"/>
      <c r="AC43" s="974"/>
      <c r="AD43" s="974"/>
      <c r="AE43" s="974"/>
      <c r="AF43" s="974"/>
      <c r="AG43" s="974"/>
      <c r="AH43" s="974"/>
      <c r="AI43" s="974"/>
      <c r="AJ43" s="974"/>
      <c r="AK43" s="974"/>
      <c r="AL43" s="974"/>
      <c r="AM43" s="974"/>
      <c r="AN43" s="974"/>
      <c r="AO43" s="974"/>
      <c r="AP43" s="974"/>
      <c r="AQ43" s="974"/>
      <c r="AR43" s="974"/>
      <c r="AS43" s="974"/>
      <c r="AT43" s="974"/>
      <c r="AU43" s="974"/>
      <c r="AV43" s="974"/>
      <c r="AW43" s="974"/>
      <c r="AX43" s="974"/>
      <c r="AY43" s="974"/>
      <c r="AZ43" s="974"/>
      <c r="BA43" s="974"/>
      <c r="BB43" s="974"/>
      <c r="BC43" s="974"/>
      <c r="BD43" s="974"/>
      <c r="BE43" s="974"/>
      <c r="BF43" s="974"/>
      <c r="BG43" s="974"/>
      <c r="BH43" s="974"/>
      <c r="BI43" s="974"/>
      <c r="BJ43" s="974"/>
      <c r="BK43" s="974"/>
      <c r="BL43" s="974"/>
      <c r="BM43" s="974"/>
      <c r="BN43" s="974"/>
      <c r="BO43" s="974"/>
      <c r="BP43" s="974"/>
      <c r="BQ43" s="974"/>
      <c r="BR43" s="974"/>
      <c r="BS43" s="974"/>
      <c r="BT43" s="974"/>
      <c r="BU43" s="974"/>
      <c r="BV43" s="974"/>
      <c r="BW43" s="974"/>
      <c r="BX43" s="974"/>
      <c r="BY43" s="974"/>
      <c r="BZ43" s="974"/>
      <c r="CA43" s="974"/>
      <c r="CB43" s="974"/>
      <c r="CC43" s="974"/>
      <c r="CD43" s="974"/>
      <c r="CE43" s="974"/>
      <c r="CF43" s="974"/>
      <c r="CG43" s="974"/>
      <c r="CH43" s="974"/>
      <c r="CI43" s="974"/>
      <c r="CJ43" s="974"/>
      <c r="CK43" s="974"/>
      <c r="CL43" s="974"/>
      <c r="CM43" s="974"/>
      <c r="CN43" s="974"/>
      <c r="CO43" s="974"/>
      <c r="CP43" s="974"/>
      <c r="CQ43" s="974"/>
      <c r="CR43" s="974"/>
      <c r="CS43" s="974"/>
      <c r="CT43" s="974"/>
      <c r="CU43" s="974"/>
      <c r="CV43" s="974"/>
      <c r="CW43" s="974"/>
      <c r="CX43" s="974"/>
      <c r="CY43" s="974"/>
      <c r="CZ43" s="974"/>
      <c r="DA43" s="974"/>
      <c r="DB43" s="974"/>
      <c r="DC43" s="974"/>
      <c r="DD43" s="974"/>
      <c r="DE43" s="974"/>
      <c r="DF43" s="974"/>
      <c r="DG43" s="974"/>
      <c r="DH43" s="974"/>
      <c r="DI43" s="974"/>
      <c r="DJ43" s="974"/>
      <c r="DK43" s="974"/>
      <c r="DL43" s="974"/>
      <c r="DM43" s="974"/>
      <c r="DN43" s="974"/>
      <c r="DO43" s="974"/>
      <c r="DP43" s="974"/>
      <c r="DQ43" s="974"/>
      <c r="DR43" s="974"/>
      <c r="DS43" s="974"/>
      <c r="DT43" s="974"/>
      <c r="DU43" s="974"/>
      <c r="DV43" s="974"/>
      <c r="DW43" s="974"/>
      <c r="DX43" s="974"/>
      <c r="DY43" s="974"/>
      <c r="DZ43" s="974"/>
      <c r="EA43" s="974"/>
      <c r="EB43" s="974"/>
      <c r="EC43" s="974"/>
      <c r="ED43" s="974"/>
      <c r="EE43" s="974"/>
      <c r="EF43" s="974"/>
      <c r="EG43" s="974"/>
      <c r="EH43" s="974"/>
      <c r="EI43" s="974"/>
      <c r="EJ43" s="974"/>
      <c r="EK43" s="974"/>
      <c r="EL43" s="974"/>
      <c r="EM43" s="974"/>
      <c r="EN43" s="974"/>
      <c r="EO43" s="974"/>
      <c r="EP43" s="974"/>
      <c r="EQ43" s="974"/>
      <c r="ER43" s="974"/>
      <c r="ES43" s="974"/>
      <c r="ET43" s="974"/>
      <c r="EU43" s="974"/>
      <c r="EV43" s="974"/>
      <c r="EW43" s="974"/>
      <c r="EX43" s="974"/>
      <c r="EY43" s="974"/>
      <c r="EZ43" s="974"/>
      <c r="FA43" s="974"/>
      <c r="FB43" s="974"/>
      <c r="FC43" s="974"/>
      <c r="FD43" s="974"/>
      <c r="FE43" s="974"/>
      <c r="FF43" s="974"/>
      <c r="FG43" s="974"/>
      <c r="FH43" s="974"/>
      <c r="FI43" s="974"/>
      <c r="FJ43" s="974"/>
      <c r="FK43" s="974"/>
      <c r="FL43" s="974"/>
      <c r="FM43" s="974"/>
      <c r="FN43" s="974"/>
      <c r="FO43" s="974"/>
      <c r="FP43" s="974"/>
      <c r="FQ43" s="974"/>
      <c r="FR43" s="974"/>
      <c r="FS43" s="974"/>
      <c r="FT43" s="974"/>
      <c r="FU43" s="974"/>
      <c r="FV43" s="974"/>
      <c r="FW43" s="974"/>
      <c r="FX43" s="974"/>
      <c r="FY43" s="974"/>
      <c r="FZ43" s="974"/>
      <c r="GA43" s="974"/>
      <c r="GB43" s="974"/>
      <c r="GC43" s="974"/>
      <c r="GD43" s="974"/>
      <c r="GE43" s="974"/>
      <c r="GF43" s="974"/>
      <c r="GG43" s="974"/>
      <c r="GH43" s="974"/>
      <c r="GI43" s="974"/>
      <c r="GJ43" s="974"/>
      <c r="GK43" s="974"/>
      <c r="GL43" s="974"/>
      <c r="GM43" s="974"/>
      <c r="GN43" s="974"/>
      <c r="GO43" s="974"/>
      <c r="GP43" s="974"/>
      <c r="GQ43" s="974"/>
      <c r="GR43" s="974"/>
      <c r="GS43" s="974"/>
      <c r="GT43" s="974"/>
      <c r="GU43" s="974"/>
      <c r="GV43" s="974"/>
      <c r="GW43" s="974"/>
      <c r="GX43" s="974"/>
      <c r="GY43" s="974"/>
      <c r="GZ43" s="974"/>
      <c r="HA43" s="974"/>
      <c r="HB43" s="974"/>
      <c r="HC43" s="974"/>
      <c r="HD43" s="974"/>
      <c r="HE43" s="974"/>
      <c r="HF43" s="974"/>
      <c r="HG43" s="974"/>
      <c r="HH43" s="974"/>
      <c r="HI43" s="974"/>
      <c r="HJ43" s="974"/>
      <c r="HK43" s="974"/>
      <c r="HL43" s="974"/>
      <c r="HM43" s="974"/>
      <c r="HN43" s="974"/>
      <c r="HO43" s="974"/>
      <c r="HP43" s="974"/>
      <c r="HQ43" s="974"/>
      <c r="HR43" s="974"/>
      <c r="HS43" s="974"/>
      <c r="HT43" s="974"/>
      <c r="HU43" s="974"/>
      <c r="HV43" s="974"/>
      <c r="HW43" s="974"/>
      <c r="HX43" s="974"/>
      <c r="HY43" s="974"/>
      <c r="HZ43" s="974"/>
      <c r="IA43" s="974"/>
      <c r="IB43" s="974"/>
      <c r="IC43" s="974"/>
      <c r="ID43" s="974"/>
      <c r="IE43" s="974"/>
      <c r="IF43" s="974"/>
      <c r="IG43" s="974"/>
      <c r="IH43" s="974"/>
      <c r="II43" s="974"/>
      <c r="IJ43" s="974"/>
      <c r="IK43" s="974"/>
      <c r="IL43" s="974"/>
      <c r="IM43" s="974"/>
      <c r="IN43" s="974"/>
      <c r="IO43" s="974"/>
      <c r="IP43" s="974"/>
      <c r="IQ43" s="974"/>
      <c r="IR43" s="974"/>
      <c r="IS43" s="974"/>
      <c r="IT43" s="974"/>
      <c r="IU43" s="974"/>
      <c r="IV43" s="974"/>
      <c r="IW43" s="974"/>
      <c r="IX43" s="974"/>
      <c r="IY43" s="974"/>
      <c r="IZ43" s="974"/>
      <c r="JA43" s="974"/>
      <c r="JB43" s="974"/>
      <c r="JC43" s="974"/>
      <c r="JD43" s="974"/>
      <c r="JE43" s="974"/>
      <c r="JF43" s="974"/>
      <c r="JG43" s="974"/>
      <c r="JH43" s="974"/>
      <c r="JI43" s="974"/>
      <c r="JJ43" s="974"/>
      <c r="JK43" s="974"/>
      <c r="JL43" s="974"/>
      <c r="JM43" s="974"/>
      <c r="JN43" s="974"/>
      <c r="JO43" s="974"/>
      <c r="JP43" s="974"/>
      <c r="JQ43" s="974"/>
      <c r="JR43" s="974"/>
      <c r="JS43" s="974"/>
      <c r="JT43" s="974"/>
      <c r="JU43" s="974"/>
      <c r="JV43" s="974"/>
      <c r="JW43" s="974"/>
      <c r="JX43" s="974"/>
      <c r="JY43" s="974"/>
      <c r="JZ43" s="974"/>
      <c r="KA43" s="974"/>
      <c r="KB43" s="974"/>
      <c r="KC43" s="974"/>
      <c r="KD43" s="974"/>
      <c r="KE43" s="974"/>
      <c r="KF43" s="974"/>
      <c r="KG43" s="974"/>
      <c r="KH43" s="974"/>
      <c r="KI43" s="974"/>
      <c r="KJ43" s="974"/>
      <c r="KK43" s="974"/>
      <c r="KL43" s="974"/>
      <c r="KM43" s="974"/>
      <c r="KN43" s="974"/>
      <c r="KO43" s="974"/>
      <c r="KP43" s="974"/>
      <c r="KQ43" s="974"/>
      <c r="KR43" s="974"/>
      <c r="KS43" s="974"/>
      <c r="KT43" s="974"/>
      <c r="KU43" s="974"/>
      <c r="KV43" s="974"/>
      <c r="KW43" s="974"/>
      <c r="KX43" s="974"/>
      <c r="KY43" s="974"/>
      <c r="KZ43" s="974"/>
      <c r="LA43" s="974"/>
      <c r="LB43" s="974"/>
      <c r="LC43" s="974"/>
      <c r="LD43" s="974"/>
      <c r="LE43" s="974"/>
      <c r="LF43" s="974"/>
      <c r="LG43" s="974"/>
      <c r="LH43" s="974"/>
      <c r="LI43" s="974"/>
      <c r="LJ43" s="974"/>
      <c r="LK43" s="974"/>
      <c r="LL43" s="974"/>
      <c r="LM43" s="974"/>
      <c r="LN43" s="974"/>
      <c r="LO43" s="974"/>
      <c r="LP43" s="974"/>
      <c r="LQ43" s="974"/>
      <c r="LR43" s="974"/>
      <c r="LS43" s="974"/>
      <c r="LT43" s="974"/>
      <c r="LU43" s="974"/>
      <c r="LV43" s="974"/>
      <c r="LW43" s="974"/>
      <c r="LX43" s="974"/>
      <c r="LY43" s="974"/>
      <c r="LZ43" s="974"/>
      <c r="MA43" s="974"/>
      <c r="MB43" s="974"/>
      <c r="MC43" s="974"/>
      <c r="MD43" s="974"/>
      <c r="ME43" s="974"/>
      <c r="MF43" s="974"/>
      <c r="MG43" s="974"/>
      <c r="MH43" s="974"/>
      <c r="MI43" s="974"/>
      <c r="MJ43" s="974"/>
      <c r="MK43" s="974"/>
      <c r="ML43" s="974"/>
      <c r="MM43" s="974"/>
      <c r="MN43" s="974"/>
      <c r="MO43" s="974"/>
      <c r="MP43" s="974"/>
      <c r="MQ43" s="974"/>
      <c r="MR43" s="974"/>
      <c r="MS43" s="974"/>
      <c r="MT43" s="974"/>
      <c r="MU43" s="974"/>
      <c r="MV43" s="974"/>
      <c r="MW43" s="974"/>
      <c r="MX43" s="974"/>
      <c r="MY43" s="974"/>
      <c r="MZ43" s="974"/>
      <c r="NA43" s="974"/>
      <c r="NB43" s="974"/>
      <c r="NC43" s="974"/>
      <c r="ND43" s="974"/>
      <c r="NE43" s="974"/>
      <c r="NF43" s="974"/>
      <c r="NG43" s="974"/>
      <c r="NH43" s="974"/>
      <c r="NI43" s="974"/>
      <c r="NJ43" s="974"/>
      <c r="NK43" s="974"/>
      <c r="NL43" s="974"/>
      <c r="NM43" s="974"/>
      <c r="NN43" s="974"/>
      <c r="NO43" s="974"/>
      <c r="NP43" s="974"/>
      <c r="NQ43" s="974"/>
      <c r="NR43" s="974"/>
      <c r="NS43" s="974"/>
      <c r="NT43" s="974"/>
      <c r="NU43" s="974"/>
      <c r="NV43" s="974"/>
      <c r="NW43" s="974"/>
      <c r="NX43" s="974"/>
      <c r="NY43" s="974"/>
      <c r="NZ43" s="974"/>
      <c r="OA43" s="974"/>
      <c r="OB43" s="974"/>
      <c r="OC43" s="974"/>
      <c r="OD43" s="974"/>
      <c r="OE43" s="974"/>
      <c r="OF43" s="974"/>
      <c r="OG43" s="974"/>
      <c r="OH43" s="974"/>
      <c r="OI43" s="974"/>
      <c r="OJ43" s="974"/>
      <c r="OK43" s="974"/>
      <c r="OL43" s="974"/>
      <c r="OM43" s="974"/>
      <c r="ON43" s="974"/>
      <c r="OO43" s="974"/>
      <c r="OP43" s="974"/>
      <c r="OQ43" s="974"/>
      <c r="OR43" s="974"/>
      <c r="OS43" s="974"/>
      <c r="OT43" s="974"/>
      <c r="OU43" s="974"/>
      <c r="OV43" s="974"/>
      <c r="OW43" s="974"/>
      <c r="OX43" s="974"/>
      <c r="OY43" s="974"/>
      <c r="OZ43" s="974"/>
      <c r="PA43" s="974"/>
      <c r="PB43" s="974"/>
      <c r="PC43" s="974"/>
      <c r="PD43" s="974"/>
      <c r="PE43" s="974"/>
      <c r="PF43" s="974"/>
      <c r="PG43" s="974"/>
      <c r="PH43" s="974"/>
      <c r="PI43" s="974"/>
      <c r="PJ43" s="974"/>
      <c r="PK43" s="974"/>
      <c r="PL43" s="974"/>
      <c r="PM43" s="974"/>
      <c r="PN43" s="974"/>
      <c r="PO43" s="974"/>
      <c r="PP43" s="974"/>
      <c r="PQ43" s="974"/>
      <c r="PR43" s="974"/>
      <c r="PS43" s="974"/>
      <c r="PT43" s="974"/>
      <c r="PU43" s="974"/>
      <c r="PV43" s="974"/>
      <c r="PW43" s="974"/>
      <c r="PX43" s="974"/>
      <c r="PY43" s="974"/>
      <c r="PZ43" s="974"/>
      <c r="QA43" s="974"/>
      <c r="QB43" s="974"/>
      <c r="QC43" s="974"/>
      <c r="QD43" s="974"/>
      <c r="QE43" s="974"/>
      <c r="QF43" s="974"/>
      <c r="QG43" s="974"/>
      <c r="QH43" s="974"/>
      <c r="QI43" s="974"/>
      <c r="QJ43" s="974"/>
      <c r="QK43" s="974"/>
      <c r="QL43" s="974"/>
      <c r="QM43" s="974"/>
      <c r="QN43" s="974"/>
      <c r="QO43" s="974"/>
      <c r="QP43" s="974"/>
      <c r="QQ43" s="974"/>
      <c r="QR43" s="974"/>
      <c r="QS43" s="974"/>
      <c r="QT43" s="974"/>
      <c r="QU43" s="974"/>
      <c r="QV43" s="974"/>
      <c r="QW43" s="974"/>
      <c r="QX43" s="974"/>
      <c r="QY43" s="974"/>
      <c r="QZ43" s="974"/>
      <c r="RA43" s="974"/>
      <c r="RB43" s="974"/>
      <c r="RC43" s="974"/>
      <c r="RD43" s="974"/>
      <c r="RE43" s="974"/>
      <c r="RF43" s="974"/>
      <c r="RG43" s="974"/>
      <c r="RH43" s="974"/>
      <c r="RI43" s="974"/>
      <c r="RJ43" s="974"/>
      <c r="RK43" s="974"/>
      <c r="RL43" s="974"/>
      <c r="RM43" s="974"/>
      <c r="RN43" s="974"/>
      <c r="RO43" s="974"/>
      <c r="RP43" s="974"/>
      <c r="RQ43" s="974"/>
      <c r="RR43" s="974"/>
      <c r="RS43" s="974"/>
      <c r="RT43" s="974"/>
      <c r="RU43" s="974"/>
      <c r="RV43" s="974"/>
      <c r="RW43" s="974"/>
      <c r="RX43" s="974"/>
      <c r="RY43" s="974"/>
      <c r="RZ43" s="974"/>
      <c r="SA43" s="974"/>
      <c r="SB43" s="974"/>
      <c r="SC43" s="974"/>
      <c r="SD43" s="974"/>
      <c r="SE43" s="974"/>
      <c r="SF43" s="974"/>
      <c r="SG43" s="974"/>
      <c r="SH43" s="974"/>
      <c r="SI43" s="974"/>
      <c r="SJ43" s="974"/>
      <c r="SK43" s="974"/>
      <c r="SL43" s="974"/>
      <c r="SM43" s="974"/>
      <c r="SN43" s="974"/>
      <c r="SO43" s="974"/>
      <c r="SP43" s="974"/>
      <c r="SQ43" s="974"/>
      <c r="SR43" s="974"/>
    </row>
    <row r="44" spans="1:512" s="850" customFormat="1" ht="15" customHeight="1">
      <c r="A44"/>
      <c r="B44" t="s">
        <v>2214</v>
      </c>
      <c r="C44"/>
      <c r="D44"/>
      <c r="E44" t="s">
        <v>875</v>
      </c>
      <c r="F44"/>
      <c r="G44" s="974">
        <v>5.3083690574453417</v>
      </c>
      <c r="H44" s="1013">
        <v>1.25</v>
      </c>
      <c r="I44" s="974"/>
      <c r="J44" s="974"/>
      <c r="K44" s="974"/>
      <c r="L44" s="974"/>
      <c r="M44" s="974"/>
      <c r="N44" s="974"/>
      <c r="O44" s="974"/>
      <c r="P44" s="974"/>
      <c r="Q44" s="974"/>
      <c r="R44" s="974"/>
      <c r="S44" s="974"/>
      <c r="T44" s="974"/>
      <c r="U44" s="974"/>
      <c r="V44" s="974"/>
      <c r="W44" s="974"/>
      <c r="X44" s="974"/>
      <c r="Y44" s="974"/>
      <c r="Z44" s="974"/>
      <c r="AA44" s="974"/>
      <c r="AB44" s="974"/>
      <c r="AC44" s="974"/>
      <c r="AD44" s="974"/>
      <c r="AE44" s="974"/>
      <c r="AF44" s="974"/>
      <c r="AG44" s="974"/>
      <c r="AH44" s="974"/>
      <c r="AI44" s="974"/>
      <c r="AJ44" s="974"/>
      <c r="AK44" s="974"/>
      <c r="AL44" s="974"/>
      <c r="AM44" s="974"/>
      <c r="AN44" s="974"/>
      <c r="AO44" s="974"/>
      <c r="AP44" s="974"/>
      <c r="AQ44" s="974"/>
      <c r="AR44" s="974"/>
      <c r="AS44" s="974"/>
      <c r="AT44" s="974"/>
      <c r="AU44" s="974"/>
      <c r="AV44" s="974"/>
      <c r="AW44" s="974"/>
      <c r="AX44" s="974"/>
      <c r="AY44" s="974"/>
      <c r="AZ44" s="974"/>
      <c r="BA44" s="974"/>
      <c r="BB44" s="974"/>
      <c r="BC44" s="974"/>
      <c r="BD44" s="974"/>
      <c r="BE44" s="974"/>
      <c r="BF44" s="974"/>
      <c r="BG44" s="974"/>
      <c r="BH44" s="974"/>
      <c r="BI44" s="974"/>
      <c r="BJ44" s="974"/>
      <c r="BK44" s="974"/>
      <c r="BL44" s="974"/>
      <c r="BM44" s="974"/>
      <c r="BN44" s="974"/>
      <c r="BO44" s="974"/>
      <c r="BP44" s="974"/>
      <c r="BQ44" s="974"/>
      <c r="BR44" s="974"/>
      <c r="BS44" s="974"/>
      <c r="BT44" s="974"/>
      <c r="BU44" s="974"/>
      <c r="BV44" s="974"/>
      <c r="BW44" s="974"/>
      <c r="BX44" s="974"/>
      <c r="BY44" s="974"/>
      <c r="BZ44" s="974"/>
      <c r="CA44" s="974"/>
      <c r="CB44" s="974"/>
      <c r="CC44" s="974"/>
      <c r="CD44" s="974"/>
      <c r="CE44" s="974"/>
      <c r="CF44" s="974"/>
      <c r="CG44" s="974"/>
      <c r="CH44" s="974"/>
      <c r="CI44" s="974"/>
      <c r="CJ44" s="974"/>
      <c r="CK44" s="974"/>
      <c r="CL44" s="974"/>
      <c r="CM44" s="974"/>
      <c r="CN44" s="974"/>
      <c r="CO44" s="974"/>
      <c r="CP44" s="974"/>
      <c r="CQ44" s="974"/>
      <c r="CR44" s="974"/>
      <c r="CS44" s="974"/>
      <c r="CT44" s="974"/>
      <c r="CU44" s="974"/>
      <c r="CV44" s="974"/>
      <c r="CW44" s="974"/>
      <c r="CX44" s="974"/>
      <c r="CY44" s="974"/>
      <c r="CZ44" s="974"/>
      <c r="DA44" s="974"/>
      <c r="DB44" s="974"/>
      <c r="DC44" s="974"/>
      <c r="DD44" s="974"/>
      <c r="DE44" s="974"/>
      <c r="DF44" s="974"/>
      <c r="DG44" s="974"/>
      <c r="DH44" s="974"/>
      <c r="DI44" s="974"/>
      <c r="DJ44" s="974"/>
      <c r="DK44" s="974"/>
      <c r="DL44" s="974"/>
      <c r="DM44" s="974"/>
      <c r="DN44" s="974"/>
      <c r="DO44" s="974"/>
      <c r="DP44" s="974"/>
      <c r="DQ44" s="974"/>
      <c r="DR44" s="974"/>
      <c r="DS44" s="974"/>
      <c r="DT44" s="974"/>
      <c r="DU44" s="974"/>
      <c r="DV44" s="974"/>
      <c r="DW44" s="974"/>
      <c r="DX44" s="974"/>
      <c r="DY44" s="974"/>
      <c r="DZ44" s="974"/>
      <c r="EA44" s="974"/>
      <c r="EB44" s="974"/>
      <c r="EC44" s="974"/>
      <c r="ED44" s="974"/>
      <c r="EE44" s="974"/>
      <c r="EF44" s="974"/>
      <c r="EG44" s="974"/>
      <c r="EH44" s="974"/>
      <c r="EI44" s="974"/>
      <c r="EJ44" s="974"/>
      <c r="EK44" s="974"/>
      <c r="EL44" s="974"/>
      <c r="EM44" s="974"/>
      <c r="EN44" s="974"/>
      <c r="EO44" s="974"/>
      <c r="EP44" s="974"/>
      <c r="EQ44" s="974"/>
      <c r="ER44" s="974"/>
      <c r="ES44" s="974"/>
      <c r="ET44" s="974"/>
      <c r="EU44" s="974"/>
      <c r="EV44" s="974"/>
      <c r="EW44" s="974"/>
      <c r="EX44" s="974"/>
      <c r="EY44" s="974"/>
      <c r="EZ44" s="974"/>
      <c r="FA44" s="974"/>
      <c r="FB44" s="974"/>
      <c r="FC44" s="974"/>
      <c r="FD44" s="974"/>
      <c r="FE44" s="974"/>
      <c r="FF44" s="974"/>
      <c r="FG44" s="974"/>
      <c r="FH44" s="974"/>
      <c r="FI44" s="974"/>
      <c r="FJ44" s="974"/>
      <c r="FK44" s="974"/>
      <c r="FL44" s="974"/>
      <c r="FM44" s="974"/>
      <c r="FN44" s="974"/>
      <c r="FO44" s="974"/>
      <c r="FP44" s="974"/>
      <c r="FQ44" s="974"/>
      <c r="FR44" s="974"/>
      <c r="FS44" s="974"/>
      <c r="FT44" s="974"/>
      <c r="FU44" s="974"/>
      <c r="FV44" s="974"/>
      <c r="FW44" s="974"/>
      <c r="FX44" s="974"/>
      <c r="FY44" s="974"/>
      <c r="FZ44" s="974"/>
      <c r="GA44" s="974"/>
      <c r="GB44" s="974"/>
      <c r="GC44" s="974"/>
      <c r="GD44" s="974"/>
      <c r="GE44" s="974"/>
      <c r="GF44" s="974"/>
      <c r="GG44" s="974"/>
      <c r="GH44" s="974"/>
      <c r="GI44" s="974"/>
      <c r="GJ44" s="974"/>
      <c r="GK44" s="974"/>
      <c r="GL44" s="974"/>
      <c r="GM44" s="974"/>
      <c r="GN44" s="974"/>
      <c r="GO44" s="974"/>
      <c r="GP44" s="974"/>
      <c r="GQ44" s="974"/>
      <c r="GR44" s="974"/>
      <c r="GS44" s="974"/>
      <c r="GT44" s="974"/>
      <c r="GU44" s="974"/>
      <c r="GV44" s="974"/>
      <c r="GW44" s="974"/>
      <c r="GX44" s="974"/>
      <c r="GY44" s="974"/>
      <c r="GZ44" s="974"/>
      <c r="HA44" s="974"/>
      <c r="HB44" s="974"/>
      <c r="HC44" s="974"/>
      <c r="HD44" s="974"/>
      <c r="HE44" s="974"/>
      <c r="HF44" s="974"/>
      <c r="HG44" s="974"/>
      <c r="HH44" s="974"/>
      <c r="HI44" s="974"/>
      <c r="HJ44" s="974"/>
      <c r="HK44" s="974"/>
      <c r="HL44" s="974"/>
      <c r="HM44" s="974"/>
      <c r="HN44" s="974"/>
      <c r="HO44" s="974"/>
      <c r="HP44" s="974"/>
      <c r="HQ44" s="974"/>
      <c r="HR44" s="974"/>
      <c r="HS44" s="974"/>
      <c r="HT44" s="974"/>
      <c r="HU44" s="974"/>
      <c r="HV44" s="974"/>
      <c r="HW44" s="974"/>
      <c r="HX44" s="974"/>
      <c r="HY44" s="974"/>
      <c r="HZ44" s="974"/>
      <c r="IA44" s="974"/>
      <c r="IB44" s="974"/>
      <c r="IC44" s="974"/>
      <c r="ID44" s="974"/>
      <c r="IE44" s="974"/>
      <c r="IF44" s="974"/>
      <c r="IG44" s="974"/>
      <c r="IH44" s="974"/>
      <c r="II44" s="974"/>
      <c r="IJ44" s="974"/>
      <c r="IK44" s="974"/>
      <c r="IL44" s="974"/>
      <c r="IM44" s="974"/>
      <c r="IN44" s="974"/>
      <c r="IO44" s="974"/>
      <c r="IP44" s="974"/>
      <c r="IQ44" s="974"/>
      <c r="IR44" s="974"/>
      <c r="IS44" s="974"/>
      <c r="IT44" s="974"/>
      <c r="IU44" s="974"/>
      <c r="IV44" s="974"/>
      <c r="IW44" s="974"/>
      <c r="IX44" s="974"/>
      <c r="IY44" s="974"/>
      <c r="IZ44" s="974"/>
      <c r="JA44" s="974"/>
      <c r="JB44" s="974"/>
      <c r="JC44" s="974"/>
      <c r="JD44" s="974"/>
      <c r="JE44" s="974"/>
      <c r="JF44" s="974"/>
      <c r="JG44" s="974"/>
      <c r="JH44" s="974"/>
      <c r="JI44" s="974"/>
      <c r="JJ44" s="974"/>
      <c r="JK44" s="974"/>
      <c r="JL44" s="974"/>
      <c r="JM44" s="974"/>
      <c r="JN44" s="974"/>
      <c r="JO44" s="974"/>
      <c r="JP44" s="974"/>
      <c r="JQ44" s="974"/>
      <c r="JR44" s="974"/>
      <c r="JS44" s="974"/>
      <c r="JT44" s="974"/>
      <c r="JU44" s="974"/>
      <c r="JV44" s="974"/>
      <c r="JW44" s="974"/>
      <c r="JX44" s="974"/>
      <c r="JY44" s="974"/>
      <c r="JZ44" s="974"/>
      <c r="KA44" s="974"/>
      <c r="KB44" s="974"/>
      <c r="KC44" s="974"/>
      <c r="KD44" s="974"/>
      <c r="KE44" s="974"/>
      <c r="KF44" s="974"/>
      <c r="KG44" s="974"/>
      <c r="KH44" s="974"/>
      <c r="KI44" s="974"/>
      <c r="KJ44" s="974"/>
      <c r="KK44" s="974"/>
      <c r="KL44" s="974"/>
      <c r="KM44" s="974"/>
      <c r="KN44" s="974"/>
      <c r="KO44" s="974"/>
      <c r="KP44" s="974"/>
      <c r="KQ44" s="974"/>
      <c r="KR44" s="974"/>
      <c r="KS44" s="974"/>
      <c r="KT44" s="974"/>
      <c r="KU44" s="974"/>
      <c r="KV44" s="974"/>
      <c r="KW44" s="974"/>
      <c r="KX44" s="974"/>
      <c r="KY44" s="974"/>
      <c r="KZ44" s="974"/>
      <c r="LA44" s="974"/>
      <c r="LB44" s="974"/>
      <c r="LC44" s="974"/>
      <c r="LD44" s="974"/>
      <c r="LE44" s="974"/>
      <c r="LF44" s="974"/>
      <c r="LG44" s="974"/>
      <c r="LH44" s="974"/>
      <c r="LI44" s="974"/>
      <c r="LJ44" s="974"/>
      <c r="LK44" s="974"/>
      <c r="LL44" s="974"/>
      <c r="LM44" s="974"/>
      <c r="LN44" s="974"/>
      <c r="LO44" s="974"/>
      <c r="LP44" s="974"/>
      <c r="LQ44" s="974"/>
      <c r="LR44" s="974"/>
      <c r="LS44" s="974"/>
      <c r="LT44" s="974"/>
      <c r="LU44" s="974"/>
      <c r="LV44" s="974"/>
      <c r="LW44" s="974"/>
      <c r="LX44" s="974"/>
      <c r="LY44" s="974"/>
      <c r="LZ44" s="974"/>
      <c r="MA44" s="974"/>
      <c r="MB44" s="974"/>
      <c r="MC44" s="974"/>
      <c r="MD44" s="974"/>
      <c r="ME44" s="974"/>
      <c r="MF44" s="974"/>
      <c r="MG44" s="974"/>
      <c r="MH44" s="974"/>
      <c r="MI44" s="974"/>
      <c r="MJ44" s="974"/>
      <c r="MK44" s="974"/>
      <c r="ML44" s="974"/>
      <c r="MM44" s="974"/>
      <c r="MN44" s="974"/>
      <c r="MO44" s="974"/>
      <c r="MP44" s="974"/>
      <c r="MQ44" s="974"/>
      <c r="MR44" s="974"/>
      <c r="MS44" s="974"/>
      <c r="MT44" s="974"/>
      <c r="MU44" s="974"/>
      <c r="MV44" s="974"/>
      <c r="MW44" s="974"/>
      <c r="MX44" s="974"/>
      <c r="MY44" s="974"/>
      <c r="MZ44" s="974"/>
      <c r="NA44" s="974"/>
      <c r="NB44" s="974"/>
      <c r="NC44" s="974"/>
      <c r="ND44" s="974"/>
      <c r="NE44" s="974"/>
      <c r="NF44" s="974"/>
      <c r="NG44" s="974"/>
      <c r="NH44" s="974"/>
      <c r="NI44" s="974"/>
      <c r="NJ44" s="974"/>
      <c r="NK44" s="974"/>
      <c r="NL44" s="974"/>
      <c r="NM44" s="974"/>
      <c r="NN44" s="974"/>
      <c r="NO44" s="974"/>
      <c r="NP44" s="974"/>
      <c r="NQ44" s="974"/>
      <c r="NR44" s="974"/>
      <c r="NS44" s="974"/>
      <c r="NT44" s="974"/>
      <c r="NU44" s="974"/>
      <c r="NV44" s="974"/>
      <c r="NW44" s="974"/>
      <c r="NX44" s="974"/>
      <c r="NY44" s="974"/>
      <c r="NZ44" s="974"/>
      <c r="OA44" s="974"/>
      <c r="OB44" s="974"/>
      <c r="OC44" s="974"/>
      <c r="OD44" s="974"/>
      <c r="OE44" s="974"/>
      <c r="OF44" s="974"/>
      <c r="OG44" s="974"/>
      <c r="OH44" s="974"/>
      <c r="OI44" s="974"/>
      <c r="OJ44" s="974"/>
      <c r="OK44" s="974"/>
      <c r="OL44" s="974"/>
      <c r="OM44" s="974"/>
      <c r="ON44" s="974"/>
      <c r="OO44" s="974"/>
      <c r="OP44" s="974"/>
      <c r="OQ44" s="974"/>
      <c r="OR44" s="974"/>
      <c r="OS44" s="974"/>
      <c r="OT44" s="974"/>
      <c r="OU44" s="974"/>
      <c r="OV44" s="974"/>
      <c r="OW44" s="974"/>
      <c r="OX44" s="974"/>
      <c r="OY44" s="974"/>
      <c r="OZ44" s="974"/>
      <c r="PA44" s="974"/>
      <c r="PB44" s="974"/>
      <c r="PC44" s="974"/>
      <c r="PD44" s="974"/>
      <c r="PE44" s="974"/>
      <c r="PF44" s="974"/>
      <c r="PG44" s="974"/>
      <c r="PH44" s="974"/>
      <c r="PI44" s="974"/>
      <c r="PJ44" s="974"/>
      <c r="PK44" s="974"/>
      <c r="PL44" s="974"/>
      <c r="PM44" s="974"/>
      <c r="PN44" s="974"/>
      <c r="PO44" s="974"/>
      <c r="PP44" s="974"/>
      <c r="PQ44" s="974"/>
      <c r="PR44" s="974"/>
      <c r="PS44" s="974"/>
      <c r="PT44" s="974"/>
      <c r="PU44" s="974"/>
      <c r="PV44" s="974"/>
      <c r="PW44" s="974"/>
      <c r="PX44" s="974"/>
      <c r="PY44" s="974"/>
      <c r="PZ44" s="974"/>
      <c r="QA44" s="974"/>
      <c r="QB44" s="974"/>
      <c r="QC44" s="974"/>
      <c r="QD44" s="974"/>
      <c r="QE44" s="974"/>
      <c r="QF44" s="974"/>
      <c r="QG44" s="974"/>
      <c r="QH44" s="974"/>
      <c r="QI44" s="974"/>
      <c r="QJ44" s="974"/>
      <c r="QK44" s="974"/>
      <c r="QL44" s="974"/>
      <c r="QM44" s="974"/>
      <c r="QN44" s="974"/>
      <c r="QO44" s="974"/>
      <c r="QP44" s="974"/>
      <c r="QQ44" s="974"/>
      <c r="QR44" s="974"/>
      <c r="QS44" s="974"/>
      <c r="QT44" s="974"/>
      <c r="QU44" s="974"/>
      <c r="QV44" s="974"/>
      <c r="QW44" s="974"/>
      <c r="QX44" s="974"/>
      <c r="QY44" s="974"/>
      <c r="QZ44" s="974"/>
      <c r="RA44" s="974"/>
      <c r="RB44" s="974"/>
      <c r="RC44" s="974"/>
      <c r="RD44" s="974"/>
      <c r="RE44" s="974"/>
      <c r="RF44" s="974"/>
      <c r="RG44" s="974"/>
      <c r="RH44" s="974"/>
      <c r="RI44" s="974"/>
      <c r="RJ44" s="974"/>
      <c r="RK44" s="974"/>
      <c r="RL44" s="974"/>
      <c r="RM44" s="974"/>
      <c r="RN44" s="974"/>
      <c r="RO44" s="974"/>
      <c r="RP44" s="974"/>
      <c r="RQ44" s="974"/>
      <c r="RR44" s="974"/>
      <c r="RS44" s="974"/>
      <c r="RT44" s="974"/>
      <c r="RU44" s="974"/>
      <c r="RV44" s="974"/>
      <c r="RW44" s="974"/>
      <c r="RX44" s="974"/>
      <c r="RY44" s="974"/>
      <c r="RZ44" s="974"/>
      <c r="SA44" s="974"/>
      <c r="SB44" s="974"/>
      <c r="SC44" s="974"/>
      <c r="SD44" s="974"/>
      <c r="SE44" s="974"/>
      <c r="SF44" s="974"/>
      <c r="SG44" s="974"/>
      <c r="SH44" s="974"/>
      <c r="SI44" s="974"/>
      <c r="SJ44" s="974"/>
      <c r="SK44" s="974"/>
      <c r="SL44" s="974"/>
      <c r="SM44" s="974"/>
      <c r="SN44" s="974"/>
      <c r="SO44" s="974"/>
      <c r="SP44" s="974"/>
      <c r="SQ44" s="974"/>
      <c r="SR44" s="974"/>
    </row>
    <row r="45" spans="1:512" ht="15" customHeight="1">
      <c r="A45"/>
      <c r="B45" t="s">
        <v>2277</v>
      </c>
      <c r="C45"/>
      <c r="D45"/>
      <c r="E45" t="s">
        <v>2122</v>
      </c>
      <c r="F45"/>
      <c r="G45" s="970">
        <v>1500</v>
      </c>
      <c r="H45" s="1012">
        <v>1500</v>
      </c>
      <c r="I45" s="970"/>
      <c r="J45" s="970"/>
      <c r="K45" s="970"/>
      <c r="L45" s="970"/>
      <c r="M45" s="970"/>
      <c r="N45" s="970"/>
      <c r="O45" s="970"/>
      <c r="P45" s="970"/>
      <c r="Q45" s="970"/>
      <c r="R45" s="970"/>
      <c r="S45" s="970"/>
      <c r="T45" s="970"/>
      <c r="U45" s="970"/>
      <c r="V45" s="970"/>
      <c r="W45" s="970"/>
      <c r="X45" s="970"/>
      <c r="Y45" s="970"/>
      <c r="Z45" s="970"/>
      <c r="AA45" s="970"/>
      <c r="AB45" s="970"/>
      <c r="AC45" s="970"/>
      <c r="AD45" s="970"/>
      <c r="AE45" s="970"/>
      <c r="AF45" s="970"/>
      <c r="AG45" s="970"/>
      <c r="AH45" s="970"/>
      <c r="AI45" s="970"/>
      <c r="AJ45" s="970"/>
      <c r="AK45" s="970"/>
      <c r="AL45" s="970"/>
      <c r="AM45" s="970"/>
      <c r="AN45" s="970"/>
      <c r="AO45" s="970"/>
      <c r="AP45" s="970"/>
      <c r="AQ45" s="970"/>
      <c r="AR45" s="970"/>
      <c r="AS45" s="970"/>
      <c r="AT45" s="970"/>
      <c r="AU45" s="970"/>
      <c r="AV45" s="970"/>
      <c r="AW45" s="970"/>
      <c r="AX45" s="970"/>
      <c r="AY45" s="970"/>
      <c r="AZ45" s="970"/>
      <c r="BA45" s="970"/>
      <c r="BB45" s="970"/>
      <c r="BC45" s="970"/>
      <c r="BD45" s="970"/>
      <c r="BE45" s="970"/>
      <c r="BF45" s="970"/>
      <c r="BG45" s="970"/>
      <c r="BH45" s="970"/>
      <c r="BI45" s="970"/>
      <c r="BJ45" s="970"/>
      <c r="BK45" s="970"/>
      <c r="BL45" s="970"/>
      <c r="BM45" s="970"/>
      <c r="BN45" s="970"/>
      <c r="BO45" s="970"/>
      <c r="BP45" s="970"/>
      <c r="BQ45" s="970"/>
      <c r="BR45" s="970"/>
      <c r="BS45" s="970"/>
      <c r="BT45" s="970"/>
      <c r="BU45" s="970"/>
      <c r="BV45" s="970"/>
      <c r="BW45" s="970"/>
      <c r="BX45" s="970"/>
      <c r="BY45" s="970"/>
      <c r="BZ45" s="970"/>
      <c r="CA45" s="970"/>
      <c r="CB45" s="970"/>
      <c r="CC45" s="970"/>
      <c r="CD45" s="970"/>
      <c r="CE45" s="970"/>
      <c r="CF45" s="970"/>
      <c r="CG45" s="970"/>
      <c r="CH45" s="970"/>
      <c r="CI45" s="970"/>
      <c r="CJ45" s="970"/>
      <c r="CK45" s="970"/>
      <c r="CL45" s="970"/>
      <c r="CM45" s="970"/>
      <c r="CN45" s="970"/>
      <c r="CO45" s="970"/>
      <c r="CP45" s="970"/>
      <c r="CQ45" s="970"/>
      <c r="CR45" s="970"/>
      <c r="CS45" s="970"/>
      <c r="CT45" s="970"/>
      <c r="CU45" s="970"/>
      <c r="CV45" s="970"/>
      <c r="CW45" s="970"/>
      <c r="CX45" s="970"/>
      <c r="CY45" s="970"/>
      <c r="CZ45" s="970"/>
      <c r="DA45" s="970"/>
      <c r="DB45" s="970"/>
      <c r="DC45" s="970"/>
      <c r="DD45" s="970"/>
      <c r="DE45" s="970"/>
      <c r="DF45" s="970"/>
      <c r="DG45" s="970"/>
      <c r="DH45" s="970"/>
      <c r="DI45" s="970"/>
      <c r="DJ45" s="970"/>
      <c r="DK45" s="970"/>
      <c r="DL45" s="970"/>
      <c r="DM45" s="970"/>
      <c r="DN45" s="970"/>
      <c r="DO45" s="970"/>
      <c r="DP45" s="970"/>
      <c r="DQ45" s="970"/>
      <c r="DR45" s="970"/>
      <c r="DS45" s="970"/>
      <c r="DT45" s="970"/>
      <c r="DU45" s="970"/>
      <c r="DV45" s="970"/>
      <c r="DW45" s="970"/>
      <c r="DX45" s="970"/>
      <c r="DY45" s="970"/>
      <c r="DZ45" s="970"/>
      <c r="EA45" s="970"/>
      <c r="EB45" s="970"/>
      <c r="EC45" s="970"/>
      <c r="ED45" s="970"/>
      <c r="EE45" s="970"/>
      <c r="EF45" s="970"/>
      <c r="EG45" s="970"/>
      <c r="EH45" s="970"/>
      <c r="EI45" s="970"/>
      <c r="EJ45" s="970"/>
      <c r="EK45" s="970"/>
      <c r="EL45" s="970"/>
      <c r="EM45" s="970"/>
      <c r="EN45" s="970"/>
      <c r="EO45" s="970"/>
      <c r="EP45" s="970"/>
      <c r="EQ45" s="970"/>
      <c r="ER45" s="970"/>
      <c r="ES45" s="970"/>
      <c r="ET45" s="970"/>
      <c r="EU45" s="970"/>
      <c r="EV45" s="970"/>
      <c r="EW45" s="970"/>
      <c r="EX45" s="970"/>
      <c r="EY45" s="970"/>
      <c r="EZ45" s="970"/>
      <c r="FA45" s="970"/>
      <c r="FB45" s="970"/>
      <c r="FC45" s="970"/>
      <c r="FD45" s="970"/>
      <c r="FE45" s="970"/>
      <c r="FF45" s="970"/>
      <c r="FG45" s="970"/>
      <c r="FH45" s="970"/>
      <c r="FI45" s="970"/>
      <c r="FJ45" s="970"/>
      <c r="FK45" s="970"/>
      <c r="FL45" s="970"/>
      <c r="FM45" s="970"/>
      <c r="FN45" s="970"/>
      <c r="FO45" s="970"/>
      <c r="FP45" s="970"/>
      <c r="FQ45" s="970"/>
      <c r="FR45" s="970"/>
      <c r="FS45" s="970"/>
      <c r="FT45" s="970"/>
      <c r="FU45" s="970"/>
      <c r="FV45" s="970"/>
      <c r="FW45" s="970"/>
      <c r="FX45" s="970"/>
      <c r="FY45" s="970"/>
      <c r="FZ45" s="970"/>
      <c r="GA45" s="970"/>
      <c r="GB45" s="970"/>
      <c r="GC45" s="970"/>
      <c r="GD45" s="970"/>
      <c r="GE45" s="970"/>
      <c r="GF45" s="970"/>
      <c r="GG45" s="970"/>
      <c r="GH45" s="970"/>
      <c r="GI45" s="970"/>
      <c r="GJ45" s="970"/>
      <c r="GK45" s="970"/>
      <c r="GL45" s="970"/>
      <c r="GM45" s="970"/>
      <c r="GN45" s="970"/>
      <c r="GO45" s="970"/>
      <c r="GP45" s="970"/>
      <c r="GQ45" s="970"/>
      <c r="GR45" s="970"/>
      <c r="GS45" s="970"/>
      <c r="GT45" s="970"/>
      <c r="GU45" s="970"/>
      <c r="GV45" s="970"/>
      <c r="GW45" s="970"/>
      <c r="GX45" s="970"/>
      <c r="GY45" s="970"/>
      <c r="GZ45" s="970"/>
      <c r="HA45" s="970"/>
      <c r="HB45" s="970"/>
      <c r="HC45" s="970"/>
      <c r="HD45" s="970"/>
      <c r="HE45" s="970"/>
      <c r="HF45" s="970"/>
      <c r="HG45" s="970"/>
      <c r="HH45" s="970"/>
      <c r="HI45" s="970"/>
      <c r="HJ45" s="970"/>
      <c r="HK45" s="970"/>
      <c r="HL45" s="970"/>
      <c r="HM45" s="970"/>
      <c r="HN45" s="970"/>
      <c r="HO45" s="970"/>
      <c r="HP45" s="970"/>
      <c r="HQ45" s="970"/>
      <c r="HR45" s="970"/>
      <c r="HS45" s="970"/>
      <c r="HT45" s="970"/>
      <c r="HU45" s="970"/>
      <c r="HV45" s="970"/>
      <c r="HW45" s="970"/>
      <c r="HX45" s="970"/>
      <c r="HY45" s="970"/>
      <c r="HZ45" s="970"/>
      <c r="IA45" s="970"/>
      <c r="IB45" s="970"/>
      <c r="IC45" s="970"/>
      <c r="ID45" s="970"/>
      <c r="IE45" s="970"/>
      <c r="IF45" s="970"/>
      <c r="IG45" s="970"/>
      <c r="IH45" s="970"/>
      <c r="II45" s="970"/>
      <c r="IJ45" s="970"/>
      <c r="IK45" s="970"/>
      <c r="IL45" s="970"/>
      <c r="IM45" s="970"/>
      <c r="IN45" s="970"/>
      <c r="IO45" s="970"/>
      <c r="IP45" s="970"/>
      <c r="IQ45" s="970"/>
      <c r="IR45" s="970"/>
      <c r="IS45" s="970"/>
      <c r="IT45" s="970"/>
      <c r="IU45" s="970"/>
      <c r="IV45" s="970"/>
      <c r="IW45" s="970"/>
      <c r="IX45" s="970"/>
      <c r="IY45" s="970"/>
      <c r="IZ45" s="970"/>
      <c r="JA45" s="970"/>
      <c r="JB45" s="970"/>
      <c r="JC45" s="970"/>
      <c r="JD45" s="970"/>
      <c r="JE45" s="970"/>
      <c r="JF45" s="970"/>
      <c r="JG45" s="970"/>
      <c r="JH45" s="970"/>
      <c r="JI45" s="970"/>
      <c r="JJ45" s="970"/>
      <c r="JK45" s="970"/>
      <c r="JL45" s="970"/>
      <c r="JM45" s="970"/>
      <c r="JN45" s="970"/>
      <c r="JO45" s="970"/>
      <c r="JP45" s="970"/>
      <c r="JQ45" s="970"/>
      <c r="JR45" s="970"/>
      <c r="JS45" s="970"/>
      <c r="JT45" s="970"/>
      <c r="JU45" s="970"/>
      <c r="JV45" s="970"/>
      <c r="JW45" s="970"/>
      <c r="JX45" s="970"/>
      <c r="JY45" s="970"/>
      <c r="JZ45" s="970"/>
      <c r="KA45" s="970"/>
      <c r="KB45" s="970"/>
      <c r="KC45" s="970"/>
      <c r="KD45" s="970"/>
      <c r="KE45" s="970"/>
      <c r="KF45" s="970"/>
      <c r="KG45" s="970"/>
      <c r="KH45" s="970"/>
      <c r="KI45" s="970"/>
      <c r="KJ45" s="970"/>
      <c r="KK45" s="970"/>
      <c r="KL45" s="970"/>
      <c r="KM45" s="970"/>
      <c r="KN45" s="970"/>
      <c r="KO45" s="970"/>
      <c r="KP45" s="970"/>
      <c r="KQ45" s="970"/>
      <c r="KR45" s="970"/>
      <c r="KS45" s="970"/>
      <c r="KT45" s="970"/>
      <c r="KU45" s="970"/>
      <c r="KV45" s="970"/>
      <c r="KW45" s="970"/>
      <c r="KX45" s="970"/>
      <c r="KY45" s="970"/>
      <c r="KZ45" s="970"/>
      <c r="LA45" s="970"/>
      <c r="LB45" s="970"/>
      <c r="LC45" s="970"/>
      <c r="LD45" s="970"/>
      <c r="LE45" s="970"/>
      <c r="LF45" s="970"/>
      <c r="LG45" s="970"/>
      <c r="LH45" s="970"/>
      <c r="LI45" s="970"/>
      <c r="LJ45" s="970"/>
      <c r="LK45" s="970"/>
      <c r="LL45" s="970"/>
      <c r="LM45" s="970"/>
      <c r="LN45" s="970"/>
      <c r="LO45" s="970"/>
      <c r="LP45" s="970"/>
      <c r="LQ45" s="970"/>
      <c r="LR45" s="970"/>
      <c r="LS45" s="970"/>
      <c r="LT45" s="970"/>
      <c r="LU45" s="970"/>
      <c r="LV45" s="970"/>
      <c r="LW45" s="970"/>
      <c r="LX45" s="970"/>
      <c r="LY45" s="970"/>
      <c r="LZ45" s="970"/>
      <c r="MA45" s="970"/>
      <c r="MB45" s="970"/>
      <c r="MC45" s="970"/>
      <c r="MD45" s="970"/>
      <c r="ME45" s="970"/>
      <c r="MF45" s="970"/>
      <c r="MG45" s="970"/>
      <c r="MH45" s="970"/>
      <c r="MI45" s="970"/>
      <c r="MJ45" s="970"/>
      <c r="MK45" s="970"/>
      <c r="ML45" s="970"/>
      <c r="MM45" s="970"/>
      <c r="MN45" s="970"/>
      <c r="MO45" s="970"/>
      <c r="MP45" s="970"/>
      <c r="MQ45" s="970"/>
      <c r="MR45" s="970"/>
      <c r="MS45" s="970"/>
      <c r="MT45" s="970"/>
      <c r="MU45" s="970"/>
      <c r="MV45" s="970"/>
      <c r="MW45" s="970"/>
      <c r="MX45" s="970"/>
      <c r="MY45" s="970"/>
      <c r="MZ45" s="970"/>
      <c r="NA45" s="970"/>
      <c r="NB45" s="970"/>
      <c r="NC45" s="970"/>
      <c r="ND45" s="970"/>
      <c r="NE45" s="970"/>
      <c r="NF45" s="970"/>
      <c r="NG45" s="970"/>
      <c r="NH45" s="970"/>
      <c r="NI45" s="970"/>
      <c r="NJ45" s="970"/>
      <c r="NK45" s="970"/>
      <c r="NL45" s="970"/>
      <c r="NM45" s="970"/>
      <c r="NN45" s="970"/>
      <c r="NO45" s="970"/>
      <c r="NP45" s="970"/>
      <c r="NQ45" s="970"/>
      <c r="NR45" s="970"/>
      <c r="NS45" s="970"/>
      <c r="NT45" s="970"/>
      <c r="NU45" s="970"/>
      <c r="NV45" s="970"/>
      <c r="NW45" s="970"/>
      <c r="NX45" s="970"/>
      <c r="NY45" s="970"/>
      <c r="NZ45" s="970"/>
      <c r="OA45" s="970"/>
      <c r="OB45" s="970"/>
      <c r="OC45" s="970"/>
      <c r="OD45" s="970"/>
      <c r="OE45" s="970"/>
      <c r="OF45" s="970"/>
      <c r="OG45" s="970"/>
      <c r="OH45" s="970"/>
      <c r="OI45" s="970"/>
      <c r="OJ45" s="970"/>
      <c r="OK45" s="970"/>
      <c r="OL45" s="970"/>
      <c r="OM45" s="970"/>
      <c r="ON45" s="970"/>
      <c r="OO45" s="970"/>
      <c r="OP45" s="970"/>
      <c r="OQ45" s="970"/>
      <c r="OR45" s="970"/>
      <c r="OS45" s="970"/>
      <c r="OT45" s="970"/>
      <c r="OU45" s="970"/>
      <c r="OV45" s="970"/>
      <c r="OW45" s="970"/>
      <c r="OX45" s="970"/>
      <c r="OY45" s="970"/>
      <c r="OZ45" s="970"/>
      <c r="PA45" s="970"/>
      <c r="PB45" s="970"/>
      <c r="PC45" s="970"/>
      <c r="PD45" s="970"/>
      <c r="PE45" s="970"/>
      <c r="PF45" s="970"/>
      <c r="PG45" s="970"/>
      <c r="PH45" s="970"/>
      <c r="PI45" s="970"/>
      <c r="PJ45" s="970"/>
      <c r="PK45" s="970"/>
      <c r="PL45" s="970"/>
      <c r="PM45" s="970"/>
      <c r="PN45" s="970"/>
      <c r="PO45" s="970"/>
      <c r="PP45" s="970"/>
      <c r="PQ45" s="970"/>
      <c r="PR45" s="970"/>
      <c r="PS45" s="970"/>
      <c r="PT45" s="970"/>
      <c r="PU45" s="970"/>
      <c r="PV45" s="970"/>
      <c r="PW45" s="970"/>
      <c r="PX45" s="970"/>
      <c r="PY45" s="970"/>
      <c r="PZ45" s="970"/>
      <c r="QA45" s="970"/>
      <c r="QB45" s="970"/>
      <c r="QC45" s="970"/>
      <c r="QD45" s="970"/>
      <c r="QE45" s="970"/>
      <c r="QF45" s="970"/>
      <c r="QG45" s="970"/>
      <c r="QH45" s="970"/>
      <c r="QI45" s="970"/>
      <c r="QJ45" s="970"/>
      <c r="QK45" s="970"/>
      <c r="QL45" s="970"/>
      <c r="QM45" s="970"/>
      <c r="QN45" s="970"/>
      <c r="QO45" s="970"/>
      <c r="QP45" s="970"/>
      <c r="QQ45" s="970"/>
      <c r="QR45" s="970"/>
      <c r="QS45" s="970"/>
      <c r="QT45" s="970"/>
      <c r="QU45" s="970"/>
      <c r="QV45" s="970"/>
      <c r="QW45" s="970"/>
      <c r="QX45" s="970"/>
      <c r="QY45" s="970"/>
      <c r="QZ45" s="970"/>
      <c r="RA45" s="970"/>
      <c r="RB45" s="970"/>
      <c r="RC45" s="970"/>
      <c r="RD45" s="970"/>
      <c r="RE45" s="970"/>
      <c r="RF45" s="970"/>
      <c r="RG45" s="970"/>
      <c r="RH45" s="970"/>
      <c r="RI45" s="970"/>
      <c r="RJ45" s="970"/>
      <c r="RK45" s="970"/>
      <c r="RL45" s="970"/>
      <c r="RM45" s="970"/>
      <c r="RN45" s="970"/>
      <c r="RO45" s="970"/>
      <c r="RP45" s="970"/>
      <c r="RQ45" s="970"/>
      <c r="RR45" s="970"/>
      <c r="RS45" s="970"/>
      <c r="RT45" s="970"/>
      <c r="RU45" s="970"/>
      <c r="RV45" s="970"/>
      <c r="RW45" s="970"/>
      <c r="RX45" s="970"/>
      <c r="RY45" s="970"/>
      <c r="RZ45" s="970"/>
      <c r="SA45" s="970"/>
      <c r="SB45" s="970"/>
      <c r="SC45" s="970"/>
      <c r="SD45" s="970"/>
      <c r="SE45" s="970"/>
      <c r="SF45" s="970"/>
      <c r="SG45" s="970"/>
      <c r="SH45" s="970"/>
      <c r="SI45" s="970"/>
      <c r="SJ45" s="970"/>
      <c r="SK45" s="970"/>
      <c r="SL45" s="970"/>
      <c r="SM45" s="970"/>
      <c r="SN45" s="970"/>
      <c r="SO45" s="970"/>
      <c r="SP45" s="970"/>
      <c r="SQ45" s="970"/>
      <c r="SR45" s="970"/>
    </row>
    <row r="46" spans="1:512" ht="15" customHeight="1">
      <c r="A46"/>
      <c r="B46" t="s">
        <v>2276</v>
      </c>
      <c r="C46"/>
      <c r="D46"/>
      <c r="E46" t="s">
        <v>876</v>
      </c>
      <c r="F46"/>
      <c r="G46" s="970">
        <v>1362</v>
      </c>
      <c r="H46" s="970">
        <v>1000</v>
      </c>
      <c r="I46" s="970"/>
      <c r="J46" s="970"/>
      <c r="K46" s="970"/>
      <c r="L46" s="970"/>
      <c r="M46" s="970"/>
      <c r="N46" s="970"/>
      <c r="O46" s="970"/>
      <c r="P46" s="970"/>
      <c r="Q46" s="970"/>
      <c r="R46" s="970"/>
      <c r="S46" s="970"/>
      <c r="T46" s="970"/>
      <c r="U46" s="970"/>
      <c r="V46" s="970"/>
      <c r="W46" s="970"/>
      <c r="X46" s="970"/>
      <c r="Y46" s="970"/>
      <c r="Z46" s="970"/>
      <c r="AA46" s="970"/>
      <c r="AB46" s="970"/>
      <c r="AC46" s="970"/>
      <c r="AD46" s="970"/>
      <c r="AE46" s="970"/>
      <c r="AF46" s="970"/>
      <c r="AG46" s="970"/>
      <c r="AH46" s="970"/>
      <c r="AI46" s="970"/>
      <c r="AJ46" s="970"/>
      <c r="AK46" s="970"/>
      <c r="AL46" s="970"/>
      <c r="AM46" s="970"/>
      <c r="AN46" s="970"/>
      <c r="AO46" s="970"/>
      <c r="AP46" s="970"/>
      <c r="AQ46" s="970"/>
      <c r="AR46" s="970"/>
      <c r="AS46" s="970"/>
      <c r="AT46" s="970"/>
      <c r="AU46" s="970"/>
      <c r="AV46" s="970"/>
      <c r="AW46" s="970"/>
      <c r="AX46" s="970"/>
      <c r="AY46" s="970"/>
      <c r="AZ46" s="970"/>
      <c r="BA46" s="970"/>
      <c r="BB46" s="970"/>
      <c r="BC46" s="970"/>
      <c r="BD46" s="970"/>
      <c r="BE46" s="970"/>
      <c r="BF46" s="970"/>
      <c r="BG46" s="970"/>
      <c r="BH46" s="970"/>
      <c r="BI46" s="970"/>
      <c r="BJ46" s="970"/>
      <c r="BK46" s="970"/>
      <c r="BL46" s="970"/>
      <c r="BM46" s="970"/>
      <c r="BN46" s="970"/>
      <c r="BO46" s="970"/>
      <c r="BP46" s="970"/>
      <c r="BQ46" s="970"/>
      <c r="BR46" s="970"/>
      <c r="BS46" s="970"/>
      <c r="BT46" s="970"/>
      <c r="BU46" s="970"/>
      <c r="BV46" s="970"/>
      <c r="BW46" s="970"/>
      <c r="BX46" s="970"/>
      <c r="BY46" s="970"/>
      <c r="BZ46" s="970"/>
      <c r="CA46" s="970"/>
      <c r="CB46" s="970"/>
      <c r="CC46" s="970"/>
      <c r="CD46" s="970"/>
      <c r="CE46" s="970"/>
      <c r="CF46" s="970"/>
      <c r="CG46" s="970"/>
      <c r="CH46" s="970"/>
      <c r="CI46" s="970"/>
      <c r="CJ46" s="970"/>
      <c r="CK46" s="970"/>
      <c r="CL46" s="970"/>
      <c r="CM46" s="970"/>
      <c r="CN46" s="970"/>
      <c r="CO46" s="970"/>
      <c r="CP46" s="970"/>
      <c r="CQ46" s="970"/>
      <c r="CR46" s="970"/>
      <c r="CS46" s="970"/>
      <c r="CT46" s="970"/>
      <c r="CU46" s="970"/>
      <c r="CV46" s="970"/>
      <c r="CW46" s="970"/>
      <c r="CX46" s="970"/>
      <c r="CY46" s="970"/>
      <c r="CZ46" s="970"/>
      <c r="DA46" s="970"/>
      <c r="DB46" s="970"/>
      <c r="DC46" s="970"/>
      <c r="DD46" s="970"/>
      <c r="DE46" s="970"/>
      <c r="DF46" s="970"/>
      <c r="DG46" s="970"/>
      <c r="DH46" s="970"/>
      <c r="DI46" s="970"/>
      <c r="DJ46" s="970"/>
      <c r="DK46" s="970"/>
      <c r="DL46" s="970"/>
      <c r="DM46" s="970"/>
      <c r="DN46" s="970"/>
      <c r="DO46" s="970"/>
      <c r="DP46" s="970"/>
      <c r="DQ46" s="970"/>
      <c r="DR46" s="970"/>
      <c r="DS46" s="970"/>
      <c r="DT46" s="970"/>
      <c r="DU46" s="970"/>
      <c r="DV46" s="970"/>
      <c r="DW46" s="970"/>
      <c r="DX46" s="970"/>
      <c r="DY46" s="970"/>
      <c r="DZ46" s="970"/>
      <c r="EA46" s="970"/>
      <c r="EB46" s="970"/>
      <c r="EC46" s="970"/>
      <c r="ED46" s="970"/>
      <c r="EE46" s="970"/>
      <c r="EF46" s="970"/>
      <c r="EG46" s="970"/>
      <c r="EH46" s="970"/>
      <c r="EI46" s="970"/>
      <c r="EJ46" s="970"/>
      <c r="EK46" s="970"/>
      <c r="EL46" s="970"/>
      <c r="EM46" s="970"/>
      <c r="EN46" s="970"/>
      <c r="EO46" s="970"/>
      <c r="EP46" s="970"/>
      <c r="EQ46" s="970"/>
      <c r="ER46" s="970"/>
      <c r="ES46" s="970"/>
      <c r="ET46" s="970"/>
      <c r="EU46" s="970"/>
      <c r="EV46" s="970"/>
      <c r="EW46" s="970"/>
      <c r="EX46" s="970"/>
      <c r="EY46" s="970"/>
      <c r="EZ46" s="970"/>
      <c r="FA46" s="970"/>
      <c r="FB46" s="970"/>
      <c r="FC46" s="970"/>
      <c r="FD46" s="970"/>
      <c r="FE46" s="970"/>
      <c r="FF46" s="970"/>
      <c r="FG46" s="970"/>
      <c r="FH46" s="970"/>
      <c r="FI46" s="970"/>
      <c r="FJ46" s="970"/>
      <c r="FK46" s="970"/>
      <c r="FL46" s="970"/>
      <c r="FM46" s="970"/>
      <c r="FN46" s="970"/>
      <c r="FO46" s="970"/>
      <c r="FP46" s="970"/>
      <c r="FQ46" s="970"/>
      <c r="FR46" s="970"/>
      <c r="FS46" s="970"/>
      <c r="FT46" s="970"/>
      <c r="FU46" s="970"/>
      <c r="FV46" s="970"/>
      <c r="FW46" s="970"/>
      <c r="FX46" s="970"/>
      <c r="FY46" s="970"/>
      <c r="FZ46" s="970"/>
      <c r="GA46" s="970"/>
      <c r="GB46" s="970"/>
      <c r="GC46" s="970"/>
      <c r="GD46" s="970"/>
      <c r="GE46" s="970"/>
      <c r="GF46" s="970"/>
      <c r="GG46" s="970"/>
      <c r="GH46" s="970"/>
      <c r="GI46" s="970"/>
      <c r="GJ46" s="970"/>
      <c r="GK46" s="970"/>
      <c r="GL46" s="970"/>
      <c r="GM46" s="970"/>
      <c r="GN46" s="970"/>
      <c r="GO46" s="970"/>
      <c r="GP46" s="970"/>
      <c r="GQ46" s="970"/>
      <c r="GR46" s="970"/>
      <c r="GS46" s="970"/>
      <c r="GT46" s="970"/>
      <c r="GU46" s="970"/>
      <c r="GV46" s="970"/>
      <c r="GW46" s="970"/>
      <c r="GX46" s="970"/>
      <c r="GY46" s="970"/>
      <c r="GZ46" s="970"/>
      <c r="HA46" s="970"/>
      <c r="HB46" s="970"/>
      <c r="HC46" s="970"/>
      <c r="HD46" s="970"/>
      <c r="HE46" s="970"/>
      <c r="HF46" s="970"/>
      <c r="HG46" s="970"/>
      <c r="HH46" s="970"/>
      <c r="HI46" s="970"/>
      <c r="HJ46" s="970"/>
      <c r="HK46" s="970"/>
      <c r="HL46" s="970"/>
      <c r="HM46" s="970"/>
      <c r="HN46" s="970"/>
      <c r="HO46" s="970"/>
      <c r="HP46" s="970"/>
      <c r="HQ46" s="970"/>
      <c r="HR46" s="970"/>
      <c r="HS46" s="970"/>
      <c r="HT46" s="970"/>
      <c r="HU46" s="970"/>
      <c r="HV46" s="970"/>
      <c r="HW46" s="970"/>
      <c r="HX46" s="970"/>
      <c r="HY46" s="970"/>
      <c r="HZ46" s="970"/>
      <c r="IA46" s="970"/>
      <c r="IB46" s="970"/>
      <c r="IC46" s="970"/>
      <c r="ID46" s="970"/>
      <c r="IE46" s="970"/>
      <c r="IF46" s="970"/>
      <c r="IG46" s="970"/>
      <c r="IH46" s="970"/>
      <c r="II46" s="970"/>
      <c r="IJ46" s="970"/>
      <c r="IK46" s="970"/>
      <c r="IL46" s="970"/>
      <c r="IM46" s="970"/>
      <c r="IN46" s="970"/>
      <c r="IO46" s="970"/>
      <c r="IP46" s="970"/>
      <c r="IQ46" s="970"/>
      <c r="IR46" s="970"/>
      <c r="IS46" s="970"/>
      <c r="IT46" s="970"/>
      <c r="IU46" s="970"/>
      <c r="IV46" s="970"/>
      <c r="IW46" s="970"/>
      <c r="IX46" s="970"/>
      <c r="IY46" s="970"/>
      <c r="IZ46" s="970"/>
      <c r="JA46" s="970"/>
      <c r="JB46" s="970"/>
      <c r="JC46" s="970"/>
      <c r="JD46" s="970"/>
      <c r="JE46" s="970"/>
      <c r="JF46" s="970"/>
      <c r="JG46" s="970"/>
      <c r="JH46" s="970"/>
      <c r="JI46" s="970"/>
      <c r="JJ46" s="970"/>
      <c r="JK46" s="970"/>
      <c r="JL46" s="970"/>
      <c r="JM46" s="970"/>
      <c r="JN46" s="970"/>
      <c r="JO46" s="970"/>
      <c r="JP46" s="970"/>
      <c r="JQ46" s="970"/>
      <c r="JR46" s="970"/>
      <c r="JS46" s="970"/>
      <c r="JT46" s="970"/>
      <c r="JU46" s="970"/>
      <c r="JV46" s="970"/>
      <c r="JW46" s="970"/>
      <c r="JX46" s="970"/>
      <c r="JY46" s="970"/>
      <c r="JZ46" s="970"/>
      <c r="KA46" s="970"/>
      <c r="KB46" s="970"/>
      <c r="KC46" s="970"/>
      <c r="KD46" s="970"/>
      <c r="KE46" s="970"/>
      <c r="KF46" s="970"/>
      <c r="KG46" s="970"/>
      <c r="KH46" s="970"/>
      <c r="KI46" s="970"/>
      <c r="KJ46" s="970"/>
      <c r="KK46" s="970"/>
      <c r="KL46" s="970"/>
      <c r="KM46" s="970"/>
      <c r="KN46" s="970"/>
      <c r="KO46" s="970"/>
      <c r="KP46" s="970"/>
      <c r="KQ46" s="970"/>
      <c r="KR46" s="970"/>
      <c r="KS46" s="970"/>
      <c r="KT46" s="970"/>
      <c r="KU46" s="970"/>
      <c r="KV46" s="970"/>
      <c r="KW46" s="970"/>
      <c r="KX46" s="970"/>
      <c r="KY46" s="970"/>
      <c r="KZ46" s="970"/>
      <c r="LA46" s="970"/>
      <c r="LB46" s="970"/>
      <c r="LC46" s="970"/>
      <c r="LD46" s="970"/>
      <c r="LE46" s="970"/>
      <c r="LF46" s="970"/>
      <c r="LG46" s="970"/>
      <c r="LH46" s="970"/>
      <c r="LI46" s="970"/>
      <c r="LJ46" s="970"/>
      <c r="LK46" s="970"/>
      <c r="LL46" s="970"/>
      <c r="LM46" s="970"/>
      <c r="LN46" s="970"/>
      <c r="LO46" s="970"/>
      <c r="LP46" s="970"/>
      <c r="LQ46" s="970"/>
      <c r="LR46" s="970"/>
      <c r="LS46" s="970"/>
      <c r="LT46" s="970"/>
      <c r="LU46" s="970"/>
      <c r="LV46" s="970"/>
      <c r="LW46" s="970"/>
      <c r="LX46" s="970"/>
      <c r="LY46" s="970"/>
      <c r="LZ46" s="970"/>
      <c r="MA46" s="970"/>
      <c r="MB46" s="970"/>
      <c r="MC46" s="970"/>
      <c r="MD46" s="970"/>
      <c r="ME46" s="970"/>
      <c r="MF46" s="970"/>
      <c r="MG46" s="970"/>
      <c r="MH46" s="970"/>
      <c r="MI46" s="970"/>
      <c r="MJ46" s="970"/>
      <c r="MK46" s="970"/>
      <c r="ML46" s="970"/>
      <c r="MM46" s="970"/>
      <c r="MN46" s="970"/>
      <c r="MO46" s="970"/>
      <c r="MP46" s="970"/>
      <c r="MQ46" s="970"/>
      <c r="MR46" s="970"/>
      <c r="MS46" s="970"/>
      <c r="MT46" s="970"/>
      <c r="MU46" s="970"/>
      <c r="MV46" s="970"/>
      <c r="MW46" s="970"/>
      <c r="MX46" s="970"/>
      <c r="MY46" s="970"/>
      <c r="MZ46" s="970"/>
      <c r="NA46" s="970"/>
      <c r="NB46" s="970"/>
      <c r="NC46" s="970"/>
      <c r="ND46" s="970"/>
      <c r="NE46" s="970"/>
      <c r="NF46" s="970"/>
      <c r="NG46" s="970"/>
      <c r="NH46" s="970"/>
      <c r="NI46" s="970"/>
      <c r="NJ46" s="970"/>
      <c r="NK46" s="970"/>
      <c r="NL46" s="970"/>
      <c r="NM46" s="970"/>
      <c r="NN46" s="970"/>
      <c r="NO46" s="970"/>
      <c r="NP46" s="970"/>
      <c r="NQ46" s="970"/>
      <c r="NR46" s="970"/>
      <c r="NS46" s="970"/>
      <c r="NT46" s="970"/>
      <c r="NU46" s="970"/>
      <c r="NV46" s="970"/>
      <c r="NW46" s="970"/>
      <c r="NX46" s="970"/>
      <c r="NY46" s="970"/>
      <c r="NZ46" s="970"/>
      <c r="OA46" s="970"/>
      <c r="OB46" s="970"/>
      <c r="OC46" s="970"/>
      <c r="OD46" s="970"/>
      <c r="OE46" s="970"/>
      <c r="OF46" s="970"/>
      <c r="OG46" s="970"/>
      <c r="OH46" s="970"/>
      <c r="OI46" s="970"/>
      <c r="OJ46" s="970"/>
      <c r="OK46" s="970"/>
      <c r="OL46" s="970"/>
      <c r="OM46" s="970"/>
      <c r="ON46" s="970"/>
      <c r="OO46" s="970"/>
      <c r="OP46" s="970"/>
      <c r="OQ46" s="970"/>
      <c r="OR46" s="970"/>
      <c r="OS46" s="970"/>
      <c r="OT46" s="970"/>
      <c r="OU46" s="970"/>
      <c r="OV46" s="970"/>
      <c r="OW46" s="970"/>
      <c r="OX46" s="970"/>
      <c r="OY46" s="970"/>
      <c r="OZ46" s="970"/>
      <c r="PA46" s="970"/>
      <c r="PB46" s="970"/>
      <c r="PC46" s="970"/>
      <c r="PD46" s="970"/>
      <c r="PE46" s="970"/>
      <c r="PF46" s="970"/>
      <c r="PG46" s="970"/>
      <c r="PH46" s="970"/>
      <c r="PI46" s="970"/>
      <c r="PJ46" s="970"/>
      <c r="PK46" s="970"/>
      <c r="PL46" s="970"/>
      <c r="PM46" s="970"/>
      <c r="PN46" s="970"/>
      <c r="PO46" s="970"/>
      <c r="PP46" s="970"/>
      <c r="PQ46" s="970"/>
      <c r="PR46" s="970"/>
      <c r="PS46" s="970"/>
      <c r="PT46" s="970"/>
      <c r="PU46" s="970"/>
      <c r="PV46" s="970"/>
      <c r="PW46" s="970"/>
      <c r="PX46" s="970"/>
      <c r="PY46" s="970"/>
      <c r="PZ46" s="970"/>
      <c r="QA46" s="970"/>
      <c r="QB46" s="970"/>
      <c r="QC46" s="970"/>
      <c r="QD46" s="970"/>
      <c r="QE46" s="970"/>
      <c r="QF46" s="970"/>
      <c r="QG46" s="970"/>
      <c r="QH46" s="970"/>
      <c r="QI46" s="970"/>
      <c r="QJ46" s="970"/>
      <c r="QK46" s="970"/>
      <c r="QL46" s="970"/>
      <c r="QM46" s="970"/>
      <c r="QN46" s="970"/>
      <c r="QO46" s="970"/>
      <c r="QP46" s="970"/>
      <c r="QQ46" s="970"/>
      <c r="QR46" s="970"/>
      <c r="QS46" s="970"/>
      <c r="QT46" s="970"/>
      <c r="QU46" s="970"/>
      <c r="QV46" s="970"/>
      <c r="QW46" s="970"/>
      <c r="QX46" s="970"/>
      <c r="QY46" s="970"/>
      <c r="QZ46" s="970"/>
      <c r="RA46" s="970"/>
      <c r="RB46" s="970"/>
      <c r="RC46" s="970"/>
      <c r="RD46" s="970"/>
      <c r="RE46" s="970"/>
      <c r="RF46" s="970"/>
      <c r="RG46" s="970"/>
      <c r="RH46" s="970"/>
      <c r="RI46" s="970"/>
      <c r="RJ46" s="970"/>
      <c r="RK46" s="970"/>
      <c r="RL46" s="970"/>
      <c r="RM46" s="970"/>
      <c r="RN46" s="970"/>
      <c r="RO46" s="970"/>
      <c r="RP46" s="970"/>
      <c r="RQ46" s="970"/>
      <c r="RR46" s="970"/>
      <c r="RS46" s="970"/>
      <c r="RT46" s="970"/>
      <c r="RU46" s="970"/>
      <c r="RV46" s="970"/>
      <c r="RW46" s="970"/>
      <c r="RX46" s="970"/>
      <c r="RY46" s="970"/>
      <c r="RZ46" s="970"/>
      <c r="SA46" s="970"/>
      <c r="SB46" s="970"/>
      <c r="SC46" s="970"/>
      <c r="SD46" s="970"/>
      <c r="SE46" s="970"/>
      <c r="SF46" s="970"/>
      <c r="SG46" s="970"/>
      <c r="SH46" s="970"/>
      <c r="SI46" s="970"/>
      <c r="SJ46" s="970"/>
      <c r="SK46" s="970"/>
      <c r="SL46" s="970"/>
      <c r="SM46" s="970"/>
      <c r="SN46" s="970"/>
      <c r="SO46" s="970"/>
      <c r="SP46" s="970"/>
      <c r="SQ46" s="970"/>
      <c r="SR46" s="970"/>
    </row>
    <row r="47" spans="1:512" s="850" customFormat="1" ht="15" customHeight="1">
      <c r="A47"/>
      <c r="B47" t="s">
        <v>2215</v>
      </c>
      <c r="C47"/>
      <c r="D47"/>
      <c r="E47" t="s">
        <v>871</v>
      </c>
      <c r="F47"/>
      <c r="G47" s="974">
        <v>3</v>
      </c>
      <c r="H47" s="1013">
        <v>3</v>
      </c>
      <c r="I47" s="974"/>
      <c r="J47" s="974"/>
      <c r="K47" s="974"/>
      <c r="L47" s="974"/>
      <c r="M47" s="974"/>
      <c r="N47" s="974"/>
      <c r="O47" s="974"/>
      <c r="P47" s="974"/>
      <c r="Q47" s="974"/>
      <c r="R47" s="974"/>
      <c r="S47" s="974"/>
      <c r="T47" s="974"/>
      <c r="U47" s="974"/>
      <c r="V47" s="974"/>
      <c r="W47" s="974"/>
      <c r="X47" s="974"/>
      <c r="Y47" s="974"/>
      <c r="Z47" s="974"/>
      <c r="AA47" s="974"/>
      <c r="AB47" s="974"/>
      <c r="AC47" s="974"/>
      <c r="AD47" s="974"/>
      <c r="AE47" s="974"/>
      <c r="AF47" s="974"/>
      <c r="AG47" s="974"/>
      <c r="AH47" s="974"/>
      <c r="AI47" s="974"/>
      <c r="AJ47" s="974"/>
      <c r="AK47" s="974"/>
      <c r="AL47" s="974"/>
      <c r="AM47" s="974"/>
      <c r="AN47" s="974"/>
      <c r="AO47" s="974"/>
      <c r="AP47" s="974"/>
      <c r="AQ47" s="974"/>
      <c r="AR47" s="974"/>
      <c r="AS47" s="974"/>
      <c r="AT47" s="974"/>
      <c r="AU47" s="974"/>
      <c r="AV47" s="974"/>
      <c r="AW47" s="974"/>
      <c r="AX47" s="974"/>
      <c r="AY47" s="974"/>
      <c r="AZ47" s="974"/>
      <c r="BA47" s="974"/>
      <c r="BB47" s="974"/>
      <c r="BC47" s="974"/>
      <c r="BD47" s="974"/>
      <c r="BE47" s="974"/>
      <c r="BF47" s="974"/>
      <c r="BG47" s="974"/>
      <c r="BH47" s="974"/>
      <c r="BI47" s="974"/>
      <c r="BJ47" s="974"/>
      <c r="BK47" s="974"/>
      <c r="BL47" s="974"/>
      <c r="BM47" s="974"/>
      <c r="BN47" s="974"/>
      <c r="BO47" s="974"/>
      <c r="BP47" s="974"/>
      <c r="BQ47" s="974"/>
      <c r="BR47" s="974"/>
      <c r="BS47" s="974"/>
      <c r="BT47" s="974"/>
      <c r="BU47" s="974"/>
      <c r="BV47" s="974"/>
      <c r="BW47" s="974"/>
      <c r="BX47" s="974"/>
      <c r="BY47" s="974"/>
      <c r="BZ47" s="974"/>
      <c r="CA47" s="974"/>
      <c r="CB47" s="974"/>
      <c r="CC47" s="974"/>
      <c r="CD47" s="974"/>
      <c r="CE47" s="974"/>
      <c r="CF47" s="974"/>
      <c r="CG47" s="974"/>
      <c r="CH47" s="974"/>
      <c r="CI47" s="974"/>
      <c r="CJ47" s="974"/>
      <c r="CK47" s="974"/>
      <c r="CL47" s="974"/>
      <c r="CM47" s="974"/>
      <c r="CN47" s="974"/>
      <c r="CO47" s="974"/>
      <c r="CP47" s="974"/>
      <c r="CQ47" s="974"/>
      <c r="CR47" s="974"/>
      <c r="CS47" s="974"/>
      <c r="CT47" s="974"/>
      <c r="CU47" s="974"/>
      <c r="CV47" s="974"/>
      <c r="CW47" s="974"/>
      <c r="CX47" s="974"/>
      <c r="CY47" s="974"/>
      <c r="CZ47" s="974"/>
      <c r="DA47" s="974"/>
      <c r="DB47" s="974"/>
      <c r="DC47" s="974"/>
      <c r="DD47" s="974"/>
      <c r="DE47" s="974"/>
      <c r="DF47" s="974"/>
      <c r="DG47" s="974"/>
      <c r="DH47" s="974"/>
      <c r="DI47" s="974"/>
      <c r="DJ47" s="974"/>
      <c r="DK47" s="974"/>
      <c r="DL47" s="974"/>
      <c r="DM47" s="974"/>
      <c r="DN47" s="974"/>
      <c r="DO47" s="974"/>
      <c r="DP47" s="974"/>
      <c r="DQ47" s="974"/>
      <c r="DR47" s="974"/>
      <c r="DS47" s="974"/>
      <c r="DT47" s="974"/>
      <c r="DU47" s="974"/>
      <c r="DV47" s="974"/>
      <c r="DW47" s="974"/>
      <c r="DX47" s="974"/>
      <c r="DY47" s="974"/>
      <c r="DZ47" s="974"/>
      <c r="EA47" s="974"/>
      <c r="EB47" s="974"/>
      <c r="EC47" s="974"/>
      <c r="ED47" s="974"/>
      <c r="EE47" s="974"/>
      <c r="EF47" s="974"/>
      <c r="EG47" s="974"/>
      <c r="EH47" s="974"/>
      <c r="EI47" s="974"/>
      <c r="EJ47" s="974"/>
      <c r="EK47" s="974"/>
      <c r="EL47" s="974"/>
      <c r="EM47" s="974"/>
      <c r="EN47" s="974"/>
      <c r="EO47" s="974"/>
      <c r="EP47" s="974"/>
      <c r="EQ47" s="974"/>
      <c r="ER47" s="974"/>
      <c r="ES47" s="974"/>
      <c r="ET47" s="974"/>
      <c r="EU47" s="974"/>
      <c r="EV47" s="974"/>
      <c r="EW47" s="974"/>
      <c r="EX47" s="974"/>
      <c r="EY47" s="974"/>
      <c r="EZ47" s="974"/>
      <c r="FA47" s="974"/>
      <c r="FB47" s="974"/>
      <c r="FC47" s="974"/>
      <c r="FD47" s="974"/>
      <c r="FE47" s="974"/>
      <c r="FF47" s="974"/>
      <c r="FG47" s="974"/>
      <c r="FH47" s="974"/>
      <c r="FI47" s="974"/>
      <c r="FJ47" s="974"/>
      <c r="FK47" s="974"/>
      <c r="FL47" s="974"/>
      <c r="FM47" s="974"/>
      <c r="FN47" s="974"/>
      <c r="FO47" s="974"/>
      <c r="FP47" s="974"/>
      <c r="FQ47" s="974"/>
      <c r="FR47" s="974"/>
      <c r="FS47" s="974"/>
      <c r="FT47" s="974"/>
      <c r="FU47" s="974"/>
      <c r="FV47" s="974"/>
      <c r="FW47" s="974"/>
      <c r="FX47" s="974"/>
      <c r="FY47" s="974"/>
      <c r="FZ47" s="974"/>
      <c r="GA47" s="974"/>
      <c r="GB47" s="974"/>
      <c r="GC47" s="974"/>
      <c r="GD47" s="974"/>
      <c r="GE47" s="974"/>
      <c r="GF47" s="974"/>
      <c r="GG47" s="974"/>
      <c r="GH47" s="974"/>
      <c r="GI47" s="974"/>
      <c r="GJ47" s="974"/>
      <c r="GK47" s="974"/>
      <c r="GL47" s="974"/>
      <c r="GM47" s="974"/>
      <c r="GN47" s="974"/>
      <c r="GO47" s="974"/>
      <c r="GP47" s="974"/>
      <c r="GQ47" s="974"/>
      <c r="GR47" s="974"/>
      <c r="GS47" s="974"/>
      <c r="GT47" s="974"/>
      <c r="GU47" s="974"/>
      <c r="GV47" s="974"/>
      <c r="GW47" s="974"/>
      <c r="GX47" s="974"/>
      <c r="GY47" s="974"/>
      <c r="GZ47" s="974"/>
      <c r="HA47" s="974"/>
      <c r="HB47" s="974"/>
      <c r="HC47" s="974"/>
      <c r="HD47" s="974"/>
      <c r="HE47" s="974"/>
      <c r="HF47" s="974"/>
      <c r="HG47" s="974"/>
      <c r="HH47" s="974"/>
      <c r="HI47" s="974"/>
      <c r="HJ47" s="974"/>
      <c r="HK47" s="974"/>
      <c r="HL47" s="974"/>
      <c r="HM47" s="974"/>
      <c r="HN47" s="974"/>
      <c r="HO47" s="974"/>
      <c r="HP47" s="974"/>
      <c r="HQ47" s="974"/>
      <c r="HR47" s="974"/>
      <c r="HS47" s="974"/>
      <c r="HT47" s="974"/>
      <c r="HU47" s="974"/>
      <c r="HV47" s="974"/>
      <c r="HW47" s="974"/>
      <c r="HX47" s="974"/>
      <c r="HY47" s="974"/>
      <c r="HZ47" s="974"/>
      <c r="IA47" s="974"/>
      <c r="IB47" s="974"/>
      <c r="IC47" s="974"/>
      <c r="ID47" s="974"/>
      <c r="IE47" s="974"/>
      <c r="IF47" s="974"/>
      <c r="IG47" s="974"/>
      <c r="IH47" s="974"/>
      <c r="II47" s="974"/>
      <c r="IJ47" s="974"/>
      <c r="IK47" s="974"/>
      <c r="IL47" s="974"/>
      <c r="IM47" s="974"/>
      <c r="IN47" s="974"/>
      <c r="IO47" s="974"/>
      <c r="IP47" s="974"/>
      <c r="IQ47" s="974"/>
      <c r="IR47" s="974"/>
      <c r="IS47" s="974"/>
      <c r="IT47" s="974"/>
      <c r="IU47" s="974"/>
      <c r="IV47" s="974"/>
      <c r="IW47" s="974"/>
      <c r="IX47" s="974"/>
      <c r="IY47" s="974"/>
      <c r="IZ47" s="974"/>
      <c r="JA47" s="974"/>
      <c r="JB47" s="974"/>
      <c r="JC47" s="974"/>
      <c r="JD47" s="974"/>
      <c r="JE47" s="974"/>
      <c r="JF47" s="974"/>
      <c r="JG47" s="974"/>
      <c r="JH47" s="974"/>
      <c r="JI47" s="974"/>
      <c r="JJ47" s="974"/>
      <c r="JK47" s="974"/>
      <c r="JL47" s="974"/>
      <c r="JM47" s="974"/>
      <c r="JN47" s="974"/>
      <c r="JO47" s="974"/>
      <c r="JP47" s="974"/>
      <c r="JQ47" s="974"/>
      <c r="JR47" s="974"/>
      <c r="JS47" s="974"/>
      <c r="JT47" s="974"/>
      <c r="JU47" s="974"/>
      <c r="JV47" s="974"/>
      <c r="JW47" s="974"/>
      <c r="JX47" s="974"/>
      <c r="JY47" s="974"/>
      <c r="JZ47" s="974"/>
      <c r="KA47" s="974"/>
      <c r="KB47" s="974"/>
      <c r="KC47" s="974"/>
      <c r="KD47" s="974"/>
      <c r="KE47" s="974"/>
      <c r="KF47" s="974"/>
      <c r="KG47" s="974"/>
      <c r="KH47" s="974"/>
      <c r="KI47" s="974"/>
      <c r="KJ47" s="974"/>
      <c r="KK47" s="974"/>
      <c r="KL47" s="974"/>
      <c r="KM47" s="974"/>
      <c r="KN47" s="974"/>
      <c r="KO47" s="974"/>
      <c r="KP47" s="974"/>
      <c r="KQ47" s="974"/>
      <c r="KR47" s="974"/>
      <c r="KS47" s="974"/>
      <c r="KT47" s="974"/>
      <c r="KU47" s="974"/>
      <c r="KV47" s="974"/>
      <c r="KW47" s="974"/>
      <c r="KX47" s="974"/>
      <c r="KY47" s="974"/>
      <c r="KZ47" s="974"/>
      <c r="LA47" s="974"/>
      <c r="LB47" s="974"/>
      <c r="LC47" s="974"/>
      <c r="LD47" s="974"/>
      <c r="LE47" s="974"/>
      <c r="LF47" s="974"/>
      <c r="LG47" s="974"/>
      <c r="LH47" s="974"/>
      <c r="LI47" s="974"/>
      <c r="LJ47" s="974"/>
      <c r="LK47" s="974"/>
      <c r="LL47" s="974"/>
      <c r="LM47" s="974"/>
      <c r="LN47" s="974"/>
      <c r="LO47" s="974"/>
      <c r="LP47" s="974"/>
      <c r="LQ47" s="974"/>
      <c r="LR47" s="974"/>
      <c r="LS47" s="974"/>
      <c r="LT47" s="974"/>
      <c r="LU47" s="974"/>
      <c r="LV47" s="974"/>
      <c r="LW47" s="974"/>
      <c r="LX47" s="974"/>
      <c r="LY47" s="974"/>
      <c r="LZ47" s="974"/>
      <c r="MA47" s="974"/>
      <c r="MB47" s="974"/>
      <c r="MC47" s="974"/>
      <c r="MD47" s="974"/>
      <c r="ME47" s="974"/>
      <c r="MF47" s="974"/>
      <c r="MG47" s="974"/>
      <c r="MH47" s="974"/>
      <c r="MI47" s="974"/>
      <c r="MJ47" s="974"/>
      <c r="MK47" s="974"/>
      <c r="ML47" s="974"/>
      <c r="MM47" s="974"/>
      <c r="MN47" s="974"/>
      <c r="MO47" s="974"/>
      <c r="MP47" s="974"/>
      <c r="MQ47" s="974"/>
      <c r="MR47" s="974"/>
      <c r="MS47" s="974"/>
      <c r="MT47" s="974"/>
      <c r="MU47" s="974"/>
      <c r="MV47" s="974"/>
      <c r="MW47" s="974"/>
      <c r="MX47" s="974"/>
      <c r="MY47" s="974"/>
      <c r="MZ47" s="974"/>
      <c r="NA47" s="974"/>
      <c r="NB47" s="974"/>
      <c r="NC47" s="974"/>
      <c r="ND47" s="974"/>
      <c r="NE47" s="974"/>
      <c r="NF47" s="974"/>
      <c r="NG47" s="974"/>
      <c r="NH47" s="974"/>
      <c r="NI47" s="974"/>
      <c r="NJ47" s="974"/>
      <c r="NK47" s="974"/>
      <c r="NL47" s="974"/>
      <c r="NM47" s="974"/>
      <c r="NN47" s="974"/>
      <c r="NO47" s="974"/>
      <c r="NP47" s="974"/>
      <c r="NQ47" s="974"/>
      <c r="NR47" s="974"/>
      <c r="NS47" s="974"/>
      <c r="NT47" s="974"/>
      <c r="NU47" s="974"/>
      <c r="NV47" s="974"/>
      <c r="NW47" s="974"/>
      <c r="NX47" s="974"/>
      <c r="NY47" s="974"/>
      <c r="NZ47" s="974"/>
      <c r="OA47" s="974"/>
      <c r="OB47" s="974"/>
      <c r="OC47" s="974"/>
      <c r="OD47" s="974"/>
      <c r="OE47" s="974"/>
      <c r="OF47" s="974"/>
      <c r="OG47" s="974"/>
      <c r="OH47" s="974"/>
      <c r="OI47" s="974"/>
      <c r="OJ47" s="974"/>
      <c r="OK47" s="974"/>
      <c r="OL47" s="974"/>
      <c r="OM47" s="974"/>
      <c r="ON47" s="974"/>
      <c r="OO47" s="974"/>
      <c r="OP47" s="974"/>
      <c r="OQ47" s="974"/>
      <c r="OR47" s="974"/>
      <c r="OS47" s="974"/>
      <c r="OT47" s="974"/>
      <c r="OU47" s="974"/>
      <c r="OV47" s="974"/>
      <c r="OW47" s="974"/>
      <c r="OX47" s="974"/>
      <c r="OY47" s="974"/>
      <c r="OZ47" s="974"/>
      <c r="PA47" s="974"/>
      <c r="PB47" s="974"/>
      <c r="PC47" s="974"/>
      <c r="PD47" s="974"/>
      <c r="PE47" s="974"/>
      <c r="PF47" s="974"/>
      <c r="PG47" s="974"/>
      <c r="PH47" s="974"/>
      <c r="PI47" s="974"/>
      <c r="PJ47" s="974"/>
      <c r="PK47" s="974"/>
      <c r="PL47" s="974"/>
      <c r="PM47" s="974"/>
      <c r="PN47" s="974"/>
      <c r="PO47" s="974"/>
      <c r="PP47" s="974"/>
      <c r="PQ47" s="974"/>
      <c r="PR47" s="974"/>
      <c r="PS47" s="974"/>
      <c r="PT47" s="974"/>
      <c r="PU47" s="974"/>
      <c r="PV47" s="974"/>
      <c r="PW47" s="974"/>
      <c r="PX47" s="974"/>
      <c r="PY47" s="974"/>
      <c r="PZ47" s="974"/>
      <c r="QA47" s="974"/>
      <c r="QB47" s="974"/>
      <c r="QC47" s="974"/>
      <c r="QD47" s="974"/>
      <c r="QE47" s="974"/>
      <c r="QF47" s="974"/>
      <c r="QG47" s="974"/>
      <c r="QH47" s="974"/>
      <c r="QI47" s="974"/>
      <c r="QJ47" s="974"/>
      <c r="QK47" s="974"/>
      <c r="QL47" s="974"/>
      <c r="QM47" s="974"/>
      <c r="QN47" s="974"/>
      <c r="QO47" s="974"/>
      <c r="QP47" s="974"/>
      <c r="QQ47" s="974"/>
      <c r="QR47" s="974"/>
      <c r="QS47" s="974"/>
      <c r="QT47" s="974"/>
      <c r="QU47" s="974"/>
      <c r="QV47" s="974"/>
      <c r="QW47" s="974"/>
      <c r="QX47" s="974"/>
      <c r="QY47" s="974"/>
      <c r="QZ47" s="974"/>
      <c r="RA47" s="974"/>
      <c r="RB47" s="974"/>
      <c r="RC47" s="974"/>
      <c r="RD47" s="974"/>
      <c r="RE47" s="974"/>
      <c r="RF47" s="974"/>
      <c r="RG47" s="974"/>
      <c r="RH47" s="974"/>
      <c r="RI47" s="974"/>
      <c r="RJ47" s="974"/>
      <c r="RK47" s="974"/>
      <c r="RL47" s="974"/>
      <c r="RM47" s="974"/>
      <c r="RN47" s="974"/>
      <c r="RO47" s="974"/>
      <c r="RP47" s="974"/>
      <c r="RQ47" s="974"/>
      <c r="RR47" s="974"/>
      <c r="RS47" s="974"/>
      <c r="RT47" s="974"/>
      <c r="RU47" s="974"/>
      <c r="RV47" s="974"/>
      <c r="RW47" s="974"/>
      <c r="RX47" s="974"/>
      <c r="RY47" s="974"/>
      <c r="RZ47" s="974"/>
      <c r="SA47" s="974"/>
      <c r="SB47" s="974"/>
      <c r="SC47" s="974"/>
      <c r="SD47" s="974"/>
      <c r="SE47" s="974"/>
      <c r="SF47" s="974"/>
      <c r="SG47" s="974"/>
      <c r="SH47" s="974"/>
      <c r="SI47" s="974"/>
      <c r="SJ47" s="974"/>
      <c r="SK47" s="974"/>
      <c r="SL47" s="974"/>
      <c r="SM47" s="974"/>
      <c r="SN47" s="974"/>
      <c r="SO47" s="974"/>
      <c r="SP47" s="974"/>
      <c r="SQ47" s="974"/>
      <c r="SR47" s="974"/>
    </row>
    <row r="48" spans="1:512" s="850" customFormat="1" ht="15" customHeight="1">
      <c r="A48"/>
      <c r="B48" t="s">
        <v>2262</v>
      </c>
      <c r="C48"/>
      <c r="D48"/>
      <c r="E48" t="s">
        <v>2119</v>
      </c>
      <c r="F48"/>
      <c r="G48" s="974">
        <v>0</v>
      </c>
      <c r="H48" s="1013">
        <v>0</v>
      </c>
      <c r="I48" s="974"/>
      <c r="J48" s="974"/>
      <c r="K48" s="974"/>
      <c r="L48" s="974"/>
      <c r="M48" s="974"/>
      <c r="N48" s="974"/>
      <c r="O48" s="974"/>
      <c r="P48" s="974"/>
      <c r="Q48" s="974"/>
      <c r="R48" s="974"/>
      <c r="S48" s="974"/>
      <c r="T48" s="974"/>
      <c r="U48" s="974"/>
      <c r="V48" s="974"/>
      <c r="W48" s="974"/>
      <c r="X48" s="974"/>
      <c r="Y48" s="974"/>
      <c r="Z48" s="974"/>
      <c r="AA48" s="974"/>
      <c r="AB48" s="974"/>
      <c r="AC48" s="974"/>
      <c r="AD48" s="974"/>
      <c r="AE48" s="974"/>
      <c r="AF48" s="974"/>
      <c r="AG48" s="974"/>
      <c r="AH48" s="974"/>
      <c r="AI48" s="974"/>
      <c r="AJ48" s="974"/>
      <c r="AK48" s="974"/>
      <c r="AL48" s="974"/>
      <c r="AM48" s="974"/>
      <c r="AN48" s="974"/>
      <c r="AO48" s="974"/>
      <c r="AP48" s="974"/>
      <c r="AQ48" s="974"/>
      <c r="AR48" s="974"/>
      <c r="AS48" s="974"/>
      <c r="AT48" s="974"/>
      <c r="AU48" s="974"/>
      <c r="AV48" s="974"/>
      <c r="AW48" s="974"/>
      <c r="AX48" s="974"/>
      <c r="AY48" s="974"/>
      <c r="AZ48" s="974"/>
      <c r="BA48" s="974"/>
      <c r="BB48" s="974"/>
      <c r="BC48" s="974"/>
      <c r="BD48" s="974"/>
      <c r="BE48" s="974"/>
      <c r="BF48" s="974"/>
      <c r="BG48" s="974"/>
      <c r="BH48" s="974"/>
      <c r="BI48" s="974"/>
      <c r="BJ48" s="974"/>
      <c r="BK48" s="974"/>
      <c r="BL48" s="974"/>
      <c r="BM48" s="974"/>
      <c r="BN48" s="974"/>
      <c r="BO48" s="974"/>
      <c r="BP48" s="974"/>
      <c r="BQ48" s="974"/>
      <c r="BR48" s="974"/>
      <c r="BS48" s="974"/>
      <c r="BT48" s="974"/>
      <c r="BU48" s="974"/>
      <c r="BV48" s="974"/>
      <c r="BW48" s="974"/>
      <c r="BX48" s="974"/>
      <c r="BY48" s="974"/>
      <c r="BZ48" s="974"/>
      <c r="CA48" s="974"/>
      <c r="CB48" s="974"/>
      <c r="CC48" s="974"/>
      <c r="CD48" s="974"/>
      <c r="CE48" s="974"/>
      <c r="CF48" s="974"/>
      <c r="CG48" s="974"/>
      <c r="CH48" s="974"/>
      <c r="CI48" s="974"/>
      <c r="CJ48" s="974"/>
      <c r="CK48" s="974"/>
      <c r="CL48" s="974"/>
      <c r="CM48" s="974"/>
      <c r="CN48" s="974"/>
      <c r="CO48" s="974"/>
      <c r="CP48" s="974"/>
      <c r="CQ48" s="974"/>
      <c r="CR48" s="974"/>
      <c r="CS48" s="974"/>
      <c r="CT48" s="974"/>
      <c r="CU48" s="974"/>
      <c r="CV48" s="974"/>
      <c r="CW48" s="974"/>
      <c r="CX48" s="974"/>
      <c r="CY48" s="974"/>
      <c r="CZ48" s="974"/>
      <c r="DA48" s="974"/>
      <c r="DB48" s="974"/>
      <c r="DC48" s="974"/>
      <c r="DD48" s="974"/>
      <c r="DE48" s="974"/>
      <c r="DF48" s="974"/>
      <c r="DG48" s="974"/>
      <c r="DH48" s="974"/>
      <c r="DI48" s="974"/>
      <c r="DJ48" s="974"/>
      <c r="DK48" s="974"/>
      <c r="DL48" s="974"/>
      <c r="DM48" s="974"/>
      <c r="DN48" s="974"/>
      <c r="DO48" s="974"/>
      <c r="DP48" s="974"/>
      <c r="DQ48" s="974"/>
      <c r="DR48" s="974"/>
      <c r="DS48" s="974"/>
      <c r="DT48" s="974"/>
      <c r="DU48" s="974"/>
      <c r="DV48" s="974"/>
      <c r="DW48" s="974"/>
      <c r="DX48" s="974"/>
      <c r="DY48" s="974"/>
      <c r="DZ48" s="974"/>
      <c r="EA48" s="974"/>
      <c r="EB48" s="974"/>
      <c r="EC48" s="974"/>
      <c r="ED48" s="974"/>
      <c r="EE48" s="974"/>
      <c r="EF48" s="974"/>
      <c r="EG48" s="974"/>
      <c r="EH48" s="974"/>
      <c r="EI48" s="974"/>
      <c r="EJ48" s="974"/>
      <c r="EK48" s="974"/>
      <c r="EL48" s="974"/>
      <c r="EM48" s="974"/>
      <c r="EN48" s="974"/>
      <c r="EO48" s="974"/>
      <c r="EP48" s="974"/>
      <c r="EQ48" s="974"/>
      <c r="ER48" s="974"/>
      <c r="ES48" s="974"/>
      <c r="ET48" s="974"/>
      <c r="EU48" s="974"/>
      <c r="EV48" s="974"/>
      <c r="EW48" s="974"/>
      <c r="EX48" s="974"/>
      <c r="EY48" s="974"/>
      <c r="EZ48" s="974"/>
      <c r="FA48" s="974"/>
      <c r="FB48" s="974"/>
      <c r="FC48" s="974"/>
      <c r="FD48" s="974"/>
      <c r="FE48" s="974"/>
      <c r="FF48" s="974"/>
      <c r="FG48" s="974"/>
      <c r="FH48" s="974"/>
      <c r="FI48" s="974"/>
      <c r="FJ48" s="974"/>
      <c r="FK48" s="974"/>
      <c r="FL48" s="974"/>
      <c r="FM48" s="974"/>
      <c r="FN48" s="974"/>
      <c r="FO48" s="974"/>
      <c r="FP48" s="974"/>
      <c r="FQ48" s="974"/>
      <c r="FR48" s="974"/>
      <c r="FS48" s="974"/>
      <c r="FT48" s="974"/>
      <c r="FU48" s="974"/>
      <c r="FV48" s="974"/>
      <c r="FW48" s="974"/>
      <c r="FX48" s="974"/>
      <c r="FY48" s="974"/>
      <c r="FZ48" s="974"/>
      <c r="GA48" s="974"/>
      <c r="GB48" s="974"/>
      <c r="GC48" s="974"/>
      <c r="GD48" s="974"/>
      <c r="GE48" s="974"/>
      <c r="GF48" s="974"/>
      <c r="GG48" s="974"/>
      <c r="GH48" s="974"/>
      <c r="GI48" s="974"/>
      <c r="GJ48" s="974"/>
      <c r="GK48" s="974"/>
      <c r="GL48" s="974"/>
      <c r="GM48" s="974"/>
      <c r="GN48" s="974"/>
      <c r="GO48" s="974"/>
      <c r="GP48" s="974"/>
      <c r="GQ48" s="974"/>
      <c r="GR48" s="974"/>
      <c r="GS48" s="974"/>
      <c r="GT48" s="974"/>
      <c r="GU48" s="974"/>
      <c r="GV48" s="974"/>
      <c r="GW48" s="974"/>
      <c r="GX48" s="974"/>
      <c r="GY48" s="974"/>
      <c r="GZ48" s="974"/>
      <c r="HA48" s="974"/>
      <c r="HB48" s="974"/>
      <c r="HC48" s="974"/>
      <c r="HD48" s="974"/>
      <c r="HE48" s="974"/>
      <c r="HF48" s="974"/>
      <c r="HG48" s="974"/>
      <c r="HH48" s="974"/>
      <c r="HI48" s="974"/>
      <c r="HJ48" s="974"/>
      <c r="HK48" s="974"/>
      <c r="HL48" s="974"/>
      <c r="HM48" s="974"/>
      <c r="HN48" s="974"/>
      <c r="HO48" s="974"/>
      <c r="HP48" s="974"/>
      <c r="HQ48" s="974"/>
      <c r="HR48" s="974"/>
      <c r="HS48" s="974"/>
      <c r="HT48" s="974"/>
      <c r="HU48" s="974"/>
      <c r="HV48" s="974"/>
      <c r="HW48" s="974"/>
      <c r="HX48" s="974"/>
      <c r="HY48" s="974"/>
      <c r="HZ48" s="974"/>
      <c r="IA48" s="974"/>
      <c r="IB48" s="974"/>
      <c r="IC48" s="974"/>
      <c r="ID48" s="974"/>
      <c r="IE48" s="974"/>
      <c r="IF48" s="974"/>
      <c r="IG48" s="974"/>
      <c r="IH48" s="974"/>
      <c r="II48" s="974"/>
      <c r="IJ48" s="974"/>
      <c r="IK48" s="974"/>
      <c r="IL48" s="974"/>
      <c r="IM48" s="974"/>
      <c r="IN48" s="974"/>
      <c r="IO48" s="974"/>
      <c r="IP48" s="974"/>
      <c r="IQ48" s="974"/>
      <c r="IR48" s="974"/>
      <c r="IS48" s="974"/>
      <c r="IT48" s="974"/>
      <c r="IU48" s="974"/>
      <c r="IV48" s="974"/>
      <c r="IW48" s="974"/>
      <c r="IX48" s="974"/>
      <c r="IY48" s="974"/>
      <c r="IZ48" s="974"/>
      <c r="JA48" s="974"/>
      <c r="JB48" s="974"/>
      <c r="JC48" s="974"/>
      <c r="JD48" s="974"/>
      <c r="JE48" s="974"/>
      <c r="JF48" s="974"/>
      <c r="JG48" s="974"/>
      <c r="JH48" s="974"/>
      <c r="JI48" s="974"/>
      <c r="JJ48" s="974"/>
      <c r="JK48" s="974"/>
      <c r="JL48" s="974"/>
      <c r="JM48" s="974"/>
      <c r="JN48" s="974"/>
      <c r="JO48" s="974"/>
      <c r="JP48" s="974"/>
      <c r="JQ48" s="974"/>
      <c r="JR48" s="974"/>
      <c r="JS48" s="974"/>
      <c r="JT48" s="974"/>
      <c r="JU48" s="974"/>
      <c r="JV48" s="974"/>
      <c r="JW48" s="974"/>
      <c r="JX48" s="974"/>
      <c r="JY48" s="974"/>
      <c r="JZ48" s="974"/>
      <c r="KA48" s="974"/>
      <c r="KB48" s="974"/>
      <c r="KC48" s="974"/>
      <c r="KD48" s="974"/>
      <c r="KE48" s="974"/>
      <c r="KF48" s="974"/>
      <c r="KG48" s="974"/>
      <c r="KH48" s="974"/>
      <c r="KI48" s="974"/>
      <c r="KJ48" s="974"/>
      <c r="KK48" s="974"/>
      <c r="KL48" s="974"/>
      <c r="KM48" s="974"/>
      <c r="KN48" s="974"/>
      <c r="KO48" s="974"/>
      <c r="KP48" s="974"/>
      <c r="KQ48" s="974"/>
      <c r="KR48" s="974"/>
      <c r="KS48" s="974"/>
      <c r="KT48" s="974"/>
      <c r="KU48" s="974"/>
      <c r="KV48" s="974"/>
      <c r="KW48" s="974"/>
      <c r="KX48" s="974"/>
      <c r="KY48" s="974"/>
      <c r="KZ48" s="974"/>
      <c r="LA48" s="974"/>
      <c r="LB48" s="974"/>
      <c r="LC48" s="974"/>
      <c r="LD48" s="974"/>
      <c r="LE48" s="974"/>
      <c r="LF48" s="974"/>
      <c r="LG48" s="974"/>
      <c r="LH48" s="974"/>
      <c r="LI48" s="974"/>
      <c r="LJ48" s="974"/>
      <c r="LK48" s="974"/>
      <c r="LL48" s="974"/>
      <c r="LM48" s="974"/>
      <c r="LN48" s="974"/>
      <c r="LO48" s="974"/>
      <c r="LP48" s="974"/>
      <c r="LQ48" s="974"/>
      <c r="LR48" s="974"/>
      <c r="LS48" s="974"/>
      <c r="LT48" s="974"/>
      <c r="LU48" s="974"/>
      <c r="LV48" s="974"/>
      <c r="LW48" s="974"/>
      <c r="LX48" s="974"/>
      <c r="LY48" s="974"/>
      <c r="LZ48" s="974"/>
      <c r="MA48" s="974"/>
      <c r="MB48" s="974"/>
      <c r="MC48" s="974"/>
      <c r="MD48" s="974"/>
      <c r="ME48" s="974"/>
      <c r="MF48" s="974"/>
      <c r="MG48" s="974"/>
      <c r="MH48" s="974"/>
      <c r="MI48" s="974"/>
      <c r="MJ48" s="974"/>
      <c r="MK48" s="974"/>
      <c r="ML48" s="974"/>
      <c r="MM48" s="974"/>
      <c r="MN48" s="974"/>
      <c r="MO48" s="974"/>
      <c r="MP48" s="974"/>
      <c r="MQ48" s="974"/>
      <c r="MR48" s="974"/>
      <c r="MS48" s="974"/>
      <c r="MT48" s="974"/>
      <c r="MU48" s="974"/>
      <c r="MV48" s="974"/>
      <c r="MW48" s="974"/>
      <c r="MX48" s="974"/>
      <c r="MY48" s="974"/>
      <c r="MZ48" s="974"/>
      <c r="NA48" s="974"/>
      <c r="NB48" s="974"/>
      <c r="NC48" s="974"/>
      <c r="ND48" s="974"/>
      <c r="NE48" s="974"/>
      <c r="NF48" s="974"/>
      <c r="NG48" s="974"/>
      <c r="NH48" s="974"/>
      <c r="NI48" s="974"/>
      <c r="NJ48" s="974"/>
      <c r="NK48" s="974"/>
      <c r="NL48" s="974"/>
      <c r="NM48" s="974"/>
      <c r="NN48" s="974"/>
      <c r="NO48" s="974"/>
      <c r="NP48" s="974"/>
      <c r="NQ48" s="974"/>
      <c r="NR48" s="974"/>
      <c r="NS48" s="974"/>
      <c r="NT48" s="974"/>
      <c r="NU48" s="974"/>
      <c r="NV48" s="974"/>
      <c r="NW48" s="974"/>
      <c r="NX48" s="974"/>
      <c r="NY48" s="974"/>
      <c r="NZ48" s="974"/>
      <c r="OA48" s="974"/>
      <c r="OB48" s="974"/>
      <c r="OC48" s="974"/>
      <c r="OD48" s="974"/>
      <c r="OE48" s="974"/>
      <c r="OF48" s="974"/>
      <c r="OG48" s="974"/>
      <c r="OH48" s="974"/>
      <c r="OI48" s="974"/>
      <c r="OJ48" s="974"/>
      <c r="OK48" s="974"/>
      <c r="OL48" s="974"/>
      <c r="OM48" s="974"/>
      <c r="ON48" s="974"/>
      <c r="OO48" s="974"/>
      <c r="OP48" s="974"/>
      <c r="OQ48" s="974"/>
      <c r="OR48" s="974"/>
      <c r="OS48" s="974"/>
      <c r="OT48" s="974"/>
      <c r="OU48" s="974"/>
      <c r="OV48" s="974"/>
      <c r="OW48" s="974"/>
      <c r="OX48" s="974"/>
      <c r="OY48" s="974"/>
      <c r="OZ48" s="974"/>
      <c r="PA48" s="974"/>
      <c r="PB48" s="974"/>
      <c r="PC48" s="974"/>
      <c r="PD48" s="974"/>
      <c r="PE48" s="974"/>
      <c r="PF48" s="974"/>
      <c r="PG48" s="974"/>
      <c r="PH48" s="974"/>
      <c r="PI48" s="974"/>
      <c r="PJ48" s="974"/>
      <c r="PK48" s="974"/>
      <c r="PL48" s="974"/>
      <c r="PM48" s="974"/>
      <c r="PN48" s="974"/>
      <c r="PO48" s="974"/>
      <c r="PP48" s="974"/>
      <c r="PQ48" s="974"/>
      <c r="PR48" s="974"/>
      <c r="PS48" s="974"/>
      <c r="PT48" s="974"/>
      <c r="PU48" s="974"/>
      <c r="PV48" s="974"/>
      <c r="PW48" s="974"/>
      <c r="PX48" s="974"/>
      <c r="PY48" s="974"/>
      <c r="PZ48" s="974"/>
      <c r="QA48" s="974"/>
      <c r="QB48" s="974"/>
      <c r="QC48" s="974"/>
      <c r="QD48" s="974"/>
      <c r="QE48" s="974"/>
      <c r="QF48" s="974"/>
      <c r="QG48" s="974"/>
      <c r="QH48" s="974"/>
      <c r="QI48" s="974"/>
      <c r="QJ48" s="974"/>
      <c r="QK48" s="974"/>
      <c r="QL48" s="974"/>
      <c r="QM48" s="974"/>
      <c r="QN48" s="974"/>
      <c r="QO48" s="974"/>
      <c r="QP48" s="974"/>
      <c r="QQ48" s="974"/>
      <c r="QR48" s="974"/>
      <c r="QS48" s="974"/>
      <c r="QT48" s="974"/>
      <c r="QU48" s="974"/>
      <c r="QV48" s="974"/>
      <c r="QW48" s="974"/>
      <c r="QX48" s="974"/>
      <c r="QY48" s="974"/>
      <c r="QZ48" s="974"/>
      <c r="RA48" s="974"/>
      <c r="RB48" s="974"/>
      <c r="RC48" s="974"/>
      <c r="RD48" s="974"/>
      <c r="RE48" s="974"/>
      <c r="RF48" s="974"/>
      <c r="RG48" s="974"/>
      <c r="RH48" s="974"/>
      <c r="RI48" s="974"/>
      <c r="RJ48" s="974"/>
      <c r="RK48" s="974"/>
      <c r="RL48" s="974"/>
      <c r="RM48" s="974"/>
      <c r="RN48" s="974"/>
      <c r="RO48" s="974"/>
      <c r="RP48" s="974"/>
      <c r="RQ48" s="974"/>
      <c r="RR48" s="974"/>
      <c r="RS48" s="974"/>
      <c r="RT48" s="974"/>
      <c r="RU48" s="974"/>
      <c r="RV48" s="974"/>
      <c r="RW48" s="974"/>
      <c r="RX48" s="974"/>
      <c r="RY48" s="974"/>
      <c r="RZ48" s="974"/>
      <c r="SA48" s="974"/>
      <c r="SB48" s="974"/>
      <c r="SC48" s="974"/>
      <c r="SD48" s="974"/>
      <c r="SE48" s="974"/>
      <c r="SF48" s="974"/>
      <c r="SG48" s="974"/>
      <c r="SH48" s="974"/>
      <c r="SI48" s="974"/>
      <c r="SJ48" s="974"/>
      <c r="SK48" s="974"/>
      <c r="SL48" s="974"/>
      <c r="SM48" s="974"/>
      <c r="SN48" s="974"/>
      <c r="SO48" s="974"/>
      <c r="SP48" s="974"/>
      <c r="SQ48" s="974"/>
      <c r="SR48" s="974"/>
    </row>
    <row r="49" spans="1:512" s="850" customFormat="1" ht="15" customHeight="1">
      <c r="A49"/>
      <c r="B49" t="s">
        <v>2263</v>
      </c>
      <c r="C49"/>
      <c r="D49"/>
      <c r="E49" t="s">
        <v>2119</v>
      </c>
      <c r="F49"/>
      <c r="G49" s="974">
        <v>0</v>
      </c>
      <c r="H49" s="974">
        <v>1</v>
      </c>
      <c r="I49" s="974"/>
      <c r="J49" s="974"/>
      <c r="K49" s="974"/>
      <c r="L49" s="974"/>
      <c r="M49" s="974"/>
      <c r="N49" s="974"/>
      <c r="O49" s="974"/>
      <c r="P49" s="974"/>
      <c r="Q49" s="974"/>
      <c r="R49" s="974"/>
      <c r="S49" s="974"/>
      <c r="T49" s="974"/>
      <c r="U49" s="974"/>
      <c r="V49" s="974"/>
      <c r="W49" s="974"/>
      <c r="X49" s="974"/>
      <c r="Y49" s="974"/>
      <c r="Z49" s="974"/>
      <c r="AA49" s="974"/>
      <c r="AB49" s="974"/>
      <c r="AC49" s="974"/>
      <c r="AD49" s="974"/>
      <c r="AE49" s="974"/>
      <c r="AF49" s="974"/>
      <c r="AG49" s="974"/>
      <c r="AH49" s="974"/>
      <c r="AI49" s="974"/>
      <c r="AJ49" s="974"/>
      <c r="AK49" s="974"/>
      <c r="AL49" s="974"/>
      <c r="AM49" s="974"/>
      <c r="AN49" s="974"/>
      <c r="AO49" s="974"/>
      <c r="AP49" s="974"/>
      <c r="AQ49" s="974"/>
      <c r="AR49" s="974"/>
      <c r="AS49" s="974"/>
      <c r="AT49" s="974"/>
      <c r="AU49" s="974"/>
      <c r="AV49" s="974"/>
      <c r="AW49" s="974"/>
      <c r="AX49" s="974"/>
      <c r="AY49" s="974"/>
      <c r="AZ49" s="974"/>
      <c r="BA49" s="974"/>
      <c r="BB49" s="974"/>
      <c r="BC49" s="974"/>
      <c r="BD49" s="974"/>
      <c r="BE49" s="974"/>
      <c r="BF49" s="974"/>
      <c r="BG49" s="974"/>
      <c r="BH49" s="974"/>
      <c r="BI49" s="974"/>
      <c r="BJ49" s="974"/>
      <c r="BK49" s="974"/>
      <c r="BL49" s="974"/>
      <c r="BM49" s="974"/>
      <c r="BN49" s="974"/>
      <c r="BO49" s="974"/>
      <c r="BP49" s="974"/>
      <c r="BQ49" s="974"/>
      <c r="BR49" s="974"/>
      <c r="BS49" s="974"/>
      <c r="BT49" s="974"/>
      <c r="BU49" s="974"/>
      <c r="BV49" s="974"/>
      <c r="BW49" s="974"/>
      <c r="BX49" s="974"/>
      <c r="BY49" s="974"/>
      <c r="BZ49" s="974"/>
      <c r="CA49" s="974"/>
      <c r="CB49" s="974"/>
      <c r="CC49" s="974"/>
      <c r="CD49" s="974"/>
      <c r="CE49" s="974"/>
      <c r="CF49" s="974"/>
      <c r="CG49" s="974"/>
      <c r="CH49" s="974"/>
      <c r="CI49" s="974"/>
      <c r="CJ49" s="974"/>
      <c r="CK49" s="974"/>
      <c r="CL49" s="974"/>
      <c r="CM49" s="974"/>
      <c r="CN49" s="974"/>
      <c r="CO49" s="974"/>
      <c r="CP49" s="974"/>
      <c r="CQ49" s="974"/>
      <c r="CR49" s="974"/>
      <c r="CS49" s="974"/>
      <c r="CT49" s="974"/>
      <c r="CU49" s="974"/>
      <c r="CV49" s="974"/>
      <c r="CW49" s="974"/>
      <c r="CX49" s="974"/>
      <c r="CY49" s="974"/>
      <c r="CZ49" s="974"/>
      <c r="DA49" s="974"/>
      <c r="DB49" s="974"/>
      <c r="DC49" s="974"/>
      <c r="DD49" s="974"/>
      <c r="DE49" s="974"/>
      <c r="DF49" s="974"/>
      <c r="DG49" s="974"/>
      <c r="DH49" s="974"/>
      <c r="DI49" s="974"/>
      <c r="DJ49" s="974"/>
      <c r="DK49" s="974"/>
      <c r="DL49" s="974"/>
      <c r="DM49" s="974"/>
      <c r="DN49" s="974"/>
      <c r="DO49" s="974"/>
      <c r="DP49" s="974"/>
      <c r="DQ49" s="974"/>
      <c r="DR49" s="974"/>
      <c r="DS49" s="974"/>
      <c r="DT49" s="974"/>
      <c r="DU49" s="974"/>
      <c r="DV49" s="974"/>
      <c r="DW49" s="974"/>
      <c r="DX49" s="974"/>
      <c r="DY49" s="974"/>
      <c r="DZ49" s="974"/>
      <c r="EA49" s="974"/>
      <c r="EB49" s="974"/>
      <c r="EC49" s="974"/>
      <c r="ED49" s="974"/>
      <c r="EE49" s="974"/>
      <c r="EF49" s="974"/>
      <c r="EG49" s="974"/>
      <c r="EH49" s="974"/>
      <c r="EI49" s="974"/>
      <c r="EJ49" s="974"/>
      <c r="EK49" s="974"/>
      <c r="EL49" s="974"/>
      <c r="EM49" s="974"/>
      <c r="EN49" s="974"/>
      <c r="EO49" s="974"/>
      <c r="EP49" s="974"/>
      <c r="EQ49" s="974"/>
      <c r="ER49" s="974"/>
      <c r="ES49" s="974"/>
      <c r="ET49" s="974"/>
      <c r="EU49" s="974"/>
      <c r="EV49" s="974"/>
      <c r="EW49" s="974"/>
      <c r="EX49" s="974"/>
      <c r="EY49" s="974"/>
      <c r="EZ49" s="974"/>
      <c r="FA49" s="974"/>
      <c r="FB49" s="974"/>
      <c r="FC49" s="974"/>
      <c r="FD49" s="974"/>
      <c r="FE49" s="974"/>
      <c r="FF49" s="974"/>
      <c r="FG49" s="974"/>
      <c r="FH49" s="974"/>
      <c r="FI49" s="974"/>
      <c r="FJ49" s="974"/>
      <c r="FK49" s="974"/>
      <c r="FL49" s="974"/>
      <c r="FM49" s="974"/>
      <c r="FN49" s="974"/>
      <c r="FO49" s="974"/>
      <c r="FP49" s="974"/>
      <c r="FQ49" s="974"/>
      <c r="FR49" s="974"/>
      <c r="FS49" s="974"/>
      <c r="FT49" s="974"/>
      <c r="FU49" s="974"/>
      <c r="FV49" s="974"/>
      <c r="FW49" s="974"/>
      <c r="FX49" s="974"/>
      <c r="FY49" s="974"/>
      <c r="FZ49" s="974"/>
      <c r="GA49" s="974"/>
      <c r="GB49" s="974"/>
      <c r="GC49" s="974"/>
      <c r="GD49" s="974"/>
      <c r="GE49" s="974"/>
      <c r="GF49" s="974"/>
      <c r="GG49" s="974"/>
      <c r="GH49" s="974"/>
      <c r="GI49" s="974"/>
      <c r="GJ49" s="974"/>
      <c r="GK49" s="974"/>
      <c r="GL49" s="974"/>
      <c r="GM49" s="974"/>
      <c r="GN49" s="974"/>
      <c r="GO49" s="974"/>
      <c r="GP49" s="974"/>
      <c r="GQ49" s="974"/>
      <c r="GR49" s="974"/>
      <c r="GS49" s="974"/>
      <c r="GT49" s="974"/>
      <c r="GU49" s="974"/>
      <c r="GV49" s="974"/>
      <c r="GW49" s="974"/>
      <c r="GX49" s="974"/>
      <c r="GY49" s="974"/>
      <c r="GZ49" s="974"/>
      <c r="HA49" s="974"/>
      <c r="HB49" s="974"/>
      <c r="HC49" s="974"/>
      <c r="HD49" s="974"/>
      <c r="HE49" s="974"/>
      <c r="HF49" s="974"/>
      <c r="HG49" s="974"/>
      <c r="HH49" s="974"/>
      <c r="HI49" s="974"/>
      <c r="HJ49" s="974"/>
      <c r="HK49" s="974"/>
      <c r="HL49" s="974"/>
      <c r="HM49" s="974"/>
      <c r="HN49" s="974"/>
      <c r="HO49" s="974"/>
      <c r="HP49" s="974"/>
      <c r="HQ49" s="974"/>
      <c r="HR49" s="974"/>
      <c r="HS49" s="974"/>
      <c r="HT49" s="974"/>
      <c r="HU49" s="974"/>
      <c r="HV49" s="974"/>
      <c r="HW49" s="974"/>
      <c r="HX49" s="974"/>
      <c r="HY49" s="974"/>
      <c r="HZ49" s="974"/>
      <c r="IA49" s="974"/>
      <c r="IB49" s="974"/>
      <c r="IC49" s="974"/>
      <c r="ID49" s="974"/>
      <c r="IE49" s="974"/>
      <c r="IF49" s="974"/>
      <c r="IG49" s="974"/>
      <c r="IH49" s="974"/>
      <c r="II49" s="974"/>
      <c r="IJ49" s="974"/>
      <c r="IK49" s="974"/>
      <c r="IL49" s="974"/>
      <c r="IM49" s="974"/>
      <c r="IN49" s="974"/>
      <c r="IO49" s="974"/>
      <c r="IP49" s="974"/>
      <c r="IQ49" s="974"/>
      <c r="IR49" s="974"/>
      <c r="IS49" s="974"/>
      <c r="IT49" s="974"/>
      <c r="IU49" s="974"/>
      <c r="IV49" s="974"/>
      <c r="IW49" s="974"/>
      <c r="IX49" s="974"/>
      <c r="IY49" s="974"/>
      <c r="IZ49" s="974"/>
      <c r="JA49" s="974"/>
      <c r="JB49" s="974"/>
      <c r="JC49" s="974"/>
      <c r="JD49" s="974"/>
      <c r="JE49" s="974"/>
      <c r="JF49" s="974"/>
      <c r="JG49" s="974"/>
      <c r="JH49" s="974"/>
      <c r="JI49" s="974"/>
      <c r="JJ49" s="974"/>
      <c r="JK49" s="974"/>
      <c r="JL49" s="974"/>
      <c r="JM49" s="974"/>
      <c r="JN49" s="974"/>
      <c r="JO49" s="974"/>
      <c r="JP49" s="974"/>
      <c r="JQ49" s="974"/>
      <c r="JR49" s="974"/>
      <c r="JS49" s="974"/>
      <c r="JT49" s="974"/>
      <c r="JU49" s="974"/>
      <c r="JV49" s="974"/>
      <c r="JW49" s="974"/>
      <c r="JX49" s="974"/>
      <c r="JY49" s="974"/>
      <c r="JZ49" s="974"/>
      <c r="KA49" s="974"/>
      <c r="KB49" s="974"/>
      <c r="KC49" s="974"/>
      <c r="KD49" s="974"/>
      <c r="KE49" s="974"/>
      <c r="KF49" s="974"/>
      <c r="KG49" s="974"/>
      <c r="KH49" s="974"/>
      <c r="KI49" s="974"/>
      <c r="KJ49" s="974"/>
      <c r="KK49" s="974"/>
      <c r="KL49" s="974"/>
      <c r="KM49" s="974"/>
      <c r="KN49" s="974"/>
      <c r="KO49" s="974"/>
      <c r="KP49" s="974"/>
      <c r="KQ49" s="974"/>
      <c r="KR49" s="974"/>
      <c r="KS49" s="974"/>
      <c r="KT49" s="974"/>
      <c r="KU49" s="974"/>
      <c r="KV49" s="974"/>
      <c r="KW49" s="974"/>
      <c r="KX49" s="974"/>
      <c r="KY49" s="974"/>
      <c r="KZ49" s="974"/>
      <c r="LA49" s="974"/>
      <c r="LB49" s="974"/>
      <c r="LC49" s="974"/>
      <c r="LD49" s="974"/>
      <c r="LE49" s="974"/>
      <c r="LF49" s="974"/>
      <c r="LG49" s="974"/>
      <c r="LH49" s="974"/>
      <c r="LI49" s="974"/>
      <c r="LJ49" s="974"/>
      <c r="LK49" s="974"/>
      <c r="LL49" s="974"/>
      <c r="LM49" s="974"/>
      <c r="LN49" s="974"/>
      <c r="LO49" s="974"/>
      <c r="LP49" s="974"/>
      <c r="LQ49" s="974"/>
      <c r="LR49" s="974"/>
      <c r="LS49" s="974"/>
      <c r="LT49" s="974"/>
      <c r="LU49" s="974"/>
      <c r="LV49" s="974"/>
      <c r="LW49" s="974"/>
      <c r="LX49" s="974"/>
      <c r="LY49" s="974"/>
      <c r="LZ49" s="974"/>
      <c r="MA49" s="974"/>
      <c r="MB49" s="974"/>
      <c r="MC49" s="974"/>
      <c r="MD49" s="974"/>
      <c r="ME49" s="974"/>
      <c r="MF49" s="974"/>
      <c r="MG49" s="974"/>
      <c r="MH49" s="974"/>
      <c r="MI49" s="974"/>
      <c r="MJ49" s="974"/>
      <c r="MK49" s="974"/>
      <c r="ML49" s="974"/>
      <c r="MM49" s="974"/>
      <c r="MN49" s="974"/>
      <c r="MO49" s="974"/>
      <c r="MP49" s="974"/>
      <c r="MQ49" s="974"/>
      <c r="MR49" s="974"/>
      <c r="MS49" s="974"/>
      <c r="MT49" s="974"/>
      <c r="MU49" s="974"/>
      <c r="MV49" s="974"/>
      <c r="MW49" s="974"/>
      <c r="MX49" s="974"/>
      <c r="MY49" s="974"/>
      <c r="MZ49" s="974"/>
      <c r="NA49" s="974"/>
      <c r="NB49" s="974"/>
      <c r="NC49" s="974"/>
      <c r="ND49" s="974"/>
      <c r="NE49" s="974"/>
      <c r="NF49" s="974"/>
      <c r="NG49" s="974"/>
      <c r="NH49" s="974"/>
      <c r="NI49" s="974"/>
      <c r="NJ49" s="974"/>
      <c r="NK49" s="974"/>
      <c r="NL49" s="974"/>
      <c r="NM49" s="974"/>
      <c r="NN49" s="974"/>
      <c r="NO49" s="974"/>
      <c r="NP49" s="974"/>
      <c r="NQ49" s="974"/>
      <c r="NR49" s="974"/>
      <c r="NS49" s="974"/>
      <c r="NT49" s="974"/>
      <c r="NU49" s="974"/>
      <c r="NV49" s="974"/>
      <c r="NW49" s="974"/>
      <c r="NX49" s="974"/>
      <c r="NY49" s="974"/>
      <c r="NZ49" s="974"/>
      <c r="OA49" s="974"/>
      <c r="OB49" s="974"/>
      <c r="OC49" s="974"/>
      <c r="OD49" s="974"/>
      <c r="OE49" s="974"/>
      <c r="OF49" s="974"/>
      <c r="OG49" s="974"/>
      <c r="OH49" s="974"/>
      <c r="OI49" s="974"/>
      <c r="OJ49" s="974"/>
      <c r="OK49" s="974"/>
      <c r="OL49" s="974"/>
      <c r="OM49" s="974"/>
      <c r="ON49" s="974"/>
      <c r="OO49" s="974"/>
      <c r="OP49" s="974"/>
      <c r="OQ49" s="974"/>
      <c r="OR49" s="974"/>
      <c r="OS49" s="974"/>
      <c r="OT49" s="974"/>
      <c r="OU49" s="974"/>
      <c r="OV49" s="974"/>
      <c r="OW49" s="974"/>
      <c r="OX49" s="974"/>
      <c r="OY49" s="974"/>
      <c r="OZ49" s="974"/>
      <c r="PA49" s="974"/>
      <c r="PB49" s="974"/>
      <c r="PC49" s="974"/>
      <c r="PD49" s="974"/>
      <c r="PE49" s="974"/>
      <c r="PF49" s="974"/>
      <c r="PG49" s="974"/>
      <c r="PH49" s="974"/>
      <c r="PI49" s="974"/>
      <c r="PJ49" s="974"/>
      <c r="PK49" s="974"/>
      <c r="PL49" s="974"/>
      <c r="PM49" s="974"/>
      <c r="PN49" s="974"/>
      <c r="PO49" s="974"/>
      <c r="PP49" s="974"/>
      <c r="PQ49" s="974"/>
      <c r="PR49" s="974"/>
      <c r="PS49" s="974"/>
      <c r="PT49" s="974"/>
      <c r="PU49" s="974"/>
      <c r="PV49" s="974"/>
      <c r="PW49" s="974"/>
      <c r="PX49" s="974"/>
      <c r="PY49" s="974"/>
      <c r="PZ49" s="974"/>
      <c r="QA49" s="974"/>
      <c r="QB49" s="974"/>
      <c r="QC49" s="974"/>
      <c r="QD49" s="974"/>
      <c r="QE49" s="974"/>
      <c r="QF49" s="974"/>
      <c r="QG49" s="974"/>
      <c r="QH49" s="974"/>
      <c r="QI49" s="974"/>
      <c r="QJ49" s="974"/>
      <c r="QK49" s="974"/>
      <c r="QL49" s="974"/>
      <c r="QM49" s="974"/>
      <c r="QN49" s="974"/>
      <c r="QO49" s="974"/>
      <c r="QP49" s="974"/>
      <c r="QQ49" s="974"/>
      <c r="QR49" s="974"/>
      <c r="QS49" s="974"/>
      <c r="QT49" s="974"/>
      <c r="QU49" s="974"/>
      <c r="QV49" s="974"/>
      <c r="QW49" s="974"/>
      <c r="QX49" s="974"/>
      <c r="QY49" s="974"/>
      <c r="QZ49" s="974"/>
      <c r="RA49" s="974"/>
      <c r="RB49" s="974"/>
      <c r="RC49" s="974"/>
      <c r="RD49" s="974"/>
      <c r="RE49" s="974"/>
      <c r="RF49" s="974"/>
      <c r="RG49" s="974"/>
      <c r="RH49" s="974"/>
      <c r="RI49" s="974"/>
      <c r="RJ49" s="974"/>
      <c r="RK49" s="974"/>
      <c r="RL49" s="974"/>
      <c r="RM49" s="974"/>
      <c r="RN49" s="974"/>
      <c r="RO49" s="974"/>
      <c r="RP49" s="974"/>
      <c r="RQ49" s="974"/>
      <c r="RR49" s="974"/>
      <c r="RS49" s="974"/>
      <c r="RT49" s="974"/>
      <c r="RU49" s="974"/>
      <c r="RV49" s="974"/>
      <c r="RW49" s="974"/>
      <c r="RX49" s="974"/>
      <c r="RY49" s="974"/>
      <c r="RZ49" s="974"/>
      <c r="SA49" s="974"/>
      <c r="SB49" s="974"/>
      <c r="SC49" s="974"/>
      <c r="SD49" s="974"/>
      <c r="SE49" s="974"/>
      <c r="SF49" s="974"/>
      <c r="SG49" s="974"/>
      <c r="SH49" s="974"/>
      <c r="SI49" s="974"/>
      <c r="SJ49" s="974"/>
      <c r="SK49" s="974"/>
      <c r="SL49" s="974"/>
      <c r="SM49" s="974"/>
      <c r="SN49" s="974"/>
      <c r="SO49" s="974"/>
      <c r="SP49" s="974"/>
      <c r="SQ49" s="974"/>
      <c r="SR49" s="974"/>
    </row>
    <row r="50" spans="1:512" s="850" customFormat="1" ht="15" customHeight="1">
      <c r="A50"/>
      <c r="B50" t="s">
        <v>2264</v>
      </c>
      <c r="C50"/>
      <c r="D50"/>
      <c r="E50" t="s">
        <v>2119</v>
      </c>
      <c r="F50"/>
      <c r="G50" s="974">
        <v>1</v>
      </c>
      <c r="H50" s="974">
        <v>1</v>
      </c>
      <c r="I50" s="974"/>
      <c r="J50" s="974"/>
      <c r="K50" s="974"/>
      <c r="L50" s="974"/>
      <c r="M50" s="974"/>
      <c r="N50" s="974"/>
      <c r="O50" s="974"/>
      <c r="P50" s="974"/>
      <c r="Q50" s="974"/>
      <c r="R50" s="974"/>
      <c r="S50" s="974"/>
      <c r="T50" s="974"/>
      <c r="U50" s="974"/>
      <c r="V50" s="974"/>
      <c r="W50" s="974"/>
      <c r="X50" s="974"/>
      <c r="Y50" s="974"/>
      <c r="Z50" s="974"/>
      <c r="AA50" s="974"/>
      <c r="AB50" s="974"/>
      <c r="AC50" s="974"/>
      <c r="AD50" s="974"/>
      <c r="AE50" s="974"/>
      <c r="AF50" s="974"/>
      <c r="AG50" s="974"/>
      <c r="AH50" s="974"/>
      <c r="AI50" s="974"/>
      <c r="AJ50" s="974"/>
      <c r="AK50" s="974"/>
      <c r="AL50" s="974"/>
      <c r="AM50" s="974"/>
      <c r="AN50" s="974"/>
      <c r="AO50" s="974"/>
      <c r="AP50" s="974"/>
      <c r="AQ50" s="974"/>
      <c r="AR50" s="974"/>
      <c r="AS50" s="974"/>
      <c r="AT50" s="974"/>
      <c r="AU50" s="974"/>
      <c r="AV50" s="974"/>
      <c r="AW50" s="974"/>
      <c r="AX50" s="974"/>
      <c r="AY50" s="974"/>
      <c r="AZ50" s="974"/>
      <c r="BA50" s="974"/>
      <c r="BB50" s="974"/>
      <c r="BC50" s="974"/>
      <c r="BD50" s="974"/>
      <c r="BE50" s="974"/>
      <c r="BF50" s="974"/>
      <c r="BG50" s="974"/>
      <c r="BH50" s="974"/>
      <c r="BI50" s="974"/>
      <c r="BJ50" s="974"/>
      <c r="BK50" s="974"/>
      <c r="BL50" s="974"/>
      <c r="BM50" s="974"/>
      <c r="BN50" s="974"/>
      <c r="BO50" s="974"/>
      <c r="BP50" s="974"/>
      <c r="BQ50" s="974"/>
      <c r="BR50" s="974"/>
      <c r="BS50" s="974"/>
      <c r="BT50" s="974"/>
      <c r="BU50" s="974"/>
      <c r="BV50" s="974"/>
      <c r="BW50" s="974"/>
      <c r="BX50" s="974"/>
      <c r="BY50" s="974"/>
      <c r="BZ50" s="974"/>
      <c r="CA50" s="974"/>
      <c r="CB50" s="974"/>
      <c r="CC50" s="974"/>
      <c r="CD50" s="974"/>
      <c r="CE50" s="974"/>
      <c r="CF50" s="974"/>
      <c r="CG50" s="974"/>
      <c r="CH50" s="974"/>
      <c r="CI50" s="974"/>
      <c r="CJ50" s="974"/>
      <c r="CK50" s="974"/>
      <c r="CL50" s="974"/>
      <c r="CM50" s="974"/>
      <c r="CN50" s="974"/>
      <c r="CO50" s="974"/>
      <c r="CP50" s="974"/>
      <c r="CQ50" s="974"/>
      <c r="CR50" s="974"/>
      <c r="CS50" s="974"/>
      <c r="CT50" s="974"/>
      <c r="CU50" s="974"/>
      <c r="CV50" s="974"/>
      <c r="CW50" s="974"/>
      <c r="CX50" s="974"/>
      <c r="CY50" s="974"/>
      <c r="CZ50" s="974"/>
      <c r="DA50" s="974"/>
      <c r="DB50" s="974"/>
      <c r="DC50" s="974"/>
      <c r="DD50" s="974"/>
      <c r="DE50" s="974"/>
      <c r="DF50" s="974"/>
      <c r="DG50" s="974"/>
      <c r="DH50" s="974"/>
      <c r="DI50" s="974"/>
      <c r="DJ50" s="974"/>
      <c r="DK50" s="974"/>
      <c r="DL50" s="974"/>
      <c r="DM50" s="974"/>
      <c r="DN50" s="974"/>
      <c r="DO50" s="974"/>
      <c r="DP50" s="974"/>
      <c r="DQ50" s="974"/>
      <c r="DR50" s="974"/>
      <c r="DS50" s="974"/>
      <c r="DT50" s="974"/>
      <c r="DU50" s="974"/>
      <c r="DV50" s="974"/>
      <c r="DW50" s="974"/>
      <c r="DX50" s="974"/>
      <c r="DY50" s="974"/>
      <c r="DZ50" s="974"/>
      <c r="EA50" s="974"/>
      <c r="EB50" s="974"/>
      <c r="EC50" s="974"/>
      <c r="ED50" s="974"/>
      <c r="EE50" s="974"/>
      <c r="EF50" s="974"/>
      <c r="EG50" s="974"/>
      <c r="EH50" s="974"/>
      <c r="EI50" s="974"/>
      <c r="EJ50" s="974"/>
      <c r="EK50" s="974"/>
      <c r="EL50" s="974"/>
      <c r="EM50" s="974"/>
      <c r="EN50" s="974"/>
      <c r="EO50" s="974"/>
      <c r="EP50" s="974"/>
      <c r="EQ50" s="974"/>
      <c r="ER50" s="974"/>
      <c r="ES50" s="974"/>
      <c r="ET50" s="974"/>
      <c r="EU50" s="974"/>
      <c r="EV50" s="974"/>
      <c r="EW50" s="974"/>
      <c r="EX50" s="974"/>
      <c r="EY50" s="974"/>
      <c r="EZ50" s="974"/>
      <c r="FA50" s="974"/>
      <c r="FB50" s="974"/>
      <c r="FC50" s="974"/>
      <c r="FD50" s="974"/>
      <c r="FE50" s="974"/>
      <c r="FF50" s="974"/>
      <c r="FG50" s="974"/>
      <c r="FH50" s="974"/>
      <c r="FI50" s="974"/>
      <c r="FJ50" s="974"/>
      <c r="FK50" s="974"/>
      <c r="FL50" s="974"/>
      <c r="FM50" s="974"/>
      <c r="FN50" s="974"/>
      <c r="FO50" s="974"/>
      <c r="FP50" s="974"/>
      <c r="FQ50" s="974"/>
      <c r="FR50" s="974"/>
      <c r="FS50" s="974"/>
      <c r="FT50" s="974"/>
      <c r="FU50" s="974"/>
      <c r="FV50" s="974"/>
      <c r="FW50" s="974"/>
      <c r="FX50" s="974"/>
      <c r="FY50" s="974"/>
      <c r="FZ50" s="974"/>
      <c r="GA50" s="974"/>
      <c r="GB50" s="974"/>
      <c r="GC50" s="974"/>
      <c r="GD50" s="974"/>
      <c r="GE50" s="974"/>
      <c r="GF50" s="974"/>
      <c r="GG50" s="974"/>
      <c r="GH50" s="974"/>
      <c r="GI50" s="974"/>
      <c r="GJ50" s="974"/>
      <c r="GK50" s="974"/>
      <c r="GL50" s="974"/>
      <c r="GM50" s="974"/>
      <c r="GN50" s="974"/>
      <c r="GO50" s="974"/>
      <c r="GP50" s="974"/>
      <c r="GQ50" s="974"/>
      <c r="GR50" s="974"/>
      <c r="GS50" s="974"/>
      <c r="GT50" s="974"/>
      <c r="GU50" s="974"/>
      <c r="GV50" s="974"/>
      <c r="GW50" s="974"/>
      <c r="GX50" s="974"/>
      <c r="GY50" s="974"/>
      <c r="GZ50" s="974"/>
      <c r="HA50" s="974"/>
      <c r="HB50" s="974"/>
      <c r="HC50" s="974"/>
      <c r="HD50" s="974"/>
      <c r="HE50" s="974"/>
      <c r="HF50" s="974"/>
      <c r="HG50" s="974"/>
      <c r="HH50" s="974"/>
      <c r="HI50" s="974"/>
      <c r="HJ50" s="974"/>
      <c r="HK50" s="974"/>
      <c r="HL50" s="974"/>
      <c r="HM50" s="974"/>
      <c r="HN50" s="974"/>
      <c r="HO50" s="974"/>
      <c r="HP50" s="974"/>
      <c r="HQ50" s="974"/>
      <c r="HR50" s="974"/>
      <c r="HS50" s="974"/>
      <c r="HT50" s="974"/>
      <c r="HU50" s="974"/>
      <c r="HV50" s="974"/>
      <c r="HW50" s="974"/>
      <c r="HX50" s="974"/>
      <c r="HY50" s="974"/>
      <c r="HZ50" s="974"/>
      <c r="IA50" s="974"/>
      <c r="IB50" s="974"/>
      <c r="IC50" s="974"/>
      <c r="ID50" s="974"/>
      <c r="IE50" s="974"/>
      <c r="IF50" s="974"/>
      <c r="IG50" s="974"/>
      <c r="IH50" s="974"/>
      <c r="II50" s="974"/>
      <c r="IJ50" s="974"/>
      <c r="IK50" s="974"/>
      <c r="IL50" s="974"/>
      <c r="IM50" s="974"/>
      <c r="IN50" s="974"/>
      <c r="IO50" s="974"/>
      <c r="IP50" s="974"/>
      <c r="IQ50" s="974"/>
      <c r="IR50" s="974"/>
      <c r="IS50" s="974"/>
      <c r="IT50" s="974"/>
      <c r="IU50" s="974"/>
      <c r="IV50" s="974"/>
      <c r="IW50" s="974"/>
      <c r="IX50" s="974"/>
      <c r="IY50" s="974"/>
      <c r="IZ50" s="974"/>
      <c r="JA50" s="974"/>
      <c r="JB50" s="974"/>
      <c r="JC50" s="974"/>
      <c r="JD50" s="974"/>
      <c r="JE50" s="974"/>
      <c r="JF50" s="974"/>
      <c r="JG50" s="974"/>
      <c r="JH50" s="974"/>
      <c r="JI50" s="974"/>
      <c r="JJ50" s="974"/>
      <c r="JK50" s="974"/>
      <c r="JL50" s="974"/>
      <c r="JM50" s="974"/>
      <c r="JN50" s="974"/>
      <c r="JO50" s="974"/>
      <c r="JP50" s="974"/>
      <c r="JQ50" s="974"/>
      <c r="JR50" s="974"/>
      <c r="JS50" s="974"/>
      <c r="JT50" s="974"/>
      <c r="JU50" s="974"/>
      <c r="JV50" s="974"/>
      <c r="JW50" s="974"/>
      <c r="JX50" s="974"/>
      <c r="JY50" s="974"/>
      <c r="JZ50" s="974"/>
      <c r="KA50" s="974"/>
      <c r="KB50" s="974"/>
      <c r="KC50" s="974"/>
      <c r="KD50" s="974"/>
      <c r="KE50" s="974"/>
      <c r="KF50" s="974"/>
      <c r="KG50" s="974"/>
      <c r="KH50" s="974"/>
      <c r="KI50" s="974"/>
      <c r="KJ50" s="974"/>
      <c r="KK50" s="974"/>
      <c r="KL50" s="974"/>
      <c r="KM50" s="974"/>
      <c r="KN50" s="974"/>
      <c r="KO50" s="974"/>
      <c r="KP50" s="974"/>
      <c r="KQ50" s="974"/>
      <c r="KR50" s="974"/>
      <c r="KS50" s="974"/>
      <c r="KT50" s="974"/>
      <c r="KU50" s="974"/>
      <c r="KV50" s="974"/>
      <c r="KW50" s="974"/>
      <c r="KX50" s="974"/>
      <c r="KY50" s="974"/>
      <c r="KZ50" s="974"/>
      <c r="LA50" s="974"/>
      <c r="LB50" s="974"/>
      <c r="LC50" s="974"/>
      <c r="LD50" s="974"/>
      <c r="LE50" s="974"/>
      <c r="LF50" s="974"/>
      <c r="LG50" s="974"/>
      <c r="LH50" s="974"/>
      <c r="LI50" s="974"/>
      <c r="LJ50" s="974"/>
      <c r="LK50" s="974"/>
      <c r="LL50" s="974"/>
      <c r="LM50" s="974"/>
      <c r="LN50" s="974"/>
      <c r="LO50" s="974"/>
      <c r="LP50" s="974"/>
      <c r="LQ50" s="974"/>
      <c r="LR50" s="974"/>
      <c r="LS50" s="974"/>
      <c r="LT50" s="974"/>
      <c r="LU50" s="974"/>
      <c r="LV50" s="974"/>
      <c r="LW50" s="974"/>
      <c r="LX50" s="974"/>
      <c r="LY50" s="974"/>
      <c r="LZ50" s="974"/>
      <c r="MA50" s="974"/>
      <c r="MB50" s="974"/>
      <c r="MC50" s="974"/>
      <c r="MD50" s="974"/>
      <c r="ME50" s="974"/>
      <c r="MF50" s="974"/>
      <c r="MG50" s="974"/>
      <c r="MH50" s="974"/>
      <c r="MI50" s="974"/>
      <c r="MJ50" s="974"/>
      <c r="MK50" s="974"/>
      <c r="ML50" s="974"/>
      <c r="MM50" s="974"/>
      <c r="MN50" s="974"/>
      <c r="MO50" s="974"/>
      <c r="MP50" s="974"/>
      <c r="MQ50" s="974"/>
      <c r="MR50" s="974"/>
      <c r="MS50" s="974"/>
      <c r="MT50" s="974"/>
      <c r="MU50" s="974"/>
      <c r="MV50" s="974"/>
      <c r="MW50" s="974"/>
      <c r="MX50" s="974"/>
      <c r="MY50" s="974"/>
      <c r="MZ50" s="974"/>
      <c r="NA50" s="974"/>
      <c r="NB50" s="974"/>
      <c r="NC50" s="974"/>
      <c r="ND50" s="974"/>
      <c r="NE50" s="974"/>
      <c r="NF50" s="974"/>
      <c r="NG50" s="974"/>
      <c r="NH50" s="974"/>
      <c r="NI50" s="974"/>
      <c r="NJ50" s="974"/>
      <c r="NK50" s="974"/>
      <c r="NL50" s="974"/>
      <c r="NM50" s="974"/>
      <c r="NN50" s="974"/>
      <c r="NO50" s="974"/>
      <c r="NP50" s="974"/>
      <c r="NQ50" s="974"/>
      <c r="NR50" s="974"/>
      <c r="NS50" s="974"/>
      <c r="NT50" s="974"/>
      <c r="NU50" s="974"/>
      <c r="NV50" s="974"/>
      <c r="NW50" s="974"/>
      <c r="NX50" s="974"/>
      <c r="NY50" s="974"/>
      <c r="NZ50" s="974"/>
      <c r="OA50" s="974"/>
      <c r="OB50" s="974"/>
      <c r="OC50" s="974"/>
      <c r="OD50" s="974"/>
      <c r="OE50" s="974"/>
      <c r="OF50" s="974"/>
      <c r="OG50" s="974"/>
      <c r="OH50" s="974"/>
      <c r="OI50" s="974"/>
      <c r="OJ50" s="974"/>
      <c r="OK50" s="974"/>
      <c r="OL50" s="974"/>
      <c r="OM50" s="974"/>
      <c r="ON50" s="974"/>
      <c r="OO50" s="974"/>
      <c r="OP50" s="974"/>
      <c r="OQ50" s="974"/>
      <c r="OR50" s="974"/>
      <c r="OS50" s="974"/>
      <c r="OT50" s="974"/>
      <c r="OU50" s="974"/>
      <c r="OV50" s="974"/>
      <c r="OW50" s="974"/>
      <c r="OX50" s="974"/>
      <c r="OY50" s="974"/>
      <c r="OZ50" s="974"/>
      <c r="PA50" s="974"/>
      <c r="PB50" s="974"/>
      <c r="PC50" s="974"/>
      <c r="PD50" s="974"/>
      <c r="PE50" s="974"/>
      <c r="PF50" s="974"/>
      <c r="PG50" s="974"/>
      <c r="PH50" s="974"/>
      <c r="PI50" s="974"/>
      <c r="PJ50" s="974"/>
      <c r="PK50" s="974"/>
      <c r="PL50" s="974"/>
      <c r="PM50" s="974"/>
      <c r="PN50" s="974"/>
      <c r="PO50" s="974"/>
      <c r="PP50" s="974"/>
      <c r="PQ50" s="974"/>
      <c r="PR50" s="974"/>
      <c r="PS50" s="974"/>
      <c r="PT50" s="974"/>
      <c r="PU50" s="974"/>
      <c r="PV50" s="974"/>
      <c r="PW50" s="974"/>
      <c r="PX50" s="974"/>
      <c r="PY50" s="974"/>
      <c r="PZ50" s="974"/>
      <c r="QA50" s="974"/>
      <c r="QB50" s="974"/>
      <c r="QC50" s="974"/>
      <c r="QD50" s="974"/>
      <c r="QE50" s="974"/>
      <c r="QF50" s="974"/>
      <c r="QG50" s="974"/>
      <c r="QH50" s="974"/>
      <c r="QI50" s="974"/>
      <c r="QJ50" s="974"/>
      <c r="QK50" s="974"/>
      <c r="QL50" s="974"/>
      <c r="QM50" s="974"/>
      <c r="QN50" s="974"/>
      <c r="QO50" s="974"/>
      <c r="QP50" s="974"/>
      <c r="QQ50" s="974"/>
      <c r="QR50" s="974"/>
      <c r="QS50" s="974"/>
      <c r="QT50" s="974"/>
      <c r="QU50" s="974"/>
      <c r="QV50" s="974"/>
      <c r="QW50" s="974"/>
      <c r="QX50" s="974"/>
      <c r="QY50" s="974"/>
      <c r="QZ50" s="974"/>
      <c r="RA50" s="974"/>
      <c r="RB50" s="974"/>
      <c r="RC50" s="974"/>
      <c r="RD50" s="974"/>
      <c r="RE50" s="974"/>
      <c r="RF50" s="974"/>
      <c r="RG50" s="974"/>
      <c r="RH50" s="974"/>
      <c r="RI50" s="974"/>
      <c r="RJ50" s="974"/>
      <c r="RK50" s="974"/>
      <c r="RL50" s="974"/>
      <c r="RM50" s="974"/>
      <c r="RN50" s="974"/>
      <c r="RO50" s="974"/>
      <c r="RP50" s="974"/>
      <c r="RQ50" s="974"/>
      <c r="RR50" s="974"/>
      <c r="RS50" s="974"/>
      <c r="RT50" s="974"/>
      <c r="RU50" s="974"/>
      <c r="RV50" s="974"/>
      <c r="RW50" s="974"/>
      <c r="RX50" s="974"/>
      <c r="RY50" s="974"/>
      <c r="RZ50" s="974"/>
      <c r="SA50" s="974"/>
      <c r="SB50" s="974"/>
      <c r="SC50" s="974"/>
      <c r="SD50" s="974"/>
      <c r="SE50" s="974"/>
      <c r="SF50" s="974"/>
      <c r="SG50" s="974"/>
      <c r="SH50" s="974"/>
      <c r="SI50" s="974"/>
      <c r="SJ50" s="974"/>
      <c r="SK50" s="974"/>
      <c r="SL50" s="974"/>
      <c r="SM50" s="974"/>
      <c r="SN50" s="974"/>
      <c r="SO50" s="974"/>
      <c r="SP50" s="974"/>
      <c r="SQ50" s="974"/>
      <c r="SR50" s="974"/>
    </row>
    <row r="51" spans="1:512" s="850" customFormat="1" ht="15" customHeight="1">
      <c r="A51"/>
      <c r="B51" t="s">
        <v>2384</v>
      </c>
      <c r="C51"/>
      <c r="D51"/>
      <c r="E51" t="s">
        <v>2119</v>
      </c>
      <c r="F51"/>
      <c r="G51" s="974">
        <v>0</v>
      </c>
      <c r="H51" s="1013">
        <v>0</v>
      </c>
      <c r="I51" s="974"/>
      <c r="J51" s="974"/>
      <c r="K51" s="974"/>
      <c r="L51" s="974"/>
      <c r="M51" s="974"/>
      <c r="N51" s="974"/>
      <c r="O51" s="974"/>
      <c r="P51" s="974"/>
      <c r="Q51" s="974"/>
      <c r="R51" s="974"/>
      <c r="S51" s="974"/>
      <c r="T51" s="974"/>
      <c r="U51" s="974"/>
      <c r="V51" s="974"/>
      <c r="W51" s="974"/>
      <c r="X51" s="974"/>
      <c r="Y51" s="974"/>
      <c r="Z51" s="974"/>
      <c r="AA51" s="974"/>
      <c r="AB51" s="974"/>
      <c r="AC51" s="974"/>
      <c r="AD51" s="974"/>
      <c r="AE51" s="974"/>
      <c r="AF51" s="974"/>
      <c r="AG51" s="974"/>
      <c r="AH51" s="974"/>
      <c r="AI51" s="974"/>
      <c r="AJ51" s="974"/>
      <c r="AK51" s="974"/>
      <c r="AL51" s="974"/>
      <c r="AM51" s="974"/>
      <c r="AN51" s="974"/>
      <c r="AO51" s="974"/>
      <c r="AP51" s="974"/>
      <c r="AQ51" s="974"/>
      <c r="AR51" s="974"/>
      <c r="AS51" s="974"/>
      <c r="AT51" s="974"/>
      <c r="AU51" s="974"/>
      <c r="AV51" s="974"/>
      <c r="AW51" s="974"/>
      <c r="AX51" s="974"/>
      <c r="AY51" s="974"/>
      <c r="AZ51" s="974"/>
      <c r="BA51" s="974"/>
      <c r="BB51" s="974"/>
      <c r="BC51" s="974"/>
      <c r="BD51" s="974"/>
      <c r="BE51" s="974"/>
      <c r="BF51" s="974"/>
      <c r="BG51" s="974"/>
      <c r="BH51" s="974"/>
      <c r="BI51" s="974"/>
      <c r="BJ51" s="974"/>
      <c r="BK51" s="974"/>
      <c r="BL51" s="974"/>
      <c r="BM51" s="974"/>
      <c r="BN51" s="974"/>
      <c r="BO51" s="974"/>
      <c r="BP51" s="974"/>
      <c r="BQ51" s="974"/>
      <c r="BR51" s="974"/>
      <c r="BS51" s="974"/>
      <c r="BT51" s="974"/>
      <c r="BU51" s="974"/>
      <c r="BV51" s="974"/>
      <c r="BW51" s="974"/>
      <c r="BX51" s="974"/>
      <c r="BY51" s="974"/>
      <c r="BZ51" s="974"/>
      <c r="CA51" s="974"/>
      <c r="CB51" s="974"/>
      <c r="CC51" s="974"/>
      <c r="CD51" s="974"/>
      <c r="CE51" s="974"/>
      <c r="CF51" s="974"/>
      <c r="CG51" s="974"/>
      <c r="CH51" s="974"/>
      <c r="CI51" s="974"/>
      <c r="CJ51" s="974"/>
      <c r="CK51" s="974"/>
      <c r="CL51" s="974"/>
      <c r="CM51" s="974"/>
      <c r="CN51" s="974"/>
      <c r="CO51" s="974"/>
      <c r="CP51" s="974"/>
      <c r="CQ51" s="974"/>
      <c r="CR51" s="974"/>
      <c r="CS51" s="974"/>
      <c r="CT51" s="974"/>
      <c r="CU51" s="974"/>
      <c r="CV51" s="974"/>
      <c r="CW51" s="974"/>
      <c r="CX51" s="974"/>
      <c r="CY51" s="974"/>
      <c r="CZ51" s="974"/>
      <c r="DA51" s="974"/>
      <c r="DB51" s="974"/>
      <c r="DC51" s="974"/>
      <c r="DD51" s="974"/>
      <c r="DE51" s="974"/>
      <c r="DF51" s="974"/>
      <c r="DG51" s="974"/>
      <c r="DH51" s="974"/>
      <c r="DI51" s="974"/>
      <c r="DJ51" s="974"/>
      <c r="DK51" s="974"/>
      <c r="DL51" s="974"/>
      <c r="DM51" s="974"/>
      <c r="DN51" s="974"/>
      <c r="DO51" s="974"/>
      <c r="DP51" s="974"/>
      <c r="DQ51" s="974"/>
      <c r="DR51" s="974"/>
      <c r="DS51" s="974"/>
      <c r="DT51" s="974"/>
      <c r="DU51" s="974"/>
      <c r="DV51" s="974"/>
      <c r="DW51" s="974"/>
      <c r="DX51" s="974"/>
      <c r="DY51" s="974"/>
      <c r="DZ51" s="974"/>
      <c r="EA51" s="974"/>
      <c r="EB51" s="974"/>
      <c r="EC51" s="974"/>
      <c r="ED51" s="974"/>
      <c r="EE51" s="974"/>
      <c r="EF51" s="974"/>
      <c r="EG51" s="974"/>
      <c r="EH51" s="974"/>
      <c r="EI51" s="974"/>
      <c r="EJ51" s="974"/>
      <c r="EK51" s="974"/>
      <c r="EL51" s="974"/>
      <c r="EM51" s="974"/>
      <c r="EN51" s="974"/>
      <c r="EO51" s="974"/>
      <c r="EP51" s="974"/>
      <c r="EQ51" s="974"/>
      <c r="ER51" s="974"/>
      <c r="ES51" s="974"/>
      <c r="ET51" s="974"/>
      <c r="EU51" s="974"/>
      <c r="EV51" s="974"/>
      <c r="EW51" s="974"/>
      <c r="EX51" s="974"/>
      <c r="EY51" s="974"/>
      <c r="EZ51" s="974"/>
      <c r="FA51" s="974"/>
      <c r="FB51" s="974"/>
      <c r="FC51" s="974"/>
      <c r="FD51" s="974"/>
      <c r="FE51" s="974"/>
      <c r="FF51" s="974"/>
      <c r="FG51" s="974"/>
      <c r="FH51" s="974"/>
      <c r="FI51" s="974"/>
      <c r="FJ51" s="974"/>
      <c r="FK51" s="974"/>
      <c r="FL51" s="974"/>
      <c r="FM51" s="974"/>
      <c r="FN51" s="974"/>
      <c r="FO51" s="974"/>
      <c r="FP51" s="974"/>
      <c r="FQ51" s="974"/>
      <c r="FR51" s="974"/>
      <c r="FS51" s="974"/>
      <c r="FT51" s="974"/>
      <c r="FU51" s="974"/>
      <c r="FV51" s="974"/>
      <c r="FW51" s="974"/>
      <c r="FX51" s="974"/>
      <c r="FY51" s="974"/>
      <c r="FZ51" s="974"/>
      <c r="GA51" s="974"/>
      <c r="GB51" s="974"/>
      <c r="GC51" s="974"/>
      <c r="GD51" s="974"/>
      <c r="GE51" s="974"/>
      <c r="GF51" s="974"/>
      <c r="GG51" s="974"/>
      <c r="GH51" s="974"/>
      <c r="GI51" s="974"/>
      <c r="GJ51" s="974"/>
      <c r="GK51" s="974"/>
      <c r="GL51" s="974"/>
      <c r="GM51" s="974"/>
      <c r="GN51" s="974"/>
      <c r="GO51" s="974"/>
      <c r="GP51" s="974"/>
      <c r="GQ51" s="974"/>
      <c r="GR51" s="974"/>
      <c r="GS51" s="974"/>
      <c r="GT51" s="974"/>
      <c r="GU51" s="974"/>
      <c r="GV51" s="974"/>
      <c r="GW51" s="974"/>
      <c r="GX51" s="974"/>
      <c r="GY51" s="974"/>
      <c r="GZ51" s="974"/>
      <c r="HA51" s="974"/>
      <c r="HB51" s="974"/>
      <c r="HC51" s="974"/>
      <c r="HD51" s="974"/>
      <c r="HE51" s="974"/>
      <c r="HF51" s="974"/>
      <c r="HG51" s="974"/>
      <c r="HH51" s="974"/>
      <c r="HI51" s="974"/>
      <c r="HJ51" s="974"/>
      <c r="HK51" s="974"/>
      <c r="HL51" s="974"/>
      <c r="HM51" s="974"/>
      <c r="HN51" s="974"/>
      <c r="HO51" s="974"/>
      <c r="HP51" s="974"/>
      <c r="HQ51" s="974"/>
      <c r="HR51" s="974"/>
      <c r="HS51" s="974"/>
      <c r="HT51" s="974"/>
      <c r="HU51" s="974"/>
      <c r="HV51" s="974"/>
      <c r="HW51" s="974"/>
      <c r="HX51" s="974"/>
      <c r="HY51" s="974"/>
      <c r="HZ51" s="974"/>
      <c r="IA51" s="974"/>
      <c r="IB51" s="974"/>
      <c r="IC51" s="974"/>
      <c r="ID51" s="974"/>
      <c r="IE51" s="974"/>
      <c r="IF51" s="974"/>
      <c r="IG51" s="974"/>
      <c r="IH51" s="974"/>
      <c r="II51" s="974"/>
      <c r="IJ51" s="974"/>
      <c r="IK51" s="974"/>
      <c r="IL51" s="974"/>
      <c r="IM51" s="974"/>
      <c r="IN51" s="974"/>
      <c r="IO51" s="974"/>
      <c r="IP51" s="974"/>
      <c r="IQ51" s="974"/>
      <c r="IR51" s="974"/>
      <c r="IS51" s="974"/>
      <c r="IT51" s="974"/>
      <c r="IU51" s="974"/>
      <c r="IV51" s="974"/>
      <c r="IW51" s="974"/>
      <c r="IX51" s="974"/>
      <c r="IY51" s="974"/>
      <c r="IZ51" s="974"/>
      <c r="JA51" s="974"/>
      <c r="JB51" s="974"/>
      <c r="JC51" s="974"/>
      <c r="JD51" s="974"/>
      <c r="JE51" s="974"/>
      <c r="JF51" s="974"/>
      <c r="JG51" s="974"/>
      <c r="JH51" s="974"/>
      <c r="JI51" s="974"/>
      <c r="JJ51" s="974"/>
      <c r="JK51" s="974"/>
      <c r="JL51" s="974"/>
      <c r="JM51" s="974"/>
      <c r="JN51" s="974"/>
      <c r="JO51" s="974"/>
      <c r="JP51" s="974"/>
      <c r="JQ51" s="974"/>
      <c r="JR51" s="974"/>
      <c r="JS51" s="974"/>
      <c r="JT51" s="974"/>
      <c r="JU51" s="974"/>
      <c r="JV51" s="974"/>
      <c r="JW51" s="974"/>
      <c r="JX51" s="974"/>
      <c r="JY51" s="974"/>
      <c r="JZ51" s="974"/>
      <c r="KA51" s="974"/>
      <c r="KB51" s="974"/>
      <c r="KC51" s="974"/>
      <c r="KD51" s="974"/>
      <c r="KE51" s="974"/>
      <c r="KF51" s="974"/>
      <c r="KG51" s="974"/>
      <c r="KH51" s="974"/>
      <c r="KI51" s="974"/>
      <c r="KJ51" s="974"/>
      <c r="KK51" s="974"/>
      <c r="KL51" s="974"/>
      <c r="KM51" s="974"/>
      <c r="KN51" s="974"/>
      <c r="KO51" s="974"/>
      <c r="KP51" s="974"/>
      <c r="KQ51" s="974"/>
      <c r="KR51" s="974"/>
      <c r="KS51" s="974"/>
      <c r="KT51" s="974"/>
      <c r="KU51" s="974"/>
      <c r="KV51" s="974"/>
      <c r="KW51" s="974"/>
      <c r="KX51" s="974"/>
      <c r="KY51" s="974"/>
      <c r="KZ51" s="974"/>
      <c r="LA51" s="974"/>
      <c r="LB51" s="974"/>
      <c r="LC51" s="974"/>
      <c r="LD51" s="974"/>
      <c r="LE51" s="974"/>
      <c r="LF51" s="974"/>
      <c r="LG51" s="974"/>
      <c r="LH51" s="974"/>
      <c r="LI51" s="974"/>
      <c r="LJ51" s="974"/>
      <c r="LK51" s="974"/>
      <c r="LL51" s="974"/>
      <c r="LM51" s="974"/>
      <c r="LN51" s="974"/>
      <c r="LO51" s="974"/>
      <c r="LP51" s="974"/>
      <c r="LQ51" s="974"/>
      <c r="LR51" s="974"/>
      <c r="LS51" s="974"/>
      <c r="LT51" s="974"/>
      <c r="LU51" s="974"/>
      <c r="LV51" s="974"/>
      <c r="LW51" s="974"/>
      <c r="LX51" s="974"/>
      <c r="LY51" s="974"/>
      <c r="LZ51" s="974"/>
      <c r="MA51" s="974"/>
      <c r="MB51" s="974"/>
      <c r="MC51" s="974"/>
      <c r="MD51" s="974"/>
      <c r="ME51" s="974"/>
      <c r="MF51" s="974"/>
      <c r="MG51" s="974"/>
      <c r="MH51" s="974"/>
      <c r="MI51" s="974"/>
      <c r="MJ51" s="974"/>
      <c r="MK51" s="974"/>
      <c r="ML51" s="974"/>
      <c r="MM51" s="974"/>
      <c r="MN51" s="974"/>
      <c r="MO51" s="974"/>
      <c r="MP51" s="974"/>
      <c r="MQ51" s="974"/>
      <c r="MR51" s="974"/>
      <c r="MS51" s="974"/>
      <c r="MT51" s="974"/>
      <c r="MU51" s="974"/>
      <c r="MV51" s="974"/>
      <c r="MW51" s="974"/>
      <c r="MX51" s="974"/>
      <c r="MY51" s="974"/>
      <c r="MZ51" s="974"/>
      <c r="NA51" s="974"/>
      <c r="NB51" s="974"/>
      <c r="NC51" s="974"/>
      <c r="ND51" s="974"/>
      <c r="NE51" s="974"/>
      <c r="NF51" s="974"/>
      <c r="NG51" s="974"/>
      <c r="NH51" s="974"/>
      <c r="NI51" s="974"/>
      <c r="NJ51" s="974"/>
      <c r="NK51" s="974"/>
      <c r="NL51" s="974"/>
      <c r="NM51" s="974"/>
      <c r="NN51" s="974"/>
      <c r="NO51" s="974"/>
      <c r="NP51" s="974"/>
      <c r="NQ51" s="974"/>
      <c r="NR51" s="974"/>
      <c r="NS51" s="974"/>
      <c r="NT51" s="974"/>
      <c r="NU51" s="974"/>
      <c r="NV51" s="974"/>
      <c r="NW51" s="974"/>
      <c r="NX51" s="974"/>
      <c r="NY51" s="974"/>
      <c r="NZ51" s="974"/>
      <c r="OA51" s="974"/>
      <c r="OB51" s="974"/>
      <c r="OC51" s="974"/>
      <c r="OD51" s="974"/>
      <c r="OE51" s="974"/>
      <c r="OF51" s="974"/>
      <c r="OG51" s="974"/>
      <c r="OH51" s="974"/>
      <c r="OI51" s="974"/>
      <c r="OJ51" s="974"/>
      <c r="OK51" s="974"/>
      <c r="OL51" s="974"/>
      <c r="OM51" s="974"/>
      <c r="ON51" s="974"/>
      <c r="OO51" s="974"/>
      <c r="OP51" s="974"/>
      <c r="OQ51" s="974"/>
      <c r="OR51" s="974"/>
      <c r="OS51" s="974"/>
      <c r="OT51" s="974"/>
      <c r="OU51" s="974"/>
      <c r="OV51" s="974"/>
      <c r="OW51" s="974"/>
      <c r="OX51" s="974"/>
      <c r="OY51" s="974"/>
      <c r="OZ51" s="974"/>
      <c r="PA51" s="974"/>
      <c r="PB51" s="974"/>
      <c r="PC51" s="974"/>
      <c r="PD51" s="974"/>
      <c r="PE51" s="974"/>
      <c r="PF51" s="974"/>
      <c r="PG51" s="974"/>
      <c r="PH51" s="974"/>
      <c r="PI51" s="974"/>
      <c r="PJ51" s="974"/>
      <c r="PK51" s="974"/>
      <c r="PL51" s="974"/>
      <c r="PM51" s="974"/>
      <c r="PN51" s="974"/>
      <c r="PO51" s="974"/>
      <c r="PP51" s="974"/>
      <c r="PQ51" s="974"/>
      <c r="PR51" s="974"/>
      <c r="PS51" s="974"/>
      <c r="PT51" s="974"/>
      <c r="PU51" s="974"/>
      <c r="PV51" s="974"/>
      <c r="PW51" s="974"/>
      <c r="PX51" s="974"/>
      <c r="PY51" s="974"/>
      <c r="PZ51" s="974"/>
      <c r="QA51" s="974"/>
      <c r="QB51" s="974"/>
      <c r="QC51" s="974"/>
      <c r="QD51" s="974"/>
      <c r="QE51" s="974"/>
      <c r="QF51" s="974"/>
      <c r="QG51" s="974"/>
      <c r="QH51" s="974"/>
      <c r="QI51" s="974"/>
      <c r="QJ51" s="974"/>
      <c r="QK51" s="974"/>
      <c r="QL51" s="974"/>
      <c r="QM51" s="974"/>
      <c r="QN51" s="974"/>
      <c r="QO51" s="974"/>
      <c r="QP51" s="974"/>
      <c r="QQ51" s="974"/>
      <c r="QR51" s="974"/>
      <c r="QS51" s="974"/>
      <c r="QT51" s="974"/>
      <c r="QU51" s="974"/>
      <c r="QV51" s="974"/>
      <c r="QW51" s="974"/>
      <c r="QX51" s="974"/>
      <c r="QY51" s="974"/>
      <c r="QZ51" s="974"/>
      <c r="RA51" s="974"/>
      <c r="RB51" s="974"/>
      <c r="RC51" s="974"/>
      <c r="RD51" s="974"/>
      <c r="RE51" s="974"/>
      <c r="RF51" s="974"/>
      <c r="RG51" s="974"/>
      <c r="RH51" s="974"/>
      <c r="RI51" s="974"/>
      <c r="RJ51" s="974"/>
      <c r="RK51" s="974"/>
      <c r="RL51" s="974"/>
      <c r="RM51" s="974"/>
      <c r="RN51" s="974"/>
      <c r="RO51" s="974"/>
      <c r="RP51" s="974"/>
      <c r="RQ51" s="974"/>
      <c r="RR51" s="974"/>
      <c r="RS51" s="974"/>
      <c r="RT51" s="974"/>
      <c r="RU51" s="974"/>
      <c r="RV51" s="974"/>
      <c r="RW51" s="974"/>
      <c r="RX51" s="974"/>
      <c r="RY51" s="974"/>
      <c r="RZ51" s="974"/>
      <c r="SA51" s="974"/>
      <c r="SB51" s="974"/>
      <c r="SC51" s="974"/>
      <c r="SD51" s="974"/>
      <c r="SE51" s="974"/>
      <c r="SF51" s="974"/>
      <c r="SG51" s="974"/>
      <c r="SH51" s="974"/>
      <c r="SI51" s="974"/>
      <c r="SJ51" s="974"/>
      <c r="SK51" s="974"/>
      <c r="SL51" s="974"/>
      <c r="SM51" s="974"/>
      <c r="SN51" s="974"/>
      <c r="SO51" s="974"/>
      <c r="SP51" s="974"/>
      <c r="SQ51" s="974"/>
      <c r="SR51" s="974"/>
    </row>
    <row r="52" spans="1:512" ht="15" customHeight="1">
      <c r="A52"/>
      <c r="B52"/>
      <c r="C52"/>
      <c r="D52"/>
      <c r="E52"/>
      <c r="F52"/>
      <c r="G52" s="972"/>
      <c r="H52" s="972"/>
      <c r="I52" s="972"/>
      <c r="J52" s="972"/>
      <c r="K52" s="972"/>
      <c r="L52" s="972"/>
      <c r="M52" s="972"/>
      <c r="N52" s="972"/>
      <c r="O52" s="972"/>
      <c r="P52" s="972"/>
      <c r="Q52" s="972"/>
      <c r="R52" s="972"/>
      <c r="S52" s="972"/>
      <c r="T52" s="972"/>
      <c r="U52" s="1016"/>
      <c r="V52" s="1016"/>
      <c r="W52" s="1016"/>
      <c r="X52" s="1016"/>
      <c r="Y52" s="1016"/>
      <c r="Z52" s="1016"/>
      <c r="AA52" s="1016"/>
      <c r="AB52" s="1016"/>
      <c r="AC52" s="1016"/>
      <c r="AD52" s="1016"/>
      <c r="AE52" s="1016"/>
      <c r="AF52" s="1016"/>
      <c r="AG52" s="1016"/>
      <c r="AH52" s="1016"/>
      <c r="AI52" s="1016"/>
      <c r="AJ52" s="1016"/>
      <c r="AK52" s="1016"/>
      <c r="AL52" s="1016"/>
      <c r="AM52" s="1016"/>
      <c r="AN52" s="1016"/>
      <c r="AO52" s="1016"/>
      <c r="AP52" s="1016"/>
      <c r="AQ52" s="1016"/>
      <c r="AR52" s="1016"/>
      <c r="AS52" s="1016"/>
      <c r="AT52" s="1016"/>
      <c r="AU52" s="1016"/>
      <c r="AV52" s="1016"/>
      <c r="AW52" s="1016"/>
      <c r="AX52" s="1016"/>
      <c r="AY52" s="1016"/>
      <c r="AZ52" s="1016"/>
      <c r="BA52" s="1016"/>
      <c r="BB52" s="1016"/>
      <c r="BC52" s="1016"/>
      <c r="BD52" s="1016"/>
      <c r="BE52" s="1016"/>
      <c r="BF52" s="971"/>
      <c r="BG52" s="971"/>
      <c r="BH52" s="971"/>
      <c r="BI52" s="971"/>
      <c r="BJ52" s="971"/>
      <c r="BK52" s="971"/>
      <c r="BL52" s="971"/>
      <c r="BM52" s="971"/>
      <c r="BN52" s="971"/>
      <c r="BO52" s="971"/>
      <c r="BP52" s="971"/>
      <c r="BQ52" s="971"/>
      <c r="BR52" s="971"/>
      <c r="BS52" s="971"/>
      <c r="BT52" s="971"/>
      <c r="BU52" s="971"/>
      <c r="BV52" s="971"/>
      <c r="BW52" s="971"/>
      <c r="BX52" s="971"/>
      <c r="BY52" s="971"/>
      <c r="BZ52" s="971"/>
      <c r="CA52" s="971"/>
      <c r="CB52" s="971"/>
      <c r="CC52" s="971"/>
      <c r="CD52" s="971"/>
      <c r="CE52" s="971"/>
      <c r="CF52" s="971"/>
      <c r="CG52" s="971"/>
      <c r="CH52" s="971"/>
      <c r="CI52" s="971"/>
      <c r="CJ52" s="971"/>
      <c r="CK52" s="971"/>
      <c r="CL52" s="971"/>
      <c r="CM52" s="971"/>
      <c r="CN52" s="971"/>
      <c r="CO52" s="971"/>
      <c r="CP52" s="971"/>
      <c r="CQ52" s="971"/>
      <c r="CR52" s="971"/>
      <c r="CS52" s="971"/>
      <c r="CT52" s="971"/>
      <c r="CU52" s="971"/>
      <c r="CV52" s="971"/>
      <c r="CW52" s="971"/>
      <c r="CX52" s="971"/>
      <c r="CY52" s="971"/>
      <c r="CZ52" s="971"/>
      <c r="DA52" s="971"/>
      <c r="DB52" s="971"/>
      <c r="DC52" s="971"/>
      <c r="DD52" s="971"/>
      <c r="DE52" s="971"/>
      <c r="DF52" s="971"/>
      <c r="DG52" s="971"/>
      <c r="DH52" s="971"/>
      <c r="DI52" s="971"/>
      <c r="DJ52" s="971"/>
      <c r="DK52" s="971"/>
      <c r="DL52" s="971"/>
      <c r="DM52" s="971"/>
      <c r="DN52" s="971"/>
      <c r="DO52" s="971"/>
      <c r="DP52" s="971"/>
      <c r="DQ52" s="971"/>
      <c r="DR52" s="971"/>
      <c r="DS52" s="971"/>
      <c r="DT52" s="971"/>
      <c r="DU52" s="971"/>
      <c r="DV52" s="971"/>
      <c r="DW52" s="971"/>
      <c r="DX52" s="971"/>
      <c r="DY52" s="971"/>
      <c r="DZ52" s="971"/>
      <c r="EA52" s="971"/>
      <c r="EB52" s="971"/>
      <c r="EC52" s="971"/>
      <c r="ED52" s="971"/>
      <c r="EE52" s="971"/>
      <c r="EF52" s="971"/>
      <c r="EG52" s="971"/>
      <c r="EH52" s="971"/>
      <c r="EI52" s="971"/>
      <c r="EJ52" s="971"/>
      <c r="EK52" s="971"/>
      <c r="EL52" s="971"/>
      <c r="EM52" s="971"/>
      <c r="EN52" s="971"/>
      <c r="EO52" s="971"/>
      <c r="EP52" s="971"/>
      <c r="EQ52" s="971"/>
      <c r="ER52" s="971"/>
      <c r="ES52" s="971"/>
      <c r="ET52" s="971"/>
      <c r="EU52" s="971"/>
      <c r="EV52" s="971"/>
      <c r="EW52" s="971"/>
      <c r="EX52" s="971"/>
      <c r="EY52" s="971"/>
      <c r="EZ52" s="971"/>
      <c r="FA52" s="971"/>
      <c r="FB52" s="971"/>
      <c r="FC52" s="971"/>
      <c r="FD52" s="971"/>
      <c r="FE52" s="971"/>
      <c r="FF52" s="971"/>
      <c r="FG52" s="971"/>
      <c r="FH52" s="971"/>
      <c r="FI52" s="971"/>
      <c r="FJ52" s="971"/>
      <c r="FK52" s="971"/>
      <c r="FL52" s="971"/>
      <c r="FM52" s="971"/>
      <c r="FN52" s="971"/>
      <c r="FO52" s="971"/>
      <c r="FP52" s="971"/>
      <c r="FQ52" s="971"/>
      <c r="FR52" s="971"/>
      <c r="FS52" s="971"/>
      <c r="FT52" s="971"/>
      <c r="FU52" s="971"/>
      <c r="FV52" s="971"/>
      <c r="FW52" s="971"/>
      <c r="FX52" s="971"/>
      <c r="FY52" s="971"/>
      <c r="FZ52" s="971"/>
      <c r="GA52" s="971"/>
      <c r="GB52" s="971"/>
      <c r="GC52" s="971"/>
      <c r="GD52" s="971"/>
      <c r="GE52" s="971"/>
      <c r="GF52" s="971"/>
      <c r="GG52" s="971"/>
      <c r="GH52" s="971"/>
      <c r="GI52" s="971"/>
      <c r="GJ52" s="971"/>
      <c r="GK52" s="971"/>
      <c r="GL52" s="971"/>
      <c r="GM52" s="971"/>
      <c r="GN52" s="971"/>
      <c r="GO52" s="971"/>
      <c r="GP52" s="971"/>
      <c r="GQ52" s="971"/>
      <c r="GR52" s="971"/>
      <c r="GS52" s="971"/>
      <c r="GT52" s="971"/>
      <c r="GU52" s="971"/>
      <c r="GV52" s="971"/>
      <c r="GW52" s="971"/>
      <c r="GX52" s="971"/>
      <c r="GY52" s="971"/>
      <c r="GZ52" s="971"/>
      <c r="HA52" s="971"/>
      <c r="HB52" s="971"/>
      <c r="HC52" s="971"/>
      <c r="HD52" s="971"/>
      <c r="HE52" s="971"/>
      <c r="HF52" s="971"/>
      <c r="HG52" s="971"/>
      <c r="HH52" s="971"/>
      <c r="HI52" s="971"/>
      <c r="HJ52" s="971"/>
      <c r="HK52" s="971"/>
      <c r="HL52" s="971"/>
      <c r="HM52" s="971"/>
      <c r="HN52" s="971"/>
      <c r="HO52" s="971"/>
      <c r="HP52" s="971"/>
      <c r="HQ52" s="971"/>
      <c r="HR52" s="971"/>
      <c r="HS52" s="971"/>
      <c r="HT52" s="971"/>
      <c r="HU52" s="971"/>
      <c r="HV52" s="971"/>
      <c r="HW52" s="971"/>
      <c r="HX52" s="971"/>
      <c r="HY52" s="971"/>
      <c r="HZ52" s="971"/>
      <c r="IA52" s="971"/>
      <c r="IB52" s="971"/>
      <c r="IC52" s="971"/>
      <c r="ID52" s="971"/>
      <c r="IE52" s="971"/>
      <c r="IF52" s="971"/>
      <c r="IG52" s="971"/>
      <c r="IH52" s="971"/>
      <c r="II52" s="971"/>
      <c r="IJ52" s="971"/>
      <c r="IK52" s="971"/>
      <c r="IL52" s="971"/>
      <c r="IM52" s="971"/>
      <c r="IN52" s="971"/>
      <c r="IO52" s="971"/>
      <c r="IP52" s="971"/>
      <c r="IQ52" s="971"/>
      <c r="IR52" s="971"/>
      <c r="IS52" s="971"/>
      <c r="IT52" s="971"/>
      <c r="IU52" s="971"/>
      <c r="IV52" s="971"/>
      <c r="IW52" s="971"/>
      <c r="IX52" s="971"/>
      <c r="IY52" s="971"/>
      <c r="IZ52" s="971"/>
      <c r="JA52" s="971"/>
      <c r="JB52" s="971"/>
      <c r="JC52" s="971"/>
      <c r="JD52" s="971"/>
      <c r="JE52" s="971"/>
      <c r="JF52" s="971"/>
      <c r="JG52" s="971"/>
      <c r="JH52" s="971"/>
      <c r="JI52" s="971"/>
      <c r="JJ52" s="971"/>
      <c r="JK52" s="971"/>
      <c r="JL52" s="971"/>
      <c r="JM52" s="971"/>
      <c r="JN52" s="971"/>
      <c r="JO52" s="971"/>
      <c r="JP52" s="971"/>
      <c r="JQ52" s="971"/>
      <c r="JR52" s="971"/>
      <c r="JS52" s="971"/>
      <c r="JT52" s="971"/>
      <c r="JU52" s="971"/>
      <c r="JV52" s="971"/>
      <c r="JW52" s="971"/>
      <c r="JX52" s="971"/>
      <c r="JY52" s="971"/>
      <c r="JZ52" s="971"/>
      <c r="KA52" s="971"/>
      <c r="KB52" s="971"/>
      <c r="KC52" s="971"/>
      <c r="KD52" s="971"/>
      <c r="KE52" s="971"/>
      <c r="KF52" s="971"/>
      <c r="KG52" s="971"/>
      <c r="KH52" s="971"/>
      <c r="KI52" s="971"/>
      <c r="KJ52" s="971"/>
      <c r="KK52" s="971"/>
      <c r="KL52" s="971"/>
      <c r="KM52" s="971"/>
      <c r="KN52" s="971"/>
      <c r="KO52" s="971"/>
      <c r="KP52" s="971"/>
      <c r="KQ52" s="971"/>
      <c r="KR52" s="971"/>
      <c r="KS52" s="971"/>
      <c r="KT52" s="971"/>
      <c r="KU52" s="971"/>
      <c r="KV52" s="971"/>
      <c r="KW52" s="971"/>
      <c r="KX52" s="971"/>
      <c r="KY52" s="971"/>
      <c r="KZ52" s="971"/>
      <c r="LA52" s="971"/>
      <c r="LB52" s="971"/>
      <c r="LC52" s="971"/>
      <c r="LD52" s="971"/>
      <c r="LE52" s="971"/>
      <c r="LF52" s="971"/>
      <c r="LG52" s="971"/>
      <c r="LH52" s="971"/>
      <c r="LI52" s="971"/>
      <c r="LJ52" s="971"/>
      <c r="LK52" s="971"/>
      <c r="LL52" s="971"/>
      <c r="LM52" s="971"/>
      <c r="LN52" s="971"/>
      <c r="LO52" s="971"/>
      <c r="LP52" s="971"/>
      <c r="LQ52" s="971"/>
      <c r="LR52" s="971"/>
      <c r="LS52" s="971"/>
      <c r="LT52" s="971"/>
      <c r="LU52" s="971"/>
      <c r="LV52" s="971"/>
      <c r="LW52" s="971"/>
      <c r="LX52" s="971"/>
      <c r="LY52" s="971"/>
      <c r="LZ52" s="971"/>
      <c r="MA52" s="971"/>
      <c r="MB52" s="971"/>
      <c r="MC52" s="971"/>
      <c r="MD52" s="971"/>
      <c r="ME52" s="971"/>
      <c r="MF52" s="971"/>
      <c r="MG52" s="971"/>
      <c r="MH52" s="971"/>
      <c r="MI52" s="971"/>
      <c r="MJ52" s="971"/>
      <c r="MK52" s="971"/>
      <c r="ML52" s="971"/>
      <c r="MM52" s="971"/>
      <c r="MN52" s="971"/>
      <c r="MO52" s="971"/>
      <c r="MP52" s="971"/>
      <c r="MQ52" s="971"/>
      <c r="MR52" s="971"/>
      <c r="MS52" s="971"/>
      <c r="MT52" s="971"/>
      <c r="MU52" s="971"/>
      <c r="MV52" s="971"/>
      <c r="MW52" s="971"/>
      <c r="MX52" s="971"/>
      <c r="MY52" s="971"/>
      <c r="MZ52" s="971"/>
      <c r="NA52" s="971"/>
      <c r="NB52" s="971"/>
      <c r="NC52" s="971"/>
      <c r="ND52" s="971"/>
      <c r="NE52" s="971"/>
      <c r="NF52" s="971"/>
      <c r="NG52" s="971"/>
      <c r="NH52" s="971"/>
      <c r="NI52" s="971"/>
      <c r="NJ52" s="971"/>
      <c r="NK52" s="971"/>
      <c r="NL52" s="971"/>
      <c r="NM52" s="971"/>
      <c r="NN52" s="971"/>
      <c r="NO52" s="971"/>
      <c r="NP52" s="971"/>
      <c r="NQ52" s="971"/>
      <c r="NR52" s="971"/>
      <c r="NS52" s="971"/>
      <c r="NT52" s="971"/>
      <c r="NU52" s="971"/>
      <c r="NV52" s="971"/>
      <c r="NW52" s="971"/>
      <c r="NX52" s="971"/>
      <c r="NY52" s="971"/>
      <c r="NZ52" s="971"/>
      <c r="OA52" s="971"/>
      <c r="OB52" s="971"/>
      <c r="OC52" s="971"/>
      <c r="OD52" s="971"/>
      <c r="OE52" s="971"/>
      <c r="OF52" s="971"/>
      <c r="OG52" s="971"/>
      <c r="OH52" s="971"/>
      <c r="OI52" s="971"/>
      <c r="OJ52" s="971"/>
      <c r="OK52" s="971"/>
      <c r="OL52" s="971"/>
      <c r="OM52" s="971"/>
      <c r="ON52" s="971"/>
      <c r="OO52" s="971"/>
      <c r="OP52" s="971"/>
      <c r="OQ52" s="971"/>
      <c r="OR52" s="971"/>
      <c r="OS52" s="971"/>
      <c r="OT52" s="971"/>
      <c r="OU52" s="971"/>
      <c r="OV52" s="971"/>
      <c r="OW52" s="971"/>
      <c r="OX52" s="971"/>
      <c r="OY52" s="971"/>
      <c r="OZ52" s="971"/>
      <c r="PA52" s="971"/>
      <c r="PB52" s="971"/>
      <c r="PC52" s="971"/>
      <c r="PD52" s="971"/>
      <c r="PE52" s="971"/>
      <c r="PF52" s="971"/>
      <c r="PG52" s="971"/>
      <c r="PH52" s="971"/>
      <c r="PI52" s="971"/>
      <c r="PJ52" s="971"/>
      <c r="PK52" s="971"/>
      <c r="PL52" s="971"/>
      <c r="PM52" s="971"/>
      <c r="PN52" s="971"/>
      <c r="PO52" s="971"/>
      <c r="PP52" s="971"/>
      <c r="PQ52" s="971"/>
      <c r="PR52" s="971"/>
      <c r="PS52" s="971"/>
      <c r="PT52" s="971"/>
      <c r="PU52" s="971"/>
      <c r="PV52" s="971"/>
      <c r="PW52" s="971"/>
      <c r="PX52" s="971"/>
      <c r="PY52" s="971"/>
      <c r="PZ52" s="971"/>
      <c r="QA52" s="971"/>
      <c r="QB52" s="971"/>
      <c r="QC52" s="971"/>
      <c r="QD52" s="971"/>
      <c r="QE52" s="971"/>
      <c r="QF52" s="971"/>
      <c r="QG52" s="971"/>
      <c r="QH52" s="971"/>
      <c r="QI52" s="971"/>
      <c r="QJ52" s="971"/>
      <c r="QK52" s="971"/>
      <c r="QL52" s="971"/>
      <c r="QM52" s="971"/>
      <c r="QN52" s="971"/>
      <c r="QO52" s="971"/>
      <c r="QP52" s="971"/>
      <c r="QQ52" s="971"/>
      <c r="QR52" s="971"/>
      <c r="QS52" s="971"/>
      <c r="QT52" s="971"/>
      <c r="QU52" s="971"/>
      <c r="QV52" s="971"/>
      <c r="QW52" s="971"/>
      <c r="QX52" s="971"/>
      <c r="QY52" s="971"/>
      <c r="QZ52" s="971"/>
      <c r="RA52" s="971"/>
      <c r="RB52" s="971"/>
      <c r="RC52" s="971"/>
      <c r="RD52" s="971"/>
      <c r="RE52" s="971"/>
      <c r="RF52" s="971"/>
      <c r="RG52" s="971"/>
      <c r="RH52" s="971"/>
      <c r="RI52" s="971"/>
      <c r="RJ52" s="971"/>
      <c r="RK52" s="971"/>
      <c r="RL52" s="971"/>
      <c r="RM52" s="971"/>
      <c r="RN52" s="971"/>
      <c r="RO52" s="971"/>
      <c r="RP52" s="971"/>
      <c r="RQ52" s="971"/>
      <c r="RR52" s="971"/>
      <c r="RS52" s="971"/>
      <c r="RT52" s="971"/>
      <c r="RU52" s="971"/>
      <c r="RV52" s="971"/>
      <c r="RW52" s="971"/>
      <c r="RX52" s="971"/>
      <c r="RY52" s="971"/>
      <c r="RZ52" s="971"/>
      <c r="SA52" s="971"/>
      <c r="SB52" s="971"/>
      <c r="SC52" s="971"/>
      <c r="SD52" s="971"/>
      <c r="SE52" s="971"/>
      <c r="SF52" s="971"/>
      <c r="SG52" s="971"/>
      <c r="SH52" s="971"/>
      <c r="SI52" s="971"/>
      <c r="SJ52" s="971"/>
      <c r="SK52" s="971"/>
      <c r="SL52" s="971"/>
      <c r="SM52" s="971"/>
      <c r="SN52" s="971"/>
      <c r="SO52" s="971"/>
      <c r="SP52" s="971"/>
      <c r="SQ52" s="971"/>
      <c r="SR52" s="971"/>
    </row>
    <row r="53" spans="1:512" ht="15" customHeight="1">
      <c r="A53" t="s">
        <v>2216</v>
      </c>
      <c r="B53"/>
      <c r="C53"/>
      <c r="D53"/>
      <c r="E53"/>
      <c r="F53"/>
      <c r="G53" s="972"/>
      <c r="H53" s="972"/>
      <c r="I53" s="972"/>
      <c r="J53" s="972"/>
      <c r="K53" s="972"/>
      <c r="L53" s="972"/>
      <c r="M53" s="972"/>
      <c r="N53" s="972"/>
      <c r="O53" s="972"/>
      <c r="P53" s="972"/>
      <c r="Q53" s="972"/>
      <c r="R53" s="972"/>
      <c r="S53" s="972"/>
      <c r="T53" s="972"/>
      <c r="U53" s="1016"/>
      <c r="V53" s="1016"/>
      <c r="W53" s="1016"/>
      <c r="X53" s="1016"/>
      <c r="Y53" s="1016"/>
      <c r="Z53" s="1016"/>
      <c r="AA53" s="1016"/>
      <c r="AB53" s="1016"/>
      <c r="AC53" s="1016"/>
      <c r="AD53" s="1016"/>
      <c r="AE53" s="1016"/>
      <c r="AF53" s="1016"/>
      <c r="AG53" s="1016"/>
      <c r="AH53" s="1016"/>
      <c r="AI53" s="1016"/>
      <c r="AJ53" s="1016"/>
      <c r="AK53" s="1016"/>
      <c r="AL53" s="1016"/>
      <c r="AM53" s="1016"/>
      <c r="AN53" s="1016"/>
      <c r="AO53" s="1016"/>
      <c r="AP53" s="1016"/>
      <c r="AQ53" s="1016"/>
      <c r="AR53" s="1016"/>
      <c r="AS53" s="1016"/>
      <c r="AT53" s="1016"/>
      <c r="AU53" s="1016"/>
      <c r="AV53" s="1016"/>
      <c r="AW53" s="1016"/>
      <c r="AX53" s="1016"/>
      <c r="AY53" s="1016"/>
      <c r="AZ53" s="1016"/>
      <c r="BA53" s="1016"/>
      <c r="BB53" s="1016"/>
      <c r="BC53" s="1016"/>
      <c r="BD53" s="1016"/>
      <c r="BE53" s="1016"/>
      <c r="BF53" s="971"/>
      <c r="BG53" s="971"/>
      <c r="BH53" s="971"/>
      <c r="BI53" s="971"/>
      <c r="BJ53" s="971"/>
      <c r="BK53" s="971"/>
      <c r="BL53" s="971"/>
      <c r="BM53" s="971"/>
      <c r="BN53" s="971"/>
      <c r="BO53" s="971"/>
      <c r="BP53" s="971"/>
      <c r="BQ53" s="971"/>
      <c r="BR53" s="971"/>
      <c r="BS53" s="971"/>
      <c r="BT53" s="971"/>
      <c r="BU53" s="971"/>
      <c r="BV53" s="971"/>
      <c r="BW53" s="971"/>
      <c r="BX53" s="971"/>
      <c r="BY53" s="971"/>
      <c r="BZ53" s="971"/>
      <c r="CA53" s="971"/>
      <c r="CB53" s="971"/>
      <c r="CC53" s="971"/>
      <c r="CD53" s="971"/>
      <c r="CE53" s="971"/>
      <c r="CF53" s="971"/>
      <c r="CG53" s="971"/>
      <c r="CH53" s="971"/>
      <c r="CI53" s="971"/>
      <c r="CJ53" s="971"/>
      <c r="CK53" s="971"/>
      <c r="CL53" s="971"/>
      <c r="CM53" s="971"/>
      <c r="CN53" s="971"/>
      <c r="CO53" s="971"/>
      <c r="CP53" s="971"/>
      <c r="CQ53" s="971"/>
      <c r="CR53" s="971"/>
      <c r="CS53" s="971"/>
      <c r="CT53" s="971"/>
      <c r="CU53" s="971"/>
      <c r="CV53" s="971"/>
      <c r="CW53" s="971"/>
      <c r="CX53" s="971"/>
      <c r="CY53" s="971"/>
      <c r="CZ53" s="971"/>
      <c r="DA53" s="971"/>
      <c r="DB53" s="971"/>
      <c r="DC53" s="971"/>
      <c r="DD53" s="971"/>
      <c r="DE53" s="971"/>
      <c r="DF53" s="971"/>
      <c r="DG53" s="971"/>
      <c r="DH53" s="971"/>
      <c r="DI53" s="971"/>
      <c r="DJ53" s="971"/>
      <c r="DK53" s="971"/>
      <c r="DL53" s="971"/>
      <c r="DM53" s="971"/>
      <c r="DN53" s="971"/>
      <c r="DO53" s="971"/>
      <c r="DP53" s="971"/>
      <c r="DQ53" s="971"/>
      <c r="DR53" s="971"/>
      <c r="DS53" s="971"/>
      <c r="DT53" s="971"/>
      <c r="DU53" s="971"/>
      <c r="DV53" s="971"/>
      <c r="DW53" s="971"/>
      <c r="DX53" s="971"/>
      <c r="DY53" s="971"/>
      <c r="DZ53" s="971"/>
      <c r="EA53" s="971"/>
      <c r="EB53" s="971"/>
      <c r="EC53" s="971"/>
      <c r="ED53" s="971"/>
      <c r="EE53" s="971"/>
      <c r="EF53" s="971"/>
      <c r="EG53" s="971"/>
      <c r="EH53" s="971"/>
      <c r="EI53" s="971"/>
      <c r="EJ53" s="971"/>
      <c r="EK53" s="971"/>
      <c r="EL53" s="971"/>
      <c r="EM53" s="971"/>
      <c r="EN53" s="971"/>
      <c r="EO53" s="971"/>
      <c r="EP53" s="971"/>
      <c r="EQ53" s="971"/>
      <c r="ER53" s="971"/>
      <c r="ES53" s="971"/>
      <c r="ET53" s="971"/>
      <c r="EU53" s="971"/>
      <c r="EV53" s="971"/>
      <c r="EW53" s="971"/>
      <c r="EX53" s="971"/>
      <c r="EY53" s="971"/>
      <c r="EZ53" s="971"/>
      <c r="FA53" s="971"/>
      <c r="FB53" s="971"/>
      <c r="FC53" s="971"/>
      <c r="FD53" s="971"/>
      <c r="FE53" s="971"/>
      <c r="FF53" s="971"/>
      <c r="FG53" s="971"/>
      <c r="FH53" s="971"/>
      <c r="FI53" s="971"/>
      <c r="FJ53" s="971"/>
      <c r="FK53" s="971"/>
      <c r="FL53" s="971"/>
      <c r="FM53" s="971"/>
      <c r="FN53" s="971"/>
      <c r="FO53" s="971"/>
      <c r="FP53" s="971"/>
      <c r="FQ53" s="971"/>
      <c r="FR53" s="971"/>
      <c r="FS53" s="971"/>
      <c r="FT53" s="971"/>
      <c r="FU53" s="971"/>
      <c r="FV53" s="971"/>
      <c r="FW53" s="971"/>
      <c r="FX53" s="971"/>
      <c r="FY53" s="971"/>
      <c r="FZ53" s="971"/>
      <c r="GA53" s="971"/>
      <c r="GB53" s="971"/>
      <c r="GC53" s="971"/>
      <c r="GD53" s="971"/>
      <c r="GE53" s="971"/>
      <c r="GF53" s="971"/>
      <c r="GG53" s="971"/>
      <c r="GH53" s="971"/>
      <c r="GI53" s="971"/>
      <c r="GJ53" s="971"/>
      <c r="GK53" s="971"/>
      <c r="GL53" s="971"/>
      <c r="GM53" s="971"/>
      <c r="GN53" s="971"/>
      <c r="GO53" s="971"/>
      <c r="GP53" s="971"/>
      <c r="GQ53" s="971"/>
      <c r="GR53" s="971"/>
      <c r="GS53" s="971"/>
      <c r="GT53" s="971"/>
      <c r="GU53" s="971"/>
      <c r="GV53" s="971"/>
      <c r="GW53" s="971"/>
      <c r="GX53" s="971"/>
      <c r="GY53" s="971"/>
      <c r="GZ53" s="971"/>
      <c r="HA53" s="971"/>
      <c r="HB53" s="971"/>
      <c r="HC53" s="971"/>
      <c r="HD53" s="971"/>
      <c r="HE53" s="971"/>
      <c r="HF53" s="971"/>
      <c r="HG53" s="971"/>
      <c r="HH53" s="971"/>
      <c r="HI53" s="971"/>
      <c r="HJ53" s="971"/>
      <c r="HK53" s="971"/>
      <c r="HL53" s="971"/>
      <c r="HM53" s="971"/>
      <c r="HN53" s="971"/>
      <c r="HO53" s="971"/>
      <c r="HP53" s="971"/>
      <c r="HQ53" s="971"/>
      <c r="HR53" s="971"/>
      <c r="HS53" s="971"/>
      <c r="HT53" s="971"/>
      <c r="HU53" s="971"/>
      <c r="HV53" s="971"/>
      <c r="HW53" s="971"/>
      <c r="HX53" s="971"/>
      <c r="HY53" s="971"/>
      <c r="HZ53" s="971"/>
      <c r="IA53" s="971"/>
      <c r="IB53" s="971"/>
      <c r="IC53" s="971"/>
      <c r="ID53" s="971"/>
      <c r="IE53" s="971"/>
      <c r="IF53" s="971"/>
      <c r="IG53" s="971"/>
      <c r="IH53" s="971"/>
      <c r="II53" s="971"/>
      <c r="IJ53" s="971"/>
      <c r="IK53" s="971"/>
      <c r="IL53" s="971"/>
      <c r="IM53" s="971"/>
      <c r="IN53" s="971"/>
      <c r="IO53" s="971"/>
      <c r="IP53" s="971"/>
      <c r="IQ53" s="971"/>
      <c r="IR53" s="971"/>
      <c r="IS53" s="971"/>
      <c r="IT53" s="971"/>
      <c r="IU53" s="971"/>
      <c r="IV53" s="971"/>
      <c r="IW53" s="971"/>
      <c r="IX53" s="971"/>
      <c r="IY53" s="971"/>
      <c r="IZ53" s="971"/>
      <c r="JA53" s="971"/>
      <c r="JB53" s="971"/>
      <c r="JC53" s="971"/>
      <c r="JD53" s="971"/>
      <c r="JE53" s="971"/>
      <c r="JF53" s="971"/>
      <c r="JG53" s="971"/>
      <c r="JH53" s="971"/>
      <c r="JI53" s="971"/>
      <c r="JJ53" s="971"/>
      <c r="JK53" s="971"/>
      <c r="JL53" s="971"/>
      <c r="JM53" s="971"/>
      <c r="JN53" s="971"/>
      <c r="JO53" s="971"/>
      <c r="JP53" s="971"/>
      <c r="JQ53" s="971"/>
      <c r="JR53" s="971"/>
      <c r="JS53" s="971"/>
      <c r="JT53" s="971"/>
      <c r="JU53" s="971"/>
      <c r="JV53" s="971"/>
      <c r="JW53" s="971"/>
      <c r="JX53" s="971"/>
      <c r="JY53" s="971"/>
      <c r="JZ53" s="971"/>
      <c r="KA53" s="971"/>
      <c r="KB53" s="971"/>
      <c r="KC53" s="971"/>
      <c r="KD53" s="971"/>
      <c r="KE53" s="971"/>
      <c r="KF53" s="971"/>
      <c r="KG53" s="971"/>
      <c r="KH53" s="971"/>
      <c r="KI53" s="971"/>
      <c r="KJ53" s="971"/>
      <c r="KK53" s="971"/>
      <c r="KL53" s="971"/>
      <c r="KM53" s="971"/>
      <c r="KN53" s="971"/>
      <c r="KO53" s="971"/>
      <c r="KP53" s="971"/>
      <c r="KQ53" s="971"/>
      <c r="KR53" s="971"/>
      <c r="KS53" s="971"/>
      <c r="KT53" s="971"/>
      <c r="KU53" s="971"/>
      <c r="KV53" s="971"/>
      <c r="KW53" s="971"/>
      <c r="KX53" s="971"/>
      <c r="KY53" s="971"/>
      <c r="KZ53" s="971"/>
      <c r="LA53" s="971"/>
      <c r="LB53" s="971"/>
      <c r="LC53" s="971"/>
      <c r="LD53" s="971"/>
      <c r="LE53" s="971"/>
      <c r="LF53" s="971"/>
      <c r="LG53" s="971"/>
      <c r="LH53" s="971"/>
      <c r="LI53" s="971"/>
      <c r="LJ53" s="971"/>
      <c r="LK53" s="971"/>
      <c r="LL53" s="971"/>
      <c r="LM53" s="971"/>
      <c r="LN53" s="971"/>
      <c r="LO53" s="971"/>
      <c r="LP53" s="971"/>
      <c r="LQ53" s="971"/>
      <c r="LR53" s="971"/>
      <c r="LS53" s="971"/>
      <c r="LT53" s="971"/>
      <c r="LU53" s="971"/>
      <c r="LV53" s="971"/>
      <c r="LW53" s="971"/>
      <c r="LX53" s="971"/>
      <c r="LY53" s="971"/>
      <c r="LZ53" s="971"/>
      <c r="MA53" s="971"/>
      <c r="MB53" s="971"/>
      <c r="MC53" s="971"/>
      <c r="MD53" s="971"/>
      <c r="ME53" s="971"/>
      <c r="MF53" s="971"/>
      <c r="MG53" s="971"/>
      <c r="MH53" s="971"/>
      <c r="MI53" s="971"/>
      <c r="MJ53" s="971"/>
      <c r="MK53" s="971"/>
      <c r="ML53" s="971"/>
      <c r="MM53" s="971"/>
      <c r="MN53" s="971"/>
      <c r="MO53" s="971"/>
      <c r="MP53" s="971"/>
      <c r="MQ53" s="971"/>
      <c r="MR53" s="971"/>
      <c r="MS53" s="971"/>
      <c r="MT53" s="971"/>
      <c r="MU53" s="971"/>
      <c r="MV53" s="971"/>
      <c r="MW53" s="971"/>
      <c r="MX53" s="971"/>
      <c r="MY53" s="971"/>
      <c r="MZ53" s="971"/>
      <c r="NA53" s="971"/>
      <c r="NB53" s="971"/>
      <c r="NC53" s="971"/>
      <c r="ND53" s="971"/>
      <c r="NE53" s="971"/>
      <c r="NF53" s="971"/>
      <c r="NG53" s="971"/>
      <c r="NH53" s="971"/>
      <c r="NI53" s="971"/>
      <c r="NJ53" s="971"/>
      <c r="NK53" s="971"/>
      <c r="NL53" s="971"/>
      <c r="NM53" s="971"/>
      <c r="NN53" s="971"/>
      <c r="NO53" s="971"/>
      <c r="NP53" s="971"/>
      <c r="NQ53" s="971"/>
      <c r="NR53" s="971"/>
      <c r="NS53" s="971"/>
      <c r="NT53" s="971"/>
      <c r="NU53" s="971"/>
      <c r="NV53" s="971"/>
      <c r="NW53" s="971"/>
      <c r="NX53" s="971"/>
      <c r="NY53" s="971"/>
      <c r="NZ53" s="971"/>
      <c r="OA53" s="971"/>
      <c r="OB53" s="971"/>
      <c r="OC53" s="971"/>
      <c r="OD53" s="971"/>
      <c r="OE53" s="971"/>
      <c r="OF53" s="971"/>
      <c r="OG53" s="971"/>
      <c r="OH53" s="971"/>
      <c r="OI53" s="971"/>
      <c r="OJ53" s="971"/>
      <c r="OK53" s="971"/>
      <c r="OL53" s="971"/>
      <c r="OM53" s="971"/>
      <c r="ON53" s="971"/>
      <c r="OO53" s="971"/>
      <c r="OP53" s="971"/>
      <c r="OQ53" s="971"/>
      <c r="OR53" s="971"/>
      <c r="OS53" s="971"/>
      <c r="OT53" s="971"/>
      <c r="OU53" s="971"/>
      <c r="OV53" s="971"/>
      <c r="OW53" s="971"/>
      <c r="OX53" s="971"/>
      <c r="OY53" s="971"/>
      <c r="OZ53" s="971"/>
      <c r="PA53" s="971"/>
      <c r="PB53" s="971"/>
      <c r="PC53" s="971"/>
      <c r="PD53" s="971"/>
      <c r="PE53" s="971"/>
      <c r="PF53" s="971"/>
      <c r="PG53" s="971"/>
      <c r="PH53" s="971"/>
      <c r="PI53" s="971"/>
      <c r="PJ53" s="971"/>
      <c r="PK53" s="971"/>
      <c r="PL53" s="971"/>
      <c r="PM53" s="971"/>
      <c r="PN53" s="971"/>
      <c r="PO53" s="971"/>
      <c r="PP53" s="971"/>
      <c r="PQ53" s="971"/>
      <c r="PR53" s="971"/>
      <c r="PS53" s="971"/>
      <c r="PT53" s="971"/>
      <c r="PU53" s="971"/>
      <c r="PV53" s="971"/>
      <c r="PW53" s="971"/>
      <c r="PX53" s="971"/>
      <c r="PY53" s="971"/>
      <c r="PZ53" s="971"/>
      <c r="QA53" s="971"/>
      <c r="QB53" s="971"/>
      <c r="QC53" s="971"/>
      <c r="QD53" s="971"/>
      <c r="QE53" s="971"/>
      <c r="QF53" s="971"/>
      <c r="QG53" s="971"/>
      <c r="QH53" s="971"/>
      <c r="QI53" s="971"/>
      <c r="QJ53" s="971"/>
      <c r="QK53" s="971"/>
      <c r="QL53" s="971"/>
      <c r="QM53" s="971"/>
      <c r="QN53" s="971"/>
      <c r="QO53" s="971"/>
      <c r="QP53" s="971"/>
      <c r="QQ53" s="971"/>
      <c r="QR53" s="971"/>
      <c r="QS53" s="971"/>
      <c r="QT53" s="971"/>
      <c r="QU53" s="971"/>
      <c r="QV53" s="971"/>
      <c r="QW53" s="971"/>
      <c r="QX53" s="971"/>
      <c r="QY53" s="971"/>
      <c r="QZ53" s="971"/>
      <c r="RA53" s="971"/>
      <c r="RB53" s="971"/>
      <c r="RC53" s="971"/>
      <c r="RD53" s="971"/>
      <c r="RE53" s="971"/>
      <c r="RF53" s="971"/>
      <c r="RG53" s="971"/>
      <c r="RH53" s="971"/>
      <c r="RI53" s="971"/>
      <c r="RJ53" s="971"/>
      <c r="RK53" s="971"/>
      <c r="RL53" s="971"/>
      <c r="RM53" s="971"/>
      <c r="RN53" s="971"/>
      <c r="RO53" s="971"/>
      <c r="RP53" s="971"/>
      <c r="RQ53" s="971"/>
      <c r="RR53" s="971"/>
      <c r="RS53" s="971"/>
      <c r="RT53" s="971"/>
      <c r="RU53" s="971"/>
      <c r="RV53" s="971"/>
      <c r="RW53" s="971"/>
      <c r="RX53" s="971"/>
      <c r="RY53" s="971"/>
      <c r="RZ53" s="971"/>
      <c r="SA53" s="971"/>
      <c r="SB53" s="971"/>
      <c r="SC53" s="971"/>
      <c r="SD53" s="971"/>
      <c r="SE53" s="971"/>
      <c r="SF53" s="971"/>
      <c r="SG53" s="971"/>
      <c r="SH53" s="971"/>
      <c r="SI53" s="971"/>
      <c r="SJ53" s="971"/>
      <c r="SK53" s="971"/>
      <c r="SL53" s="971"/>
      <c r="SM53" s="971"/>
      <c r="SN53" s="971"/>
      <c r="SO53" s="971"/>
      <c r="SP53" s="971"/>
      <c r="SQ53" s="971"/>
      <c r="SR53" s="971"/>
    </row>
    <row r="54" spans="1:512" ht="15" customHeight="1">
      <c r="A54"/>
      <c r="B54" t="s">
        <v>2217</v>
      </c>
      <c r="C54"/>
      <c r="D54"/>
      <c r="E54" t="s">
        <v>237</v>
      </c>
      <c r="F54"/>
      <c r="G54" s="970">
        <v>0</v>
      </c>
      <c r="H54" s="1012">
        <v>0</v>
      </c>
      <c r="I54" s="970"/>
      <c r="J54" s="970"/>
      <c r="K54" s="970"/>
      <c r="L54" s="970"/>
      <c r="M54" s="970"/>
      <c r="N54" s="970"/>
      <c r="O54" s="970"/>
      <c r="P54" s="970"/>
      <c r="Q54" s="970"/>
      <c r="R54" s="970"/>
      <c r="S54" s="970"/>
      <c r="T54" s="970"/>
      <c r="U54" s="970"/>
      <c r="V54" s="970"/>
      <c r="W54" s="970"/>
      <c r="X54" s="970"/>
      <c r="Y54" s="970"/>
      <c r="Z54" s="970"/>
      <c r="AA54" s="970"/>
      <c r="AB54" s="970"/>
      <c r="AC54" s="970"/>
      <c r="AD54" s="970"/>
      <c r="AE54" s="970"/>
      <c r="AF54" s="970"/>
      <c r="AG54" s="970"/>
      <c r="AH54" s="970"/>
      <c r="AI54" s="970"/>
      <c r="AJ54" s="970"/>
      <c r="AK54" s="970"/>
      <c r="AL54" s="970"/>
      <c r="AM54" s="970"/>
      <c r="AN54" s="970"/>
      <c r="AO54" s="970"/>
      <c r="AP54" s="970"/>
      <c r="AQ54" s="970"/>
      <c r="AR54" s="970"/>
      <c r="AS54" s="970"/>
      <c r="AT54" s="970"/>
      <c r="AU54" s="970"/>
      <c r="AV54" s="970"/>
      <c r="AW54" s="970"/>
      <c r="AX54" s="970"/>
      <c r="AY54" s="970"/>
      <c r="AZ54" s="970"/>
      <c r="BA54" s="970"/>
      <c r="BB54" s="970"/>
      <c r="BC54" s="970"/>
      <c r="BD54" s="970"/>
      <c r="BE54" s="970"/>
      <c r="BF54" s="970"/>
      <c r="BG54" s="970"/>
      <c r="BH54" s="970"/>
      <c r="BI54" s="970"/>
      <c r="BJ54" s="970"/>
      <c r="BK54" s="970"/>
      <c r="BL54" s="970"/>
      <c r="BM54" s="970"/>
      <c r="BN54" s="970"/>
      <c r="BO54" s="970"/>
      <c r="BP54" s="970"/>
      <c r="BQ54" s="970"/>
      <c r="BR54" s="970"/>
      <c r="BS54" s="970"/>
      <c r="BT54" s="970"/>
      <c r="BU54" s="970"/>
      <c r="BV54" s="970"/>
      <c r="BW54" s="970"/>
      <c r="BX54" s="970"/>
      <c r="BY54" s="970"/>
      <c r="BZ54" s="970"/>
      <c r="CA54" s="970"/>
      <c r="CB54" s="970"/>
      <c r="CC54" s="970"/>
      <c r="CD54" s="970"/>
      <c r="CE54" s="970"/>
      <c r="CF54" s="970"/>
      <c r="CG54" s="970"/>
      <c r="CH54" s="970"/>
      <c r="CI54" s="970"/>
      <c r="CJ54" s="970"/>
      <c r="CK54" s="970"/>
      <c r="CL54" s="970"/>
      <c r="CM54" s="970"/>
      <c r="CN54" s="970"/>
      <c r="CO54" s="970"/>
      <c r="CP54" s="970"/>
      <c r="CQ54" s="970"/>
      <c r="CR54" s="970"/>
      <c r="CS54" s="970"/>
      <c r="CT54" s="970"/>
      <c r="CU54" s="970"/>
      <c r="CV54" s="970"/>
      <c r="CW54" s="970"/>
      <c r="CX54" s="970"/>
      <c r="CY54" s="970"/>
      <c r="CZ54" s="970"/>
      <c r="DA54" s="970"/>
      <c r="DB54" s="970"/>
      <c r="DC54" s="970"/>
      <c r="DD54" s="970"/>
      <c r="DE54" s="970"/>
      <c r="DF54" s="970"/>
      <c r="DG54" s="970"/>
      <c r="DH54" s="970"/>
      <c r="DI54" s="970"/>
      <c r="DJ54" s="970"/>
      <c r="DK54" s="970"/>
      <c r="DL54" s="970"/>
      <c r="DM54" s="970"/>
      <c r="DN54" s="970"/>
      <c r="DO54" s="970"/>
      <c r="DP54" s="970"/>
      <c r="DQ54" s="970"/>
      <c r="DR54" s="970"/>
      <c r="DS54" s="970"/>
      <c r="DT54" s="970"/>
      <c r="DU54" s="970"/>
      <c r="DV54" s="970"/>
      <c r="DW54" s="970"/>
      <c r="DX54" s="970"/>
      <c r="DY54" s="970"/>
      <c r="DZ54" s="970"/>
      <c r="EA54" s="970"/>
      <c r="EB54" s="970"/>
      <c r="EC54" s="970"/>
      <c r="ED54" s="970"/>
      <c r="EE54" s="970"/>
      <c r="EF54" s="970"/>
      <c r="EG54" s="970"/>
      <c r="EH54" s="970"/>
      <c r="EI54" s="970"/>
      <c r="EJ54" s="970"/>
      <c r="EK54" s="970"/>
      <c r="EL54" s="970"/>
      <c r="EM54" s="970"/>
      <c r="EN54" s="970"/>
      <c r="EO54" s="970"/>
      <c r="EP54" s="970"/>
      <c r="EQ54" s="970"/>
      <c r="ER54" s="970"/>
      <c r="ES54" s="970"/>
      <c r="ET54" s="970"/>
      <c r="EU54" s="970"/>
      <c r="EV54" s="970"/>
      <c r="EW54" s="970"/>
      <c r="EX54" s="970"/>
      <c r="EY54" s="970"/>
      <c r="EZ54" s="970"/>
      <c r="FA54" s="970"/>
      <c r="FB54" s="970"/>
      <c r="FC54" s="970"/>
      <c r="FD54" s="970"/>
      <c r="FE54" s="970"/>
      <c r="FF54" s="970"/>
      <c r="FG54" s="970"/>
      <c r="FH54" s="970"/>
      <c r="FI54" s="970"/>
      <c r="FJ54" s="970"/>
      <c r="FK54" s="970"/>
      <c r="FL54" s="970"/>
      <c r="FM54" s="970"/>
      <c r="FN54" s="970"/>
      <c r="FO54" s="970"/>
      <c r="FP54" s="970"/>
      <c r="FQ54" s="970"/>
      <c r="FR54" s="970"/>
      <c r="FS54" s="970"/>
      <c r="FT54" s="970"/>
      <c r="FU54" s="970"/>
      <c r="FV54" s="970"/>
      <c r="FW54" s="970"/>
      <c r="FX54" s="970"/>
      <c r="FY54" s="970"/>
      <c r="FZ54" s="970"/>
      <c r="GA54" s="970"/>
      <c r="GB54" s="970"/>
      <c r="GC54" s="970"/>
      <c r="GD54" s="970"/>
      <c r="GE54" s="970"/>
      <c r="GF54" s="970"/>
      <c r="GG54" s="970"/>
      <c r="GH54" s="970"/>
      <c r="GI54" s="970"/>
      <c r="GJ54" s="970"/>
      <c r="GK54" s="970"/>
      <c r="GL54" s="970"/>
      <c r="GM54" s="970"/>
      <c r="GN54" s="970"/>
      <c r="GO54" s="970"/>
      <c r="GP54" s="970"/>
      <c r="GQ54" s="970"/>
      <c r="GR54" s="970"/>
      <c r="GS54" s="970"/>
      <c r="GT54" s="970"/>
      <c r="GU54" s="970"/>
      <c r="GV54" s="970"/>
      <c r="GW54" s="970"/>
      <c r="GX54" s="970"/>
      <c r="GY54" s="970"/>
      <c r="GZ54" s="970"/>
      <c r="HA54" s="970"/>
      <c r="HB54" s="970"/>
      <c r="HC54" s="970"/>
      <c r="HD54" s="970"/>
      <c r="HE54" s="970"/>
      <c r="HF54" s="970"/>
      <c r="HG54" s="970"/>
      <c r="HH54" s="970"/>
      <c r="HI54" s="970"/>
      <c r="HJ54" s="970"/>
      <c r="HK54" s="970"/>
      <c r="HL54" s="970"/>
      <c r="HM54" s="970"/>
      <c r="HN54" s="970"/>
      <c r="HO54" s="970"/>
      <c r="HP54" s="970"/>
      <c r="HQ54" s="970"/>
      <c r="HR54" s="970"/>
      <c r="HS54" s="970"/>
      <c r="HT54" s="970"/>
      <c r="HU54" s="970"/>
      <c r="HV54" s="970"/>
      <c r="HW54" s="970"/>
      <c r="HX54" s="970"/>
      <c r="HY54" s="970"/>
      <c r="HZ54" s="970"/>
      <c r="IA54" s="970"/>
      <c r="IB54" s="970"/>
      <c r="IC54" s="970"/>
      <c r="ID54" s="970"/>
      <c r="IE54" s="970"/>
      <c r="IF54" s="970"/>
      <c r="IG54" s="970"/>
      <c r="IH54" s="970"/>
      <c r="II54" s="970"/>
      <c r="IJ54" s="970"/>
      <c r="IK54" s="970"/>
      <c r="IL54" s="970"/>
      <c r="IM54" s="970"/>
      <c r="IN54" s="970"/>
      <c r="IO54" s="970"/>
      <c r="IP54" s="970"/>
      <c r="IQ54" s="970"/>
      <c r="IR54" s="970"/>
      <c r="IS54" s="970"/>
      <c r="IT54" s="970"/>
      <c r="IU54" s="970"/>
      <c r="IV54" s="970"/>
      <c r="IW54" s="970"/>
      <c r="IX54" s="970"/>
      <c r="IY54" s="970"/>
      <c r="IZ54" s="970"/>
      <c r="JA54" s="970"/>
      <c r="JB54" s="970"/>
      <c r="JC54" s="970"/>
      <c r="JD54" s="970"/>
      <c r="JE54" s="970"/>
      <c r="JF54" s="970"/>
      <c r="JG54" s="970"/>
      <c r="JH54" s="970"/>
      <c r="JI54" s="970"/>
      <c r="JJ54" s="970"/>
      <c r="JK54" s="970"/>
      <c r="JL54" s="970"/>
      <c r="JM54" s="970"/>
      <c r="JN54" s="970"/>
      <c r="JO54" s="970"/>
      <c r="JP54" s="970"/>
      <c r="JQ54" s="970"/>
      <c r="JR54" s="970"/>
      <c r="JS54" s="970"/>
      <c r="JT54" s="970"/>
      <c r="JU54" s="970"/>
      <c r="JV54" s="970"/>
      <c r="JW54" s="970"/>
      <c r="JX54" s="970"/>
      <c r="JY54" s="970"/>
      <c r="JZ54" s="970"/>
      <c r="KA54" s="970"/>
      <c r="KB54" s="970"/>
      <c r="KC54" s="970"/>
      <c r="KD54" s="970"/>
      <c r="KE54" s="970"/>
      <c r="KF54" s="970"/>
      <c r="KG54" s="970"/>
      <c r="KH54" s="970"/>
      <c r="KI54" s="970"/>
      <c r="KJ54" s="970"/>
      <c r="KK54" s="970"/>
      <c r="KL54" s="970"/>
      <c r="KM54" s="970"/>
      <c r="KN54" s="970"/>
      <c r="KO54" s="970"/>
      <c r="KP54" s="970"/>
      <c r="KQ54" s="970"/>
      <c r="KR54" s="970"/>
      <c r="KS54" s="970"/>
      <c r="KT54" s="970"/>
      <c r="KU54" s="970"/>
      <c r="KV54" s="970"/>
      <c r="KW54" s="970"/>
      <c r="KX54" s="970"/>
      <c r="KY54" s="970"/>
      <c r="KZ54" s="970"/>
      <c r="LA54" s="970"/>
      <c r="LB54" s="970"/>
      <c r="LC54" s="970"/>
      <c r="LD54" s="970"/>
      <c r="LE54" s="970"/>
      <c r="LF54" s="970"/>
      <c r="LG54" s="970"/>
      <c r="LH54" s="970"/>
      <c r="LI54" s="970"/>
      <c r="LJ54" s="970"/>
      <c r="LK54" s="970"/>
      <c r="LL54" s="970"/>
      <c r="LM54" s="970"/>
      <c r="LN54" s="970"/>
      <c r="LO54" s="970"/>
      <c r="LP54" s="970"/>
      <c r="LQ54" s="970"/>
      <c r="LR54" s="970"/>
      <c r="LS54" s="970"/>
      <c r="LT54" s="970"/>
      <c r="LU54" s="970"/>
      <c r="LV54" s="970"/>
      <c r="LW54" s="970"/>
      <c r="LX54" s="970"/>
      <c r="LY54" s="970"/>
      <c r="LZ54" s="970"/>
      <c r="MA54" s="970"/>
      <c r="MB54" s="970"/>
      <c r="MC54" s="970"/>
      <c r="MD54" s="970"/>
      <c r="ME54" s="970"/>
      <c r="MF54" s="970"/>
      <c r="MG54" s="970"/>
      <c r="MH54" s="970"/>
      <c r="MI54" s="970"/>
      <c r="MJ54" s="970"/>
      <c r="MK54" s="970"/>
      <c r="ML54" s="970"/>
      <c r="MM54" s="970"/>
      <c r="MN54" s="970"/>
      <c r="MO54" s="970"/>
      <c r="MP54" s="970"/>
      <c r="MQ54" s="970"/>
      <c r="MR54" s="970"/>
      <c r="MS54" s="970"/>
      <c r="MT54" s="970"/>
      <c r="MU54" s="970"/>
      <c r="MV54" s="970"/>
      <c r="MW54" s="970"/>
      <c r="MX54" s="970"/>
      <c r="MY54" s="970"/>
      <c r="MZ54" s="970"/>
      <c r="NA54" s="970"/>
      <c r="NB54" s="970"/>
      <c r="NC54" s="970"/>
      <c r="ND54" s="970"/>
      <c r="NE54" s="970"/>
      <c r="NF54" s="970"/>
      <c r="NG54" s="970"/>
      <c r="NH54" s="970"/>
      <c r="NI54" s="970"/>
      <c r="NJ54" s="970"/>
      <c r="NK54" s="970"/>
      <c r="NL54" s="970"/>
      <c r="NM54" s="970"/>
      <c r="NN54" s="970"/>
      <c r="NO54" s="970"/>
      <c r="NP54" s="970"/>
      <c r="NQ54" s="970"/>
      <c r="NR54" s="970"/>
      <c r="NS54" s="970"/>
      <c r="NT54" s="970"/>
      <c r="NU54" s="970"/>
      <c r="NV54" s="970"/>
      <c r="NW54" s="970"/>
      <c r="NX54" s="970"/>
      <c r="NY54" s="970"/>
      <c r="NZ54" s="970"/>
      <c r="OA54" s="970"/>
      <c r="OB54" s="970"/>
      <c r="OC54" s="970"/>
      <c r="OD54" s="970"/>
      <c r="OE54" s="970"/>
      <c r="OF54" s="970"/>
      <c r="OG54" s="970"/>
      <c r="OH54" s="970"/>
      <c r="OI54" s="970"/>
      <c r="OJ54" s="970"/>
      <c r="OK54" s="970"/>
      <c r="OL54" s="970"/>
      <c r="OM54" s="970"/>
      <c r="ON54" s="970"/>
      <c r="OO54" s="970"/>
      <c r="OP54" s="970"/>
      <c r="OQ54" s="970"/>
      <c r="OR54" s="970"/>
      <c r="OS54" s="970"/>
      <c r="OT54" s="970"/>
      <c r="OU54" s="970"/>
      <c r="OV54" s="970"/>
      <c r="OW54" s="970"/>
      <c r="OX54" s="970"/>
      <c r="OY54" s="970"/>
      <c r="OZ54" s="970"/>
      <c r="PA54" s="970"/>
      <c r="PB54" s="970"/>
      <c r="PC54" s="970"/>
      <c r="PD54" s="970"/>
      <c r="PE54" s="970"/>
      <c r="PF54" s="970"/>
      <c r="PG54" s="970"/>
      <c r="PH54" s="970"/>
      <c r="PI54" s="970"/>
      <c r="PJ54" s="970"/>
      <c r="PK54" s="970"/>
      <c r="PL54" s="970"/>
      <c r="PM54" s="970"/>
      <c r="PN54" s="970"/>
      <c r="PO54" s="970"/>
      <c r="PP54" s="970"/>
      <c r="PQ54" s="970"/>
      <c r="PR54" s="970"/>
      <c r="PS54" s="970"/>
      <c r="PT54" s="970"/>
      <c r="PU54" s="970"/>
      <c r="PV54" s="970"/>
      <c r="PW54" s="970"/>
      <c r="PX54" s="970"/>
      <c r="PY54" s="970"/>
      <c r="PZ54" s="970"/>
      <c r="QA54" s="970"/>
      <c r="QB54" s="970"/>
      <c r="QC54" s="970"/>
      <c r="QD54" s="970"/>
      <c r="QE54" s="970"/>
      <c r="QF54" s="970"/>
      <c r="QG54" s="970"/>
      <c r="QH54" s="970"/>
      <c r="QI54" s="970"/>
      <c r="QJ54" s="970"/>
      <c r="QK54" s="970"/>
      <c r="QL54" s="970"/>
      <c r="QM54" s="970"/>
      <c r="QN54" s="970"/>
      <c r="QO54" s="970"/>
      <c r="QP54" s="970"/>
      <c r="QQ54" s="970"/>
      <c r="QR54" s="970"/>
      <c r="QS54" s="970"/>
      <c r="QT54" s="970"/>
      <c r="QU54" s="970"/>
      <c r="QV54" s="970"/>
      <c r="QW54" s="970"/>
      <c r="QX54" s="970"/>
      <c r="QY54" s="970"/>
      <c r="QZ54" s="970"/>
      <c r="RA54" s="970"/>
      <c r="RB54" s="970"/>
      <c r="RC54" s="970"/>
      <c r="RD54" s="970"/>
      <c r="RE54" s="970"/>
      <c r="RF54" s="970"/>
      <c r="RG54" s="970"/>
      <c r="RH54" s="970"/>
      <c r="RI54" s="970"/>
      <c r="RJ54" s="970"/>
      <c r="RK54" s="970"/>
      <c r="RL54" s="970"/>
      <c r="RM54" s="970"/>
      <c r="RN54" s="970"/>
      <c r="RO54" s="970"/>
      <c r="RP54" s="970"/>
      <c r="RQ54" s="970"/>
      <c r="RR54" s="970"/>
      <c r="RS54" s="970"/>
      <c r="RT54" s="970"/>
      <c r="RU54" s="970"/>
      <c r="RV54" s="970"/>
      <c r="RW54" s="970"/>
      <c r="RX54" s="970"/>
      <c r="RY54" s="970"/>
      <c r="RZ54" s="970"/>
      <c r="SA54" s="970"/>
      <c r="SB54" s="970"/>
      <c r="SC54" s="970"/>
      <c r="SD54" s="970"/>
      <c r="SE54" s="970"/>
      <c r="SF54" s="970"/>
      <c r="SG54" s="970"/>
      <c r="SH54" s="970"/>
      <c r="SI54" s="970"/>
      <c r="SJ54" s="970"/>
      <c r="SK54" s="970"/>
      <c r="SL54" s="970"/>
      <c r="SM54" s="970"/>
      <c r="SN54" s="970"/>
      <c r="SO54" s="970"/>
      <c r="SP54" s="970"/>
      <c r="SQ54" s="970"/>
      <c r="SR54" s="970"/>
    </row>
    <row r="55" spans="1:512" ht="15" customHeight="1">
      <c r="A55"/>
      <c r="B55" t="s">
        <v>2218</v>
      </c>
      <c r="C55"/>
      <c r="D55"/>
      <c r="E55" t="s">
        <v>237</v>
      </c>
      <c r="F55"/>
      <c r="G55" s="970">
        <v>1</v>
      </c>
      <c r="H55" s="1012">
        <v>1</v>
      </c>
      <c r="I55" s="970"/>
      <c r="J55" s="970"/>
      <c r="K55" s="970"/>
      <c r="L55" s="970"/>
      <c r="M55" s="970"/>
      <c r="N55" s="970"/>
      <c r="O55" s="970"/>
      <c r="P55" s="970"/>
      <c r="Q55" s="970"/>
      <c r="R55" s="970"/>
      <c r="S55" s="970"/>
      <c r="T55" s="970"/>
      <c r="U55" s="970"/>
      <c r="V55" s="970"/>
      <c r="W55" s="970"/>
      <c r="X55" s="970"/>
      <c r="Y55" s="970"/>
      <c r="Z55" s="970"/>
      <c r="AA55" s="970"/>
      <c r="AB55" s="970"/>
      <c r="AC55" s="970"/>
      <c r="AD55" s="970"/>
      <c r="AE55" s="970"/>
      <c r="AF55" s="970"/>
      <c r="AG55" s="970"/>
      <c r="AH55" s="970"/>
      <c r="AI55" s="970"/>
      <c r="AJ55" s="970"/>
      <c r="AK55" s="970"/>
      <c r="AL55" s="970"/>
      <c r="AM55" s="970"/>
      <c r="AN55" s="970"/>
      <c r="AO55" s="970"/>
      <c r="AP55" s="970"/>
      <c r="AQ55" s="970"/>
      <c r="AR55" s="970"/>
      <c r="AS55" s="970"/>
      <c r="AT55" s="970"/>
      <c r="AU55" s="970"/>
      <c r="AV55" s="970"/>
      <c r="AW55" s="970"/>
      <c r="AX55" s="970"/>
      <c r="AY55" s="970"/>
      <c r="AZ55" s="970"/>
      <c r="BA55" s="970"/>
      <c r="BB55" s="970"/>
      <c r="BC55" s="970"/>
      <c r="BD55" s="970"/>
      <c r="BE55" s="970"/>
      <c r="BF55" s="970"/>
      <c r="BG55" s="970"/>
      <c r="BH55" s="970"/>
      <c r="BI55" s="970"/>
      <c r="BJ55" s="970"/>
      <c r="BK55" s="970"/>
      <c r="BL55" s="970"/>
      <c r="BM55" s="970"/>
      <c r="BN55" s="970"/>
      <c r="BO55" s="970"/>
      <c r="BP55" s="970"/>
      <c r="BQ55" s="970"/>
      <c r="BR55" s="970"/>
      <c r="BS55" s="970"/>
      <c r="BT55" s="970"/>
      <c r="BU55" s="970"/>
      <c r="BV55" s="970"/>
      <c r="BW55" s="970"/>
      <c r="BX55" s="970"/>
      <c r="BY55" s="970"/>
      <c r="BZ55" s="970"/>
      <c r="CA55" s="970"/>
      <c r="CB55" s="970"/>
      <c r="CC55" s="970"/>
      <c r="CD55" s="970"/>
      <c r="CE55" s="970"/>
      <c r="CF55" s="970"/>
      <c r="CG55" s="970"/>
      <c r="CH55" s="970"/>
      <c r="CI55" s="970"/>
      <c r="CJ55" s="970"/>
      <c r="CK55" s="970"/>
      <c r="CL55" s="970"/>
      <c r="CM55" s="970"/>
      <c r="CN55" s="970"/>
      <c r="CO55" s="970"/>
      <c r="CP55" s="970"/>
      <c r="CQ55" s="970"/>
      <c r="CR55" s="970"/>
      <c r="CS55" s="970"/>
      <c r="CT55" s="970"/>
      <c r="CU55" s="970"/>
      <c r="CV55" s="970"/>
      <c r="CW55" s="970"/>
      <c r="CX55" s="970"/>
      <c r="CY55" s="970"/>
      <c r="CZ55" s="970"/>
      <c r="DA55" s="970"/>
      <c r="DB55" s="970"/>
      <c r="DC55" s="970"/>
      <c r="DD55" s="970"/>
      <c r="DE55" s="970"/>
      <c r="DF55" s="970"/>
      <c r="DG55" s="970"/>
      <c r="DH55" s="970"/>
      <c r="DI55" s="970"/>
      <c r="DJ55" s="970"/>
      <c r="DK55" s="970"/>
      <c r="DL55" s="970"/>
      <c r="DM55" s="970"/>
      <c r="DN55" s="970"/>
      <c r="DO55" s="970"/>
      <c r="DP55" s="970"/>
      <c r="DQ55" s="970"/>
      <c r="DR55" s="970"/>
      <c r="DS55" s="970"/>
      <c r="DT55" s="970"/>
      <c r="DU55" s="970"/>
      <c r="DV55" s="970"/>
      <c r="DW55" s="970"/>
      <c r="DX55" s="970"/>
      <c r="DY55" s="970"/>
      <c r="DZ55" s="970"/>
      <c r="EA55" s="970"/>
      <c r="EB55" s="970"/>
      <c r="EC55" s="970"/>
      <c r="ED55" s="970"/>
      <c r="EE55" s="970"/>
      <c r="EF55" s="970"/>
      <c r="EG55" s="970"/>
      <c r="EH55" s="970"/>
      <c r="EI55" s="970"/>
      <c r="EJ55" s="970"/>
      <c r="EK55" s="970"/>
      <c r="EL55" s="970"/>
      <c r="EM55" s="970"/>
      <c r="EN55" s="970"/>
      <c r="EO55" s="970"/>
      <c r="EP55" s="970"/>
      <c r="EQ55" s="970"/>
      <c r="ER55" s="970"/>
      <c r="ES55" s="970"/>
      <c r="ET55" s="970"/>
      <c r="EU55" s="970"/>
      <c r="EV55" s="970"/>
      <c r="EW55" s="970"/>
      <c r="EX55" s="970"/>
      <c r="EY55" s="970"/>
      <c r="EZ55" s="970"/>
      <c r="FA55" s="970"/>
      <c r="FB55" s="970"/>
      <c r="FC55" s="970"/>
      <c r="FD55" s="970"/>
      <c r="FE55" s="970"/>
      <c r="FF55" s="970"/>
      <c r="FG55" s="970"/>
      <c r="FH55" s="970"/>
      <c r="FI55" s="970"/>
      <c r="FJ55" s="970"/>
      <c r="FK55" s="970"/>
      <c r="FL55" s="970"/>
      <c r="FM55" s="970"/>
      <c r="FN55" s="970"/>
      <c r="FO55" s="970"/>
      <c r="FP55" s="970"/>
      <c r="FQ55" s="970"/>
      <c r="FR55" s="970"/>
      <c r="FS55" s="970"/>
      <c r="FT55" s="970"/>
      <c r="FU55" s="970"/>
      <c r="FV55" s="970"/>
      <c r="FW55" s="970"/>
      <c r="FX55" s="970"/>
      <c r="FY55" s="970"/>
      <c r="FZ55" s="970"/>
      <c r="GA55" s="970"/>
      <c r="GB55" s="970"/>
      <c r="GC55" s="970"/>
      <c r="GD55" s="970"/>
      <c r="GE55" s="970"/>
      <c r="GF55" s="970"/>
      <c r="GG55" s="970"/>
      <c r="GH55" s="970"/>
      <c r="GI55" s="970"/>
      <c r="GJ55" s="970"/>
      <c r="GK55" s="970"/>
      <c r="GL55" s="970"/>
      <c r="GM55" s="970"/>
      <c r="GN55" s="970"/>
      <c r="GO55" s="970"/>
      <c r="GP55" s="970"/>
      <c r="GQ55" s="970"/>
      <c r="GR55" s="970"/>
      <c r="GS55" s="970"/>
      <c r="GT55" s="970"/>
      <c r="GU55" s="970"/>
      <c r="GV55" s="970"/>
      <c r="GW55" s="970"/>
      <c r="GX55" s="970"/>
      <c r="GY55" s="970"/>
      <c r="GZ55" s="970"/>
      <c r="HA55" s="970"/>
      <c r="HB55" s="970"/>
      <c r="HC55" s="970"/>
      <c r="HD55" s="970"/>
      <c r="HE55" s="970"/>
      <c r="HF55" s="970"/>
      <c r="HG55" s="970"/>
      <c r="HH55" s="970"/>
      <c r="HI55" s="970"/>
      <c r="HJ55" s="970"/>
      <c r="HK55" s="970"/>
      <c r="HL55" s="970"/>
      <c r="HM55" s="970"/>
      <c r="HN55" s="970"/>
      <c r="HO55" s="970"/>
      <c r="HP55" s="970"/>
      <c r="HQ55" s="970"/>
      <c r="HR55" s="970"/>
      <c r="HS55" s="970"/>
      <c r="HT55" s="970"/>
      <c r="HU55" s="970"/>
      <c r="HV55" s="970"/>
      <c r="HW55" s="970"/>
      <c r="HX55" s="970"/>
      <c r="HY55" s="970"/>
      <c r="HZ55" s="970"/>
      <c r="IA55" s="970"/>
      <c r="IB55" s="970"/>
      <c r="IC55" s="970"/>
      <c r="ID55" s="970"/>
      <c r="IE55" s="970"/>
      <c r="IF55" s="970"/>
      <c r="IG55" s="970"/>
      <c r="IH55" s="970"/>
      <c r="II55" s="970"/>
      <c r="IJ55" s="970"/>
      <c r="IK55" s="970"/>
      <c r="IL55" s="970"/>
      <c r="IM55" s="970"/>
      <c r="IN55" s="970"/>
      <c r="IO55" s="970"/>
      <c r="IP55" s="970"/>
      <c r="IQ55" s="970"/>
      <c r="IR55" s="970"/>
      <c r="IS55" s="970"/>
      <c r="IT55" s="970"/>
      <c r="IU55" s="970"/>
      <c r="IV55" s="970"/>
      <c r="IW55" s="970"/>
      <c r="IX55" s="970"/>
      <c r="IY55" s="970"/>
      <c r="IZ55" s="970"/>
      <c r="JA55" s="970"/>
      <c r="JB55" s="970"/>
      <c r="JC55" s="970"/>
      <c r="JD55" s="970"/>
      <c r="JE55" s="970"/>
      <c r="JF55" s="970"/>
      <c r="JG55" s="970"/>
      <c r="JH55" s="970"/>
      <c r="JI55" s="970"/>
      <c r="JJ55" s="970"/>
      <c r="JK55" s="970"/>
      <c r="JL55" s="970"/>
      <c r="JM55" s="970"/>
      <c r="JN55" s="970"/>
      <c r="JO55" s="970"/>
      <c r="JP55" s="970"/>
      <c r="JQ55" s="970"/>
      <c r="JR55" s="970"/>
      <c r="JS55" s="970"/>
      <c r="JT55" s="970"/>
      <c r="JU55" s="970"/>
      <c r="JV55" s="970"/>
      <c r="JW55" s="970"/>
      <c r="JX55" s="970"/>
      <c r="JY55" s="970"/>
      <c r="JZ55" s="970"/>
      <c r="KA55" s="970"/>
      <c r="KB55" s="970"/>
      <c r="KC55" s="970"/>
      <c r="KD55" s="970"/>
      <c r="KE55" s="970"/>
      <c r="KF55" s="970"/>
      <c r="KG55" s="970"/>
      <c r="KH55" s="970"/>
      <c r="KI55" s="970"/>
      <c r="KJ55" s="970"/>
      <c r="KK55" s="970"/>
      <c r="KL55" s="970"/>
      <c r="KM55" s="970"/>
      <c r="KN55" s="970"/>
      <c r="KO55" s="970"/>
      <c r="KP55" s="970"/>
      <c r="KQ55" s="970"/>
      <c r="KR55" s="970"/>
      <c r="KS55" s="970"/>
      <c r="KT55" s="970"/>
      <c r="KU55" s="970"/>
      <c r="KV55" s="970"/>
      <c r="KW55" s="970"/>
      <c r="KX55" s="970"/>
      <c r="KY55" s="970"/>
      <c r="KZ55" s="970"/>
      <c r="LA55" s="970"/>
      <c r="LB55" s="970"/>
      <c r="LC55" s="970"/>
      <c r="LD55" s="970"/>
      <c r="LE55" s="970"/>
      <c r="LF55" s="970"/>
      <c r="LG55" s="970"/>
      <c r="LH55" s="970"/>
      <c r="LI55" s="970"/>
      <c r="LJ55" s="970"/>
      <c r="LK55" s="970"/>
      <c r="LL55" s="970"/>
      <c r="LM55" s="970"/>
      <c r="LN55" s="970"/>
      <c r="LO55" s="970"/>
      <c r="LP55" s="970"/>
      <c r="LQ55" s="970"/>
      <c r="LR55" s="970"/>
      <c r="LS55" s="970"/>
      <c r="LT55" s="970"/>
      <c r="LU55" s="970"/>
      <c r="LV55" s="970"/>
      <c r="LW55" s="970"/>
      <c r="LX55" s="970"/>
      <c r="LY55" s="970"/>
      <c r="LZ55" s="970"/>
      <c r="MA55" s="970"/>
      <c r="MB55" s="970"/>
      <c r="MC55" s="970"/>
      <c r="MD55" s="970"/>
      <c r="ME55" s="970"/>
      <c r="MF55" s="970"/>
      <c r="MG55" s="970"/>
      <c r="MH55" s="970"/>
      <c r="MI55" s="970"/>
      <c r="MJ55" s="970"/>
      <c r="MK55" s="970"/>
      <c r="ML55" s="970"/>
      <c r="MM55" s="970"/>
      <c r="MN55" s="970"/>
      <c r="MO55" s="970"/>
      <c r="MP55" s="970"/>
      <c r="MQ55" s="970"/>
      <c r="MR55" s="970"/>
      <c r="MS55" s="970"/>
      <c r="MT55" s="970"/>
      <c r="MU55" s="970"/>
      <c r="MV55" s="970"/>
      <c r="MW55" s="970"/>
      <c r="MX55" s="970"/>
      <c r="MY55" s="970"/>
      <c r="MZ55" s="970"/>
      <c r="NA55" s="970"/>
      <c r="NB55" s="970"/>
      <c r="NC55" s="970"/>
      <c r="ND55" s="970"/>
      <c r="NE55" s="970"/>
      <c r="NF55" s="970"/>
      <c r="NG55" s="970"/>
      <c r="NH55" s="970"/>
      <c r="NI55" s="970"/>
      <c r="NJ55" s="970"/>
      <c r="NK55" s="970"/>
      <c r="NL55" s="970"/>
      <c r="NM55" s="970"/>
      <c r="NN55" s="970"/>
      <c r="NO55" s="970"/>
      <c r="NP55" s="970"/>
      <c r="NQ55" s="970"/>
      <c r="NR55" s="970"/>
      <c r="NS55" s="970"/>
      <c r="NT55" s="970"/>
      <c r="NU55" s="970"/>
      <c r="NV55" s="970"/>
      <c r="NW55" s="970"/>
      <c r="NX55" s="970"/>
      <c r="NY55" s="970"/>
      <c r="NZ55" s="970"/>
      <c r="OA55" s="970"/>
      <c r="OB55" s="970"/>
      <c r="OC55" s="970"/>
      <c r="OD55" s="970"/>
      <c r="OE55" s="970"/>
      <c r="OF55" s="970"/>
      <c r="OG55" s="970"/>
      <c r="OH55" s="970"/>
      <c r="OI55" s="970"/>
      <c r="OJ55" s="970"/>
      <c r="OK55" s="970"/>
      <c r="OL55" s="970"/>
      <c r="OM55" s="970"/>
      <c r="ON55" s="970"/>
      <c r="OO55" s="970"/>
      <c r="OP55" s="970"/>
      <c r="OQ55" s="970"/>
      <c r="OR55" s="970"/>
      <c r="OS55" s="970"/>
      <c r="OT55" s="970"/>
      <c r="OU55" s="970"/>
      <c r="OV55" s="970"/>
      <c r="OW55" s="970"/>
      <c r="OX55" s="970"/>
      <c r="OY55" s="970"/>
      <c r="OZ55" s="970"/>
      <c r="PA55" s="970"/>
      <c r="PB55" s="970"/>
      <c r="PC55" s="970"/>
      <c r="PD55" s="970"/>
      <c r="PE55" s="970"/>
      <c r="PF55" s="970"/>
      <c r="PG55" s="970"/>
      <c r="PH55" s="970"/>
      <c r="PI55" s="970"/>
      <c r="PJ55" s="970"/>
      <c r="PK55" s="970"/>
      <c r="PL55" s="970"/>
      <c r="PM55" s="970"/>
      <c r="PN55" s="970"/>
      <c r="PO55" s="970"/>
      <c r="PP55" s="970"/>
      <c r="PQ55" s="970"/>
      <c r="PR55" s="970"/>
      <c r="PS55" s="970"/>
      <c r="PT55" s="970"/>
      <c r="PU55" s="970"/>
      <c r="PV55" s="970"/>
      <c r="PW55" s="970"/>
      <c r="PX55" s="970"/>
      <c r="PY55" s="970"/>
      <c r="PZ55" s="970"/>
      <c r="QA55" s="970"/>
      <c r="QB55" s="970"/>
      <c r="QC55" s="970"/>
      <c r="QD55" s="970"/>
      <c r="QE55" s="970"/>
      <c r="QF55" s="970"/>
      <c r="QG55" s="970"/>
      <c r="QH55" s="970"/>
      <c r="QI55" s="970"/>
      <c r="QJ55" s="970"/>
      <c r="QK55" s="970"/>
      <c r="QL55" s="970"/>
      <c r="QM55" s="970"/>
      <c r="QN55" s="970"/>
      <c r="QO55" s="970"/>
      <c r="QP55" s="970"/>
      <c r="QQ55" s="970"/>
      <c r="QR55" s="970"/>
      <c r="QS55" s="970"/>
      <c r="QT55" s="970"/>
      <c r="QU55" s="970"/>
      <c r="QV55" s="970"/>
      <c r="QW55" s="970"/>
      <c r="QX55" s="970"/>
      <c r="QY55" s="970"/>
      <c r="QZ55" s="970"/>
      <c r="RA55" s="970"/>
      <c r="RB55" s="970"/>
      <c r="RC55" s="970"/>
      <c r="RD55" s="970"/>
      <c r="RE55" s="970"/>
      <c r="RF55" s="970"/>
      <c r="RG55" s="970"/>
      <c r="RH55" s="970"/>
      <c r="RI55" s="970"/>
      <c r="RJ55" s="970"/>
      <c r="RK55" s="970"/>
      <c r="RL55" s="970"/>
      <c r="RM55" s="970"/>
      <c r="RN55" s="970"/>
      <c r="RO55" s="970"/>
      <c r="RP55" s="970"/>
      <c r="RQ55" s="970"/>
      <c r="RR55" s="970"/>
      <c r="RS55" s="970"/>
      <c r="RT55" s="970"/>
      <c r="RU55" s="970"/>
      <c r="RV55" s="970"/>
      <c r="RW55" s="970"/>
      <c r="RX55" s="970"/>
      <c r="RY55" s="970"/>
      <c r="RZ55" s="970"/>
      <c r="SA55" s="970"/>
      <c r="SB55" s="970"/>
      <c r="SC55" s="970"/>
      <c r="SD55" s="970"/>
      <c r="SE55" s="970"/>
      <c r="SF55" s="970"/>
      <c r="SG55" s="970"/>
      <c r="SH55" s="970"/>
      <c r="SI55" s="970"/>
      <c r="SJ55" s="970"/>
      <c r="SK55" s="970"/>
      <c r="SL55" s="970"/>
      <c r="SM55" s="970"/>
      <c r="SN55" s="970"/>
      <c r="SO55" s="970"/>
      <c r="SP55" s="970"/>
      <c r="SQ55" s="970"/>
      <c r="SR55" s="970"/>
    </row>
    <row r="56" spans="1:512" ht="15" customHeight="1">
      <c r="A56"/>
      <c r="B56" t="s">
        <v>2704</v>
      </c>
      <c r="C56"/>
      <c r="D56"/>
      <c r="E56" t="s">
        <v>237</v>
      </c>
      <c r="F56"/>
      <c r="G56" s="970">
        <v>1</v>
      </c>
      <c r="H56" s="1012">
        <v>1</v>
      </c>
      <c r="I56" s="970"/>
      <c r="J56" s="970"/>
      <c r="K56" s="970"/>
      <c r="L56" s="970"/>
      <c r="M56" s="970"/>
      <c r="N56" s="970"/>
      <c r="O56" s="970"/>
      <c r="P56" s="970"/>
      <c r="Q56" s="970"/>
      <c r="R56" s="970"/>
      <c r="S56" s="970"/>
      <c r="T56" s="970"/>
      <c r="U56" s="970"/>
      <c r="V56" s="970"/>
      <c r="W56" s="970"/>
      <c r="X56" s="970"/>
      <c r="Y56" s="970"/>
      <c r="Z56" s="970"/>
      <c r="AA56" s="970"/>
      <c r="AB56" s="970"/>
      <c r="AC56" s="970"/>
      <c r="AD56" s="970"/>
      <c r="AE56" s="970"/>
      <c r="AF56" s="970"/>
      <c r="AG56" s="970"/>
      <c r="AH56" s="970"/>
      <c r="AI56" s="970"/>
      <c r="AJ56" s="970"/>
      <c r="AK56" s="970"/>
      <c r="AL56" s="970"/>
      <c r="AM56" s="970"/>
      <c r="AN56" s="970"/>
      <c r="AO56" s="970"/>
      <c r="AP56" s="970"/>
      <c r="AQ56" s="970"/>
      <c r="AR56" s="970"/>
      <c r="AS56" s="970"/>
      <c r="AT56" s="970"/>
      <c r="AU56" s="970"/>
      <c r="AV56" s="970"/>
      <c r="AW56" s="970"/>
      <c r="AX56" s="970"/>
      <c r="AY56" s="970"/>
      <c r="AZ56" s="970"/>
      <c r="BA56" s="970"/>
      <c r="BB56" s="970"/>
      <c r="BC56" s="970"/>
      <c r="BD56" s="970"/>
      <c r="BE56" s="970"/>
      <c r="BF56" s="970"/>
      <c r="BG56" s="970"/>
      <c r="BH56" s="970"/>
      <c r="BI56" s="970"/>
      <c r="BJ56" s="970"/>
      <c r="BK56" s="970"/>
      <c r="BL56" s="970"/>
      <c r="BM56" s="970"/>
      <c r="BN56" s="970"/>
      <c r="BO56" s="970"/>
      <c r="BP56" s="970"/>
      <c r="BQ56" s="970"/>
      <c r="BR56" s="970"/>
      <c r="BS56" s="970"/>
      <c r="BT56" s="970"/>
      <c r="BU56" s="970"/>
      <c r="BV56" s="970"/>
      <c r="BW56" s="970"/>
      <c r="BX56" s="970"/>
      <c r="BY56" s="970"/>
      <c r="BZ56" s="970"/>
      <c r="CA56" s="970"/>
      <c r="CB56" s="970"/>
      <c r="CC56" s="970"/>
      <c r="CD56" s="970"/>
      <c r="CE56" s="970"/>
      <c r="CF56" s="970"/>
      <c r="CG56" s="970"/>
      <c r="CH56" s="970"/>
      <c r="CI56" s="970"/>
      <c r="CJ56" s="970"/>
      <c r="CK56" s="970"/>
      <c r="CL56" s="970"/>
      <c r="CM56" s="970"/>
      <c r="CN56" s="970"/>
      <c r="CO56" s="970"/>
      <c r="CP56" s="970"/>
      <c r="CQ56" s="970"/>
      <c r="CR56" s="970"/>
      <c r="CS56" s="970"/>
      <c r="CT56" s="970"/>
      <c r="CU56" s="970"/>
      <c r="CV56" s="970"/>
      <c r="CW56" s="970"/>
      <c r="CX56" s="970"/>
      <c r="CY56" s="970"/>
      <c r="CZ56" s="970"/>
      <c r="DA56" s="970"/>
      <c r="DB56" s="970"/>
      <c r="DC56" s="970"/>
      <c r="DD56" s="970"/>
      <c r="DE56" s="970"/>
      <c r="DF56" s="970"/>
      <c r="DG56" s="970"/>
      <c r="DH56" s="970"/>
      <c r="DI56" s="970"/>
      <c r="DJ56" s="970"/>
      <c r="DK56" s="970"/>
      <c r="DL56" s="970"/>
      <c r="DM56" s="970"/>
      <c r="DN56" s="970"/>
      <c r="DO56" s="970"/>
      <c r="DP56" s="970"/>
      <c r="DQ56" s="970"/>
      <c r="DR56" s="970"/>
      <c r="DS56" s="970"/>
      <c r="DT56" s="970"/>
      <c r="DU56" s="970"/>
      <c r="DV56" s="970"/>
      <c r="DW56" s="970"/>
      <c r="DX56" s="970"/>
      <c r="DY56" s="970"/>
      <c r="DZ56" s="970"/>
      <c r="EA56" s="970"/>
      <c r="EB56" s="970"/>
      <c r="EC56" s="970"/>
      <c r="ED56" s="970"/>
      <c r="EE56" s="970"/>
      <c r="EF56" s="970"/>
      <c r="EG56" s="970"/>
      <c r="EH56" s="970"/>
      <c r="EI56" s="970"/>
      <c r="EJ56" s="970"/>
      <c r="EK56" s="970"/>
      <c r="EL56" s="970"/>
      <c r="EM56" s="970"/>
      <c r="EN56" s="970"/>
      <c r="EO56" s="970"/>
      <c r="EP56" s="970"/>
      <c r="EQ56" s="970"/>
      <c r="ER56" s="970"/>
      <c r="ES56" s="970"/>
      <c r="ET56" s="970"/>
      <c r="EU56" s="970"/>
      <c r="EV56" s="970"/>
      <c r="EW56" s="970"/>
      <c r="EX56" s="970"/>
      <c r="EY56" s="970"/>
      <c r="EZ56" s="970"/>
      <c r="FA56" s="970"/>
      <c r="FB56" s="970"/>
      <c r="FC56" s="970"/>
      <c r="FD56" s="970"/>
      <c r="FE56" s="970"/>
      <c r="FF56" s="970"/>
      <c r="FG56" s="970"/>
      <c r="FH56" s="970"/>
      <c r="FI56" s="970"/>
      <c r="FJ56" s="970"/>
      <c r="FK56" s="970"/>
      <c r="FL56" s="970"/>
      <c r="FM56" s="970"/>
      <c r="FN56" s="970"/>
      <c r="FO56" s="970"/>
      <c r="FP56" s="970"/>
      <c r="FQ56" s="970"/>
      <c r="FR56" s="970"/>
      <c r="FS56" s="970"/>
      <c r="FT56" s="970"/>
      <c r="FU56" s="970"/>
      <c r="FV56" s="970"/>
      <c r="FW56" s="970"/>
      <c r="FX56" s="970"/>
      <c r="FY56" s="970"/>
      <c r="FZ56" s="970"/>
      <c r="GA56" s="970"/>
      <c r="GB56" s="970"/>
      <c r="GC56" s="970"/>
      <c r="GD56" s="970"/>
      <c r="GE56" s="970"/>
      <c r="GF56" s="970"/>
      <c r="GG56" s="970"/>
      <c r="GH56" s="970"/>
      <c r="GI56" s="970"/>
      <c r="GJ56" s="970"/>
      <c r="GK56" s="970"/>
      <c r="GL56" s="970"/>
      <c r="GM56" s="970"/>
      <c r="GN56" s="970"/>
      <c r="GO56" s="970"/>
      <c r="GP56" s="970"/>
      <c r="GQ56" s="970"/>
      <c r="GR56" s="970"/>
      <c r="GS56" s="970"/>
      <c r="GT56" s="970"/>
      <c r="GU56" s="970"/>
      <c r="GV56" s="970"/>
      <c r="GW56" s="970"/>
      <c r="GX56" s="970"/>
      <c r="GY56" s="970"/>
      <c r="GZ56" s="970"/>
      <c r="HA56" s="970"/>
      <c r="HB56" s="970"/>
      <c r="HC56" s="970"/>
      <c r="HD56" s="970"/>
      <c r="HE56" s="970"/>
      <c r="HF56" s="970"/>
      <c r="HG56" s="970"/>
      <c r="HH56" s="970"/>
      <c r="HI56" s="970"/>
      <c r="HJ56" s="970"/>
      <c r="HK56" s="970"/>
      <c r="HL56" s="970"/>
      <c r="HM56" s="970"/>
      <c r="HN56" s="970"/>
      <c r="HO56" s="970"/>
      <c r="HP56" s="970"/>
      <c r="HQ56" s="970"/>
      <c r="HR56" s="970"/>
      <c r="HS56" s="970"/>
      <c r="HT56" s="970"/>
      <c r="HU56" s="970"/>
      <c r="HV56" s="970"/>
      <c r="HW56" s="970"/>
      <c r="HX56" s="970"/>
      <c r="HY56" s="970"/>
      <c r="HZ56" s="970"/>
      <c r="IA56" s="970"/>
      <c r="IB56" s="970"/>
      <c r="IC56" s="970"/>
      <c r="ID56" s="970"/>
      <c r="IE56" s="970"/>
      <c r="IF56" s="970"/>
      <c r="IG56" s="970"/>
      <c r="IH56" s="970"/>
      <c r="II56" s="970"/>
      <c r="IJ56" s="970"/>
      <c r="IK56" s="970"/>
      <c r="IL56" s="970"/>
      <c r="IM56" s="970"/>
      <c r="IN56" s="970"/>
      <c r="IO56" s="970"/>
      <c r="IP56" s="970"/>
      <c r="IQ56" s="970"/>
      <c r="IR56" s="970"/>
      <c r="IS56" s="970"/>
      <c r="IT56" s="970"/>
      <c r="IU56" s="970"/>
      <c r="IV56" s="970"/>
      <c r="IW56" s="970"/>
      <c r="IX56" s="970"/>
      <c r="IY56" s="970"/>
      <c r="IZ56" s="970"/>
      <c r="JA56" s="970"/>
      <c r="JB56" s="970"/>
      <c r="JC56" s="970"/>
      <c r="JD56" s="970"/>
      <c r="JE56" s="970"/>
      <c r="JF56" s="970"/>
      <c r="JG56" s="970"/>
      <c r="JH56" s="970"/>
      <c r="JI56" s="970"/>
      <c r="JJ56" s="970"/>
      <c r="JK56" s="970"/>
      <c r="JL56" s="970"/>
      <c r="JM56" s="970"/>
      <c r="JN56" s="970"/>
      <c r="JO56" s="970"/>
      <c r="JP56" s="970"/>
      <c r="JQ56" s="970"/>
      <c r="JR56" s="970"/>
      <c r="JS56" s="970"/>
      <c r="JT56" s="970"/>
      <c r="JU56" s="970"/>
      <c r="JV56" s="970"/>
      <c r="JW56" s="970"/>
      <c r="JX56" s="970"/>
      <c r="JY56" s="970"/>
      <c r="JZ56" s="970"/>
      <c r="KA56" s="970"/>
      <c r="KB56" s="970"/>
      <c r="KC56" s="970"/>
      <c r="KD56" s="970"/>
      <c r="KE56" s="970"/>
      <c r="KF56" s="970"/>
      <c r="KG56" s="970"/>
      <c r="KH56" s="970"/>
      <c r="KI56" s="970"/>
      <c r="KJ56" s="970"/>
      <c r="KK56" s="970"/>
      <c r="KL56" s="970"/>
      <c r="KM56" s="970"/>
      <c r="KN56" s="970"/>
      <c r="KO56" s="970"/>
      <c r="KP56" s="970"/>
      <c r="KQ56" s="970"/>
      <c r="KR56" s="970"/>
      <c r="KS56" s="970"/>
      <c r="KT56" s="970"/>
      <c r="KU56" s="970"/>
      <c r="KV56" s="970"/>
      <c r="KW56" s="970"/>
      <c r="KX56" s="970"/>
      <c r="KY56" s="970"/>
      <c r="KZ56" s="970"/>
      <c r="LA56" s="970"/>
      <c r="LB56" s="970"/>
      <c r="LC56" s="970"/>
      <c r="LD56" s="970"/>
      <c r="LE56" s="970"/>
      <c r="LF56" s="970"/>
      <c r="LG56" s="970"/>
      <c r="LH56" s="970"/>
      <c r="LI56" s="970"/>
      <c r="LJ56" s="970"/>
      <c r="LK56" s="970"/>
      <c r="LL56" s="970"/>
      <c r="LM56" s="970"/>
      <c r="LN56" s="970"/>
      <c r="LO56" s="970"/>
      <c r="LP56" s="970"/>
      <c r="LQ56" s="970"/>
      <c r="LR56" s="970"/>
      <c r="LS56" s="970"/>
      <c r="LT56" s="970"/>
      <c r="LU56" s="970"/>
      <c r="LV56" s="970"/>
      <c r="LW56" s="970"/>
      <c r="LX56" s="970"/>
      <c r="LY56" s="970"/>
      <c r="LZ56" s="970"/>
      <c r="MA56" s="970"/>
      <c r="MB56" s="970"/>
      <c r="MC56" s="970"/>
      <c r="MD56" s="970"/>
      <c r="ME56" s="970"/>
      <c r="MF56" s="970"/>
      <c r="MG56" s="970"/>
      <c r="MH56" s="970"/>
      <c r="MI56" s="970"/>
      <c r="MJ56" s="970"/>
      <c r="MK56" s="970"/>
      <c r="ML56" s="970"/>
      <c r="MM56" s="970"/>
      <c r="MN56" s="970"/>
      <c r="MO56" s="970"/>
      <c r="MP56" s="970"/>
      <c r="MQ56" s="970"/>
      <c r="MR56" s="970"/>
      <c r="MS56" s="970"/>
      <c r="MT56" s="970"/>
      <c r="MU56" s="970"/>
      <c r="MV56" s="970"/>
      <c r="MW56" s="970"/>
      <c r="MX56" s="970"/>
      <c r="MY56" s="970"/>
      <c r="MZ56" s="970"/>
      <c r="NA56" s="970"/>
      <c r="NB56" s="970"/>
      <c r="NC56" s="970"/>
      <c r="ND56" s="970"/>
      <c r="NE56" s="970"/>
      <c r="NF56" s="970"/>
      <c r="NG56" s="970"/>
      <c r="NH56" s="970"/>
      <c r="NI56" s="970"/>
      <c r="NJ56" s="970"/>
      <c r="NK56" s="970"/>
      <c r="NL56" s="970"/>
      <c r="NM56" s="970"/>
      <c r="NN56" s="970"/>
      <c r="NO56" s="970"/>
      <c r="NP56" s="970"/>
      <c r="NQ56" s="970"/>
      <c r="NR56" s="970"/>
      <c r="NS56" s="970"/>
      <c r="NT56" s="970"/>
      <c r="NU56" s="970"/>
      <c r="NV56" s="970"/>
      <c r="NW56" s="970"/>
      <c r="NX56" s="970"/>
      <c r="NY56" s="970"/>
      <c r="NZ56" s="970"/>
      <c r="OA56" s="970"/>
      <c r="OB56" s="970"/>
      <c r="OC56" s="970"/>
      <c r="OD56" s="970"/>
      <c r="OE56" s="970"/>
      <c r="OF56" s="970"/>
      <c r="OG56" s="970"/>
      <c r="OH56" s="970"/>
      <c r="OI56" s="970"/>
      <c r="OJ56" s="970"/>
      <c r="OK56" s="970"/>
      <c r="OL56" s="970"/>
      <c r="OM56" s="970"/>
      <c r="ON56" s="970"/>
      <c r="OO56" s="970"/>
      <c r="OP56" s="970"/>
      <c r="OQ56" s="970"/>
      <c r="OR56" s="970"/>
      <c r="OS56" s="970"/>
      <c r="OT56" s="970"/>
      <c r="OU56" s="970"/>
      <c r="OV56" s="970"/>
      <c r="OW56" s="970"/>
      <c r="OX56" s="970"/>
      <c r="OY56" s="970"/>
      <c r="OZ56" s="970"/>
      <c r="PA56" s="970"/>
      <c r="PB56" s="970"/>
      <c r="PC56" s="970"/>
      <c r="PD56" s="970"/>
      <c r="PE56" s="970"/>
      <c r="PF56" s="970"/>
      <c r="PG56" s="970"/>
      <c r="PH56" s="970"/>
      <c r="PI56" s="970"/>
      <c r="PJ56" s="970"/>
      <c r="PK56" s="970"/>
      <c r="PL56" s="970"/>
      <c r="PM56" s="970"/>
      <c r="PN56" s="970"/>
      <c r="PO56" s="970"/>
      <c r="PP56" s="970"/>
      <c r="PQ56" s="970"/>
      <c r="PR56" s="970"/>
      <c r="PS56" s="970"/>
      <c r="PT56" s="970"/>
      <c r="PU56" s="970"/>
      <c r="PV56" s="970"/>
      <c r="PW56" s="970"/>
      <c r="PX56" s="970"/>
      <c r="PY56" s="970"/>
      <c r="PZ56" s="970"/>
      <c r="QA56" s="970"/>
      <c r="QB56" s="970"/>
      <c r="QC56" s="970"/>
      <c r="QD56" s="970"/>
      <c r="QE56" s="970"/>
      <c r="QF56" s="970"/>
      <c r="QG56" s="970"/>
      <c r="QH56" s="970"/>
      <c r="QI56" s="970"/>
      <c r="QJ56" s="970"/>
      <c r="QK56" s="970"/>
      <c r="QL56" s="970"/>
      <c r="QM56" s="970"/>
      <c r="QN56" s="970"/>
      <c r="QO56" s="970"/>
      <c r="QP56" s="970"/>
      <c r="QQ56" s="970"/>
      <c r="QR56" s="970"/>
      <c r="QS56" s="970"/>
      <c r="QT56" s="970"/>
      <c r="QU56" s="970"/>
      <c r="QV56" s="970"/>
      <c r="QW56" s="970"/>
      <c r="QX56" s="970"/>
      <c r="QY56" s="970"/>
      <c r="QZ56" s="970"/>
      <c r="RA56" s="970"/>
      <c r="RB56" s="970"/>
      <c r="RC56" s="970"/>
      <c r="RD56" s="970"/>
      <c r="RE56" s="970"/>
      <c r="RF56" s="970"/>
      <c r="RG56" s="970"/>
      <c r="RH56" s="970"/>
      <c r="RI56" s="970"/>
      <c r="RJ56" s="970"/>
      <c r="RK56" s="970"/>
      <c r="RL56" s="970"/>
      <c r="RM56" s="970"/>
      <c r="RN56" s="970"/>
      <c r="RO56" s="970"/>
      <c r="RP56" s="970"/>
      <c r="RQ56" s="970"/>
      <c r="RR56" s="970"/>
      <c r="RS56" s="970"/>
      <c r="RT56" s="970"/>
      <c r="RU56" s="970"/>
      <c r="RV56" s="970"/>
      <c r="RW56" s="970"/>
      <c r="RX56" s="970"/>
      <c r="RY56" s="970"/>
      <c r="RZ56" s="970"/>
      <c r="SA56" s="970"/>
      <c r="SB56" s="970"/>
      <c r="SC56" s="970"/>
      <c r="SD56" s="970"/>
      <c r="SE56" s="970"/>
      <c r="SF56" s="970"/>
      <c r="SG56" s="970"/>
      <c r="SH56" s="970"/>
      <c r="SI56" s="970"/>
      <c r="SJ56" s="970"/>
      <c r="SK56" s="970"/>
      <c r="SL56" s="970"/>
      <c r="SM56" s="970"/>
      <c r="SN56" s="970"/>
      <c r="SO56" s="970"/>
      <c r="SP56" s="970"/>
      <c r="SQ56" s="970"/>
      <c r="SR56" s="970"/>
    </row>
    <row r="57" spans="1:512" ht="15" customHeight="1">
      <c r="A57"/>
      <c r="B57" t="s">
        <v>2705</v>
      </c>
      <c r="C57"/>
      <c r="D57"/>
      <c r="E57" t="s">
        <v>237</v>
      </c>
      <c r="F57"/>
      <c r="G57" s="970">
        <v>1</v>
      </c>
      <c r="H57" s="1012">
        <v>1</v>
      </c>
      <c r="I57" s="970"/>
      <c r="J57" s="970"/>
      <c r="K57" s="970"/>
      <c r="L57" s="970"/>
      <c r="M57" s="970"/>
      <c r="N57" s="970"/>
      <c r="O57" s="970"/>
      <c r="P57" s="970"/>
      <c r="Q57" s="970"/>
      <c r="R57" s="970"/>
      <c r="S57" s="970"/>
      <c r="T57" s="970"/>
      <c r="U57" s="970"/>
      <c r="V57" s="970"/>
      <c r="W57" s="970"/>
      <c r="X57" s="970"/>
      <c r="Y57" s="970"/>
      <c r="Z57" s="970"/>
      <c r="AA57" s="970"/>
      <c r="AB57" s="970"/>
      <c r="AC57" s="970"/>
      <c r="AD57" s="970"/>
      <c r="AE57" s="970"/>
      <c r="AF57" s="970"/>
      <c r="AG57" s="970"/>
      <c r="AH57" s="970"/>
      <c r="AI57" s="970"/>
      <c r="AJ57" s="970"/>
      <c r="AK57" s="970"/>
      <c r="AL57" s="970"/>
      <c r="AM57" s="970"/>
      <c r="AN57" s="970"/>
      <c r="AO57" s="970"/>
      <c r="AP57" s="970"/>
      <c r="AQ57" s="970"/>
      <c r="AR57" s="970"/>
      <c r="AS57" s="970"/>
      <c r="AT57" s="970"/>
      <c r="AU57" s="970"/>
      <c r="AV57" s="970"/>
      <c r="AW57" s="970"/>
      <c r="AX57" s="970"/>
      <c r="AY57" s="970"/>
      <c r="AZ57" s="970"/>
      <c r="BA57" s="970"/>
      <c r="BB57" s="970"/>
      <c r="BC57" s="970"/>
      <c r="BD57" s="970"/>
      <c r="BE57" s="970"/>
      <c r="BF57" s="970"/>
      <c r="BG57" s="970"/>
      <c r="BH57" s="970"/>
      <c r="BI57" s="970"/>
      <c r="BJ57" s="970"/>
      <c r="BK57" s="970"/>
      <c r="BL57" s="970"/>
      <c r="BM57" s="970"/>
      <c r="BN57" s="970"/>
      <c r="BO57" s="970"/>
      <c r="BP57" s="970"/>
      <c r="BQ57" s="970"/>
      <c r="BR57" s="970"/>
      <c r="BS57" s="970"/>
      <c r="BT57" s="970"/>
      <c r="BU57" s="970"/>
      <c r="BV57" s="970"/>
      <c r="BW57" s="970"/>
      <c r="BX57" s="970"/>
      <c r="BY57" s="970"/>
      <c r="BZ57" s="970"/>
      <c r="CA57" s="970"/>
      <c r="CB57" s="970"/>
      <c r="CC57" s="970"/>
      <c r="CD57" s="970"/>
      <c r="CE57" s="970"/>
      <c r="CF57" s="970"/>
      <c r="CG57" s="970"/>
      <c r="CH57" s="970"/>
      <c r="CI57" s="970"/>
      <c r="CJ57" s="970"/>
      <c r="CK57" s="970"/>
      <c r="CL57" s="970"/>
      <c r="CM57" s="970"/>
      <c r="CN57" s="970"/>
      <c r="CO57" s="970"/>
      <c r="CP57" s="970"/>
      <c r="CQ57" s="970"/>
      <c r="CR57" s="970"/>
      <c r="CS57" s="970"/>
      <c r="CT57" s="970"/>
      <c r="CU57" s="970"/>
      <c r="CV57" s="970"/>
      <c r="CW57" s="970"/>
      <c r="CX57" s="970"/>
      <c r="CY57" s="970"/>
      <c r="CZ57" s="970"/>
      <c r="DA57" s="970"/>
      <c r="DB57" s="970"/>
      <c r="DC57" s="970"/>
      <c r="DD57" s="970"/>
      <c r="DE57" s="970"/>
      <c r="DF57" s="970"/>
      <c r="DG57" s="970"/>
      <c r="DH57" s="970"/>
      <c r="DI57" s="970"/>
      <c r="DJ57" s="970"/>
      <c r="DK57" s="970"/>
      <c r="DL57" s="970"/>
      <c r="DM57" s="970"/>
      <c r="DN57" s="970"/>
      <c r="DO57" s="970"/>
      <c r="DP57" s="970"/>
      <c r="DQ57" s="970"/>
      <c r="DR57" s="970"/>
      <c r="DS57" s="970"/>
      <c r="DT57" s="970"/>
      <c r="DU57" s="970"/>
      <c r="DV57" s="970"/>
      <c r="DW57" s="970"/>
      <c r="DX57" s="970"/>
      <c r="DY57" s="970"/>
      <c r="DZ57" s="970"/>
      <c r="EA57" s="970"/>
      <c r="EB57" s="970"/>
      <c r="EC57" s="970"/>
      <c r="ED57" s="970"/>
      <c r="EE57" s="970"/>
      <c r="EF57" s="970"/>
      <c r="EG57" s="970"/>
      <c r="EH57" s="970"/>
      <c r="EI57" s="970"/>
      <c r="EJ57" s="970"/>
      <c r="EK57" s="970"/>
      <c r="EL57" s="970"/>
      <c r="EM57" s="970"/>
      <c r="EN57" s="970"/>
      <c r="EO57" s="970"/>
      <c r="EP57" s="970"/>
      <c r="EQ57" s="970"/>
      <c r="ER57" s="970"/>
      <c r="ES57" s="970"/>
      <c r="ET57" s="970"/>
      <c r="EU57" s="970"/>
      <c r="EV57" s="970"/>
      <c r="EW57" s="970"/>
      <c r="EX57" s="970"/>
      <c r="EY57" s="970"/>
      <c r="EZ57" s="970"/>
      <c r="FA57" s="970"/>
      <c r="FB57" s="970"/>
      <c r="FC57" s="970"/>
      <c r="FD57" s="970"/>
      <c r="FE57" s="970"/>
      <c r="FF57" s="970"/>
      <c r="FG57" s="970"/>
      <c r="FH57" s="970"/>
      <c r="FI57" s="970"/>
      <c r="FJ57" s="970"/>
      <c r="FK57" s="970"/>
      <c r="FL57" s="970"/>
      <c r="FM57" s="970"/>
      <c r="FN57" s="970"/>
      <c r="FO57" s="970"/>
      <c r="FP57" s="970"/>
      <c r="FQ57" s="970"/>
      <c r="FR57" s="970"/>
      <c r="FS57" s="970"/>
      <c r="FT57" s="970"/>
      <c r="FU57" s="970"/>
      <c r="FV57" s="970"/>
      <c r="FW57" s="970"/>
      <c r="FX57" s="970"/>
      <c r="FY57" s="970"/>
      <c r="FZ57" s="970"/>
      <c r="GA57" s="970"/>
      <c r="GB57" s="970"/>
      <c r="GC57" s="970"/>
      <c r="GD57" s="970"/>
      <c r="GE57" s="970"/>
      <c r="GF57" s="970"/>
      <c r="GG57" s="970"/>
      <c r="GH57" s="970"/>
      <c r="GI57" s="970"/>
      <c r="GJ57" s="970"/>
      <c r="GK57" s="970"/>
      <c r="GL57" s="970"/>
      <c r="GM57" s="970"/>
      <c r="GN57" s="970"/>
      <c r="GO57" s="970"/>
      <c r="GP57" s="970"/>
      <c r="GQ57" s="970"/>
      <c r="GR57" s="970"/>
      <c r="GS57" s="970"/>
      <c r="GT57" s="970"/>
      <c r="GU57" s="970"/>
      <c r="GV57" s="970"/>
      <c r="GW57" s="970"/>
      <c r="GX57" s="970"/>
      <c r="GY57" s="970"/>
      <c r="GZ57" s="970"/>
      <c r="HA57" s="970"/>
      <c r="HB57" s="970"/>
      <c r="HC57" s="970"/>
      <c r="HD57" s="970"/>
      <c r="HE57" s="970"/>
      <c r="HF57" s="970"/>
      <c r="HG57" s="970"/>
      <c r="HH57" s="970"/>
      <c r="HI57" s="970"/>
      <c r="HJ57" s="970"/>
      <c r="HK57" s="970"/>
      <c r="HL57" s="970"/>
      <c r="HM57" s="970"/>
      <c r="HN57" s="970"/>
      <c r="HO57" s="970"/>
      <c r="HP57" s="970"/>
      <c r="HQ57" s="970"/>
      <c r="HR57" s="970"/>
      <c r="HS57" s="970"/>
      <c r="HT57" s="970"/>
      <c r="HU57" s="970"/>
      <c r="HV57" s="970"/>
      <c r="HW57" s="970"/>
      <c r="HX57" s="970"/>
      <c r="HY57" s="970"/>
      <c r="HZ57" s="970"/>
      <c r="IA57" s="970"/>
      <c r="IB57" s="970"/>
      <c r="IC57" s="970"/>
      <c r="ID57" s="970"/>
      <c r="IE57" s="970"/>
      <c r="IF57" s="970"/>
      <c r="IG57" s="970"/>
      <c r="IH57" s="970"/>
      <c r="II57" s="970"/>
      <c r="IJ57" s="970"/>
      <c r="IK57" s="970"/>
      <c r="IL57" s="970"/>
      <c r="IM57" s="970"/>
      <c r="IN57" s="970"/>
      <c r="IO57" s="970"/>
      <c r="IP57" s="970"/>
      <c r="IQ57" s="970"/>
      <c r="IR57" s="970"/>
      <c r="IS57" s="970"/>
      <c r="IT57" s="970"/>
      <c r="IU57" s="970"/>
      <c r="IV57" s="970"/>
      <c r="IW57" s="970"/>
      <c r="IX57" s="970"/>
      <c r="IY57" s="970"/>
      <c r="IZ57" s="970"/>
      <c r="JA57" s="970"/>
      <c r="JB57" s="970"/>
      <c r="JC57" s="970"/>
      <c r="JD57" s="970"/>
      <c r="JE57" s="970"/>
      <c r="JF57" s="970"/>
      <c r="JG57" s="970"/>
      <c r="JH57" s="970"/>
      <c r="JI57" s="970"/>
      <c r="JJ57" s="970"/>
      <c r="JK57" s="970"/>
      <c r="JL57" s="970"/>
      <c r="JM57" s="970"/>
      <c r="JN57" s="970"/>
      <c r="JO57" s="970"/>
      <c r="JP57" s="970"/>
      <c r="JQ57" s="970"/>
      <c r="JR57" s="970"/>
      <c r="JS57" s="970"/>
      <c r="JT57" s="970"/>
      <c r="JU57" s="970"/>
      <c r="JV57" s="970"/>
      <c r="JW57" s="970"/>
      <c r="JX57" s="970"/>
      <c r="JY57" s="970"/>
      <c r="JZ57" s="970"/>
      <c r="KA57" s="970"/>
      <c r="KB57" s="970"/>
      <c r="KC57" s="970"/>
      <c r="KD57" s="970"/>
      <c r="KE57" s="970"/>
      <c r="KF57" s="970"/>
      <c r="KG57" s="970"/>
      <c r="KH57" s="970"/>
      <c r="KI57" s="970"/>
      <c r="KJ57" s="970"/>
      <c r="KK57" s="970"/>
      <c r="KL57" s="970"/>
      <c r="KM57" s="970"/>
      <c r="KN57" s="970"/>
      <c r="KO57" s="970"/>
      <c r="KP57" s="970"/>
      <c r="KQ57" s="970"/>
      <c r="KR57" s="970"/>
      <c r="KS57" s="970"/>
      <c r="KT57" s="970"/>
      <c r="KU57" s="970"/>
      <c r="KV57" s="970"/>
      <c r="KW57" s="970"/>
      <c r="KX57" s="970"/>
      <c r="KY57" s="970"/>
      <c r="KZ57" s="970"/>
      <c r="LA57" s="970"/>
      <c r="LB57" s="970"/>
      <c r="LC57" s="970"/>
      <c r="LD57" s="970"/>
      <c r="LE57" s="970"/>
      <c r="LF57" s="970"/>
      <c r="LG57" s="970"/>
      <c r="LH57" s="970"/>
      <c r="LI57" s="970"/>
      <c r="LJ57" s="970"/>
      <c r="LK57" s="970"/>
      <c r="LL57" s="970"/>
      <c r="LM57" s="970"/>
      <c r="LN57" s="970"/>
      <c r="LO57" s="970"/>
      <c r="LP57" s="970"/>
      <c r="LQ57" s="970"/>
      <c r="LR57" s="970"/>
      <c r="LS57" s="970"/>
      <c r="LT57" s="970"/>
      <c r="LU57" s="970"/>
      <c r="LV57" s="970"/>
      <c r="LW57" s="970"/>
      <c r="LX57" s="970"/>
      <c r="LY57" s="970"/>
      <c r="LZ57" s="970"/>
      <c r="MA57" s="970"/>
      <c r="MB57" s="970"/>
      <c r="MC57" s="970"/>
      <c r="MD57" s="970"/>
      <c r="ME57" s="970"/>
      <c r="MF57" s="970"/>
      <c r="MG57" s="970"/>
      <c r="MH57" s="970"/>
      <c r="MI57" s="970"/>
      <c r="MJ57" s="970"/>
      <c r="MK57" s="970"/>
      <c r="ML57" s="970"/>
      <c r="MM57" s="970"/>
      <c r="MN57" s="970"/>
      <c r="MO57" s="970"/>
      <c r="MP57" s="970"/>
      <c r="MQ57" s="970"/>
      <c r="MR57" s="970"/>
      <c r="MS57" s="970"/>
      <c r="MT57" s="970"/>
      <c r="MU57" s="970"/>
      <c r="MV57" s="970"/>
      <c r="MW57" s="970"/>
      <c r="MX57" s="970"/>
      <c r="MY57" s="970"/>
      <c r="MZ57" s="970"/>
      <c r="NA57" s="970"/>
      <c r="NB57" s="970"/>
      <c r="NC57" s="970"/>
      <c r="ND57" s="970"/>
      <c r="NE57" s="970"/>
      <c r="NF57" s="970"/>
      <c r="NG57" s="970"/>
      <c r="NH57" s="970"/>
      <c r="NI57" s="970"/>
      <c r="NJ57" s="970"/>
      <c r="NK57" s="970"/>
      <c r="NL57" s="970"/>
      <c r="NM57" s="970"/>
      <c r="NN57" s="970"/>
      <c r="NO57" s="970"/>
      <c r="NP57" s="970"/>
      <c r="NQ57" s="970"/>
      <c r="NR57" s="970"/>
      <c r="NS57" s="970"/>
      <c r="NT57" s="970"/>
      <c r="NU57" s="970"/>
      <c r="NV57" s="970"/>
      <c r="NW57" s="970"/>
      <c r="NX57" s="970"/>
      <c r="NY57" s="970"/>
      <c r="NZ57" s="970"/>
      <c r="OA57" s="970"/>
      <c r="OB57" s="970"/>
      <c r="OC57" s="970"/>
      <c r="OD57" s="970"/>
      <c r="OE57" s="970"/>
      <c r="OF57" s="970"/>
      <c r="OG57" s="970"/>
      <c r="OH57" s="970"/>
      <c r="OI57" s="970"/>
      <c r="OJ57" s="970"/>
      <c r="OK57" s="970"/>
      <c r="OL57" s="970"/>
      <c r="OM57" s="970"/>
      <c r="ON57" s="970"/>
      <c r="OO57" s="970"/>
      <c r="OP57" s="970"/>
      <c r="OQ57" s="970"/>
      <c r="OR57" s="970"/>
      <c r="OS57" s="970"/>
      <c r="OT57" s="970"/>
      <c r="OU57" s="970"/>
      <c r="OV57" s="970"/>
      <c r="OW57" s="970"/>
      <c r="OX57" s="970"/>
      <c r="OY57" s="970"/>
      <c r="OZ57" s="970"/>
      <c r="PA57" s="970"/>
      <c r="PB57" s="970"/>
      <c r="PC57" s="970"/>
      <c r="PD57" s="970"/>
      <c r="PE57" s="970"/>
      <c r="PF57" s="970"/>
      <c r="PG57" s="970"/>
      <c r="PH57" s="970"/>
      <c r="PI57" s="970"/>
      <c r="PJ57" s="970"/>
      <c r="PK57" s="970"/>
      <c r="PL57" s="970"/>
      <c r="PM57" s="970"/>
      <c r="PN57" s="970"/>
      <c r="PO57" s="970"/>
      <c r="PP57" s="970"/>
      <c r="PQ57" s="970"/>
      <c r="PR57" s="970"/>
      <c r="PS57" s="970"/>
      <c r="PT57" s="970"/>
      <c r="PU57" s="970"/>
      <c r="PV57" s="970"/>
      <c r="PW57" s="970"/>
      <c r="PX57" s="970"/>
      <c r="PY57" s="970"/>
      <c r="PZ57" s="970"/>
      <c r="QA57" s="970"/>
      <c r="QB57" s="970"/>
      <c r="QC57" s="970"/>
      <c r="QD57" s="970"/>
      <c r="QE57" s="970"/>
      <c r="QF57" s="970"/>
      <c r="QG57" s="970"/>
      <c r="QH57" s="970"/>
      <c r="QI57" s="970"/>
      <c r="QJ57" s="970"/>
      <c r="QK57" s="970"/>
      <c r="QL57" s="970"/>
      <c r="QM57" s="970"/>
      <c r="QN57" s="970"/>
      <c r="QO57" s="970"/>
      <c r="QP57" s="970"/>
      <c r="QQ57" s="970"/>
      <c r="QR57" s="970"/>
      <c r="QS57" s="970"/>
      <c r="QT57" s="970"/>
      <c r="QU57" s="970"/>
      <c r="QV57" s="970"/>
      <c r="QW57" s="970"/>
      <c r="QX57" s="970"/>
      <c r="QY57" s="970"/>
      <c r="QZ57" s="970"/>
      <c r="RA57" s="970"/>
      <c r="RB57" s="970"/>
      <c r="RC57" s="970"/>
      <c r="RD57" s="970"/>
      <c r="RE57" s="970"/>
      <c r="RF57" s="970"/>
      <c r="RG57" s="970"/>
      <c r="RH57" s="970"/>
      <c r="RI57" s="970"/>
      <c r="RJ57" s="970"/>
      <c r="RK57" s="970"/>
      <c r="RL57" s="970"/>
      <c r="RM57" s="970"/>
      <c r="RN57" s="970"/>
      <c r="RO57" s="970"/>
      <c r="RP57" s="970"/>
      <c r="RQ57" s="970"/>
      <c r="RR57" s="970"/>
      <c r="RS57" s="970"/>
      <c r="RT57" s="970"/>
      <c r="RU57" s="970"/>
      <c r="RV57" s="970"/>
      <c r="RW57" s="970"/>
      <c r="RX57" s="970"/>
      <c r="RY57" s="970"/>
      <c r="RZ57" s="970"/>
      <c r="SA57" s="970"/>
      <c r="SB57" s="970"/>
      <c r="SC57" s="970"/>
      <c r="SD57" s="970"/>
      <c r="SE57" s="970"/>
      <c r="SF57" s="970"/>
      <c r="SG57" s="970"/>
      <c r="SH57" s="970"/>
      <c r="SI57" s="970"/>
      <c r="SJ57" s="970"/>
      <c r="SK57" s="970"/>
      <c r="SL57" s="970"/>
      <c r="SM57" s="970"/>
      <c r="SN57" s="970"/>
      <c r="SO57" s="970"/>
      <c r="SP57" s="970"/>
      <c r="SQ57" s="970"/>
      <c r="SR57" s="970"/>
    </row>
    <row r="58" spans="1:512" ht="15" customHeight="1">
      <c r="A58"/>
      <c r="B58" t="s">
        <v>2706</v>
      </c>
      <c r="C58"/>
      <c r="D58"/>
      <c r="E58" t="s">
        <v>237</v>
      </c>
      <c r="F58"/>
      <c r="G58" s="970">
        <v>1</v>
      </c>
      <c r="H58" s="1012">
        <v>1</v>
      </c>
      <c r="I58" s="970"/>
      <c r="J58" s="970"/>
      <c r="K58" s="970"/>
      <c r="L58" s="970"/>
      <c r="M58" s="970"/>
      <c r="N58" s="970"/>
      <c r="O58" s="970"/>
      <c r="P58" s="970"/>
      <c r="Q58" s="970"/>
      <c r="R58" s="970"/>
      <c r="S58" s="970"/>
      <c r="T58" s="970"/>
      <c r="U58" s="970"/>
      <c r="V58" s="970"/>
      <c r="W58" s="970"/>
      <c r="X58" s="970"/>
      <c r="Y58" s="970"/>
      <c r="Z58" s="970"/>
      <c r="AA58" s="970"/>
      <c r="AB58" s="970"/>
      <c r="AC58" s="970"/>
      <c r="AD58" s="970"/>
      <c r="AE58" s="970"/>
      <c r="AF58" s="970"/>
      <c r="AG58" s="970"/>
      <c r="AH58" s="970"/>
      <c r="AI58" s="970"/>
      <c r="AJ58" s="970"/>
      <c r="AK58" s="970"/>
      <c r="AL58" s="970"/>
      <c r="AM58" s="970"/>
      <c r="AN58" s="970"/>
      <c r="AO58" s="970"/>
      <c r="AP58" s="970"/>
      <c r="AQ58" s="970"/>
      <c r="AR58" s="970"/>
      <c r="AS58" s="970"/>
      <c r="AT58" s="970"/>
      <c r="AU58" s="970"/>
      <c r="AV58" s="970"/>
      <c r="AW58" s="970"/>
      <c r="AX58" s="970"/>
      <c r="AY58" s="970"/>
      <c r="AZ58" s="970"/>
      <c r="BA58" s="970"/>
      <c r="BB58" s="970"/>
      <c r="BC58" s="970"/>
      <c r="BD58" s="970"/>
      <c r="BE58" s="970"/>
      <c r="BF58" s="970"/>
      <c r="BG58" s="970"/>
      <c r="BH58" s="970"/>
      <c r="BI58" s="970"/>
      <c r="BJ58" s="970"/>
      <c r="BK58" s="970"/>
      <c r="BL58" s="970"/>
      <c r="BM58" s="970"/>
      <c r="BN58" s="970"/>
      <c r="BO58" s="970"/>
      <c r="BP58" s="970"/>
      <c r="BQ58" s="970"/>
      <c r="BR58" s="970"/>
      <c r="BS58" s="970"/>
      <c r="BT58" s="970"/>
      <c r="BU58" s="970"/>
      <c r="BV58" s="970"/>
      <c r="BW58" s="970"/>
      <c r="BX58" s="970"/>
      <c r="BY58" s="970"/>
      <c r="BZ58" s="970"/>
      <c r="CA58" s="970"/>
      <c r="CB58" s="970"/>
      <c r="CC58" s="970"/>
      <c r="CD58" s="970"/>
      <c r="CE58" s="970"/>
      <c r="CF58" s="970"/>
      <c r="CG58" s="970"/>
      <c r="CH58" s="970"/>
      <c r="CI58" s="970"/>
      <c r="CJ58" s="970"/>
      <c r="CK58" s="970"/>
      <c r="CL58" s="970"/>
      <c r="CM58" s="970"/>
      <c r="CN58" s="970"/>
      <c r="CO58" s="970"/>
      <c r="CP58" s="970"/>
      <c r="CQ58" s="970"/>
      <c r="CR58" s="970"/>
      <c r="CS58" s="970"/>
      <c r="CT58" s="970"/>
      <c r="CU58" s="970"/>
      <c r="CV58" s="970"/>
      <c r="CW58" s="970"/>
      <c r="CX58" s="970"/>
      <c r="CY58" s="970"/>
      <c r="CZ58" s="970"/>
      <c r="DA58" s="970"/>
      <c r="DB58" s="970"/>
      <c r="DC58" s="970"/>
      <c r="DD58" s="970"/>
      <c r="DE58" s="970"/>
      <c r="DF58" s="970"/>
      <c r="DG58" s="970"/>
      <c r="DH58" s="970"/>
      <c r="DI58" s="970"/>
      <c r="DJ58" s="970"/>
      <c r="DK58" s="970"/>
      <c r="DL58" s="970"/>
      <c r="DM58" s="970"/>
      <c r="DN58" s="970"/>
      <c r="DO58" s="970"/>
      <c r="DP58" s="970"/>
      <c r="DQ58" s="970"/>
      <c r="DR58" s="970"/>
      <c r="DS58" s="970"/>
      <c r="DT58" s="970"/>
      <c r="DU58" s="970"/>
      <c r="DV58" s="970"/>
      <c r="DW58" s="970"/>
      <c r="DX58" s="970"/>
      <c r="DY58" s="970"/>
      <c r="DZ58" s="970"/>
      <c r="EA58" s="970"/>
      <c r="EB58" s="970"/>
      <c r="EC58" s="970"/>
      <c r="ED58" s="970"/>
      <c r="EE58" s="970"/>
      <c r="EF58" s="970"/>
      <c r="EG58" s="970"/>
      <c r="EH58" s="970"/>
      <c r="EI58" s="970"/>
      <c r="EJ58" s="970"/>
      <c r="EK58" s="970"/>
      <c r="EL58" s="970"/>
      <c r="EM58" s="970"/>
      <c r="EN58" s="970"/>
      <c r="EO58" s="970"/>
      <c r="EP58" s="970"/>
      <c r="EQ58" s="970"/>
      <c r="ER58" s="970"/>
      <c r="ES58" s="970"/>
      <c r="ET58" s="970"/>
      <c r="EU58" s="970"/>
      <c r="EV58" s="970"/>
      <c r="EW58" s="970"/>
      <c r="EX58" s="970"/>
      <c r="EY58" s="970"/>
      <c r="EZ58" s="970"/>
      <c r="FA58" s="970"/>
      <c r="FB58" s="970"/>
      <c r="FC58" s="970"/>
      <c r="FD58" s="970"/>
      <c r="FE58" s="970"/>
      <c r="FF58" s="970"/>
      <c r="FG58" s="970"/>
      <c r="FH58" s="970"/>
      <c r="FI58" s="970"/>
      <c r="FJ58" s="970"/>
      <c r="FK58" s="970"/>
      <c r="FL58" s="970"/>
      <c r="FM58" s="970"/>
      <c r="FN58" s="970"/>
      <c r="FO58" s="970"/>
      <c r="FP58" s="970"/>
      <c r="FQ58" s="970"/>
      <c r="FR58" s="970"/>
      <c r="FS58" s="970"/>
      <c r="FT58" s="970"/>
      <c r="FU58" s="970"/>
      <c r="FV58" s="970"/>
      <c r="FW58" s="970"/>
      <c r="FX58" s="970"/>
      <c r="FY58" s="970"/>
      <c r="FZ58" s="970"/>
      <c r="GA58" s="970"/>
      <c r="GB58" s="970"/>
      <c r="GC58" s="970"/>
      <c r="GD58" s="970"/>
      <c r="GE58" s="970"/>
      <c r="GF58" s="970"/>
      <c r="GG58" s="970"/>
      <c r="GH58" s="970"/>
      <c r="GI58" s="970"/>
      <c r="GJ58" s="970"/>
      <c r="GK58" s="970"/>
      <c r="GL58" s="970"/>
      <c r="GM58" s="970"/>
      <c r="GN58" s="970"/>
      <c r="GO58" s="970"/>
      <c r="GP58" s="970"/>
      <c r="GQ58" s="970"/>
      <c r="GR58" s="970"/>
      <c r="GS58" s="970"/>
      <c r="GT58" s="970"/>
      <c r="GU58" s="970"/>
      <c r="GV58" s="970"/>
      <c r="GW58" s="970"/>
      <c r="GX58" s="970"/>
      <c r="GY58" s="970"/>
      <c r="GZ58" s="970"/>
      <c r="HA58" s="970"/>
      <c r="HB58" s="970"/>
      <c r="HC58" s="970"/>
      <c r="HD58" s="970"/>
      <c r="HE58" s="970"/>
      <c r="HF58" s="970"/>
      <c r="HG58" s="970"/>
      <c r="HH58" s="970"/>
      <c r="HI58" s="970"/>
      <c r="HJ58" s="970"/>
      <c r="HK58" s="970"/>
      <c r="HL58" s="970"/>
      <c r="HM58" s="970"/>
      <c r="HN58" s="970"/>
      <c r="HO58" s="970"/>
      <c r="HP58" s="970"/>
      <c r="HQ58" s="970"/>
      <c r="HR58" s="970"/>
      <c r="HS58" s="970"/>
      <c r="HT58" s="970"/>
      <c r="HU58" s="970"/>
      <c r="HV58" s="970"/>
      <c r="HW58" s="970"/>
      <c r="HX58" s="970"/>
      <c r="HY58" s="970"/>
      <c r="HZ58" s="970"/>
      <c r="IA58" s="970"/>
      <c r="IB58" s="970"/>
      <c r="IC58" s="970"/>
      <c r="ID58" s="970"/>
      <c r="IE58" s="970"/>
      <c r="IF58" s="970"/>
      <c r="IG58" s="970"/>
      <c r="IH58" s="970"/>
      <c r="II58" s="970"/>
      <c r="IJ58" s="970"/>
      <c r="IK58" s="970"/>
      <c r="IL58" s="970"/>
      <c r="IM58" s="970"/>
      <c r="IN58" s="970"/>
      <c r="IO58" s="970"/>
      <c r="IP58" s="970"/>
      <c r="IQ58" s="970"/>
      <c r="IR58" s="970"/>
      <c r="IS58" s="970"/>
      <c r="IT58" s="970"/>
      <c r="IU58" s="970"/>
      <c r="IV58" s="970"/>
      <c r="IW58" s="970"/>
      <c r="IX58" s="970"/>
      <c r="IY58" s="970"/>
      <c r="IZ58" s="970"/>
      <c r="JA58" s="970"/>
      <c r="JB58" s="970"/>
      <c r="JC58" s="970"/>
      <c r="JD58" s="970"/>
      <c r="JE58" s="970"/>
      <c r="JF58" s="970"/>
      <c r="JG58" s="970"/>
      <c r="JH58" s="970"/>
      <c r="JI58" s="970"/>
      <c r="JJ58" s="970"/>
      <c r="JK58" s="970"/>
      <c r="JL58" s="970"/>
      <c r="JM58" s="970"/>
      <c r="JN58" s="970"/>
      <c r="JO58" s="970"/>
      <c r="JP58" s="970"/>
      <c r="JQ58" s="970"/>
      <c r="JR58" s="970"/>
      <c r="JS58" s="970"/>
      <c r="JT58" s="970"/>
      <c r="JU58" s="970"/>
      <c r="JV58" s="970"/>
      <c r="JW58" s="970"/>
      <c r="JX58" s="970"/>
      <c r="JY58" s="970"/>
      <c r="JZ58" s="970"/>
      <c r="KA58" s="970"/>
      <c r="KB58" s="970"/>
      <c r="KC58" s="970"/>
      <c r="KD58" s="970"/>
      <c r="KE58" s="970"/>
      <c r="KF58" s="970"/>
      <c r="KG58" s="970"/>
      <c r="KH58" s="970"/>
      <c r="KI58" s="970"/>
      <c r="KJ58" s="970"/>
      <c r="KK58" s="970"/>
      <c r="KL58" s="970"/>
      <c r="KM58" s="970"/>
      <c r="KN58" s="970"/>
      <c r="KO58" s="970"/>
      <c r="KP58" s="970"/>
      <c r="KQ58" s="970"/>
      <c r="KR58" s="970"/>
      <c r="KS58" s="970"/>
      <c r="KT58" s="970"/>
      <c r="KU58" s="970"/>
      <c r="KV58" s="970"/>
      <c r="KW58" s="970"/>
      <c r="KX58" s="970"/>
      <c r="KY58" s="970"/>
      <c r="KZ58" s="970"/>
      <c r="LA58" s="970"/>
      <c r="LB58" s="970"/>
      <c r="LC58" s="970"/>
      <c r="LD58" s="970"/>
      <c r="LE58" s="970"/>
      <c r="LF58" s="970"/>
      <c r="LG58" s="970"/>
      <c r="LH58" s="970"/>
      <c r="LI58" s="970"/>
      <c r="LJ58" s="970"/>
      <c r="LK58" s="970"/>
      <c r="LL58" s="970"/>
      <c r="LM58" s="970"/>
      <c r="LN58" s="970"/>
      <c r="LO58" s="970"/>
      <c r="LP58" s="970"/>
      <c r="LQ58" s="970"/>
      <c r="LR58" s="970"/>
      <c r="LS58" s="970"/>
      <c r="LT58" s="970"/>
      <c r="LU58" s="970"/>
      <c r="LV58" s="970"/>
      <c r="LW58" s="970"/>
      <c r="LX58" s="970"/>
      <c r="LY58" s="970"/>
      <c r="LZ58" s="970"/>
      <c r="MA58" s="970"/>
      <c r="MB58" s="970"/>
      <c r="MC58" s="970"/>
      <c r="MD58" s="970"/>
      <c r="ME58" s="970"/>
      <c r="MF58" s="970"/>
      <c r="MG58" s="970"/>
      <c r="MH58" s="970"/>
      <c r="MI58" s="970"/>
      <c r="MJ58" s="970"/>
      <c r="MK58" s="970"/>
      <c r="ML58" s="970"/>
      <c r="MM58" s="970"/>
      <c r="MN58" s="970"/>
      <c r="MO58" s="970"/>
      <c r="MP58" s="970"/>
      <c r="MQ58" s="970"/>
      <c r="MR58" s="970"/>
      <c r="MS58" s="970"/>
      <c r="MT58" s="970"/>
      <c r="MU58" s="970"/>
      <c r="MV58" s="970"/>
      <c r="MW58" s="970"/>
      <c r="MX58" s="970"/>
      <c r="MY58" s="970"/>
      <c r="MZ58" s="970"/>
      <c r="NA58" s="970"/>
      <c r="NB58" s="970"/>
      <c r="NC58" s="970"/>
      <c r="ND58" s="970"/>
      <c r="NE58" s="970"/>
      <c r="NF58" s="970"/>
      <c r="NG58" s="970"/>
      <c r="NH58" s="970"/>
      <c r="NI58" s="970"/>
      <c r="NJ58" s="970"/>
      <c r="NK58" s="970"/>
      <c r="NL58" s="970"/>
      <c r="NM58" s="970"/>
      <c r="NN58" s="970"/>
      <c r="NO58" s="970"/>
      <c r="NP58" s="970"/>
      <c r="NQ58" s="970"/>
      <c r="NR58" s="970"/>
      <c r="NS58" s="970"/>
      <c r="NT58" s="970"/>
      <c r="NU58" s="970"/>
      <c r="NV58" s="970"/>
      <c r="NW58" s="970"/>
      <c r="NX58" s="970"/>
      <c r="NY58" s="970"/>
      <c r="NZ58" s="970"/>
      <c r="OA58" s="970"/>
      <c r="OB58" s="970"/>
      <c r="OC58" s="970"/>
      <c r="OD58" s="970"/>
      <c r="OE58" s="970"/>
      <c r="OF58" s="970"/>
      <c r="OG58" s="970"/>
      <c r="OH58" s="970"/>
      <c r="OI58" s="970"/>
      <c r="OJ58" s="970"/>
      <c r="OK58" s="970"/>
      <c r="OL58" s="970"/>
      <c r="OM58" s="970"/>
      <c r="ON58" s="970"/>
      <c r="OO58" s="970"/>
      <c r="OP58" s="970"/>
      <c r="OQ58" s="970"/>
      <c r="OR58" s="970"/>
      <c r="OS58" s="970"/>
      <c r="OT58" s="970"/>
      <c r="OU58" s="970"/>
      <c r="OV58" s="970"/>
      <c r="OW58" s="970"/>
      <c r="OX58" s="970"/>
      <c r="OY58" s="970"/>
      <c r="OZ58" s="970"/>
      <c r="PA58" s="970"/>
      <c r="PB58" s="970"/>
      <c r="PC58" s="970"/>
      <c r="PD58" s="970"/>
      <c r="PE58" s="970"/>
      <c r="PF58" s="970"/>
      <c r="PG58" s="970"/>
      <c r="PH58" s="970"/>
      <c r="PI58" s="970"/>
      <c r="PJ58" s="970"/>
      <c r="PK58" s="970"/>
      <c r="PL58" s="970"/>
      <c r="PM58" s="970"/>
      <c r="PN58" s="970"/>
      <c r="PO58" s="970"/>
      <c r="PP58" s="970"/>
      <c r="PQ58" s="970"/>
      <c r="PR58" s="970"/>
      <c r="PS58" s="970"/>
      <c r="PT58" s="970"/>
      <c r="PU58" s="970"/>
      <c r="PV58" s="970"/>
      <c r="PW58" s="970"/>
      <c r="PX58" s="970"/>
      <c r="PY58" s="970"/>
      <c r="PZ58" s="970"/>
      <c r="QA58" s="970"/>
      <c r="QB58" s="970"/>
      <c r="QC58" s="970"/>
      <c r="QD58" s="970"/>
      <c r="QE58" s="970"/>
      <c r="QF58" s="970"/>
      <c r="QG58" s="970"/>
      <c r="QH58" s="970"/>
      <c r="QI58" s="970"/>
      <c r="QJ58" s="970"/>
      <c r="QK58" s="970"/>
      <c r="QL58" s="970"/>
      <c r="QM58" s="970"/>
      <c r="QN58" s="970"/>
      <c r="QO58" s="970"/>
      <c r="QP58" s="970"/>
      <c r="QQ58" s="970"/>
      <c r="QR58" s="970"/>
      <c r="QS58" s="970"/>
      <c r="QT58" s="970"/>
      <c r="QU58" s="970"/>
      <c r="QV58" s="970"/>
      <c r="QW58" s="970"/>
      <c r="QX58" s="970"/>
      <c r="QY58" s="970"/>
      <c r="QZ58" s="970"/>
      <c r="RA58" s="970"/>
      <c r="RB58" s="970"/>
      <c r="RC58" s="970"/>
      <c r="RD58" s="970"/>
      <c r="RE58" s="970"/>
      <c r="RF58" s="970"/>
      <c r="RG58" s="970"/>
      <c r="RH58" s="970"/>
      <c r="RI58" s="970"/>
      <c r="RJ58" s="970"/>
      <c r="RK58" s="970"/>
      <c r="RL58" s="970"/>
      <c r="RM58" s="970"/>
      <c r="RN58" s="970"/>
      <c r="RO58" s="970"/>
      <c r="RP58" s="970"/>
      <c r="RQ58" s="970"/>
      <c r="RR58" s="970"/>
      <c r="RS58" s="970"/>
      <c r="RT58" s="970"/>
      <c r="RU58" s="970"/>
      <c r="RV58" s="970"/>
      <c r="RW58" s="970"/>
      <c r="RX58" s="970"/>
      <c r="RY58" s="970"/>
      <c r="RZ58" s="970"/>
      <c r="SA58" s="970"/>
      <c r="SB58" s="970"/>
      <c r="SC58" s="970"/>
      <c r="SD58" s="970"/>
      <c r="SE58" s="970"/>
      <c r="SF58" s="970"/>
      <c r="SG58" s="970"/>
      <c r="SH58" s="970"/>
      <c r="SI58" s="970"/>
      <c r="SJ58" s="970"/>
      <c r="SK58" s="970"/>
      <c r="SL58" s="970"/>
      <c r="SM58" s="970"/>
      <c r="SN58" s="970"/>
      <c r="SO58" s="970"/>
      <c r="SP58" s="970"/>
      <c r="SQ58" s="970"/>
      <c r="SR58" s="970"/>
    </row>
    <row r="59" spans="1:512" ht="15" customHeight="1">
      <c r="A59"/>
      <c r="B59" t="s">
        <v>2707</v>
      </c>
      <c r="C59"/>
      <c r="D59"/>
      <c r="E59" t="s">
        <v>876</v>
      </c>
      <c r="F59"/>
      <c r="G59" s="987">
        <v>181.52809179284083</v>
      </c>
      <c r="H59" s="987">
        <v>29.603587365479498</v>
      </c>
      <c r="I59" s="987"/>
      <c r="J59" s="987"/>
      <c r="K59" s="987"/>
      <c r="L59" s="987"/>
      <c r="M59" s="987"/>
      <c r="N59" s="987"/>
      <c r="O59" s="987"/>
      <c r="P59" s="987"/>
      <c r="Q59" s="987"/>
      <c r="R59" s="987"/>
      <c r="S59" s="987"/>
      <c r="T59" s="987"/>
      <c r="U59" s="970"/>
      <c r="V59" s="970"/>
      <c r="W59" s="970"/>
      <c r="X59" s="970"/>
      <c r="Y59" s="970"/>
      <c r="Z59" s="970"/>
      <c r="AA59" s="970"/>
      <c r="AB59" s="970"/>
      <c r="AC59" s="970"/>
      <c r="AD59" s="970"/>
      <c r="AE59" s="970"/>
      <c r="AF59" s="970"/>
      <c r="AG59" s="970"/>
      <c r="AH59" s="970"/>
      <c r="AI59" s="970"/>
      <c r="AJ59" s="970"/>
      <c r="AK59" s="970"/>
      <c r="AL59" s="970"/>
      <c r="AM59" s="970"/>
      <c r="AN59" s="970"/>
      <c r="AO59" s="970"/>
      <c r="AP59" s="970"/>
      <c r="AQ59" s="970"/>
      <c r="AR59" s="970"/>
      <c r="AS59" s="970"/>
      <c r="AT59" s="970"/>
      <c r="AU59" s="970"/>
      <c r="AV59" s="970"/>
      <c r="AW59" s="970"/>
      <c r="AX59" s="970"/>
      <c r="AY59" s="970"/>
      <c r="AZ59" s="970"/>
      <c r="BA59" s="970"/>
      <c r="BB59" s="970"/>
      <c r="BC59" s="970"/>
      <c r="BD59" s="970"/>
      <c r="BE59" s="970"/>
      <c r="BF59" s="970"/>
      <c r="BG59" s="970"/>
      <c r="BH59" s="970"/>
      <c r="BI59" s="970"/>
      <c r="BJ59" s="970"/>
      <c r="BK59" s="970"/>
      <c r="BL59" s="970"/>
      <c r="BM59" s="970"/>
      <c r="BN59" s="970"/>
      <c r="BO59" s="970"/>
      <c r="BP59" s="970"/>
      <c r="BQ59" s="970"/>
      <c r="BR59" s="970"/>
      <c r="BS59" s="970"/>
      <c r="BT59" s="970"/>
      <c r="BU59" s="970"/>
      <c r="BV59" s="970"/>
      <c r="BW59" s="970"/>
      <c r="BX59" s="970"/>
      <c r="BY59" s="970"/>
      <c r="BZ59" s="970"/>
      <c r="CA59" s="970"/>
      <c r="CB59" s="970"/>
      <c r="CC59" s="970"/>
      <c r="CD59" s="970"/>
      <c r="CE59" s="970"/>
      <c r="CF59" s="970"/>
      <c r="CG59" s="970"/>
      <c r="CH59" s="970"/>
      <c r="CI59" s="970"/>
      <c r="CJ59" s="970"/>
      <c r="CK59" s="970"/>
      <c r="CL59" s="970"/>
      <c r="CM59" s="970"/>
      <c r="CN59" s="970"/>
      <c r="CO59" s="970"/>
      <c r="CP59" s="970"/>
      <c r="CQ59" s="970"/>
      <c r="CR59" s="970"/>
      <c r="CS59" s="970"/>
      <c r="CT59" s="970"/>
      <c r="CU59" s="970"/>
      <c r="CV59" s="970"/>
      <c r="CW59" s="970"/>
      <c r="CX59" s="970"/>
      <c r="CY59" s="970"/>
      <c r="CZ59" s="970"/>
      <c r="DA59" s="970"/>
      <c r="DB59" s="970"/>
      <c r="DC59" s="970"/>
      <c r="DD59" s="970"/>
      <c r="DE59" s="970"/>
      <c r="DF59" s="970"/>
      <c r="DG59" s="970"/>
      <c r="DH59" s="970"/>
      <c r="DI59" s="970"/>
      <c r="DJ59" s="970"/>
      <c r="DK59" s="970"/>
      <c r="DL59" s="970"/>
      <c r="DM59" s="970"/>
      <c r="DN59" s="970"/>
      <c r="DO59" s="970"/>
      <c r="DP59" s="970"/>
      <c r="DQ59" s="970"/>
      <c r="DR59" s="970"/>
      <c r="DS59" s="970"/>
      <c r="DT59" s="970"/>
      <c r="DU59" s="970"/>
      <c r="DV59" s="970"/>
      <c r="DW59" s="970"/>
      <c r="DX59" s="970"/>
      <c r="DY59" s="970"/>
      <c r="DZ59" s="970"/>
      <c r="EA59" s="970"/>
      <c r="EB59" s="970"/>
      <c r="EC59" s="970"/>
      <c r="ED59" s="970"/>
      <c r="EE59" s="970"/>
      <c r="EF59" s="970"/>
      <c r="EG59" s="970"/>
      <c r="EH59" s="970"/>
      <c r="EI59" s="970"/>
      <c r="EJ59" s="970"/>
      <c r="EK59" s="970"/>
      <c r="EL59" s="970"/>
      <c r="EM59" s="970"/>
      <c r="EN59" s="970"/>
      <c r="EO59" s="970"/>
      <c r="EP59" s="970"/>
      <c r="EQ59" s="970"/>
      <c r="ER59" s="970"/>
      <c r="ES59" s="970"/>
      <c r="ET59" s="970"/>
      <c r="EU59" s="970"/>
      <c r="EV59" s="970"/>
      <c r="EW59" s="970"/>
      <c r="EX59" s="970"/>
      <c r="EY59" s="970"/>
      <c r="EZ59" s="970"/>
      <c r="FA59" s="970"/>
      <c r="FB59" s="970"/>
      <c r="FC59" s="970"/>
      <c r="FD59" s="970"/>
      <c r="FE59" s="970"/>
      <c r="FF59" s="970"/>
      <c r="FG59" s="970"/>
      <c r="FH59" s="970"/>
      <c r="FI59" s="970"/>
      <c r="FJ59" s="970"/>
      <c r="FK59" s="970"/>
      <c r="FL59" s="970"/>
      <c r="FM59" s="970"/>
      <c r="FN59" s="970"/>
      <c r="FO59" s="970"/>
      <c r="FP59" s="970"/>
      <c r="FQ59" s="970"/>
      <c r="FR59" s="970"/>
      <c r="FS59" s="970"/>
      <c r="FT59" s="970"/>
      <c r="FU59" s="970"/>
      <c r="FV59" s="970"/>
      <c r="FW59" s="970"/>
      <c r="FX59" s="970"/>
      <c r="FY59" s="970"/>
      <c r="FZ59" s="970"/>
      <c r="GA59" s="970"/>
      <c r="GB59" s="970"/>
      <c r="GC59" s="970"/>
      <c r="GD59" s="970"/>
      <c r="GE59" s="970"/>
      <c r="GF59" s="970"/>
      <c r="GG59" s="970"/>
      <c r="GH59" s="970"/>
      <c r="GI59" s="970"/>
      <c r="GJ59" s="970"/>
      <c r="GK59" s="970"/>
      <c r="GL59" s="970"/>
      <c r="GM59" s="970"/>
      <c r="GN59" s="970"/>
      <c r="GO59" s="970"/>
      <c r="GP59" s="970"/>
      <c r="GQ59" s="970"/>
      <c r="GR59" s="970"/>
      <c r="GS59" s="970"/>
      <c r="GT59" s="970"/>
      <c r="GU59" s="970"/>
      <c r="GV59" s="970"/>
      <c r="GW59" s="970"/>
      <c r="GX59" s="970"/>
      <c r="GY59" s="970"/>
      <c r="GZ59" s="970"/>
      <c r="HA59" s="970"/>
      <c r="HB59" s="970"/>
      <c r="HC59" s="970"/>
      <c r="HD59" s="970"/>
      <c r="HE59" s="970"/>
      <c r="HF59" s="970"/>
      <c r="HG59" s="970"/>
      <c r="HH59" s="970"/>
      <c r="HI59" s="970"/>
      <c r="HJ59" s="970"/>
      <c r="HK59" s="970"/>
      <c r="HL59" s="970"/>
      <c r="HM59" s="970"/>
      <c r="HN59" s="970"/>
      <c r="HO59" s="970"/>
      <c r="HP59" s="970"/>
      <c r="HQ59" s="970"/>
      <c r="HR59" s="970"/>
      <c r="HS59" s="970"/>
      <c r="HT59" s="970"/>
      <c r="HU59" s="970"/>
      <c r="HV59" s="970"/>
      <c r="HW59" s="970"/>
      <c r="HX59" s="970"/>
      <c r="HY59" s="970"/>
      <c r="HZ59" s="970"/>
      <c r="IA59" s="970"/>
      <c r="IB59" s="970"/>
      <c r="IC59" s="970"/>
      <c r="ID59" s="970"/>
      <c r="IE59" s="970"/>
      <c r="IF59" s="970"/>
      <c r="IG59" s="970"/>
      <c r="IH59" s="970"/>
      <c r="II59" s="970"/>
      <c r="IJ59" s="970"/>
      <c r="IK59" s="970"/>
      <c r="IL59" s="970"/>
      <c r="IM59" s="970"/>
      <c r="IN59" s="970"/>
      <c r="IO59" s="970"/>
      <c r="IP59" s="970"/>
      <c r="IQ59" s="970"/>
      <c r="IR59" s="970"/>
      <c r="IS59" s="970"/>
      <c r="IT59" s="970"/>
      <c r="IU59" s="970"/>
      <c r="IV59" s="970"/>
      <c r="IW59" s="970"/>
      <c r="IX59" s="970"/>
      <c r="IY59" s="970"/>
      <c r="IZ59" s="970"/>
      <c r="JA59" s="970"/>
      <c r="JB59" s="970"/>
      <c r="JC59" s="970"/>
      <c r="JD59" s="970"/>
      <c r="JE59" s="970"/>
      <c r="JF59" s="970"/>
      <c r="JG59" s="970"/>
      <c r="JH59" s="970"/>
      <c r="JI59" s="970"/>
      <c r="JJ59" s="970"/>
      <c r="JK59" s="970"/>
      <c r="JL59" s="970"/>
      <c r="JM59" s="970"/>
      <c r="JN59" s="970"/>
      <c r="JO59" s="970"/>
      <c r="JP59" s="970"/>
      <c r="JQ59" s="970"/>
      <c r="JR59" s="970"/>
      <c r="JS59" s="970"/>
      <c r="JT59" s="970"/>
      <c r="JU59" s="970"/>
      <c r="JV59" s="970"/>
      <c r="JW59" s="970"/>
      <c r="JX59" s="970"/>
      <c r="JY59" s="970"/>
      <c r="JZ59" s="970"/>
      <c r="KA59" s="970"/>
      <c r="KB59" s="970"/>
      <c r="KC59" s="970"/>
      <c r="KD59" s="970"/>
      <c r="KE59" s="970"/>
      <c r="KF59" s="970"/>
      <c r="KG59" s="970"/>
      <c r="KH59" s="970"/>
      <c r="KI59" s="970"/>
      <c r="KJ59" s="970"/>
      <c r="KK59" s="970"/>
      <c r="KL59" s="970"/>
      <c r="KM59" s="970"/>
      <c r="KN59" s="970"/>
      <c r="KO59" s="970"/>
      <c r="KP59" s="970"/>
      <c r="KQ59" s="970"/>
      <c r="KR59" s="970"/>
      <c r="KS59" s="970"/>
      <c r="KT59" s="970"/>
      <c r="KU59" s="970"/>
      <c r="KV59" s="970"/>
      <c r="KW59" s="970"/>
      <c r="KX59" s="970"/>
      <c r="KY59" s="970"/>
      <c r="KZ59" s="970"/>
      <c r="LA59" s="970"/>
      <c r="LB59" s="970"/>
      <c r="LC59" s="970"/>
      <c r="LD59" s="970"/>
      <c r="LE59" s="970"/>
      <c r="LF59" s="970"/>
      <c r="LG59" s="970"/>
      <c r="LH59" s="970"/>
      <c r="LI59" s="970"/>
      <c r="LJ59" s="970"/>
      <c r="LK59" s="970"/>
      <c r="LL59" s="970"/>
      <c r="LM59" s="970"/>
      <c r="LN59" s="970"/>
      <c r="LO59" s="970"/>
      <c r="LP59" s="970"/>
      <c r="LQ59" s="970"/>
      <c r="LR59" s="970"/>
      <c r="LS59" s="970"/>
      <c r="LT59" s="970"/>
      <c r="LU59" s="970"/>
      <c r="LV59" s="970"/>
      <c r="LW59" s="970"/>
      <c r="LX59" s="970"/>
      <c r="LY59" s="970"/>
      <c r="LZ59" s="970"/>
      <c r="MA59" s="970"/>
      <c r="MB59" s="970"/>
      <c r="MC59" s="970"/>
      <c r="MD59" s="970"/>
      <c r="ME59" s="970"/>
      <c r="MF59" s="970"/>
      <c r="MG59" s="970"/>
      <c r="MH59" s="970"/>
      <c r="MI59" s="970"/>
      <c r="MJ59" s="970"/>
      <c r="MK59" s="970"/>
      <c r="ML59" s="970"/>
      <c r="MM59" s="970"/>
      <c r="MN59" s="970"/>
      <c r="MO59" s="970"/>
      <c r="MP59" s="970"/>
      <c r="MQ59" s="970"/>
      <c r="MR59" s="970"/>
      <c r="MS59" s="970"/>
      <c r="MT59" s="970"/>
      <c r="MU59" s="970"/>
      <c r="MV59" s="970"/>
      <c r="MW59" s="970"/>
      <c r="MX59" s="970"/>
      <c r="MY59" s="970"/>
      <c r="MZ59" s="970"/>
      <c r="NA59" s="970"/>
      <c r="NB59" s="970"/>
      <c r="NC59" s="970"/>
      <c r="ND59" s="970"/>
      <c r="NE59" s="970"/>
      <c r="NF59" s="970"/>
      <c r="NG59" s="970"/>
      <c r="NH59" s="970"/>
      <c r="NI59" s="970"/>
      <c r="NJ59" s="970"/>
      <c r="NK59" s="970"/>
      <c r="NL59" s="970"/>
      <c r="NM59" s="970"/>
      <c r="NN59" s="970"/>
      <c r="NO59" s="970"/>
      <c r="NP59" s="970"/>
      <c r="NQ59" s="970"/>
      <c r="NR59" s="970"/>
      <c r="NS59" s="970"/>
      <c r="NT59" s="970"/>
      <c r="NU59" s="970"/>
      <c r="NV59" s="970"/>
      <c r="NW59" s="970"/>
      <c r="NX59" s="970"/>
      <c r="NY59" s="970"/>
      <c r="NZ59" s="970"/>
      <c r="OA59" s="970"/>
      <c r="OB59" s="970"/>
      <c r="OC59" s="970"/>
      <c r="OD59" s="970"/>
      <c r="OE59" s="970"/>
      <c r="OF59" s="970"/>
      <c r="OG59" s="970"/>
      <c r="OH59" s="970"/>
      <c r="OI59" s="970"/>
      <c r="OJ59" s="970"/>
      <c r="OK59" s="970"/>
      <c r="OL59" s="970"/>
      <c r="OM59" s="970"/>
      <c r="ON59" s="970"/>
      <c r="OO59" s="970"/>
      <c r="OP59" s="970"/>
      <c r="OQ59" s="970"/>
      <c r="OR59" s="970"/>
      <c r="OS59" s="970"/>
      <c r="OT59" s="970"/>
      <c r="OU59" s="970"/>
      <c r="OV59" s="970"/>
      <c r="OW59" s="970"/>
      <c r="OX59" s="970"/>
      <c r="OY59" s="970"/>
      <c r="OZ59" s="970"/>
      <c r="PA59" s="970"/>
      <c r="PB59" s="970"/>
      <c r="PC59" s="970"/>
      <c r="PD59" s="970"/>
      <c r="PE59" s="970"/>
      <c r="PF59" s="970"/>
      <c r="PG59" s="970"/>
      <c r="PH59" s="970"/>
      <c r="PI59" s="970"/>
      <c r="PJ59" s="970"/>
      <c r="PK59" s="970"/>
      <c r="PL59" s="970"/>
      <c r="PM59" s="970"/>
      <c r="PN59" s="970"/>
      <c r="PO59" s="970"/>
      <c r="PP59" s="970"/>
      <c r="PQ59" s="970"/>
      <c r="PR59" s="970"/>
      <c r="PS59" s="970"/>
      <c r="PT59" s="970"/>
      <c r="PU59" s="970"/>
      <c r="PV59" s="970"/>
      <c r="PW59" s="970"/>
      <c r="PX59" s="970"/>
      <c r="PY59" s="970"/>
      <c r="PZ59" s="970"/>
      <c r="QA59" s="970"/>
      <c r="QB59" s="970"/>
      <c r="QC59" s="970"/>
      <c r="QD59" s="970"/>
      <c r="QE59" s="970"/>
      <c r="QF59" s="970"/>
      <c r="QG59" s="970"/>
      <c r="QH59" s="970"/>
      <c r="QI59" s="970"/>
      <c r="QJ59" s="970"/>
      <c r="QK59" s="970"/>
      <c r="QL59" s="970"/>
      <c r="QM59" s="970"/>
      <c r="QN59" s="970"/>
      <c r="QO59" s="970"/>
      <c r="QP59" s="970"/>
      <c r="QQ59" s="970"/>
      <c r="QR59" s="970"/>
      <c r="QS59" s="970"/>
      <c r="QT59" s="970"/>
      <c r="QU59" s="970"/>
      <c r="QV59" s="970"/>
      <c r="QW59" s="970"/>
      <c r="QX59" s="970"/>
      <c r="QY59" s="970"/>
      <c r="QZ59" s="970"/>
      <c r="RA59" s="970"/>
      <c r="RB59" s="970"/>
      <c r="RC59" s="970"/>
      <c r="RD59" s="970"/>
      <c r="RE59" s="970"/>
      <c r="RF59" s="970"/>
      <c r="RG59" s="970"/>
      <c r="RH59" s="970"/>
      <c r="RI59" s="970"/>
      <c r="RJ59" s="970"/>
      <c r="RK59" s="970"/>
      <c r="RL59" s="970"/>
      <c r="RM59" s="970"/>
      <c r="RN59" s="970"/>
      <c r="RO59" s="970"/>
      <c r="RP59" s="970"/>
      <c r="RQ59" s="970"/>
      <c r="RR59" s="970"/>
      <c r="RS59" s="970"/>
      <c r="RT59" s="970"/>
      <c r="RU59" s="970"/>
      <c r="RV59" s="970"/>
      <c r="RW59" s="970"/>
      <c r="RX59" s="970"/>
      <c r="RY59" s="970"/>
      <c r="RZ59" s="970"/>
      <c r="SA59" s="970"/>
      <c r="SB59" s="970"/>
      <c r="SC59" s="970"/>
      <c r="SD59" s="970"/>
      <c r="SE59" s="970"/>
      <c r="SF59" s="970"/>
      <c r="SG59" s="970"/>
      <c r="SH59" s="970"/>
      <c r="SI59" s="970"/>
      <c r="SJ59" s="970"/>
      <c r="SK59" s="970"/>
      <c r="SL59" s="970"/>
      <c r="SM59" s="970"/>
      <c r="SN59" s="970"/>
      <c r="SO59" s="970"/>
      <c r="SP59" s="970"/>
      <c r="SQ59" s="970"/>
      <c r="SR59" s="970"/>
    </row>
    <row r="60" spans="1:512" s="850" customFormat="1" ht="15" customHeight="1">
      <c r="A60"/>
      <c r="B60" t="s">
        <v>2708</v>
      </c>
      <c r="C60"/>
      <c r="D60"/>
      <c r="E60" t="s">
        <v>876</v>
      </c>
      <c r="F60"/>
      <c r="G60" s="974">
        <v>0</v>
      </c>
      <c r="H60" s="1013">
        <v>0</v>
      </c>
      <c r="I60" s="974"/>
      <c r="J60" s="974"/>
      <c r="K60" s="974"/>
      <c r="L60" s="974"/>
      <c r="M60" s="974"/>
      <c r="N60" s="974"/>
      <c r="O60" s="974"/>
      <c r="P60" s="974"/>
      <c r="Q60" s="974"/>
      <c r="R60" s="974"/>
      <c r="S60" s="974"/>
      <c r="T60" s="974"/>
      <c r="U60" s="974"/>
      <c r="V60" s="974"/>
      <c r="W60" s="974"/>
      <c r="X60" s="974"/>
      <c r="Y60" s="974"/>
      <c r="Z60" s="974"/>
      <c r="AA60" s="974"/>
      <c r="AB60" s="974"/>
      <c r="AC60" s="974"/>
      <c r="AD60" s="974"/>
      <c r="AE60" s="974"/>
      <c r="AF60" s="974"/>
      <c r="AG60" s="974"/>
      <c r="AH60" s="974"/>
      <c r="AI60" s="974"/>
      <c r="AJ60" s="974"/>
      <c r="AK60" s="974"/>
      <c r="AL60" s="974"/>
      <c r="AM60" s="974"/>
      <c r="AN60" s="974"/>
      <c r="AO60" s="974"/>
      <c r="AP60" s="974"/>
      <c r="AQ60" s="974"/>
      <c r="AR60" s="974"/>
      <c r="AS60" s="974"/>
      <c r="AT60" s="974"/>
      <c r="AU60" s="974"/>
      <c r="AV60" s="974"/>
      <c r="AW60" s="974"/>
      <c r="AX60" s="974"/>
      <c r="AY60" s="974"/>
      <c r="AZ60" s="974"/>
      <c r="BA60" s="974"/>
      <c r="BB60" s="974"/>
      <c r="BC60" s="974"/>
      <c r="BD60" s="974"/>
      <c r="BE60" s="974"/>
      <c r="BF60" s="974"/>
      <c r="BG60" s="974"/>
      <c r="BH60" s="974"/>
      <c r="BI60" s="974"/>
      <c r="BJ60" s="974"/>
      <c r="BK60" s="974"/>
      <c r="BL60" s="974"/>
      <c r="BM60" s="974"/>
      <c r="BN60" s="974"/>
      <c r="BO60" s="974"/>
      <c r="BP60" s="974"/>
      <c r="BQ60" s="974"/>
      <c r="BR60" s="974"/>
      <c r="BS60" s="974"/>
      <c r="BT60" s="974"/>
      <c r="BU60" s="974"/>
      <c r="BV60" s="974"/>
      <c r="BW60" s="974"/>
      <c r="BX60" s="974"/>
      <c r="BY60" s="974"/>
      <c r="BZ60" s="974"/>
      <c r="CA60" s="974"/>
      <c r="CB60" s="974"/>
      <c r="CC60" s="974"/>
      <c r="CD60" s="974"/>
      <c r="CE60" s="974"/>
      <c r="CF60" s="974"/>
      <c r="CG60" s="974"/>
      <c r="CH60" s="974"/>
      <c r="CI60" s="974"/>
      <c r="CJ60" s="974"/>
      <c r="CK60" s="974"/>
      <c r="CL60" s="974"/>
      <c r="CM60" s="974"/>
      <c r="CN60" s="974"/>
      <c r="CO60" s="974"/>
      <c r="CP60" s="974"/>
      <c r="CQ60" s="974"/>
      <c r="CR60" s="974"/>
      <c r="CS60" s="974"/>
      <c r="CT60" s="974"/>
      <c r="CU60" s="974"/>
      <c r="CV60" s="974"/>
      <c r="CW60" s="974"/>
      <c r="CX60" s="974"/>
      <c r="CY60" s="974"/>
      <c r="CZ60" s="974"/>
      <c r="DA60" s="974"/>
      <c r="DB60" s="974"/>
      <c r="DC60" s="974"/>
      <c r="DD60" s="974"/>
      <c r="DE60" s="974"/>
      <c r="DF60" s="974"/>
      <c r="DG60" s="974"/>
      <c r="DH60" s="974"/>
      <c r="DI60" s="974"/>
      <c r="DJ60" s="974"/>
      <c r="DK60" s="974"/>
      <c r="DL60" s="974"/>
      <c r="DM60" s="974"/>
      <c r="DN60" s="974"/>
      <c r="DO60" s="974"/>
      <c r="DP60" s="974"/>
      <c r="DQ60" s="974"/>
      <c r="DR60" s="974"/>
      <c r="DS60" s="974"/>
      <c r="DT60" s="974"/>
      <c r="DU60" s="974"/>
      <c r="DV60" s="974"/>
      <c r="DW60" s="974"/>
      <c r="DX60" s="974"/>
      <c r="DY60" s="974"/>
      <c r="DZ60" s="974"/>
      <c r="EA60" s="974"/>
      <c r="EB60" s="974"/>
      <c r="EC60" s="974"/>
      <c r="ED60" s="974"/>
      <c r="EE60" s="974"/>
      <c r="EF60" s="974"/>
      <c r="EG60" s="974"/>
      <c r="EH60" s="974"/>
      <c r="EI60" s="974"/>
      <c r="EJ60" s="974"/>
      <c r="EK60" s="974"/>
      <c r="EL60" s="974"/>
      <c r="EM60" s="974"/>
      <c r="EN60" s="974"/>
      <c r="EO60" s="974"/>
      <c r="EP60" s="974"/>
      <c r="EQ60" s="974"/>
      <c r="ER60" s="974"/>
      <c r="ES60" s="974"/>
      <c r="ET60" s="974"/>
      <c r="EU60" s="974"/>
      <c r="EV60" s="974"/>
      <c r="EW60" s="974"/>
      <c r="EX60" s="974"/>
      <c r="EY60" s="974"/>
      <c r="EZ60" s="974"/>
      <c r="FA60" s="974"/>
      <c r="FB60" s="974"/>
      <c r="FC60" s="974"/>
      <c r="FD60" s="974"/>
      <c r="FE60" s="974"/>
      <c r="FF60" s="974"/>
      <c r="FG60" s="974"/>
      <c r="FH60" s="974"/>
      <c r="FI60" s="974"/>
      <c r="FJ60" s="974"/>
      <c r="FK60" s="974"/>
      <c r="FL60" s="974"/>
      <c r="FM60" s="974"/>
      <c r="FN60" s="974"/>
      <c r="FO60" s="974"/>
      <c r="FP60" s="974"/>
      <c r="FQ60" s="974"/>
      <c r="FR60" s="974"/>
      <c r="FS60" s="974"/>
      <c r="FT60" s="974"/>
      <c r="FU60" s="974"/>
      <c r="FV60" s="974"/>
      <c r="FW60" s="974"/>
      <c r="FX60" s="974"/>
      <c r="FY60" s="974"/>
      <c r="FZ60" s="974"/>
      <c r="GA60" s="974"/>
      <c r="GB60" s="974"/>
      <c r="GC60" s="974"/>
      <c r="GD60" s="974"/>
      <c r="GE60" s="974"/>
      <c r="GF60" s="974"/>
      <c r="GG60" s="974"/>
      <c r="GH60" s="974"/>
      <c r="GI60" s="974"/>
      <c r="GJ60" s="974"/>
      <c r="GK60" s="974"/>
      <c r="GL60" s="974"/>
      <c r="GM60" s="974"/>
      <c r="GN60" s="974"/>
      <c r="GO60" s="974"/>
      <c r="GP60" s="974"/>
      <c r="GQ60" s="974"/>
      <c r="GR60" s="974"/>
      <c r="GS60" s="974"/>
      <c r="GT60" s="974"/>
      <c r="GU60" s="974"/>
      <c r="GV60" s="974"/>
      <c r="GW60" s="974"/>
      <c r="GX60" s="974"/>
      <c r="GY60" s="974"/>
      <c r="GZ60" s="974"/>
      <c r="HA60" s="974"/>
      <c r="HB60" s="974"/>
      <c r="HC60" s="974"/>
      <c r="HD60" s="974"/>
      <c r="HE60" s="974"/>
      <c r="HF60" s="974"/>
      <c r="HG60" s="974"/>
      <c r="HH60" s="974"/>
      <c r="HI60" s="974"/>
      <c r="HJ60" s="974"/>
      <c r="HK60" s="974"/>
      <c r="HL60" s="974"/>
      <c r="HM60" s="974"/>
      <c r="HN60" s="974"/>
      <c r="HO60" s="974"/>
      <c r="HP60" s="974"/>
      <c r="HQ60" s="974"/>
      <c r="HR60" s="974"/>
      <c r="HS60" s="974"/>
      <c r="HT60" s="974"/>
      <c r="HU60" s="974"/>
      <c r="HV60" s="974"/>
      <c r="HW60" s="974"/>
      <c r="HX60" s="974"/>
      <c r="HY60" s="974"/>
      <c r="HZ60" s="974"/>
      <c r="IA60" s="974"/>
      <c r="IB60" s="974"/>
      <c r="IC60" s="974"/>
      <c r="ID60" s="974"/>
      <c r="IE60" s="974"/>
      <c r="IF60" s="974"/>
      <c r="IG60" s="974"/>
      <c r="IH60" s="974"/>
      <c r="II60" s="974"/>
      <c r="IJ60" s="974"/>
      <c r="IK60" s="974"/>
      <c r="IL60" s="974"/>
      <c r="IM60" s="974"/>
      <c r="IN60" s="974"/>
      <c r="IO60" s="974"/>
      <c r="IP60" s="974"/>
      <c r="IQ60" s="974"/>
      <c r="IR60" s="974"/>
      <c r="IS60" s="974"/>
      <c r="IT60" s="974"/>
      <c r="IU60" s="974"/>
      <c r="IV60" s="974"/>
      <c r="IW60" s="974"/>
      <c r="IX60" s="974"/>
      <c r="IY60" s="974"/>
      <c r="IZ60" s="974"/>
      <c r="JA60" s="974"/>
      <c r="JB60" s="974"/>
      <c r="JC60" s="974"/>
      <c r="JD60" s="974"/>
      <c r="JE60" s="974"/>
      <c r="JF60" s="974"/>
      <c r="JG60" s="974"/>
      <c r="JH60" s="974"/>
      <c r="JI60" s="974"/>
      <c r="JJ60" s="974"/>
      <c r="JK60" s="974"/>
      <c r="JL60" s="974"/>
      <c r="JM60" s="974"/>
      <c r="JN60" s="974"/>
      <c r="JO60" s="974"/>
      <c r="JP60" s="974"/>
      <c r="JQ60" s="974"/>
      <c r="JR60" s="974"/>
      <c r="JS60" s="974"/>
      <c r="JT60" s="974"/>
      <c r="JU60" s="974"/>
      <c r="JV60" s="974"/>
      <c r="JW60" s="974"/>
      <c r="JX60" s="974"/>
      <c r="JY60" s="974"/>
      <c r="JZ60" s="974"/>
      <c r="KA60" s="974"/>
      <c r="KB60" s="974"/>
      <c r="KC60" s="974"/>
      <c r="KD60" s="974"/>
      <c r="KE60" s="974"/>
      <c r="KF60" s="974"/>
      <c r="KG60" s="974"/>
      <c r="KH60" s="974"/>
      <c r="KI60" s="974"/>
      <c r="KJ60" s="974"/>
      <c r="KK60" s="974"/>
      <c r="KL60" s="974"/>
      <c r="KM60" s="974"/>
      <c r="KN60" s="974"/>
      <c r="KO60" s="974"/>
      <c r="KP60" s="974"/>
      <c r="KQ60" s="974"/>
      <c r="KR60" s="974"/>
      <c r="KS60" s="974"/>
      <c r="KT60" s="974"/>
      <c r="KU60" s="974"/>
      <c r="KV60" s="974"/>
      <c r="KW60" s="974"/>
      <c r="KX60" s="974"/>
      <c r="KY60" s="974"/>
      <c r="KZ60" s="974"/>
      <c r="LA60" s="974"/>
      <c r="LB60" s="974"/>
      <c r="LC60" s="974"/>
      <c r="LD60" s="974"/>
      <c r="LE60" s="974"/>
      <c r="LF60" s="974"/>
      <c r="LG60" s="974"/>
      <c r="LH60" s="974"/>
      <c r="LI60" s="974"/>
      <c r="LJ60" s="974"/>
      <c r="LK60" s="974"/>
      <c r="LL60" s="974"/>
      <c r="LM60" s="974"/>
      <c r="LN60" s="974"/>
      <c r="LO60" s="974"/>
      <c r="LP60" s="974"/>
      <c r="LQ60" s="974"/>
      <c r="LR60" s="974"/>
      <c r="LS60" s="974"/>
      <c r="LT60" s="974"/>
      <c r="LU60" s="974"/>
      <c r="LV60" s="974"/>
      <c r="LW60" s="974"/>
      <c r="LX60" s="974"/>
      <c r="LY60" s="974"/>
      <c r="LZ60" s="974"/>
      <c r="MA60" s="974"/>
      <c r="MB60" s="974"/>
      <c r="MC60" s="974"/>
      <c r="MD60" s="974"/>
      <c r="ME60" s="974"/>
      <c r="MF60" s="974"/>
      <c r="MG60" s="974"/>
      <c r="MH60" s="974"/>
      <c r="MI60" s="974"/>
      <c r="MJ60" s="974"/>
      <c r="MK60" s="974"/>
      <c r="ML60" s="974"/>
      <c r="MM60" s="974"/>
      <c r="MN60" s="974"/>
      <c r="MO60" s="974"/>
      <c r="MP60" s="974"/>
      <c r="MQ60" s="974"/>
      <c r="MR60" s="974"/>
      <c r="MS60" s="974"/>
      <c r="MT60" s="974"/>
      <c r="MU60" s="974"/>
      <c r="MV60" s="974"/>
      <c r="MW60" s="974"/>
      <c r="MX60" s="974"/>
      <c r="MY60" s="974"/>
      <c r="MZ60" s="974"/>
      <c r="NA60" s="974"/>
      <c r="NB60" s="974"/>
      <c r="NC60" s="974"/>
      <c r="ND60" s="974"/>
      <c r="NE60" s="974"/>
      <c r="NF60" s="974"/>
      <c r="NG60" s="974"/>
      <c r="NH60" s="974"/>
      <c r="NI60" s="974"/>
      <c r="NJ60" s="974"/>
      <c r="NK60" s="974"/>
      <c r="NL60" s="974"/>
      <c r="NM60" s="974"/>
      <c r="NN60" s="974"/>
      <c r="NO60" s="974"/>
      <c r="NP60" s="974"/>
      <c r="NQ60" s="974"/>
      <c r="NR60" s="974"/>
      <c r="NS60" s="974"/>
      <c r="NT60" s="974"/>
      <c r="NU60" s="974"/>
      <c r="NV60" s="974"/>
      <c r="NW60" s="974"/>
      <c r="NX60" s="974"/>
      <c r="NY60" s="974"/>
      <c r="NZ60" s="974"/>
      <c r="OA60" s="974"/>
      <c r="OB60" s="974"/>
      <c r="OC60" s="974"/>
      <c r="OD60" s="974"/>
      <c r="OE60" s="974"/>
      <c r="OF60" s="974"/>
      <c r="OG60" s="974"/>
      <c r="OH60" s="974"/>
      <c r="OI60" s="974"/>
      <c r="OJ60" s="974"/>
      <c r="OK60" s="974"/>
      <c r="OL60" s="974"/>
      <c r="OM60" s="974"/>
      <c r="ON60" s="974"/>
      <c r="OO60" s="974"/>
      <c r="OP60" s="974"/>
      <c r="OQ60" s="974"/>
      <c r="OR60" s="974"/>
      <c r="OS60" s="974"/>
      <c r="OT60" s="974"/>
      <c r="OU60" s="974"/>
      <c r="OV60" s="974"/>
      <c r="OW60" s="974"/>
      <c r="OX60" s="974"/>
      <c r="OY60" s="974"/>
      <c r="OZ60" s="974"/>
      <c r="PA60" s="974"/>
      <c r="PB60" s="974"/>
      <c r="PC60" s="974"/>
      <c r="PD60" s="974"/>
      <c r="PE60" s="974"/>
      <c r="PF60" s="974"/>
      <c r="PG60" s="974"/>
      <c r="PH60" s="974"/>
      <c r="PI60" s="974"/>
      <c r="PJ60" s="974"/>
      <c r="PK60" s="974"/>
      <c r="PL60" s="974"/>
      <c r="PM60" s="974"/>
      <c r="PN60" s="974"/>
      <c r="PO60" s="974"/>
      <c r="PP60" s="974"/>
      <c r="PQ60" s="974"/>
      <c r="PR60" s="974"/>
      <c r="PS60" s="974"/>
      <c r="PT60" s="974"/>
      <c r="PU60" s="974"/>
      <c r="PV60" s="974"/>
      <c r="PW60" s="974"/>
      <c r="PX60" s="974"/>
      <c r="PY60" s="974"/>
      <c r="PZ60" s="974"/>
      <c r="QA60" s="974"/>
      <c r="QB60" s="974"/>
      <c r="QC60" s="974"/>
      <c r="QD60" s="974"/>
      <c r="QE60" s="974"/>
      <c r="QF60" s="974"/>
      <c r="QG60" s="974"/>
      <c r="QH60" s="974"/>
      <c r="QI60" s="974"/>
      <c r="QJ60" s="974"/>
      <c r="QK60" s="974"/>
      <c r="QL60" s="974"/>
      <c r="QM60" s="974"/>
      <c r="QN60" s="974"/>
      <c r="QO60" s="974"/>
      <c r="QP60" s="974"/>
      <c r="QQ60" s="974"/>
      <c r="QR60" s="974"/>
      <c r="QS60" s="974"/>
      <c r="QT60" s="974"/>
      <c r="QU60" s="974"/>
      <c r="QV60" s="974"/>
      <c r="QW60" s="974"/>
      <c r="QX60" s="974"/>
      <c r="QY60" s="974"/>
      <c r="QZ60" s="974"/>
      <c r="RA60" s="974"/>
      <c r="RB60" s="974"/>
      <c r="RC60" s="974"/>
      <c r="RD60" s="974"/>
      <c r="RE60" s="974"/>
      <c r="RF60" s="974"/>
      <c r="RG60" s="974"/>
      <c r="RH60" s="974"/>
      <c r="RI60" s="974"/>
      <c r="RJ60" s="974"/>
      <c r="RK60" s="974"/>
      <c r="RL60" s="974"/>
      <c r="RM60" s="974"/>
      <c r="RN60" s="974"/>
      <c r="RO60" s="974"/>
      <c r="RP60" s="974"/>
      <c r="RQ60" s="974"/>
      <c r="RR60" s="974"/>
      <c r="RS60" s="974"/>
      <c r="RT60" s="974"/>
      <c r="RU60" s="974"/>
      <c r="RV60" s="974"/>
      <c r="RW60" s="974"/>
      <c r="RX60" s="974"/>
      <c r="RY60" s="974"/>
      <c r="RZ60" s="974"/>
      <c r="SA60" s="974"/>
      <c r="SB60" s="974"/>
      <c r="SC60" s="974"/>
      <c r="SD60" s="974"/>
      <c r="SE60" s="974"/>
      <c r="SF60" s="974"/>
      <c r="SG60" s="974"/>
      <c r="SH60" s="974"/>
      <c r="SI60" s="974"/>
      <c r="SJ60" s="974"/>
      <c r="SK60" s="974"/>
      <c r="SL60" s="974"/>
      <c r="SM60" s="974"/>
      <c r="SN60" s="974"/>
      <c r="SO60" s="974"/>
      <c r="SP60" s="974"/>
      <c r="SQ60" s="974"/>
      <c r="SR60" s="974"/>
    </row>
    <row r="61" spans="1:512" s="852" customFormat="1" ht="15" customHeight="1">
      <c r="A61"/>
      <c r="B61" t="s">
        <v>2726</v>
      </c>
      <c r="C61"/>
      <c r="D61"/>
      <c r="E61" t="s">
        <v>2119</v>
      </c>
      <c r="F61"/>
      <c r="G61" s="988">
        <v>0</v>
      </c>
      <c r="H61" s="1014">
        <v>0</v>
      </c>
      <c r="I61" s="988"/>
      <c r="J61" s="988"/>
      <c r="K61" s="988"/>
      <c r="L61" s="988"/>
      <c r="M61" s="988"/>
      <c r="N61" s="988"/>
      <c r="O61" s="988"/>
      <c r="P61" s="988"/>
      <c r="Q61" s="988"/>
      <c r="R61" s="988"/>
      <c r="S61" s="988"/>
      <c r="T61" s="988"/>
      <c r="U61" s="988"/>
      <c r="V61" s="988"/>
      <c r="W61" s="988"/>
      <c r="X61" s="988"/>
      <c r="Y61" s="988"/>
      <c r="Z61" s="988"/>
      <c r="AA61" s="988"/>
      <c r="AB61" s="988"/>
      <c r="AC61" s="988"/>
      <c r="AD61" s="988"/>
      <c r="AE61" s="988"/>
      <c r="AF61" s="988"/>
      <c r="AG61" s="988"/>
      <c r="AH61" s="988"/>
      <c r="AI61" s="988"/>
      <c r="AJ61" s="988"/>
      <c r="AK61" s="988"/>
      <c r="AL61" s="988"/>
      <c r="AM61" s="988"/>
      <c r="AN61" s="988"/>
      <c r="AO61" s="988"/>
      <c r="AP61" s="988"/>
      <c r="AQ61" s="988"/>
      <c r="AR61" s="988"/>
      <c r="AS61" s="988"/>
      <c r="AT61" s="988"/>
      <c r="AU61" s="988"/>
      <c r="AV61" s="988"/>
      <c r="AW61" s="988"/>
      <c r="AX61" s="988"/>
      <c r="AY61" s="988"/>
      <c r="AZ61" s="988"/>
      <c r="BA61" s="988"/>
      <c r="BB61" s="988"/>
      <c r="BC61" s="988"/>
      <c r="BD61" s="988"/>
      <c r="BE61" s="988"/>
      <c r="BF61" s="988"/>
      <c r="BG61" s="988"/>
      <c r="BH61" s="988"/>
      <c r="BI61" s="988"/>
      <c r="BJ61" s="988"/>
      <c r="BK61" s="988"/>
      <c r="BL61" s="988"/>
      <c r="BM61" s="988"/>
      <c r="BN61" s="988"/>
      <c r="BO61" s="988"/>
      <c r="BP61" s="988"/>
      <c r="BQ61" s="988"/>
      <c r="BR61" s="988"/>
      <c r="BS61" s="988"/>
      <c r="BT61" s="988"/>
      <c r="BU61" s="988"/>
      <c r="BV61" s="988"/>
      <c r="BW61" s="988"/>
      <c r="BX61" s="988"/>
      <c r="BY61" s="988"/>
      <c r="BZ61" s="988"/>
      <c r="CA61" s="988"/>
      <c r="CB61" s="988"/>
      <c r="CC61" s="988"/>
      <c r="CD61" s="988"/>
      <c r="CE61" s="988"/>
      <c r="CF61" s="988"/>
      <c r="CG61" s="988"/>
      <c r="CH61" s="988"/>
      <c r="CI61" s="988"/>
      <c r="CJ61" s="988"/>
      <c r="CK61" s="988"/>
      <c r="CL61" s="988"/>
      <c r="CM61" s="988"/>
      <c r="CN61" s="988"/>
      <c r="CO61" s="988"/>
      <c r="CP61" s="988"/>
      <c r="CQ61" s="988"/>
      <c r="CR61" s="988"/>
      <c r="CS61" s="988"/>
      <c r="CT61" s="988"/>
      <c r="CU61" s="988"/>
      <c r="CV61" s="988"/>
      <c r="CW61" s="988"/>
      <c r="CX61" s="988"/>
      <c r="CY61" s="988"/>
      <c r="CZ61" s="988"/>
      <c r="DA61" s="988"/>
      <c r="DB61" s="988"/>
      <c r="DC61" s="988"/>
      <c r="DD61" s="988"/>
      <c r="DE61" s="988"/>
      <c r="DF61" s="988"/>
      <c r="DG61" s="988"/>
      <c r="DH61" s="988"/>
      <c r="DI61" s="988"/>
      <c r="DJ61" s="988"/>
      <c r="DK61" s="988"/>
      <c r="DL61" s="988"/>
      <c r="DM61" s="988"/>
      <c r="DN61" s="988"/>
      <c r="DO61" s="988"/>
      <c r="DP61" s="988"/>
      <c r="DQ61" s="988"/>
      <c r="DR61" s="988"/>
      <c r="DS61" s="988"/>
      <c r="DT61" s="988"/>
      <c r="DU61" s="988"/>
      <c r="DV61" s="988"/>
      <c r="DW61" s="988"/>
      <c r="DX61" s="988"/>
      <c r="DY61" s="988"/>
      <c r="DZ61" s="988"/>
      <c r="EA61" s="988"/>
      <c r="EB61" s="988"/>
      <c r="EC61" s="988"/>
      <c r="ED61" s="988"/>
      <c r="EE61" s="988"/>
      <c r="EF61" s="988"/>
      <c r="EG61" s="988"/>
      <c r="EH61" s="988"/>
      <c r="EI61" s="988"/>
      <c r="EJ61" s="988"/>
      <c r="EK61" s="988"/>
      <c r="EL61" s="988"/>
      <c r="EM61" s="988"/>
      <c r="EN61" s="988"/>
      <c r="EO61" s="988"/>
      <c r="EP61" s="988"/>
      <c r="EQ61" s="988"/>
      <c r="ER61" s="988"/>
      <c r="ES61" s="988"/>
      <c r="ET61" s="988"/>
      <c r="EU61" s="988"/>
      <c r="EV61" s="988"/>
      <c r="EW61" s="988"/>
      <c r="EX61" s="988"/>
      <c r="EY61" s="988"/>
      <c r="EZ61" s="988"/>
      <c r="FA61" s="988"/>
      <c r="FB61" s="988"/>
      <c r="FC61" s="988"/>
      <c r="FD61" s="988"/>
      <c r="FE61" s="988"/>
      <c r="FF61" s="988"/>
      <c r="FG61" s="988"/>
      <c r="FH61" s="988"/>
      <c r="FI61" s="988"/>
      <c r="FJ61" s="988"/>
      <c r="FK61" s="988"/>
      <c r="FL61" s="988"/>
      <c r="FM61" s="988"/>
      <c r="FN61" s="988"/>
      <c r="FO61" s="988"/>
      <c r="FP61" s="988"/>
      <c r="FQ61" s="988"/>
      <c r="FR61" s="988"/>
      <c r="FS61" s="988"/>
      <c r="FT61" s="988"/>
      <c r="FU61" s="988"/>
      <c r="FV61" s="988"/>
      <c r="FW61" s="988"/>
      <c r="FX61" s="988"/>
      <c r="FY61" s="988"/>
      <c r="FZ61" s="988"/>
      <c r="GA61" s="988"/>
      <c r="GB61" s="988"/>
      <c r="GC61" s="988"/>
      <c r="GD61" s="988"/>
      <c r="GE61" s="988"/>
      <c r="GF61" s="988"/>
      <c r="GG61" s="988"/>
      <c r="GH61" s="988"/>
      <c r="GI61" s="988"/>
      <c r="GJ61" s="988"/>
      <c r="GK61" s="988"/>
      <c r="GL61" s="988"/>
      <c r="GM61" s="988"/>
      <c r="GN61" s="988"/>
      <c r="GO61" s="988"/>
      <c r="GP61" s="988"/>
      <c r="GQ61" s="988"/>
      <c r="GR61" s="988"/>
      <c r="GS61" s="988"/>
      <c r="GT61" s="988"/>
      <c r="GU61" s="988"/>
      <c r="GV61" s="988"/>
      <c r="GW61" s="988"/>
      <c r="GX61" s="988"/>
      <c r="GY61" s="988"/>
      <c r="GZ61" s="988"/>
      <c r="HA61" s="988"/>
      <c r="HB61" s="988"/>
      <c r="HC61" s="988"/>
      <c r="HD61" s="988"/>
      <c r="HE61" s="988"/>
      <c r="HF61" s="988"/>
      <c r="HG61" s="988"/>
      <c r="HH61" s="988"/>
      <c r="HI61" s="988"/>
      <c r="HJ61" s="988"/>
      <c r="HK61" s="988"/>
      <c r="HL61" s="988"/>
      <c r="HM61" s="988"/>
      <c r="HN61" s="988"/>
      <c r="HO61" s="988"/>
      <c r="HP61" s="988"/>
      <c r="HQ61" s="988"/>
      <c r="HR61" s="988"/>
      <c r="HS61" s="988"/>
      <c r="HT61" s="988"/>
      <c r="HU61" s="988"/>
      <c r="HV61" s="988"/>
      <c r="HW61" s="988"/>
      <c r="HX61" s="988"/>
      <c r="HY61" s="988"/>
      <c r="HZ61" s="988"/>
      <c r="IA61" s="988"/>
      <c r="IB61" s="988"/>
      <c r="IC61" s="988"/>
      <c r="ID61" s="988"/>
      <c r="IE61" s="988"/>
      <c r="IF61" s="988"/>
      <c r="IG61" s="988"/>
      <c r="IH61" s="988"/>
      <c r="II61" s="988"/>
      <c r="IJ61" s="988"/>
      <c r="IK61" s="988"/>
      <c r="IL61" s="988"/>
      <c r="IM61" s="988"/>
      <c r="IN61" s="988"/>
      <c r="IO61" s="988"/>
      <c r="IP61" s="988"/>
      <c r="IQ61" s="988"/>
      <c r="IR61" s="988"/>
      <c r="IS61" s="988"/>
      <c r="IT61" s="988"/>
      <c r="IU61" s="988"/>
      <c r="IV61" s="988"/>
      <c r="IW61" s="988"/>
      <c r="IX61" s="988"/>
      <c r="IY61" s="988"/>
      <c r="IZ61" s="988"/>
      <c r="JA61" s="988"/>
      <c r="JB61" s="988"/>
      <c r="JC61" s="988"/>
      <c r="JD61" s="988"/>
      <c r="JE61" s="988"/>
      <c r="JF61" s="988"/>
      <c r="JG61" s="988"/>
      <c r="JH61" s="988"/>
      <c r="JI61" s="988"/>
      <c r="JJ61" s="988"/>
      <c r="JK61" s="988"/>
      <c r="JL61" s="988"/>
      <c r="JM61" s="988"/>
      <c r="JN61" s="988"/>
      <c r="JO61" s="988"/>
      <c r="JP61" s="988"/>
      <c r="JQ61" s="988"/>
      <c r="JR61" s="988"/>
      <c r="JS61" s="988"/>
      <c r="JT61" s="988"/>
      <c r="JU61" s="988"/>
      <c r="JV61" s="988"/>
      <c r="JW61" s="988"/>
      <c r="JX61" s="988"/>
      <c r="JY61" s="988"/>
      <c r="JZ61" s="988"/>
      <c r="KA61" s="988"/>
      <c r="KB61" s="988"/>
      <c r="KC61" s="988"/>
      <c r="KD61" s="988"/>
      <c r="KE61" s="988"/>
      <c r="KF61" s="988"/>
      <c r="KG61" s="988"/>
      <c r="KH61" s="988"/>
      <c r="KI61" s="988"/>
      <c r="KJ61" s="988"/>
      <c r="KK61" s="988"/>
      <c r="KL61" s="988"/>
      <c r="KM61" s="988"/>
      <c r="KN61" s="988"/>
      <c r="KO61" s="988"/>
      <c r="KP61" s="988"/>
      <c r="KQ61" s="988"/>
      <c r="KR61" s="988"/>
      <c r="KS61" s="988"/>
      <c r="KT61" s="988"/>
      <c r="KU61" s="988"/>
      <c r="KV61" s="988"/>
      <c r="KW61" s="988"/>
      <c r="KX61" s="988"/>
      <c r="KY61" s="988"/>
      <c r="KZ61" s="988"/>
      <c r="LA61" s="988"/>
      <c r="LB61" s="988"/>
      <c r="LC61" s="988"/>
      <c r="LD61" s="988"/>
      <c r="LE61" s="988"/>
      <c r="LF61" s="988"/>
      <c r="LG61" s="988"/>
      <c r="LH61" s="988"/>
      <c r="LI61" s="988"/>
      <c r="LJ61" s="988"/>
      <c r="LK61" s="988"/>
      <c r="LL61" s="988"/>
      <c r="LM61" s="988"/>
      <c r="LN61" s="988"/>
      <c r="LO61" s="988"/>
      <c r="LP61" s="988"/>
      <c r="LQ61" s="988"/>
      <c r="LR61" s="988"/>
      <c r="LS61" s="988"/>
      <c r="LT61" s="988"/>
      <c r="LU61" s="988"/>
      <c r="LV61" s="988"/>
      <c r="LW61" s="988"/>
      <c r="LX61" s="988"/>
      <c r="LY61" s="988"/>
      <c r="LZ61" s="988"/>
      <c r="MA61" s="988"/>
      <c r="MB61" s="988"/>
      <c r="MC61" s="988"/>
      <c r="MD61" s="988"/>
      <c r="ME61" s="988"/>
      <c r="MF61" s="988"/>
      <c r="MG61" s="988"/>
      <c r="MH61" s="988"/>
      <c r="MI61" s="988"/>
      <c r="MJ61" s="988"/>
      <c r="MK61" s="988"/>
      <c r="ML61" s="988"/>
      <c r="MM61" s="988"/>
      <c r="MN61" s="988"/>
      <c r="MO61" s="988"/>
      <c r="MP61" s="988"/>
      <c r="MQ61" s="988"/>
      <c r="MR61" s="988"/>
      <c r="MS61" s="988"/>
      <c r="MT61" s="988"/>
      <c r="MU61" s="988"/>
      <c r="MV61" s="988"/>
      <c r="MW61" s="988"/>
      <c r="MX61" s="988"/>
      <c r="MY61" s="988"/>
      <c r="MZ61" s="988"/>
      <c r="NA61" s="988"/>
      <c r="NB61" s="988"/>
      <c r="NC61" s="988"/>
      <c r="ND61" s="988"/>
      <c r="NE61" s="988"/>
      <c r="NF61" s="988"/>
      <c r="NG61" s="988"/>
      <c r="NH61" s="988"/>
      <c r="NI61" s="988"/>
      <c r="NJ61" s="988"/>
      <c r="NK61" s="988"/>
      <c r="NL61" s="988"/>
      <c r="NM61" s="988"/>
      <c r="NN61" s="988"/>
      <c r="NO61" s="988"/>
      <c r="NP61" s="988"/>
      <c r="NQ61" s="988"/>
      <c r="NR61" s="988"/>
      <c r="NS61" s="988"/>
      <c r="NT61" s="988"/>
      <c r="NU61" s="988"/>
      <c r="NV61" s="988"/>
      <c r="NW61" s="988"/>
      <c r="NX61" s="988"/>
      <c r="NY61" s="988"/>
      <c r="NZ61" s="988"/>
      <c r="OA61" s="988"/>
      <c r="OB61" s="988"/>
      <c r="OC61" s="988"/>
      <c r="OD61" s="988"/>
      <c r="OE61" s="988"/>
      <c r="OF61" s="988"/>
      <c r="OG61" s="988"/>
      <c r="OH61" s="988"/>
      <c r="OI61" s="988"/>
      <c r="OJ61" s="988"/>
      <c r="OK61" s="988"/>
      <c r="OL61" s="988"/>
      <c r="OM61" s="988"/>
      <c r="ON61" s="988"/>
      <c r="OO61" s="988"/>
      <c r="OP61" s="988"/>
      <c r="OQ61" s="988"/>
      <c r="OR61" s="988"/>
      <c r="OS61" s="988"/>
      <c r="OT61" s="988"/>
      <c r="OU61" s="988"/>
      <c r="OV61" s="988"/>
      <c r="OW61" s="988"/>
      <c r="OX61" s="988"/>
      <c r="OY61" s="988"/>
      <c r="OZ61" s="988"/>
      <c r="PA61" s="988"/>
      <c r="PB61" s="988"/>
      <c r="PC61" s="988"/>
      <c r="PD61" s="988"/>
      <c r="PE61" s="988"/>
      <c r="PF61" s="988"/>
      <c r="PG61" s="988"/>
      <c r="PH61" s="988"/>
      <c r="PI61" s="988"/>
      <c r="PJ61" s="988"/>
      <c r="PK61" s="988"/>
      <c r="PL61" s="988"/>
      <c r="PM61" s="988"/>
      <c r="PN61" s="988"/>
      <c r="PO61" s="988"/>
      <c r="PP61" s="988"/>
      <c r="PQ61" s="988"/>
      <c r="PR61" s="988"/>
      <c r="PS61" s="988"/>
      <c r="PT61" s="988"/>
      <c r="PU61" s="988"/>
      <c r="PV61" s="988"/>
      <c r="PW61" s="988"/>
      <c r="PX61" s="988"/>
      <c r="PY61" s="988"/>
      <c r="PZ61" s="988"/>
      <c r="QA61" s="988"/>
      <c r="QB61" s="988"/>
      <c r="QC61" s="988"/>
      <c r="QD61" s="988"/>
      <c r="QE61" s="988"/>
      <c r="QF61" s="988"/>
      <c r="QG61" s="988"/>
      <c r="QH61" s="988"/>
      <c r="QI61" s="988"/>
      <c r="QJ61" s="988"/>
      <c r="QK61" s="988"/>
      <c r="QL61" s="988"/>
      <c r="QM61" s="988"/>
      <c r="QN61" s="988"/>
      <c r="QO61" s="988"/>
      <c r="QP61" s="988"/>
      <c r="QQ61" s="988"/>
      <c r="QR61" s="988"/>
      <c r="QS61" s="988"/>
      <c r="QT61" s="988"/>
      <c r="QU61" s="988"/>
      <c r="QV61" s="988"/>
      <c r="QW61" s="988"/>
      <c r="QX61" s="988"/>
      <c r="QY61" s="988"/>
      <c r="QZ61" s="988"/>
      <c r="RA61" s="988"/>
      <c r="RB61" s="988"/>
      <c r="RC61" s="988"/>
      <c r="RD61" s="988"/>
      <c r="RE61" s="988"/>
      <c r="RF61" s="988"/>
      <c r="RG61" s="988"/>
      <c r="RH61" s="988"/>
      <c r="RI61" s="988"/>
      <c r="RJ61" s="988"/>
      <c r="RK61" s="988"/>
      <c r="RL61" s="988"/>
      <c r="RM61" s="988"/>
      <c r="RN61" s="988"/>
      <c r="RO61" s="988"/>
      <c r="RP61" s="988"/>
      <c r="RQ61" s="988"/>
      <c r="RR61" s="988"/>
      <c r="RS61" s="988"/>
      <c r="RT61" s="988"/>
      <c r="RU61" s="988"/>
      <c r="RV61" s="988"/>
      <c r="RW61" s="988"/>
      <c r="RX61" s="988"/>
      <c r="RY61" s="988"/>
      <c r="RZ61" s="988"/>
      <c r="SA61" s="988"/>
      <c r="SB61" s="988"/>
      <c r="SC61" s="988"/>
      <c r="SD61" s="988"/>
      <c r="SE61" s="988"/>
      <c r="SF61" s="988"/>
      <c r="SG61" s="988"/>
      <c r="SH61" s="988"/>
      <c r="SI61" s="988"/>
      <c r="SJ61" s="988"/>
      <c r="SK61" s="988"/>
      <c r="SL61" s="988"/>
      <c r="SM61" s="988"/>
      <c r="SN61" s="988"/>
      <c r="SO61" s="988"/>
      <c r="SP61" s="988"/>
      <c r="SQ61" s="988"/>
      <c r="SR61" s="988"/>
    </row>
    <row r="62" spans="1:512" ht="15" customHeight="1">
      <c r="A62"/>
      <c r="B62"/>
      <c r="C62"/>
      <c r="D62"/>
      <c r="E62"/>
      <c r="F62"/>
      <c r="G62" s="978"/>
      <c r="H62" s="978"/>
      <c r="I62" s="978"/>
      <c r="J62" s="978"/>
      <c r="K62" s="978"/>
      <c r="L62" s="978"/>
      <c r="M62" s="978"/>
      <c r="N62" s="978"/>
      <c r="O62" s="978"/>
      <c r="P62" s="978"/>
      <c r="Q62" s="978"/>
      <c r="R62" s="978"/>
      <c r="S62" s="978"/>
      <c r="T62" s="978"/>
      <c r="U62" s="978"/>
      <c r="V62" s="978"/>
      <c r="W62" s="978"/>
      <c r="X62" s="978"/>
      <c r="Y62" s="978"/>
      <c r="Z62" s="978"/>
      <c r="AA62" s="978"/>
      <c r="AB62" s="978"/>
      <c r="AC62" s="978"/>
      <c r="AD62" s="978"/>
      <c r="AE62" s="978"/>
      <c r="AF62" s="978"/>
      <c r="AG62" s="978"/>
      <c r="AH62" s="978"/>
      <c r="AI62" s="978"/>
      <c r="AJ62" s="978"/>
      <c r="AK62" s="978"/>
      <c r="AL62" s="978"/>
      <c r="AM62" s="978"/>
      <c r="AN62" s="978"/>
      <c r="AO62" s="978"/>
      <c r="AP62" s="978"/>
      <c r="AQ62" s="978"/>
      <c r="AR62" s="978"/>
      <c r="AS62" s="978"/>
      <c r="AT62" s="978"/>
      <c r="AU62" s="978"/>
      <c r="AV62" s="978"/>
      <c r="AW62" s="978"/>
      <c r="AX62" s="978"/>
      <c r="AY62" s="978"/>
      <c r="AZ62" s="978"/>
      <c r="BA62" s="978"/>
      <c r="BB62" s="978"/>
      <c r="BC62" s="978"/>
      <c r="BD62" s="978"/>
      <c r="BE62" s="978"/>
      <c r="BF62" s="971"/>
      <c r="BG62" s="971"/>
      <c r="BH62" s="971"/>
      <c r="BI62" s="971"/>
      <c r="BJ62" s="971"/>
      <c r="BK62" s="971"/>
      <c r="BL62" s="971"/>
      <c r="BM62" s="971"/>
      <c r="BN62" s="971"/>
      <c r="BO62" s="971"/>
      <c r="BP62" s="971"/>
      <c r="BQ62" s="971"/>
      <c r="BR62" s="971"/>
      <c r="BS62" s="971"/>
      <c r="BT62" s="971"/>
      <c r="BU62" s="971"/>
      <c r="BV62" s="971"/>
      <c r="BW62" s="971"/>
      <c r="BX62" s="971"/>
      <c r="BY62" s="971"/>
      <c r="BZ62" s="971"/>
      <c r="CA62" s="971"/>
      <c r="CB62" s="971"/>
      <c r="CC62" s="971"/>
      <c r="CD62" s="971"/>
      <c r="CE62" s="971"/>
      <c r="CF62" s="971"/>
      <c r="CG62" s="971"/>
      <c r="CH62" s="971"/>
      <c r="CI62" s="971"/>
      <c r="CJ62" s="971"/>
      <c r="CK62" s="971"/>
      <c r="CL62" s="971"/>
      <c r="CM62" s="971"/>
      <c r="CN62" s="971"/>
      <c r="CO62" s="971"/>
      <c r="CP62" s="971"/>
      <c r="CQ62" s="971"/>
      <c r="CR62" s="971"/>
      <c r="CS62" s="971"/>
      <c r="CT62" s="971"/>
      <c r="CU62" s="971"/>
      <c r="CV62" s="971"/>
      <c r="CW62" s="971"/>
      <c r="CX62" s="971"/>
      <c r="CY62" s="971"/>
      <c r="CZ62" s="971"/>
      <c r="DA62" s="971"/>
      <c r="DB62" s="971"/>
      <c r="DC62" s="971"/>
      <c r="DD62" s="971"/>
      <c r="DE62" s="971"/>
      <c r="DF62" s="971"/>
      <c r="DG62" s="971"/>
      <c r="DH62" s="971"/>
      <c r="DI62" s="971"/>
      <c r="DJ62" s="971"/>
      <c r="DK62" s="971"/>
      <c r="DL62" s="971"/>
      <c r="DM62" s="971"/>
      <c r="DN62" s="971"/>
      <c r="DO62" s="971"/>
      <c r="DP62" s="971"/>
      <c r="DQ62" s="971"/>
      <c r="DR62" s="971"/>
      <c r="DS62" s="971"/>
      <c r="DT62" s="971"/>
      <c r="DU62" s="971"/>
      <c r="DV62" s="971"/>
      <c r="DW62" s="971"/>
      <c r="DX62" s="971"/>
      <c r="DY62" s="971"/>
      <c r="DZ62" s="971"/>
      <c r="EA62" s="971"/>
      <c r="EB62" s="971"/>
      <c r="EC62" s="971"/>
      <c r="ED62" s="971"/>
      <c r="EE62" s="971"/>
      <c r="EF62" s="971"/>
      <c r="EG62" s="971"/>
      <c r="EH62" s="971"/>
      <c r="EI62" s="971"/>
      <c r="EJ62" s="971"/>
      <c r="EK62" s="971"/>
      <c r="EL62" s="971"/>
      <c r="EM62" s="971"/>
      <c r="EN62" s="971"/>
      <c r="EO62" s="971"/>
      <c r="EP62" s="971"/>
      <c r="EQ62" s="971"/>
      <c r="ER62" s="971"/>
      <c r="ES62" s="971"/>
      <c r="ET62" s="971"/>
      <c r="EU62" s="971"/>
      <c r="EV62" s="971"/>
      <c r="EW62" s="971"/>
      <c r="EX62" s="971"/>
      <c r="EY62" s="971"/>
      <c r="EZ62" s="971"/>
      <c r="FA62" s="971"/>
      <c r="FB62" s="971"/>
      <c r="FC62" s="971"/>
      <c r="FD62" s="971"/>
      <c r="FE62" s="971"/>
      <c r="FF62" s="971"/>
      <c r="FG62" s="971"/>
      <c r="FH62" s="971"/>
      <c r="FI62" s="971"/>
      <c r="FJ62" s="971"/>
      <c r="FK62" s="971"/>
      <c r="FL62" s="971"/>
      <c r="FM62" s="971"/>
      <c r="FN62" s="971"/>
      <c r="FO62" s="971"/>
      <c r="FP62" s="971"/>
      <c r="FQ62" s="971"/>
      <c r="FR62" s="971"/>
      <c r="FS62" s="971"/>
      <c r="FT62" s="971"/>
      <c r="FU62" s="971"/>
      <c r="FV62" s="971"/>
      <c r="FW62" s="971"/>
      <c r="FX62" s="971"/>
      <c r="FY62" s="971"/>
      <c r="FZ62" s="971"/>
      <c r="GA62" s="971"/>
      <c r="GB62" s="971"/>
      <c r="GC62" s="971"/>
      <c r="GD62" s="971"/>
      <c r="GE62" s="971"/>
      <c r="GF62" s="971"/>
      <c r="GG62" s="971"/>
      <c r="GH62" s="971"/>
      <c r="GI62" s="971"/>
      <c r="GJ62" s="971"/>
      <c r="GK62" s="971"/>
      <c r="GL62" s="971"/>
      <c r="GM62" s="971"/>
      <c r="GN62" s="971"/>
      <c r="GO62" s="971"/>
      <c r="GP62" s="971"/>
      <c r="GQ62" s="971"/>
      <c r="GR62" s="971"/>
      <c r="GS62" s="971"/>
      <c r="GT62" s="971"/>
      <c r="GU62" s="971"/>
      <c r="GV62" s="971"/>
      <c r="GW62" s="971"/>
      <c r="GX62" s="971"/>
      <c r="GY62" s="971"/>
      <c r="GZ62" s="971"/>
      <c r="HA62" s="971"/>
      <c r="HB62" s="971"/>
      <c r="HC62" s="971"/>
      <c r="HD62" s="971"/>
      <c r="HE62" s="971"/>
      <c r="HF62" s="971"/>
      <c r="HG62" s="971"/>
      <c r="HH62" s="971"/>
      <c r="HI62" s="971"/>
      <c r="HJ62" s="971"/>
      <c r="HK62" s="971"/>
      <c r="HL62" s="971"/>
      <c r="HM62" s="971"/>
      <c r="HN62" s="971"/>
      <c r="HO62" s="971"/>
      <c r="HP62" s="971"/>
      <c r="HQ62" s="971"/>
      <c r="HR62" s="971"/>
      <c r="HS62" s="971"/>
      <c r="HT62" s="971"/>
      <c r="HU62" s="971"/>
      <c r="HV62" s="971"/>
      <c r="HW62" s="971"/>
      <c r="HX62" s="971"/>
      <c r="HY62" s="971"/>
      <c r="HZ62" s="971"/>
      <c r="IA62" s="971"/>
      <c r="IB62" s="971"/>
      <c r="IC62" s="971"/>
      <c r="ID62" s="971"/>
      <c r="IE62" s="971"/>
      <c r="IF62" s="971"/>
      <c r="IG62" s="971"/>
      <c r="IH62" s="971"/>
      <c r="II62" s="971"/>
      <c r="IJ62" s="971"/>
      <c r="IK62" s="971"/>
      <c r="IL62" s="971"/>
      <c r="IM62" s="971"/>
      <c r="IN62" s="971"/>
      <c r="IO62" s="971"/>
      <c r="IP62" s="971"/>
      <c r="IQ62" s="971"/>
      <c r="IR62" s="971"/>
      <c r="IS62" s="971"/>
      <c r="IT62" s="971"/>
      <c r="IU62" s="971"/>
      <c r="IV62" s="971"/>
      <c r="IW62" s="971"/>
      <c r="IX62" s="971"/>
      <c r="IY62" s="971"/>
      <c r="IZ62" s="971"/>
      <c r="JA62" s="971"/>
      <c r="JB62" s="971"/>
      <c r="JC62" s="971"/>
      <c r="JD62" s="971"/>
      <c r="JE62" s="971"/>
      <c r="JF62" s="971"/>
      <c r="JG62" s="971"/>
      <c r="JH62" s="971"/>
      <c r="JI62" s="971"/>
      <c r="JJ62" s="971"/>
      <c r="JK62" s="971"/>
      <c r="JL62" s="971"/>
      <c r="JM62" s="971"/>
      <c r="JN62" s="971"/>
      <c r="JO62" s="971"/>
      <c r="JP62" s="971"/>
      <c r="JQ62" s="971"/>
      <c r="JR62" s="971"/>
      <c r="JS62" s="971"/>
      <c r="JT62" s="971"/>
      <c r="JU62" s="971"/>
      <c r="JV62" s="971"/>
      <c r="JW62" s="971"/>
      <c r="JX62" s="971"/>
      <c r="JY62" s="971"/>
      <c r="JZ62" s="971"/>
      <c r="KA62" s="971"/>
      <c r="KB62" s="971"/>
      <c r="KC62" s="971"/>
      <c r="KD62" s="971"/>
      <c r="KE62" s="971"/>
      <c r="KF62" s="971"/>
      <c r="KG62" s="971"/>
      <c r="KH62" s="971"/>
      <c r="KI62" s="971"/>
      <c r="KJ62" s="971"/>
      <c r="KK62" s="971"/>
      <c r="KL62" s="971"/>
      <c r="KM62" s="971"/>
      <c r="KN62" s="971"/>
      <c r="KO62" s="971"/>
      <c r="KP62" s="971"/>
      <c r="KQ62" s="971"/>
      <c r="KR62" s="971"/>
      <c r="KS62" s="971"/>
      <c r="KT62" s="971"/>
      <c r="KU62" s="971"/>
      <c r="KV62" s="971"/>
      <c r="KW62" s="971"/>
      <c r="KX62" s="971"/>
      <c r="KY62" s="971"/>
      <c r="KZ62" s="971"/>
      <c r="LA62" s="971"/>
      <c r="LB62" s="971"/>
      <c r="LC62" s="971"/>
      <c r="LD62" s="971"/>
      <c r="LE62" s="971"/>
      <c r="LF62" s="971"/>
      <c r="LG62" s="971"/>
      <c r="LH62" s="971"/>
      <c r="LI62" s="971"/>
      <c r="LJ62" s="971"/>
      <c r="LK62" s="971"/>
      <c r="LL62" s="971"/>
      <c r="LM62" s="971"/>
      <c r="LN62" s="971"/>
      <c r="LO62" s="971"/>
      <c r="LP62" s="971"/>
      <c r="LQ62" s="971"/>
      <c r="LR62" s="971"/>
      <c r="LS62" s="971"/>
      <c r="LT62" s="971"/>
      <c r="LU62" s="971"/>
      <c r="LV62" s="971"/>
      <c r="LW62" s="971"/>
      <c r="LX62" s="971"/>
      <c r="LY62" s="971"/>
      <c r="LZ62" s="971"/>
      <c r="MA62" s="971"/>
      <c r="MB62" s="971"/>
      <c r="MC62" s="971"/>
      <c r="MD62" s="971"/>
      <c r="ME62" s="971"/>
      <c r="MF62" s="971"/>
      <c r="MG62" s="971"/>
      <c r="MH62" s="971"/>
      <c r="MI62" s="971"/>
      <c r="MJ62" s="971"/>
      <c r="MK62" s="971"/>
      <c r="ML62" s="971"/>
      <c r="MM62" s="971"/>
      <c r="MN62" s="971"/>
      <c r="MO62" s="971"/>
      <c r="MP62" s="971"/>
      <c r="MQ62" s="971"/>
      <c r="MR62" s="971"/>
      <c r="MS62" s="971"/>
      <c r="MT62" s="971"/>
      <c r="MU62" s="971"/>
      <c r="MV62" s="971"/>
      <c r="MW62" s="971"/>
      <c r="MX62" s="971"/>
      <c r="MY62" s="971"/>
      <c r="MZ62" s="971"/>
      <c r="NA62" s="971"/>
      <c r="NB62" s="971"/>
      <c r="NC62" s="971"/>
      <c r="ND62" s="971"/>
      <c r="NE62" s="971"/>
      <c r="NF62" s="971"/>
      <c r="NG62" s="971"/>
      <c r="NH62" s="971"/>
      <c r="NI62" s="971"/>
      <c r="NJ62" s="971"/>
      <c r="NK62" s="971"/>
      <c r="NL62" s="971"/>
      <c r="NM62" s="971"/>
      <c r="NN62" s="971"/>
      <c r="NO62" s="971"/>
      <c r="NP62" s="971"/>
      <c r="NQ62" s="971"/>
      <c r="NR62" s="971"/>
      <c r="NS62" s="971"/>
      <c r="NT62" s="971"/>
      <c r="NU62" s="971"/>
      <c r="NV62" s="971"/>
      <c r="NW62" s="971"/>
      <c r="NX62" s="971"/>
      <c r="NY62" s="971"/>
      <c r="NZ62" s="971"/>
      <c r="OA62" s="971"/>
      <c r="OB62" s="971"/>
      <c r="OC62" s="971"/>
      <c r="OD62" s="971"/>
      <c r="OE62" s="971"/>
      <c r="OF62" s="971"/>
      <c r="OG62" s="971"/>
      <c r="OH62" s="971"/>
      <c r="OI62" s="971"/>
      <c r="OJ62" s="971"/>
      <c r="OK62" s="971"/>
      <c r="OL62" s="971"/>
      <c r="OM62" s="971"/>
      <c r="ON62" s="971"/>
      <c r="OO62" s="971"/>
      <c r="OP62" s="971"/>
      <c r="OQ62" s="971"/>
      <c r="OR62" s="971"/>
      <c r="OS62" s="971"/>
      <c r="OT62" s="971"/>
      <c r="OU62" s="971"/>
      <c r="OV62" s="971"/>
      <c r="OW62" s="971"/>
      <c r="OX62" s="971"/>
      <c r="OY62" s="971"/>
      <c r="OZ62" s="971"/>
      <c r="PA62" s="971"/>
      <c r="PB62" s="971"/>
      <c r="PC62" s="971"/>
      <c r="PD62" s="971"/>
      <c r="PE62" s="971"/>
      <c r="PF62" s="971"/>
      <c r="PG62" s="971"/>
      <c r="PH62" s="971"/>
      <c r="PI62" s="971"/>
      <c r="PJ62" s="971"/>
      <c r="PK62" s="971"/>
      <c r="PL62" s="971"/>
      <c r="PM62" s="971"/>
      <c r="PN62" s="971"/>
      <c r="PO62" s="971"/>
      <c r="PP62" s="971"/>
      <c r="PQ62" s="971"/>
      <c r="PR62" s="971"/>
      <c r="PS62" s="971"/>
      <c r="PT62" s="971"/>
      <c r="PU62" s="971"/>
      <c r="PV62" s="971"/>
      <c r="PW62" s="971"/>
      <c r="PX62" s="971"/>
      <c r="PY62" s="971"/>
      <c r="PZ62" s="971"/>
      <c r="QA62" s="971"/>
      <c r="QB62" s="971"/>
      <c r="QC62" s="971"/>
      <c r="QD62" s="971"/>
      <c r="QE62" s="971"/>
      <c r="QF62" s="971"/>
      <c r="QG62" s="971"/>
      <c r="QH62" s="971"/>
      <c r="QI62" s="971"/>
      <c r="QJ62" s="971"/>
      <c r="QK62" s="971"/>
      <c r="QL62" s="971"/>
      <c r="QM62" s="971"/>
      <c r="QN62" s="971"/>
      <c r="QO62" s="971"/>
      <c r="QP62" s="971"/>
      <c r="QQ62" s="971"/>
      <c r="QR62" s="971"/>
      <c r="QS62" s="971"/>
      <c r="QT62" s="971"/>
      <c r="QU62" s="971"/>
      <c r="QV62" s="971"/>
      <c r="QW62" s="971"/>
      <c r="QX62" s="971"/>
      <c r="QY62" s="971"/>
      <c r="QZ62" s="971"/>
      <c r="RA62" s="971"/>
      <c r="RB62" s="971"/>
      <c r="RC62" s="971"/>
      <c r="RD62" s="971"/>
      <c r="RE62" s="971"/>
      <c r="RF62" s="971"/>
      <c r="RG62" s="971"/>
      <c r="RH62" s="971"/>
      <c r="RI62" s="971"/>
      <c r="RJ62" s="971"/>
      <c r="RK62" s="971"/>
      <c r="RL62" s="971"/>
      <c r="RM62" s="971"/>
      <c r="RN62" s="971"/>
      <c r="RO62" s="971"/>
      <c r="RP62" s="971"/>
      <c r="RQ62" s="971"/>
      <c r="RR62" s="971"/>
      <c r="RS62" s="971"/>
      <c r="RT62" s="971"/>
      <c r="RU62" s="971"/>
      <c r="RV62" s="971"/>
      <c r="RW62" s="971"/>
      <c r="RX62" s="971"/>
      <c r="RY62" s="971"/>
      <c r="RZ62" s="971"/>
      <c r="SA62" s="971"/>
      <c r="SB62" s="971"/>
      <c r="SC62" s="971"/>
      <c r="SD62" s="971"/>
      <c r="SE62" s="971"/>
      <c r="SF62" s="971"/>
      <c r="SG62" s="971"/>
      <c r="SH62" s="971"/>
      <c r="SI62" s="971"/>
      <c r="SJ62" s="971"/>
      <c r="SK62" s="971"/>
      <c r="SL62" s="971"/>
      <c r="SM62" s="971"/>
      <c r="SN62" s="971"/>
      <c r="SO62" s="971"/>
      <c r="SP62" s="971"/>
      <c r="SQ62" s="971"/>
      <c r="SR62" s="971"/>
    </row>
    <row r="63" spans="1:512" ht="15" customHeight="1">
      <c r="A63" t="s">
        <v>2418</v>
      </c>
      <c r="B63"/>
      <c r="C63"/>
      <c r="D63"/>
      <c r="E63"/>
      <c r="F63"/>
      <c r="G63" s="979"/>
      <c r="H63" s="979"/>
      <c r="I63" s="979"/>
      <c r="J63" s="979"/>
      <c r="K63" s="979"/>
      <c r="L63" s="979"/>
      <c r="M63" s="979"/>
      <c r="N63" s="979"/>
      <c r="O63" s="979"/>
      <c r="P63" s="979"/>
      <c r="Q63" s="979"/>
      <c r="R63" s="979"/>
      <c r="S63" s="979"/>
      <c r="T63" s="979"/>
      <c r="U63" s="979"/>
      <c r="V63" s="979"/>
      <c r="W63" s="979"/>
      <c r="X63" s="979"/>
      <c r="Y63" s="979"/>
      <c r="Z63" s="979"/>
      <c r="AA63" s="979"/>
      <c r="AB63" s="979"/>
      <c r="AC63" s="979"/>
      <c r="AD63" s="979"/>
      <c r="AE63" s="979"/>
      <c r="AF63" s="979"/>
      <c r="AG63" s="979"/>
      <c r="AH63" s="979"/>
      <c r="AI63" s="979"/>
      <c r="AJ63" s="979"/>
      <c r="AK63" s="979"/>
      <c r="AL63" s="979"/>
      <c r="AM63" s="979"/>
      <c r="AN63" s="979"/>
      <c r="AO63" s="979"/>
      <c r="AP63" s="979"/>
      <c r="AQ63" s="979"/>
      <c r="AR63" s="979"/>
      <c r="AS63" s="979"/>
      <c r="AT63" s="979"/>
      <c r="AU63" s="979"/>
      <c r="AV63" s="979"/>
      <c r="AW63" s="979"/>
      <c r="AX63" s="979"/>
      <c r="AY63" s="979"/>
      <c r="AZ63" s="979"/>
      <c r="BA63" s="979"/>
      <c r="BB63" s="979"/>
      <c r="BC63" s="979"/>
      <c r="BD63" s="979"/>
      <c r="BE63" s="979"/>
      <c r="BF63" s="971"/>
      <c r="BG63" s="971"/>
      <c r="BH63" s="971"/>
      <c r="BI63" s="971"/>
      <c r="BJ63" s="971"/>
      <c r="BK63" s="971"/>
      <c r="BL63" s="971"/>
      <c r="BM63" s="971"/>
      <c r="BN63" s="971"/>
      <c r="BO63" s="971"/>
      <c r="BP63" s="971"/>
      <c r="BQ63" s="971"/>
      <c r="BR63" s="971"/>
      <c r="BS63" s="971"/>
      <c r="BT63" s="971"/>
      <c r="BU63" s="971"/>
      <c r="BV63" s="971"/>
      <c r="BW63" s="971"/>
      <c r="BX63" s="971"/>
      <c r="BY63" s="971"/>
      <c r="BZ63" s="971"/>
      <c r="CA63" s="971"/>
      <c r="CB63" s="971"/>
      <c r="CC63" s="971"/>
      <c r="CD63" s="971"/>
      <c r="CE63" s="971"/>
      <c r="CF63" s="971"/>
      <c r="CG63" s="971"/>
      <c r="CH63" s="971"/>
      <c r="CI63" s="971"/>
      <c r="CJ63" s="971"/>
      <c r="CK63" s="971"/>
      <c r="CL63" s="971"/>
      <c r="CM63" s="971"/>
      <c r="CN63" s="971"/>
      <c r="CO63" s="971"/>
      <c r="CP63" s="971"/>
      <c r="CQ63" s="971"/>
      <c r="CR63" s="971"/>
      <c r="CS63" s="971"/>
      <c r="CT63" s="971"/>
      <c r="CU63" s="971"/>
      <c r="CV63" s="971"/>
      <c r="CW63" s="971"/>
      <c r="CX63" s="971"/>
      <c r="CY63" s="971"/>
      <c r="CZ63" s="971"/>
      <c r="DA63" s="971"/>
      <c r="DB63" s="971"/>
      <c r="DC63" s="971"/>
      <c r="DD63" s="971"/>
      <c r="DE63" s="971"/>
      <c r="DF63" s="971"/>
      <c r="DG63" s="971"/>
      <c r="DH63" s="971"/>
      <c r="DI63" s="971"/>
      <c r="DJ63" s="971"/>
      <c r="DK63" s="971"/>
      <c r="DL63" s="971"/>
      <c r="DM63" s="971"/>
      <c r="DN63" s="971"/>
      <c r="DO63" s="971"/>
      <c r="DP63" s="971"/>
      <c r="DQ63" s="971"/>
      <c r="DR63" s="971"/>
      <c r="DS63" s="971"/>
      <c r="DT63" s="971"/>
      <c r="DU63" s="971"/>
      <c r="DV63" s="971"/>
      <c r="DW63" s="971"/>
      <c r="DX63" s="971"/>
      <c r="DY63" s="971"/>
      <c r="DZ63" s="971"/>
      <c r="EA63" s="971"/>
      <c r="EB63" s="971"/>
      <c r="EC63" s="971"/>
      <c r="ED63" s="971"/>
      <c r="EE63" s="971"/>
      <c r="EF63" s="971"/>
      <c r="EG63" s="971"/>
      <c r="EH63" s="971"/>
      <c r="EI63" s="971"/>
      <c r="EJ63" s="971"/>
      <c r="EK63" s="971"/>
      <c r="EL63" s="971"/>
      <c r="EM63" s="971"/>
      <c r="EN63" s="971"/>
      <c r="EO63" s="971"/>
      <c r="EP63" s="971"/>
      <c r="EQ63" s="971"/>
      <c r="ER63" s="971"/>
      <c r="ES63" s="971"/>
      <c r="ET63" s="971"/>
      <c r="EU63" s="971"/>
      <c r="EV63" s="971"/>
      <c r="EW63" s="971"/>
      <c r="EX63" s="971"/>
      <c r="EY63" s="971"/>
      <c r="EZ63" s="971"/>
      <c r="FA63" s="971"/>
      <c r="FB63" s="971"/>
      <c r="FC63" s="971"/>
      <c r="FD63" s="971"/>
      <c r="FE63" s="971"/>
      <c r="FF63" s="971"/>
      <c r="FG63" s="971"/>
      <c r="FH63" s="971"/>
      <c r="FI63" s="971"/>
      <c r="FJ63" s="971"/>
      <c r="FK63" s="971"/>
      <c r="FL63" s="971"/>
      <c r="FM63" s="971"/>
      <c r="FN63" s="971"/>
      <c r="FO63" s="971"/>
      <c r="FP63" s="971"/>
      <c r="FQ63" s="971"/>
      <c r="FR63" s="971"/>
      <c r="FS63" s="971"/>
      <c r="FT63" s="971"/>
      <c r="FU63" s="971"/>
      <c r="FV63" s="971"/>
      <c r="FW63" s="971"/>
      <c r="FX63" s="971"/>
      <c r="FY63" s="971"/>
      <c r="FZ63" s="971"/>
      <c r="GA63" s="971"/>
      <c r="GB63" s="971"/>
      <c r="GC63" s="971"/>
      <c r="GD63" s="971"/>
      <c r="GE63" s="971"/>
      <c r="GF63" s="971"/>
      <c r="GG63" s="971"/>
      <c r="GH63" s="971"/>
      <c r="GI63" s="971"/>
      <c r="GJ63" s="971"/>
      <c r="GK63" s="971"/>
      <c r="GL63" s="971"/>
      <c r="GM63" s="971"/>
      <c r="GN63" s="971"/>
      <c r="GO63" s="971"/>
      <c r="GP63" s="971"/>
      <c r="GQ63" s="971"/>
      <c r="GR63" s="971"/>
      <c r="GS63" s="971"/>
      <c r="GT63" s="971"/>
      <c r="GU63" s="971"/>
      <c r="GV63" s="971"/>
      <c r="GW63" s="971"/>
      <c r="GX63" s="971"/>
      <c r="GY63" s="971"/>
      <c r="GZ63" s="971"/>
      <c r="HA63" s="971"/>
      <c r="HB63" s="971"/>
      <c r="HC63" s="971"/>
      <c r="HD63" s="971"/>
      <c r="HE63" s="971"/>
      <c r="HF63" s="971"/>
      <c r="HG63" s="971"/>
      <c r="HH63" s="971"/>
      <c r="HI63" s="971"/>
      <c r="HJ63" s="971"/>
      <c r="HK63" s="971"/>
      <c r="HL63" s="971"/>
      <c r="HM63" s="971"/>
      <c r="HN63" s="971"/>
      <c r="HO63" s="971"/>
      <c r="HP63" s="971"/>
      <c r="HQ63" s="971"/>
      <c r="HR63" s="971"/>
      <c r="HS63" s="971"/>
      <c r="HT63" s="971"/>
      <c r="HU63" s="971"/>
      <c r="HV63" s="971"/>
      <c r="HW63" s="971"/>
      <c r="HX63" s="971"/>
      <c r="HY63" s="971"/>
      <c r="HZ63" s="971"/>
      <c r="IA63" s="971"/>
      <c r="IB63" s="971"/>
      <c r="IC63" s="971"/>
      <c r="ID63" s="971"/>
      <c r="IE63" s="971"/>
      <c r="IF63" s="971"/>
      <c r="IG63" s="971"/>
      <c r="IH63" s="971"/>
      <c r="II63" s="971"/>
      <c r="IJ63" s="971"/>
      <c r="IK63" s="971"/>
      <c r="IL63" s="971"/>
      <c r="IM63" s="971"/>
      <c r="IN63" s="971"/>
      <c r="IO63" s="971"/>
      <c r="IP63" s="971"/>
      <c r="IQ63" s="971"/>
      <c r="IR63" s="971"/>
      <c r="IS63" s="971"/>
      <c r="IT63" s="971"/>
      <c r="IU63" s="971"/>
      <c r="IV63" s="971"/>
      <c r="IW63" s="971"/>
      <c r="IX63" s="971"/>
      <c r="IY63" s="971"/>
      <c r="IZ63" s="971"/>
      <c r="JA63" s="971"/>
      <c r="JB63" s="971"/>
      <c r="JC63" s="971"/>
      <c r="JD63" s="971"/>
      <c r="JE63" s="971"/>
      <c r="JF63" s="971"/>
      <c r="JG63" s="971"/>
      <c r="JH63" s="971"/>
      <c r="JI63" s="971"/>
      <c r="JJ63" s="971"/>
      <c r="JK63" s="971"/>
      <c r="JL63" s="971"/>
      <c r="JM63" s="971"/>
      <c r="JN63" s="971"/>
      <c r="JO63" s="971"/>
      <c r="JP63" s="971"/>
      <c r="JQ63" s="971"/>
      <c r="JR63" s="971"/>
      <c r="JS63" s="971"/>
      <c r="JT63" s="971"/>
      <c r="JU63" s="971"/>
      <c r="JV63" s="971"/>
      <c r="JW63" s="971"/>
      <c r="JX63" s="971"/>
      <c r="JY63" s="971"/>
      <c r="JZ63" s="971"/>
      <c r="KA63" s="971"/>
      <c r="KB63" s="971"/>
      <c r="KC63" s="971"/>
      <c r="KD63" s="971"/>
      <c r="KE63" s="971"/>
      <c r="KF63" s="971"/>
      <c r="KG63" s="971"/>
      <c r="KH63" s="971"/>
      <c r="KI63" s="971"/>
      <c r="KJ63" s="971"/>
      <c r="KK63" s="971"/>
      <c r="KL63" s="971"/>
      <c r="KM63" s="971"/>
      <c r="KN63" s="971"/>
      <c r="KO63" s="971"/>
      <c r="KP63" s="971"/>
      <c r="KQ63" s="971"/>
      <c r="KR63" s="971"/>
      <c r="KS63" s="971"/>
      <c r="KT63" s="971"/>
      <c r="KU63" s="971"/>
      <c r="KV63" s="971"/>
      <c r="KW63" s="971"/>
      <c r="KX63" s="971"/>
      <c r="KY63" s="971"/>
      <c r="KZ63" s="971"/>
      <c r="LA63" s="971"/>
      <c r="LB63" s="971"/>
      <c r="LC63" s="971"/>
      <c r="LD63" s="971"/>
      <c r="LE63" s="971"/>
      <c r="LF63" s="971"/>
      <c r="LG63" s="971"/>
      <c r="LH63" s="971"/>
      <c r="LI63" s="971"/>
      <c r="LJ63" s="971"/>
      <c r="LK63" s="971"/>
      <c r="LL63" s="971"/>
      <c r="LM63" s="971"/>
      <c r="LN63" s="971"/>
      <c r="LO63" s="971"/>
      <c r="LP63" s="971"/>
      <c r="LQ63" s="971"/>
      <c r="LR63" s="971"/>
      <c r="LS63" s="971"/>
      <c r="LT63" s="971"/>
      <c r="LU63" s="971"/>
      <c r="LV63" s="971"/>
      <c r="LW63" s="971"/>
      <c r="LX63" s="971"/>
      <c r="LY63" s="971"/>
      <c r="LZ63" s="971"/>
      <c r="MA63" s="971"/>
      <c r="MB63" s="971"/>
      <c r="MC63" s="971"/>
      <c r="MD63" s="971"/>
      <c r="ME63" s="971"/>
      <c r="MF63" s="971"/>
      <c r="MG63" s="971"/>
      <c r="MH63" s="971"/>
      <c r="MI63" s="971"/>
      <c r="MJ63" s="971"/>
      <c r="MK63" s="971"/>
      <c r="ML63" s="971"/>
      <c r="MM63" s="971"/>
      <c r="MN63" s="971"/>
      <c r="MO63" s="971"/>
      <c r="MP63" s="971"/>
      <c r="MQ63" s="971"/>
      <c r="MR63" s="971"/>
      <c r="MS63" s="971"/>
      <c r="MT63" s="971"/>
      <c r="MU63" s="971"/>
      <c r="MV63" s="971"/>
      <c r="MW63" s="971"/>
      <c r="MX63" s="971"/>
      <c r="MY63" s="971"/>
      <c r="MZ63" s="971"/>
      <c r="NA63" s="971"/>
      <c r="NB63" s="971"/>
      <c r="NC63" s="971"/>
      <c r="ND63" s="971"/>
      <c r="NE63" s="971"/>
      <c r="NF63" s="971"/>
      <c r="NG63" s="971"/>
      <c r="NH63" s="971"/>
      <c r="NI63" s="971"/>
      <c r="NJ63" s="971"/>
      <c r="NK63" s="971"/>
      <c r="NL63" s="971"/>
      <c r="NM63" s="971"/>
      <c r="NN63" s="971"/>
      <c r="NO63" s="971"/>
      <c r="NP63" s="971"/>
      <c r="NQ63" s="971"/>
      <c r="NR63" s="971"/>
      <c r="NS63" s="971"/>
      <c r="NT63" s="971"/>
      <c r="NU63" s="971"/>
      <c r="NV63" s="971"/>
      <c r="NW63" s="971"/>
      <c r="NX63" s="971"/>
      <c r="NY63" s="971"/>
      <c r="NZ63" s="971"/>
      <c r="OA63" s="971"/>
      <c r="OB63" s="971"/>
      <c r="OC63" s="971"/>
      <c r="OD63" s="971"/>
      <c r="OE63" s="971"/>
      <c r="OF63" s="971"/>
      <c r="OG63" s="971"/>
      <c r="OH63" s="971"/>
      <c r="OI63" s="971"/>
      <c r="OJ63" s="971"/>
      <c r="OK63" s="971"/>
      <c r="OL63" s="971"/>
      <c r="OM63" s="971"/>
      <c r="ON63" s="971"/>
      <c r="OO63" s="971"/>
      <c r="OP63" s="971"/>
      <c r="OQ63" s="971"/>
      <c r="OR63" s="971"/>
      <c r="OS63" s="971"/>
      <c r="OT63" s="971"/>
      <c r="OU63" s="971"/>
      <c r="OV63" s="971"/>
      <c r="OW63" s="971"/>
      <c r="OX63" s="971"/>
      <c r="OY63" s="971"/>
      <c r="OZ63" s="971"/>
      <c r="PA63" s="971"/>
      <c r="PB63" s="971"/>
      <c r="PC63" s="971"/>
      <c r="PD63" s="971"/>
      <c r="PE63" s="971"/>
      <c r="PF63" s="971"/>
      <c r="PG63" s="971"/>
      <c r="PH63" s="971"/>
      <c r="PI63" s="971"/>
      <c r="PJ63" s="971"/>
      <c r="PK63" s="971"/>
      <c r="PL63" s="971"/>
      <c r="PM63" s="971"/>
      <c r="PN63" s="971"/>
      <c r="PO63" s="971"/>
      <c r="PP63" s="971"/>
      <c r="PQ63" s="971"/>
      <c r="PR63" s="971"/>
      <c r="PS63" s="971"/>
      <c r="PT63" s="971"/>
      <c r="PU63" s="971"/>
      <c r="PV63" s="971"/>
      <c r="PW63" s="971"/>
      <c r="PX63" s="971"/>
      <c r="PY63" s="971"/>
      <c r="PZ63" s="971"/>
      <c r="QA63" s="971"/>
      <c r="QB63" s="971"/>
      <c r="QC63" s="971"/>
      <c r="QD63" s="971"/>
      <c r="QE63" s="971"/>
      <c r="QF63" s="971"/>
      <c r="QG63" s="971"/>
      <c r="QH63" s="971"/>
      <c r="QI63" s="971"/>
      <c r="QJ63" s="971"/>
      <c r="QK63" s="971"/>
      <c r="QL63" s="971"/>
      <c r="QM63" s="971"/>
      <c r="QN63" s="971"/>
      <c r="QO63" s="971"/>
      <c r="QP63" s="971"/>
      <c r="QQ63" s="971"/>
      <c r="QR63" s="971"/>
      <c r="QS63" s="971"/>
      <c r="QT63" s="971"/>
      <c r="QU63" s="971"/>
      <c r="QV63" s="971"/>
      <c r="QW63" s="971"/>
      <c r="QX63" s="971"/>
      <c r="QY63" s="971"/>
      <c r="QZ63" s="971"/>
      <c r="RA63" s="971"/>
      <c r="RB63" s="971"/>
      <c r="RC63" s="971"/>
      <c r="RD63" s="971"/>
      <c r="RE63" s="971"/>
      <c r="RF63" s="971"/>
      <c r="RG63" s="971"/>
      <c r="RH63" s="971"/>
      <c r="RI63" s="971"/>
      <c r="RJ63" s="971"/>
      <c r="RK63" s="971"/>
      <c r="RL63" s="971"/>
      <c r="RM63" s="971"/>
      <c r="RN63" s="971"/>
      <c r="RO63" s="971"/>
      <c r="RP63" s="971"/>
      <c r="RQ63" s="971"/>
      <c r="RR63" s="971"/>
      <c r="RS63" s="971"/>
      <c r="RT63" s="971"/>
      <c r="RU63" s="971"/>
      <c r="RV63" s="971"/>
      <c r="RW63" s="971"/>
      <c r="RX63" s="971"/>
      <c r="RY63" s="971"/>
      <c r="RZ63" s="971"/>
      <c r="SA63" s="971"/>
      <c r="SB63" s="971"/>
      <c r="SC63" s="971"/>
      <c r="SD63" s="971"/>
      <c r="SE63" s="971"/>
      <c r="SF63" s="971"/>
      <c r="SG63" s="971"/>
      <c r="SH63" s="971"/>
      <c r="SI63" s="971"/>
      <c r="SJ63" s="971"/>
      <c r="SK63" s="971"/>
      <c r="SL63" s="971"/>
      <c r="SM63" s="971"/>
      <c r="SN63" s="971"/>
      <c r="SO63" s="971"/>
      <c r="SP63" s="971"/>
      <c r="SQ63" s="971"/>
      <c r="SR63" s="971"/>
    </row>
    <row r="64" spans="1:512" ht="15" customHeight="1">
      <c r="A64"/>
      <c r="B64" t="s">
        <v>2269</v>
      </c>
      <c r="C64"/>
      <c r="D64"/>
      <c r="E64"/>
      <c r="F64"/>
      <c r="G64" s="980"/>
      <c r="H64" s="980"/>
      <c r="I64" s="980"/>
      <c r="J64" s="980"/>
      <c r="K64" s="980"/>
      <c r="L64" s="980"/>
      <c r="M64" s="980"/>
      <c r="N64" s="980"/>
      <c r="O64" s="980"/>
      <c r="P64" s="980"/>
      <c r="Q64" s="980"/>
      <c r="R64" s="980"/>
      <c r="S64" s="980"/>
      <c r="T64" s="980"/>
      <c r="U64" s="980"/>
      <c r="V64" s="980"/>
      <c r="W64" s="980"/>
      <c r="X64" s="980"/>
      <c r="Y64" s="980"/>
      <c r="Z64" s="980"/>
      <c r="AA64" s="980"/>
      <c r="AB64" s="980"/>
      <c r="AC64" s="980"/>
      <c r="AD64" s="980"/>
      <c r="AE64" s="980"/>
      <c r="AF64" s="980"/>
      <c r="AG64" s="980"/>
      <c r="AH64" s="980"/>
      <c r="AI64" s="980"/>
      <c r="AJ64" s="980"/>
      <c r="AK64" s="980"/>
      <c r="AL64" s="980"/>
      <c r="AM64" s="980"/>
      <c r="AN64" s="980"/>
      <c r="AO64" s="980"/>
      <c r="AP64" s="980"/>
      <c r="AQ64" s="980"/>
      <c r="AR64" s="980"/>
      <c r="AS64" s="980"/>
      <c r="AT64" s="980"/>
      <c r="AU64" s="980"/>
      <c r="AV64" s="980"/>
      <c r="AW64" s="980"/>
      <c r="AX64" s="980"/>
      <c r="AY64" s="980"/>
      <c r="AZ64" s="980"/>
      <c r="BA64" s="980"/>
      <c r="BB64" s="980"/>
      <c r="BC64" s="980"/>
      <c r="BD64" s="980"/>
      <c r="BE64" s="980"/>
      <c r="BF64" s="971"/>
      <c r="BG64" s="971"/>
      <c r="BH64" s="971"/>
      <c r="BI64" s="971"/>
      <c r="BJ64" s="971"/>
      <c r="BK64" s="971"/>
      <c r="BL64" s="971"/>
      <c r="BM64" s="971"/>
      <c r="BN64" s="971"/>
      <c r="BO64" s="971"/>
      <c r="BP64" s="971"/>
      <c r="BQ64" s="971"/>
      <c r="BR64" s="971"/>
      <c r="BS64" s="971"/>
      <c r="BT64" s="971"/>
      <c r="BU64" s="971"/>
      <c r="BV64" s="971"/>
      <c r="BW64" s="971"/>
      <c r="BX64" s="971"/>
      <c r="BY64" s="971"/>
      <c r="BZ64" s="971"/>
      <c r="CA64" s="971"/>
      <c r="CB64" s="971"/>
      <c r="CC64" s="971"/>
      <c r="CD64" s="971"/>
      <c r="CE64" s="971"/>
      <c r="CF64" s="971"/>
      <c r="CG64" s="971"/>
      <c r="CH64" s="971"/>
      <c r="CI64" s="971"/>
      <c r="CJ64" s="971"/>
      <c r="CK64" s="971"/>
      <c r="CL64" s="971"/>
      <c r="CM64" s="971"/>
      <c r="CN64" s="971"/>
      <c r="CO64" s="971"/>
      <c r="CP64" s="971"/>
      <c r="CQ64" s="971"/>
      <c r="CR64" s="971"/>
      <c r="CS64" s="971"/>
      <c r="CT64" s="971"/>
      <c r="CU64" s="971"/>
      <c r="CV64" s="971"/>
      <c r="CW64" s="971"/>
      <c r="CX64" s="971"/>
      <c r="CY64" s="971"/>
      <c r="CZ64" s="971"/>
      <c r="DA64" s="971"/>
      <c r="DB64" s="971"/>
      <c r="DC64" s="971"/>
      <c r="DD64" s="971"/>
      <c r="DE64" s="971"/>
      <c r="DF64" s="971"/>
      <c r="DG64" s="971"/>
      <c r="DH64" s="971"/>
      <c r="DI64" s="971"/>
      <c r="DJ64" s="971"/>
      <c r="DK64" s="971"/>
      <c r="DL64" s="971"/>
      <c r="DM64" s="971"/>
      <c r="DN64" s="971"/>
      <c r="DO64" s="971"/>
      <c r="DP64" s="971"/>
      <c r="DQ64" s="971"/>
      <c r="DR64" s="971"/>
      <c r="DS64" s="971"/>
      <c r="DT64" s="971"/>
      <c r="DU64" s="971"/>
      <c r="DV64" s="971"/>
      <c r="DW64" s="971"/>
      <c r="DX64" s="971"/>
      <c r="DY64" s="971"/>
      <c r="DZ64" s="971"/>
      <c r="EA64" s="971"/>
      <c r="EB64" s="971"/>
      <c r="EC64" s="971"/>
      <c r="ED64" s="971"/>
      <c r="EE64" s="971"/>
      <c r="EF64" s="971"/>
      <c r="EG64" s="971"/>
      <c r="EH64" s="971"/>
      <c r="EI64" s="971"/>
      <c r="EJ64" s="971"/>
      <c r="EK64" s="971"/>
      <c r="EL64" s="971"/>
      <c r="EM64" s="971"/>
      <c r="EN64" s="971"/>
      <c r="EO64" s="971"/>
      <c r="EP64" s="971"/>
      <c r="EQ64" s="971"/>
      <c r="ER64" s="971"/>
      <c r="ES64" s="971"/>
      <c r="ET64" s="971"/>
      <c r="EU64" s="971"/>
      <c r="EV64" s="971"/>
      <c r="EW64" s="971"/>
      <c r="EX64" s="971"/>
      <c r="EY64" s="971"/>
      <c r="EZ64" s="971"/>
      <c r="FA64" s="971"/>
      <c r="FB64" s="971"/>
      <c r="FC64" s="971"/>
      <c r="FD64" s="971"/>
      <c r="FE64" s="971"/>
      <c r="FF64" s="971"/>
      <c r="FG64" s="971"/>
      <c r="FH64" s="971"/>
      <c r="FI64" s="971"/>
      <c r="FJ64" s="971"/>
      <c r="FK64" s="971"/>
      <c r="FL64" s="971"/>
      <c r="FM64" s="971"/>
      <c r="FN64" s="971"/>
      <c r="FO64" s="971"/>
      <c r="FP64" s="971"/>
      <c r="FQ64" s="971"/>
      <c r="FR64" s="971"/>
      <c r="FS64" s="971"/>
      <c r="FT64" s="971"/>
      <c r="FU64" s="971"/>
      <c r="FV64" s="971"/>
      <c r="FW64" s="971"/>
      <c r="FX64" s="971"/>
      <c r="FY64" s="971"/>
      <c r="FZ64" s="971"/>
      <c r="GA64" s="971"/>
      <c r="GB64" s="971"/>
      <c r="GC64" s="971"/>
      <c r="GD64" s="971"/>
      <c r="GE64" s="971"/>
      <c r="GF64" s="971"/>
      <c r="GG64" s="971"/>
      <c r="GH64" s="971"/>
      <c r="GI64" s="971"/>
      <c r="GJ64" s="971"/>
      <c r="GK64" s="971"/>
      <c r="GL64" s="971"/>
      <c r="GM64" s="971"/>
      <c r="GN64" s="971"/>
      <c r="GO64" s="971"/>
      <c r="GP64" s="971"/>
      <c r="GQ64" s="971"/>
      <c r="GR64" s="971"/>
      <c r="GS64" s="971"/>
      <c r="GT64" s="971"/>
      <c r="GU64" s="971"/>
      <c r="GV64" s="971"/>
      <c r="GW64" s="971"/>
      <c r="GX64" s="971"/>
      <c r="GY64" s="971"/>
      <c r="GZ64" s="971"/>
      <c r="HA64" s="971"/>
      <c r="HB64" s="971"/>
      <c r="HC64" s="971"/>
      <c r="HD64" s="971"/>
      <c r="HE64" s="971"/>
      <c r="HF64" s="971"/>
      <c r="HG64" s="971"/>
      <c r="HH64" s="971"/>
      <c r="HI64" s="971"/>
      <c r="HJ64" s="971"/>
      <c r="HK64" s="971"/>
      <c r="HL64" s="971"/>
      <c r="HM64" s="971"/>
      <c r="HN64" s="971"/>
      <c r="HO64" s="971"/>
      <c r="HP64" s="971"/>
      <c r="HQ64" s="971"/>
      <c r="HR64" s="971"/>
      <c r="HS64" s="971"/>
      <c r="HT64" s="971"/>
      <c r="HU64" s="971"/>
      <c r="HV64" s="971"/>
      <c r="HW64" s="971"/>
      <c r="HX64" s="971"/>
      <c r="HY64" s="971"/>
      <c r="HZ64" s="971"/>
      <c r="IA64" s="971"/>
      <c r="IB64" s="971"/>
      <c r="IC64" s="971"/>
      <c r="ID64" s="971"/>
      <c r="IE64" s="971"/>
      <c r="IF64" s="971"/>
      <c r="IG64" s="971"/>
      <c r="IH64" s="971"/>
      <c r="II64" s="971"/>
      <c r="IJ64" s="971"/>
      <c r="IK64" s="971"/>
      <c r="IL64" s="971"/>
      <c r="IM64" s="971"/>
      <c r="IN64" s="971"/>
      <c r="IO64" s="971"/>
      <c r="IP64" s="971"/>
      <c r="IQ64" s="971"/>
      <c r="IR64" s="971"/>
      <c r="IS64" s="971"/>
      <c r="IT64" s="971"/>
      <c r="IU64" s="971"/>
      <c r="IV64" s="971"/>
      <c r="IW64" s="971"/>
      <c r="IX64" s="971"/>
      <c r="IY64" s="971"/>
      <c r="IZ64" s="971"/>
      <c r="JA64" s="971"/>
      <c r="JB64" s="971"/>
      <c r="JC64" s="971"/>
      <c r="JD64" s="971"/>
      <c r="JE64" s="971"/>
      <c r="JF64" s="971"/>
      <c r="JG64" s="971"/>
      <c r="JH64" s="971"/>
      <c r="JI64" s="971"/>
      <c r="JJ64" s="971"/>
      <c r="JK64" s="971"/>
      <c r="JL64" s="971"/>
      <c r="JM64" s="971"/>
      <c r="JN64" s="971"/>
      <c r="JO64" s="971"/>
      <c r="JP64" s="971"/>
      <c r="JQ64" s="971"/>
      <c r="JR64" s="971"/>
      <c r="JS64" s="971"/>
      <c r="JT64" s="971"/>
      <c r="JU64" s="971"/>
      <c r="JV64" s="971"/>
      <c r="JW64" s="971"/>
      <c r="JX64" s="971"/>
      <c r="JY64" s="971"/>
      <c r="JZ64" s="971"/>
      <c r="KA64" s="971"/>
      <c r="KB64" s="971"/>
      <c r="KC64" s="971"/>
      <c r="KD64" s="971"/>
      <c r="KE64" s="971"/>
      <c r="KF64" s="971"/>
      <c r="KG64" s="971"/>
      <c r="KH64" s="971"/>
      <c r="KI64" s="971"/>
      <c r="KJ64" s="971"/>
      <c r="KK64" s="971"/>
      <c r="KL64" s="971"/>
      <c r="KM64" s="971"/>
      <c r="KN64" s="971"/>
      <c r="KO64" s="971"/>
      <c r="KP64" s="971"/>
      <c r="KQ64" s="971"/>
      <c r="KR64" s="971"/>
      <c r="KS64" s="971"/>
      <c r="KT64" s="971"/>
      <c r="KU64" s="971"/>
      <c r="KV64" s="971"/>
      <c r="KW64" s="971"/>
      <c r="KX64" s="971"/>
      <c r="KY64" s="971"/>
      <c r="KZ64" s="971"/>
      <c r="LA64" s="971"/>
      <c r="LB64" s="971"/>
      <c r="LC64" s="971"/>
      <c r="LD64" s="971"/>
      <c r="LE64" s="971"/>
      <c r="LF64" s="971"/>
      <c r="LG64" s="971"/>
      <c r="LH64" s="971"/>
      <c r="LI64" s="971"/>
      <c r="LJ64" s="971"/>
      <c r="LK64" s="971"/>
      <c r="LL64" s="971"/>
      <c r="LM64" s="971"/>
      <c r="LN64" s="971"/>
      <c r="LO64" s="971"/>
      <c r="LP64" s="971"/>
      <c r="LQ64" s="971"/>
      <c r="LR64" s="971"/>
      <c r="LS64" s="971"/>
      <c r="LT64" s="971"/>
      <c r="LU64" s="971"/>
      <c r="LV64" s="971"/>
      <c r="LW64" s="971"/>
      <c r="LX64" s="971"/>
      <c r="LY64" s="971"/>
      <c r="LZ64" s="971"/>
      <c r="MA64" s="971"/>
      <c r="MB64" s="971"/>
      <c r="MC64" s="971"/>
      <c r="MD64" s="971"/>
      <c r="ME64" s="971"/>
      <c r="MF64" s="971"/>
      <c r="MG64" s="971"/>
      <c r="MH64" s="971"/>
      <c r="MI64" s="971"/>
      <c r="MJ64" s="971"/>
      <c r="MK64" s="971"/>
      <c r="ML64" s="971"/>
      <c r="MM64" s="971"/>
      <c r="MN64" s="971"/>
      <c r="MO64" s="971"/>
      <c r="MP64" s="971"/>
      <c r="MQ64" s="971"/>
      <c r="MR64" s="971"/>
      <c r="MS64" s="971"/>
      <c r="MT64" s="971"/>
      <c r="MU64" s="971"/>
      <c r="MV64" s="971"/>
      <c r="MW64" s="971"/>
      <c r="MX64" s="971"/>
      <c r="MY64" s="971"/>
      <c r="MZ64" s="971"/>
      <c r="NA64" s="971"/>
      <c r="NB64" s="971"/>
      <c r="NC64" s="971"/>
      <c r="ND64" s="971"/>
      <c r="NE64" s="971"/>
      <c r="NF64" s="971"/>
      <c r="NG64" s="971"/>
      <c r="NH64" s="971"/>
      <c r="NI64" s="971"/>
      <c r="NJ64" s="971"/>
      <c r="NK64" s="971"/>
      <c r="NL64" s="971"/>
      <c r="NM64" s="971"/>
      <c r="NN64" s="971"/>
      <c r="NO64" s="971"/>
      <c r="NP64" s="971"/>
      <c r="NQ64" s="971"/>
      <c r="NR64" s="971"/>
      <c r="NS64" s="971"/>
      <c r="NT64" s="971"/>
      <c r="NU64" s="971"/>
      <c r="NV64" s="971"/>
      <c r="NW64" s="971"/>
      <c r="NX64" s="971"/>
      <c r="NY64" s="971"/>
      <c r="NZ64" s="971"/>
      <c r="OA64" s="971"/>
      <c r="OB64" s="971"/>
      <c r="OC64" s="971"/>
      <c r="OD64" s="971"/>
      <c r="OE64" s="971"/>
      <c r="OF64" s="971"/>
      <c r="OG64" s="971"/>
      <c r="OH64" s="971"/>
      <c r="OI64" s="971"/>
      <c r="OJ64" s="971"/>
      <c r="OK64" s="971"/>
      <c r="OL64" s="971"/>
      <c r="OM64" s="971"/>
      <c r="ON64" s="971"/>
      <c r="OO64" s="971"/>
      <c r="OP64" s="971"/>
      <c r="OQ64" s="971"/>
      <c r="OR64" s="971"/>
      <c r="OS64" s="971"/>
      <c r="OT64" s="971"/>
      <c r="OU64" s="971"/>
      <c r="OV64" s="971"/>
      <c r="OW64" s="971"/>
      <c r="OX64" s="971"/>
      <c r="OY64" s="971"/>
      <c r="OZ64" s="971"/>
      <c r="PA64" s="971"/>
      <c r="PB64" s="971"/>
      <c r="PC64" s="971"/>
      <c r="PD64" s="971"/>
      <c r="PE64" s="971"/>
      <c r="PF64" s="971"/>
      <c r="PG64" s="971"/>
      <c r="PH64" s="971"/>
      <c r="PI64" s="971"/>
      <c r="PJ64" s="971"/>
      <c r="PK64" s="971"/>
      <c r="PL64" s="971"/>
      <c r="PM64" s="971"/>
      <c r="PN64" s="971"/>
      <c r="PO64" s="971"/>
      <c r="PP64" s="971"/>
      <c r="PQ64" s="971"/>
      <c r="PR64" s="971"/>
      <c r="PS64" s="971"/>
      <c r="PT64" s="971"/>
      <c r="PU64" s="971"/>
      <c r="PV64" s="971"/>
      <c r="PW64" s="971"/>
      <c r="PX64" s="971"/>
      <c r="PY64" s="971"/>
      <c r="PZ64" s="971"/>
      <c r="QA64" s="971"/>
      <c r="QB64" s="971"/>
      <c r="QC64" s="971"/>
      <c r="QD64" s="971"/>
      <c r="QE64" s="971"/>
      <c r="QF64" s="971"/>
      <c r="QG64" s="971"/>
      <c r="QH64" s="971"/>
      <c r="QI64" s="971"/>
      <c r="QJ64" s="971"/>
      <c r="QK64" s="971"/>
      <c r="QL64" s="971"/>
      <c r="QM64" s="971"/>
      <c r="QN64" s="971"/>
      <c r="QO64" s="971"/>
      <c r="QP64" s="971"/>
      <c r="QQ64" s="971"/>
      <c r="QR64" s="971"/>
      <c r="QS64" s="971"/>
      <c r="QT64" s="971"/>
      <c r="QU64" s="971"/>
      <c r="QV64" s="971"/>
      <c r="QW64" s="971"/>
      <c r="QX64" s="971"/>
      <c r="QY64" s="971"/>
      <c r="QZ64" s="971"/>
      <c r="RA64" s="971"/>
      <c r="RB64" s="971"/>
      <c r="RC64" s="971"/>
      <c r="RD64" s="971"/>
      <c r="RE64" s="971"/>
      <c r="RF64" s="971"/>
      <c r="RG64" s="971"/>
      <c r="RH64" s="971"/>
      <c r="RI64" s="971"/>
      <c r="RJ64" s="971"/>
      <c r="RK64" s="971"/>
      <c r="RL64" s="971"/>
      <c r="RM64" s="971"/>
      <c r="RN64" s="971"/>
      <c r="RO64" s="971"/>
      <c r="RP64" s="971"/>
      <c r="RQ64" s="971"/>
      <c r="RR64" s="971"/>
      <c r="RS64" s="971"/>
      <c r="RT64" s="971"/>
      <c r="RU64" s="971"/>
      <c r="RV64" s="971"/>
      <c r="RW64" s="971"/>
      <c r="RX64" s="971"/>
      <c r="RY64" s="971"/>
      <c r="RZ64" s="971"/>
      <c r="SA64" s="971"/>
      <c r="SB64" s="971"/>
      <c r="SC64" s="971"/>
      <c r="SD64" s="971"/>
      <c r="SE64" s="971"/>
      <c r="SF64" s="971"/>
      <c r="SG64" s="971"/>
      <c r="SH64" s="971"/>
      <c r="SI64" s="971"/>
      <c r="SJ64" s="971"/>
      <c r="SK64" s="971"/>
      <c r="SL64" s="971"/>
      <c r="SM64" s="971"/>
      <c r="SN64" s="971"/>
      <c r="SO64" s="971"/>
      <c r="SP64" s="971"/>
      <c r="SQ64" s="971"/>
      <c r="SR64" s="971"/>
    </row>
    <row r="65" spans="1:512" ht="15" customHeight="1">
      <c r="A65"/>
      <c r="B65"/>
      <c r="C65" t="s">
        <v>2419</v>
      </c>
      <c r="D65"/>
      <c r="E65" t="s">
        <v>237</v>
      </c>
      <c r="F65"/>
      <c r="G65" s="970">
        <v>0</v>
      </c>
      <c r="H65" s="970">
        <v>1</v>
      </c>
      <c r="I65" s="970"/>
      <c r="J65" s="970"/>
      <c r="K65" s="970"/>
      <c r="L65" s="970"/>
      <c r="M65" s="970"/>
      <c r="N65" s="970"/>
      <c r="O65" s="970"/>
      <c r="P65" s="970"/>
      <c r="Q65" s="970"/>
      <c r="R65" s="970"/>
      <c r="S65" s="970"/>
      <c r="T65" s="970"/>
      <c r="U65" s="970"/>
      <c r="V65" s="970"/>
      <c r="W65" s="970"/>
      <c r="X65" s="970"/>
      <c r="Y65" s="970"/>
      <c r="Z65" s="970"/>
      <c r="AA65" s="970"/>
      <c r="AB65" s="970"/>
      <c r="AC65" s="970"/>
      <c r="AD65" s="970"/>
      <c r="AE65" s="970"/>
      <c r="AF65" s="970"/>
      <c r="AG65" s="970"/>
      <c r="AH65" s="970"/>
      <c r="AI65" s="970"/>
      <c r="AJ65" s="970"/>
      <c r="AK65" s="970"/>
      <c r="AL65" s="970"/>
      <c r="AM65" s="970"/>
      <c r="AN65" s="970"/>
      <c r="AO65" s="970"/>
      <c r="AP65" s="970"/>
      <c r="AQ65" s="970"/>
      <c r="AR65" s="970"/>
      <c r="AS65" s="970"/>
      <c r="AT65" s="970"/>
      <c r="AU65" s="970"/>
      <c r="AV65" s="970"/>
      <c r="AW65" s="970"/>
      <c r="AX65" s="970"/>
      <c r="AY65" s="970"/>
      <c r="AZ65" s="970"/>
      <c r="BA65" s="970"/>
      <c r="BB65" s="970"/>
      <c r="BC65" s="970"/>
      <c r="BD65" s="970"/>
      <c r="BE65" s="970"/>
      <c r="BF65" s="970"/>
      <c r="BG65" s="970"/>
      <c r="BH65" s="970"/>
      <c r="BI65" s="970"/>
      <c r="BJ65" s="970"/>
      <c r="BK65" s="970"/>
      <c r="BL65" s="970"/>
      <c r="BM65" s="970"/>
      <c r="BN65" s="970"/>
      <c r="BO65" s="970"/>
      <c r="BP65" s="970"/>
      <c r="BQ65" s="970"/>
      <c r="BR65" s="970"/>
      <c r="BS65" s="970"/>
      <c r="BT65" s="970"/>
      <c r="BU65" s="970"/>
      <c r="BV65" s="970"/>
      <c r="BW65" s="970"/>
      <c r="BX65" s="970"/>
      <c r="BY65" s="970"/>
      <c r="BZ65" s="970"/>
      <c r="CA65" s="970"/>
      <c r="CB65" s="970"/>
      <c r="CC65" s="970"/>
      <c r="CD65" s="970"/>
      <c r="CE65" s="970"/>
      <c r="CF65" s="970"/>
      <c r="CG65" s="970"/>
      <c r="CH65" s="970"/>
      <c r="CI65" s="970"/>
      <c r="CJ65" s="970"/>
      <c r="CK65" s="970"/>
      <c r="CL65" s="970"/>
      <c r="CM65" s="970"/>
      <c r="CN65" s="970"/>
      <c r="CO65" s="970"/>
      <c r="CP65" s="970"/>
      <c r="CQ65" s="970"/>
      <c r="CR65" s="970"/>
      <c r="CS65" s="970"/>
      <c r="CT65" s="970"/>
      <c r="CU65" s="970"/>
      <c r="CV65" s="970"/>
      <c r="CW65" s="970"/>
      <c r="CX65" s="970"/>
      <c r="CY65" s="970"/>
      <c r="CZ65" s="970"/>
      <c r="DA65" s="970"/>
      <c r="DB65" s="970"/>
      <c r="DC65" s="970"/>
      <c r="DD65" s="970"/>
      <c r="DE65" s="970"/>
      <c r="DF65" s="970"/>
      <c r="DG65" s="970"/>
      <c r="DH65" s="970"/>
      <c r="DI65" s="970"/>
      <c r="DJ65" s="970"/>
      <c r="DK65" s="970"/>
      <c r="DL65" s="970"/>
      <c r="DM65" s="970"/>
      <c r="DN65" s="970"/>
      <c r="DO65" s="970"/>
      <c r="DP65" s="970"/>
      <c r="DQ65" s="970"/>
      <c r="DR65" s="970"/>
      <c r="DS65" s="970"/>
      <c r="DT65" s="970"/>
      <c r="DU65" s="970"/>
      <c r="DV65" s="970"/>
      <c r="DW65" s="970"/>
      <c r="DX65" s="970"/>
      <c r="DY65" s="970"/>
      <c r="DZ65" s="970"/>
      <c r="EA65" s="970"/>
      <c r="EB65" s="970"/>
      <c r="EC65" s="970"/>
      <c r="ED65" s="970"/>
      <c r="EE65" s="970"/>
      <c r="EF65" s="970"/>
      <c r="EG65" s="970"/>
      <c r="EH65" s="970"/>
      <c r="EI65" s="970"/>
      <c r="EJ65" s="970"/>
      <c r="EK65" s="970"/>
      <c r="EL65" s="970"/>
      <c r="EM65" s="970"/>
      <c r="EN65" s="970"/>
      <c r="EO65" s="970"/>
      <c r="EP65" s="970"/>
      <c r="EQ65" s="970"/>
      <c r="ER65" s="970"/>
      <c r="ES65" s="970"/>
      <c r="ET65" s="970"/>
      <c r="EU65" s="970"/>
      <c r="EV65" s="970"/>
      <c r="EW65" s="970"/>
      <c r="EX65" s="970"/>
      <c r="EY65" s="970"/>
      <c r="EZ65" s="970"/>
      <c r="FA65" s="970"/>
      <c r="FB65" s="970"/>
      <c r="FC65" s="970"/>
      <c r="FD65" s="970"/>
      <c r="FE65" s="970"/>
      <c r="FF65" s="970"/>
      <c r="FG65" s="970"/>
      <c r="FH65" s="970"/>
      <c r="FI65" s="970"/>
      <c r="FJ65" s="970"/>
      <c r="FK65" s="970"/>
      <c r="FL65" s="970"/>
      <c r="FM65" s="970"/>
      <c r="FN65" s="970"/>
      <c r="FO65" s="970"/>
      <c r="FP65" s="970"/>
      <c r="FQ65" s="970"/>
      <c r="FR65" s="970"/>
      <c r="FS65" s="970"/>
      <c r="FT65" s="970"/>
      <c r="FU65" s="970"/>
      <c r="FV65" s="970"/>
      <c r="FW65" s="970"/>
      <c r="FX65" s="970"/>
      <c r="FY65" s="970"/>
      <c r="FZ65" s="970"/>
      <c r="GA65" s="970"/>
      <c r="GB65" s="970"/>
      <c r="GC65" s="970"/>
      <c r="GD65" s="970"/>
      <c r="GE65" s="970"/>
      <c r="GF65" s="970"/>
      <c r="GG65" s="970"/>
      <c r="GH65" s="970"/>
      <c r="GI65" s="970"/>
      <c r="GJ65" s="970"/>
      <c r="GK65" s="970"/>
      <c r="GL65" s="970"/>
      <c r="GM65" s="970"/>
      <c r="GN65" s="970"/>
      <c r="GO65" s="970"/>
      <c r="GP65" s="970"/>
      <c r="GQ65" s="970"/>
      <c r="GR65" s="970"/>
      <c r="GS65" s="970"/>
      <c r="GT65" s="970"/>
      <c r="GU65" s="970"/>
      <c r="GV65" s="970"/>
      <c r="GW65" s="970"/>
      <c r="GX65" s="970"/>
      <c r="GY65" s="970"/>
      <c r="GZ65" s="970"/>
      <c r="HA65" s="970"/>
      <c r="HB65" s="970"/>
      <c r="HC65" s="970"/>
      <c r="HD65" s="970"/>
      <c r="HE65" s="970"/>
      <c r="HF65" s="970"/>
      <c r="HG65" s="970"/>
      <c r="HH65" s="970"/>
      <c r="HI65" s="970"/>
      <c r="HJ65" s="970"/>
      <c r="HK65" s="970"/>
      <c r="HL65" s="970"/>
      <c r="HM65" s="970"/>
      <c r="HN65" s="970"/>
      <c r="HO65" s="970"/>
      <c r="HP65" s="970"/>
      <c r="HQ65" s="970"/>
      <c r="HR65" s="970"/>
      <c r="HS65" s="970"/>
      <c r="HT65" s="970"/>
      <c r="HU65" s="970"/>
      <c r="HV65" s="970"/>
      <c r="HW65" s="970"/>
      <c r="HX65" s="970"/>
      <c r="HY65" s="970"/>
      <c r="HZ65" s="970"/>
      <c r="IA65" s="970"/>
      <c r="IB65" s="970"/>
      <c r="IC65" s="970"/>
      <c r="ID65" s="970"/>
      <c r="IE65" s="970"/>
      <c r="IF65" s="970"/>
      <c r="IG65" s="970"/>
      <c r="IH65" s="970"/>
      <c r="II65" s="970"/>
      <c r="IJ65" s="970"/>
      <c r="IK65" s="970"/>
      <c r="IL65" s="970"/>
      <c r="IM65" s="970"/>
      <c r="IN65" s="970"/>
      <c r="IO65" s="970"/>
      <c r="IP65" s="970"/>
      <c r="IQ65" s="970"/>
      <c r="IR65" s="970"/>
      <c r="IS65" s="970"/>
      <c r="IT65" s="970"/>
      <c r="IU65" s="970"/>
      <c r="IV65" s="970"/>
      <c r="IW65" s="970"/>
      <c r="IX65" s="970"/>
      <c r="IY65" s="970"/>
      <c r="IZ65" s="970"/>
      <c r="JA65" s="970"/>
      <c r="JB65" s="970"/>
      <c r="JC65" s="970"/>
      <c r="JD65" s="970"/>
      <c r="JE65" s="970"/>
      <c r="JF65" s="970"/>
      <c r="JG65" s="970"/>
      <c r="JH65" s="970"/>
      <c r="JI65" s="970"/>
      <c r="JJ65" s="970"/>
      <c r="JK65" s="970"/>
      <c r="JL65" s="970"/>
      <c r="JM65" s="970"/>
      <c r="JN65" s="970"/>
      <c r="JO65" s="970"/>
      <c r="JP65" s="970"/>
      <c r="JQ65" s="970"/>
      <c r="JR65" s="970"/>
      <c r="JS65" s="970"/>
      <c r="JT65" s="970"/>
      <c r="JU65" s="970"/>
      <c r="JV65" s="970"/>
      <c r="JW65" s="970"/>
      <c r="JX65" s="970"/>
      <c r="JY65" s="970"/>
      <c r="JZ65" s="970"/>
      <c r="KA65" s="970"/>
      <c r="KB65" s="970"/>
      <c r="KC65" s="970"/>
      <c r="KD65" s="970"/>
      <c r="KE65" s="970"/>
      <c r="KF65" s="970"/>
      <c r="KG65" s="970"/>
      <c r="KH65" s="970"/>
      <c r="KI65" s="970"/>
      <c r="KJ65" s="970"/>
      <c r="KK65" s="970"/>
      <c r="KL65" s="970"/>
      <c r="KM65" s="970"/>
      <c r="KN65" s="970"/>
      <c r="KO65" s="970"/>
      <c r="KP65" s="970"/>
      <c r="KQ65" s="970"/>
      <c r="KR65" s="970"/>
      <c r="KS65" s="970"/>
      <c r="KT65" s="970"/>
      <c r="KU65" s="970"/>
      <c r="KV65" s="970"/>
      <c r="KW65" s="970"/>
      <c r="KX65" s="970"/>
      <c r="KY65" s="970"/>
      <c r="KZ65" s="970"/>
      <c r="LA65" s="970"/>
      <c r="LB65" s="970"/>
      <c r="LC65" s="970"/>
      <c r="LD65" s="970"/>
      <c r="LE65" s="970"/>
      <c r="LF65" s="970"/>
      <c r="LG65" s="970"/>
      <c r="LH65" s="970"/>
      <c r="LI65" s="970"/>
      <c r="LJ65" s="970"/>
      <c r="LK65" s="970"/>
      <c r="LL65" s="970"/>
      <c r="LM65" s="970"/>
      <c r="LN65" s="970"/>
      <c r="LO65" s="970"/>
      <c r="LP65" s="970"/>
      <c r="LQ65" s="970"/>
      <c r="LR65" s="970"/>
      <c r="LS65" s="970"/>
      <c r="LT65" s="970"/>
      <c r="LU65" s="970"/>
      <c r="LV65" s="970"/>
      <c r="LW65" s="970"/>
      <c r="LX65" s="970"/>
      <c r="LY65" s="970"/>
      <c r="LZ65" s="970"/>
      <c r="MA65" s="970"/>
      <c r="MB65" s="970"/>
      <c r="MC65" s="970"/>
      <c r="MD65" s="970"/>
      <c r="ME65" s="970"/>
      <c r="MF65" s="970"/>
      <c r="MG65" s="970"/>
      <c r="MH65" s="970"/>
      <c r="MI65" s="970"/>
      <c r="MJ65" s="970"/>
      <c r="MK65" s="970"/>
      <c r="ML65" s="970"/>
      <c r="MM65" s="970"/>
      <c r="MN65" s="970"/>
      <c r="MO65" s="970"/>
      <c r="MP65" s="970"/>
      <c r="MQ65" s="970"/>
      <c r="MR65" s="970"/>
      <c r="MS65" s="970"/>
      <c r="MT65" s="970"/>
      <c r="MU65" s="970"/>
      <c r="MV65" s="970"/>
      <c r="MW65" s="970"/>
      <c r="MX65" s="970"/>
      <c r="MY65" s="970"/>
      <c r="MZ65" s="970"/>
      <c r="NA65" s="970"/>
      <c r="NB65" s="970"/>
      <c r="NC65" s="970"/>
      <c r="ND65" s="970"/>
      <c r="NE65" s="970"/>
      <c r="NF65" s="970"/>
      <c r="NG65" s="970"/>
      <c r="NH65" s="970"/>
      <c r="NI65" s="970"/>
      <c r="NJ65" s="970"/>
      <c r="NK65" s="970"/>
      <c r="NL65" s="970"/>
      <c r="NM65" s="970"/>
      <c r="NN65" s="970"/>
      <c r="NO65" s="970"/>
      <c r="NP65" s="970"/>
      <c r="NQ65" s="970"/>
      <c r="NR65" s="970"/>
      <c r="NS65" s="970"/>
      <c r="NT65" s="970"/>
      <c r="NU65" s="970"/>
      <c r="NV65" s="970"/>
      <c r="NW65" s="970"/>
      <c r="NX65" s="970"/>
      <c r="NY65" s="970"/>
      <c r="NZ65" s="970"/>
      <c r="OA65" s="970"/>
      <c r="OB65" s="970"/>
      <c r="OC65" s="970"/>
      <c r="OD65" s="970"/>
      <c r="OE65" s="970"/>
      <c r="OF65" s="970"/>
      <c r="OG65" s="970"/>
      <c r="OH65" s="970"/>
      <c r="OI65" s="970"/>
      <c r="OJ65" s="970"/>
      <c r="OK65" s="970"/>
      <c r="OL65" s="970"/>
      <c r="OM65" s="970"/>
      <c r="ON65" s="970"/>
      <c r="OO65" s="970"/>
      <c r="OP65" s="970"/>
      <c r="OQ65" s="970"/>
      <c r="OR65" s="970"/>
      <c r="OS65" s="970"/>
      <c r="OT65" s="970"/>
      <c r="OU65" s="970"/>
      <c r="OV65" s="970"/>
      <c r="OW65" s="970"/>
      <c r="OX65" s="970"/>
      <c r="OY65" s="970"/>
      <c r="OZ65" s="970"/>
      <c r="PA65" s="970"/>
      <c r="PB65" s="970"/>
      <c r="PC65" s="970"/>
      <c r="PD65" s="970"/>
      <c r="PE65" s="970"/>
      <c r="PF65" s="970"/>
      <c r="PG65" s="970"/>
      <c r="PH65" s="970"/>
      <c r="PI65" s="970"/>
      <c r="PJ65" s="970"/>
      <c r="PK65" s="970"/>
      <c r="PL65" s="970"/>
      <c r="PM65" s="970"/>
      <c r="PN65" s="970"/>
      <c r="PO65" s="970"/>
      <c r="PP65" s="970"/>
      <c r="PQ65" s="970"/>
      <c r="PR65" s="970"/>
      <c r="PS65" s="970"/>
      <c r="PT65" s="970"/>
      <c r="PU65" s="970"/>
      <c r="PV65" s="970"/>
      <c r="PW65" s="970"/>
      <c r="PX65" s="970"/>
      <c r="PY65" s="970"/>
      <c r="PZ65" s="970"/>
      <c r="QA65" s="970"/>
      <c r="QB65" s="970"/>
      <c r="QC65" s="970"/>
      <c r="QD65" s="970"/>
      <c r="QE65" s="970"/>
      <c r="QF65" s="970"/>
      <c r="QG65" s="970"/>
      <c r="QH65" s="970"/>
      <c r="QI65" s="970"/>
      <c r="QJ65" s="970"/>
      <c r="QK65" s="970"/>
      <c r="QL65" s="970"/>
      <c r="QM65" s="970"/>
      <c r="QN65" s="970"/>
      <c r="QO65" s="970"/>
      <c r="QP65" s="970"/>
      <c r="QQ65" s="970"/>
      <c r="QR65" s="970"/>
      <c r="QS65" s="970"/>
      <c r="QT65" s="970"/>
      <c r="QU65" s="970"/>
      <c r="QV65" s="970"/>
      <c r="QW65" s="970"/>
      <c r="QX65" s="970"/>
      <c r="QY65" s="970"/>
      <c r="QZ65" s="970"/>
      <c r="RA65" s="970"/>
      <c r="RB65" s="970"/>
      <c r="RC65" s="970"/>
      <c r="RD65" s="970"/>
      <c r="RE65" s="970"/>
      <c r="RF65" s="970"/>
      <c r="RG65" s="970"/>
      <c r="RH65" s="970"/>
      <c r="RI65" s="970"/>
      <c r="RJ65" s="970"/>
      <c r="RK65" s="970"/>
      <c r="RL65" s="970"/>
      <c r="RM65" s="970"/>
      <c r="RN65" s="970"/>
      <c r="RO65" s="970"/>
      <c r="RP65" s="970"/>
      <c r="RQ65" s="970"/>
      <c r="RR65" s="970"/>
      <c r="RS65" s="970"/>
      <c r="RT65" s="970"/>
      <c r="RU65" s="970"/>
      <c r="RV65" s="970"/>
      <c r="RW65" s="970"/>
      <c r="RX65" s="970"/>
      <c r="RY65" s="970"/>
      <c r="RZ65" s="970"/>
      <c r="SA65" s="970"/>
      <c r="SB65" s="970"/>
      <c r="SC65" s="970"/>
      <c r="SD65" s="970"/>
      <c r="SE65" s="970"/>
      <c r="SF65" s="970"/>
      <c r="SG65" s="970"/>
      <c r="SH65" s="970"/>
      <c r="SI65" s="970"/>
      <c r="SJ65" s="970"/>
      <c r="SK65" s="970"/>
      <c r="SL65" s="970"/>
      <c r="SM65" s="970"/>
      <c r="SN65" s="970"/>
      <c r="SO65" s="970"/>
      <c r="SP65" s="970"/>
      <c r="SQ65" s="970"/>
      <c r="SR65" s="970"/>
    </row>
    <row r="66" spans="1:512" ht="15" customHeight="1">
      <c r="A66"/>
      <c r="B66"/>
      <c r="C66" t="s">
        <v>2420</v>
      </c>
      <c r="D66"/>
      <c r="E66" t="s">
        <v>237</v>
      </c>
      <c r="F66"/>
      <c r="G66" s="970">
        <v>1</v>
      </c>
      <c r="H66" s="970">
        <v>0</v>
      </c>
      <c r="I66" s="970"/>
      <c r="J66" s="970"/>
      <c r="K66" s="970"/>
      <c r="L66" s="970"/>
      <c r="M66" s="970"/>
      <c r="N66" s="970"/>
      <c r="O66" s="970"/>
      <c r="P66" s="970"/>
      <c r="Q66" s="970"/>
      <c r="R66" s="970"/>
      <c r="S66" s="970"/>
      <c r="T66" s="970"/>
      <c r="U66" s="970"/>
      <c r="V66" s="970"/>
      <c r="W66" s="970"/>
      <c r="X66" s="970"/>
      <c r="Y66" s="970"/>
      <c r="Z66" s="970"/>
      <c r="AA66" s="970"/>
      <c r="AB66" s="970"/>
      <c r="AC66" s="970"/>
      <c r="AD66" s="970"/>
      <c r="AE66" s="970"/>
      <c r="AF66" s="970"/>
      <c r="AG66" s="970"/>
      <c r="AH66" s="970"/>
      <c r="AI66" s="970"/>
      <c r="AJ66" s="970"/>
      <c r="AK66" s="970"/>
      <c r="AL66" s="970"/>
      <c r="AM66" s="970"/>
      <c r="AN66" s="970"/>
      <c r="AO66" s="970"/>
      <c r="AP66" s="970"/>
      <c r="AQ66" s="970"/>
      <c r="AR66" s="970"/>
      <c r="AS66" s="970"/>
      <c r="AT66" s="970"/>
      <c r="AU66" s="970"/>
      <c r="AV66" s="970"/>
      <c r="AW66" s="970"/>
      <c r="AX66" s="970"/>
      <c r="AY66" s="970"/>
      <c r="AZ66" s="970"/>
      <c r="BA66" s="970"/>
      <c r="BB66" s="970"/>
      <c r="BC66" s="970"/>
      <c r="BD66" s="970"/>
      <c r="BE66" s="970"/>
      <c r="BF66" s="970"/>
      <c r="BG66" s="970"/>
      <c r="BH66" s="970"/>
      <c r="BI66" s="970"/>
      <c r="BJ66" s="970"/>
      <c r="BK66" s="970"/>
      <c r="BL66" s="970"/>
      <c r="BM66" s="970"/>
      <c r="BN66" s="970"/>
      <c r="BO66" s="970"/>
      <c r="BP66" s="970"/>
      <c r="BQ66" s="970"/>
      <c r="BR66" s="970"/>
      <c r="BS66" s="970"/>
      <c r="BT66" s="970"/>
      <c r="BU66" s="970"/>
      <c r="BV66" s="970"/>
      <c r="BW66" s="970"/>
      <c r="BX66" s="970"/>
      <c r="BY66" s="970"/>
      <c r="BZ66" s="970"/>
      <c r="CA66" s="970"/>
      <c r="CB66" s="970"/>
      <c r="CC66" s="970"/>
      <c r="CD66" s="970"/>
      <c r="CE66" s="970"/>
      <c r="CF66" s="970"/>
      <c r="CG66" s="970"/>
      <c r="CH66" s="970"/>
      <c r="CI66" s="970"/>
      <c r="CJ66" s="970"/>
      <c r="CK66" s="970"/>
      <c r="CL66" s="970"/>
      <c r="CM66" s="970"/>
      <c r="CN66" s="970"/>
      <c r="CO66" s="970"/>
      <c r="CP66" s="970"/>
      <c r="CQ66" s="970"/>
      <c r="CR66" s="970"/>
      <c r="CS66" s="970"/>
      <c r="CT66" s="970"/>
      <c r="CU66" s="970"/>
      <c r="CV66" s="970"/>
      <c r="CW66" s="970"/>
      <c r="CX66" s="970"/>
      <c r="CY66" s="970"/>
      <c r="CZ66" s="970"/>
      <c r="DA66" s="970"/>
      <c r="DB66" s="970"/>
      <c r="DC66" s="970"/>
      <c r="DD66" s="970"/>
      <c r="DE66" s="970"/>
      <c r="DF66" s="970"/>
      <c r="DG66" s="970"/>
      <c r="DH66" s="970"/>
      <c r="DI66" s="970"/>
      <c r="DJ66" s="970"/>
      <c r="DK66" s="970"/>
      <c r="DL66" s="970"/>
      <c r="DM66" s="970"/>
      <c r="DN66" s="970"/>
      <c r="DO66" s="970"/>
      <c r="DP66" s="970"/>
      <c r="DQ66" s="970"/>
      <c r="DR66" s="970"/>
      <c r="DS66" s="970"/>
      <c r="DT66" s="970"/>
      <c r="DU66" s="970"/>
      <c r="DV66" s="970"/>
      <c r="DW66" s="970"/>
      <c r="DX66" s="970"/>
      <c r="DY66" s="970"/>
      <c r="DZ66" s="970"/>
      <c r="EA66" s="970"/>
      <c r="EB66" s="970"/>
      <c r="EC66" s="970"/>
      <c r="ED66" s="970"/>
      <c r="EE66" s="970"/>
      <c r="EF66" s="970"/>
      <c r="EG66" s="970"/>
      <c r="EH66" s="970"/>
      <c r="EI66" s="970"/>
      <c r="EJ66" s="970"/>
      <c r="EK66" s="970"/>
      <c r="EL66" s="970"/>
      <c r="EM66" s="970"/>
      <c r="EN66" s="970"/>
      <c r="EO66" s="970"/>
      <c r="EP66" s="970"/>
      <c r="EQ66" s="970"/>
      <c r="ER66" s="970"/>
      <c r="ES66" s="970"/>
      <c r="ET66" s="970"/>
      <c r="EU66" s="970"/>
      <c r="EV66" s="970"/>
      <c r="EW66" s="970"/>
      <c r="EX66" s="970"/>
      <c r="EY66" s="970"/>
      <c r="EZ66" s="970"/>
      <c r="FA66" s="970"/>
      <c r="FB66" s="970"/>
      <c r="FC66" s="970"/>
      <c r="FD66" s="970"/>
      <c r="FE66" s="970"/>
      <c r="FF66" s="970"/>
      <c r="FG66" s="970"/>
      <c r="FH66" s="970"/>
      <c r="FI66" s="970"/>
      <c r="FJ66" s="970"/>
      <c r="FK66" s="970"/>
      <c r="FL66" s="970"/>
      <c r="FM66" s="970"/>
      <c r="FN66" s="970"/>
      <c r="FO66" s="970"/>
      <c r="FP66" s="970"/>
      <c r="FQ66" s="970"/>
      <c r="FR66" s="970"/>
      <c r="FS66" s="970"/>
      <c r="FT66" s="970"/>
      <c r="FU66" s="970"/>
      <c r="FV66" s="970"/>
      <c r="FW66" s="970"/>
      <c r="FX66" s="970"/>
      <c r="FY66" s="970"/>
      <c r="FZ66" s="970"/>
      <c r="GA66" s="970"/>
      <c r="GB66" s="970"/>
      <c r="GC66" s="970"/>
      <c r="GD66" s="970"/>
      <c r="GE66" s="970"/>
      <c r="GF66" s="970"/>
      <c r="GG66" s="970"/>
      <c r="GH66" s="970"/>
      <c r="GI66" s="970"/>
      <c r="GJ66" s="970"/>
      <c r="GK66" s="970"/>
      <c r="GL66" s="970"/>
      <c r="GM66" s="970"/>
      <c r="GN66" s="970"/>
      <c r="GO66" s="970"/>
      <c r="GP66" s="970"/>
      <c r="GQ66" s="970"/>
      <c r="GR66" s="970"/>
      <c r="GS66" s="970"/>
      <c r="GT66" s="970"/>
      <c r="GU66" s="970"/>
      <c r="GV66" s="970"/>
      <c r="GW66" s="970"/>
      <c r="GX66" s="970"/>
      <c r="GY66" s="970"/>
      <c r="GZ66" s="970"/>
      <c r="HA66" s="970"/>
      <c r="HB66" s="970"/>
      <c r="HC66" s="970"/>
      <c r="HD66" s="970"/>
      <c r="HE66" s="970"/>
      <c r="HF66" s="970"/>
      <c r="HG66" s="970"/>
      <c r="HH66" s="970"/>
      <c r="HI66" s="970"/>
      <c r="HJ66" s="970"/>
      <c r="HK66" s="970"/>
      <c r="HL66" s="970"/>
      <c r="HM66" s="970"/>
      <c r="HN66" s="970"/>
      <c r="HO66" s="970"/>
      <c r="HP66" s="970"/>
      <c r="HQ66" s="970"/>
      <c r="HR66" s="970"/>
      <c r="HS66" s="970"/>
      <c r="HT66" s="970"/>
      <c r="HU66" s="970"/>
      <c r="HV66" s="970"/>
      <c r="HW66" s="970"/>
      <c r="HX66" s="970"/>
      <c r="HY66" s="970"/>
      <c r="HZ66" s="970"/>
      <c r="IA66" s="970"/>
      <c r="IB66" s="970"/>
      <c r="IC66" s="970"/>
      <c r="ID66" s="970"/>
      <c r="IE66" s="970"/>
      <c r="IF66" s="970"/>
      <c r="IG66" s="970"/>
      <c r="IH66" s="970"/>
      <c r="II66" s="970"/>
      <c r="IJ66" s="970"/>
      <c r="IK66" s="970"/>
      <c r="IL66" s="970"/>
      <c r="IM66" s="970"/>
      <c r="IN66" s="970"/>
      <c r="IO66" s="970"/>
      <c r="IP66" s="970"/>
      <c r="IQ66" s="970"/>
      <c r="IR66" s="970"/>
      <c r="IS66" s="970"/>
      <c r="IT66" s="970"/>
      <c r="IU66" s="970"/>
      <c r="IV66" s="970"/>
      <c r="IW66" s="970"/>
      <c r="IX66" s="970"/>
      <c r="IY66" s="970"/>
      <c r="IZ66" s="970"/>
      <c r="JA66" s="970"/>
      <c r="JB66" s="970"/>
      <c r="JC66" s="970"/>
      <c r="JD66" s="970"/>
      <c r="JE66" s="970"/>
      <c r="JF66" s="970"/>
      <c r="JG66" s="970"/>
      <c r="JH66" s="970"/>
      <c r="JI66" s="970"/>
      <c r="JJ66" s="970"/>
      <c r="JK66" s="970"/>
      <c r="JL66" s="970"/>
      <c r="JM66" s="970"/>
      <c r="JN66" s="970"/>
      <c r="JO66" s="970"/>
      <c r="JP66" s="970"/>
      <c r="JQ66" s="970"/>
      <c r="JR66" s="970"/>
      <c r="JS66" s="970"/>
      <c r="JT66" s="970"/>
      <c r="JU66" s="970"/>
      <c r="JV66" s="970"/>
      <c r="JW66" s="970"/>
      <c r="JX66" s="970"/>
      <c r="JY66" s="970"/>
      <c r="JZ66" s="970"/>
      <c r="KA66" s="970"/>
      <c r="KB66" s="970"/>
      <c r="KC66" s="970"/>
      <c r="KD66" s="970"/>
      <c r="KE66" s="970"/>
      <c r="KF66" s="970"/>
      <c r="KG66" s="970"/>
      <c r="KH66" s="970"/>
      <c r="KI66" s="970"/>
      <c r="KJ66" s="970"/>
      <c r="KK66" s="970"/>
      <c r="KL66" s="970"/>
      <c r="KM66" s="970"/>
      <c r="KN66" s="970"/>
      <c r="KO66" s="970"/>
      <c r="KP66" s="970"/>
      <c r="KQ66" s="970"/>
      <c r="KR66" s="970"/>
      <c r="KS66" s="970"/>
      <c r="KT66" s="970"/>
      <c r="KU66" s="970"/>
      <c r="KV66" s="970"/>
      <c r="KW66" s="970"/>
      <c r="KX66" s="970"/>
      <c r="KY66" s="970"/>
      <c r="KZ66" s="970"/>
      <c r="LA66" s="970"/>
      <c r="LB66" s="970"/>
      <c r="LC66" s="970"/>
      <c r="LD66" s="970"/>
      <c r="LE66" s="970"/>
      <c r="LF66" s="970"/>
      <c r="LG66" s="970"/>
      <c r="LH66" s="970"/>
      <c r="LI66" s="970"/>
      <c r="LJ66" s="970"/>
      <c r="LK66" s="970"/>
      <c r="LL66" s="970"/>
      <c r="LM66" s="970"/>
      <c r="LN66" s="970"/>
      <c r="LO66" s="970"/>
      <c r="LP66" s="970"/>
      <c r="LQ66" s="970"/>
      <c r="LR66" s="970"/>
      <c r="LS66" s="970"/>
      <c r="LT66" s="970"/>
      <c r="LU66" s="970"/>
      <c r="LV66" s="970"/>
      <c r="LW66" s="970"/>
      <c r="LX66" s="970"/>
      <c r="LY66" s="970"/>
      <c r="LZ66" s="970"/>
      <c r="MA66" s="970"/>
      <c r="MB66" s="970"/>
      <c r="MC66" s="970"/>
      <c r="MD66" s="970"/>
      <c r="ME66" s="970"/>
      <c r="MF66" s="970"/>
      <c r="MG66" s="970"/>
      <c r="MH66" s="970"/>
      <c r="MI66" s="970"/>
      <c r="MJ66" s="970"/>
      <c r="MK66" s="970"/>
      <c r="ML66" s="970"/>
      <c r="MM66" s="970"/>
      <c r="MN66" s="970"/>
      <c r="MO66" s="970"/>
      <c r="MP66" s="970"/>
      <c r="MQ66" s="970"/>
      <c r="MR66" s="970"/>
      <c r="MS66" s="970"/>
      <c r="MT66" s="970"/>
      <c r="MU66" s="970"/>
      <c r="MV66" s="970"/>
      <c r="MW66" s="970"/>
      <c r="MX66" s="970"/>
      <c r="MY66" s="970"/>
      <c r="MZ66" s="970"/>
      <c r="NA66" s="970"/>
      <c r="NB66" s="970"/>
      <c r="NC66" s="970"/>
      <c r="ND66" s="970"/>
      <c r="NE66" s="970"/>
      <c r="NF66" s="970"/>
      <c r="NG66" s="970"/>
      <c r="NH66" s="970"/>
      <c r="NI66" s="970"/>
      <c r="NJ66" s="970"/>
      <c r="NK66" s="970"/>
      <c r="NL66" s="970"/>
      <c r="NM66" s="970"/>
      <c r="NN66" s="970"/>
      <c r="NO66" s="970"/>
      <c r="NP66" s="970"/>
      <c r="NQ66" s="970"/>
      <c r="NR66" s="970"/>
      <c r="NS66" s="970"/>
      <c r="NT66" s="970"/>
      <c r="NU66" s="970"/>
      <c r="NV66" s="970"/>
      <c r="NW66" s="970"/>
      <c r="NX66" s="970"/>
      <c r="NY66" s="970"/>
      <c r="NZ66" s="970"/>
      <c r="OA66" s="970"/>
      <c r="OB66" s="970"/>
      <c r="OC66" s="970"/>
      <c r="OD66" s="970"/>
      <c r="OE66" s="970"/>
      <c r="OF66" s="970"/>
      <c r="OG66" s="970"/>
      <c r="OH66" s="970"/>
      <c r="OI66" s="970"/>
      <c r="OJ66" s="970"/>
      <c r="OK66" s="970"/>
      <c r="OL66" s="970"/>
      <c r="OM66" s="970"/>
      <c r="ON66" s="970"/>
      <c r="OO66" s="970"/>
      <c r="OP66" s="970"/>
      <c r="OQ66" s="970"/>
      <c r="OR66" s="970"/>
      <c r="OS66" s="970"/>
      <c r="OT66" s="970"/>
      <c r="OU66" s="970"/>
      <c r="OV66" s="970"/>
      <c r="OW66" s="970"/>
      <c r="OX66" s="970"/>
      <c r="OY66" s="970"/>
      <c r="OZ66" s="970"/>
      <c r="PA66" s="970"/>
      <c r="PB66" s="970"/>
      <c r="PC66" s="970"/>
      <c r="PD66" s="970"/>
      <c r="PE66" s="970"/>
      <c r="PF66" s="970"/>
      <c r="PG66" s="970"/>
      <c r="PH66" s="970"/>
      <c r="PI66" s="970"/>
      <c r="PJ66" s="970"/>
      <c r="PK66" s="970"/>
      <c r="PL66" s="970"/>
      <c r="PM66" s="970"/>
      <c r="PN66" s="970"/>
      <c r="PO66" s="970"/>
      <c r="PP66" s="970"/>
      <c r="PQ66" s="970"/>
      <c r="PR66" s="970"/>
      <c r="PS66" s="970"/>
      <c r="PT66" s="970"/>
      <c r="PU66" s="970"/>
      <c r="PV66" s="970"/>
      <c r="PW66" s="970"/>
      <c r="PX66" s="970"/>
      <c r="PY66" s="970"/>
      <c r="PZ66" s="970"/>
      <c r="QA66" s="970"/>
      <c r="QB66" s="970"/>
      <c r="QC66" s="970"/>
      <c r="QD66" s="970"/>
      <c r="QE66" s="970"/>
      <c r="QF66" s="970"/>
      <c r="QG66" s="970"/>
      <c r="QH66" s="970"/>
      <c r="QI66" s="970"/>
      <c r="QJ66" s="970"/>
      <c r="QK66" s="970"/>
      <c r="QL66" s="970"/>
      <c r="QM66" s="970"/>
      <c r="QN66" s="970"/>
      <c r="QO66" s="970"/>
      <c r="QP66" s="970"/>
      <c r="QQ66" s="970"/>
      <c r="QR66" s="970"/>
      <c r="QS66" s="970"/>
      <c r="QT66" s="970"/>
      <c r="QU66" s="970"/>
      <c r="QV66" s="970"/>
      <c r="QW66" s="970"/>
      <c r="QX66" s="970"/>
      <c r="QY66" s="970"/>
      <c r="QZ66" s="970"/>
      <c r="RA66" s="970"/>
      <c r="RB66" s="970"/>
      <c r="RC66" s="970"/>
      <c r="RD66" s="970"/>
      <c r="RE66" s="970"/>
      <c r="RF66" s="970"/>
      <c r="RG66" s="970"/>
      <c r="RH66" s="970"/>
      <c r="RI66" s="970"/>
      <c r="RJ66" s="970"/>
      <c r="RK66" s="970"/>
      <c r="RL66" s="970"/>
      <c r="RM66" s="970"/>
      <c r="RN66" s="970"/>
      <c r="RO66" s="970"/>
      <c r="RP66" s="970"/>
      <c r="RQ66" s="970"/>
      <c r="RR66" s="970"/>
      <c r="RS66" s="970"/>
      <c r="RT66" s="970"/>
      <c r="RU66" s="970"/>
      <c r="RV66" s="970"/>
      <c r="RW66" s="970"/>
      <c r="RX66" s="970"/>
      <c r="RY66" s="970"/>
      <c r="RZ66" s="970"/>
      <c r="SA66" s="970"/>
      <c r="SB66" s="970"/>
      <c r="SC66" s="970"/>
      <c r="SD66" s="970"/>
      <c r="SE66" s="970"/>
      <c r="SF66" s="970"/>
      <c r="SG66" s="970"/>
      <c r="SH66" s="970"/>
      <c r="SI66" s="970"/>
      <c r="SJ66" s="970"/>
      <c r="SK66" s="970"/>
      <c r="SL66" s="970"/>
      <c r="SM66" s="970"/>
      <c r="SN66" s="970"/>
      <c r="SO66" s="970"/>
      <c r="SP66" s="970"/>
      <c r="SQ66" s="970"/>
      <c r="SR66" s="970"/>
    </row>
    <row r="67" spans="1:512" ht="15" customHeight="1">
      <c r="A67"/>
      <c r="B67"/>
      <c r="C67" t="s">
        <v>2421</v>
      </c>
      <c r="D67"/>
      <c r="E67" t="s">
        <v>237</v>
      </c>
      <c r="F67"/>
      <c r="G67" s="970">
        <v>0</v>
      </c>
      <c r="H67" s="970">
        <v>0</v>
      </c>
      <c r="I67" s="970"/>
      <c r="J67" s="970"/>
      <c r="K67" s="970"/>
      <c r="L67" s="970"/>
      <c r="M67" s="970"/>
      <c r="N67" s="970"/>
      <c r="O67" s="970"/>
      <c r="P67" s="970"/>
      <c r="Q67" s="970"/>
      <c r="R67" s="970"/>
      <c r="S67" s="970"/>
      <c r="T67" s="970"/>
      <c r="U67" s="970"/>
      <c r="V67" s="970"/>
      <c r="W67" s="970"/>
      <c r="X67" s="970"/>
      <c r="Y67" s="970"/>
      <c r="Z67" s="970"/>
      <c r="AA67" s="970"/>
      <c r="AB67" s="970"/>
      <c r="AC67" s="970"/>
      <c r="AD67" s="970"/>
      <c r="AE67" s="970"/>
      <c r="AF67" s="970"/>
      <c r="AG67" s="970"/>
      <c r="AH67" s="970"/>
      <c r="AI67" s="970"/>
      <c r="AJ67" s="970"/>
      <c r="AK67" s="970"/>
      <c r="AL67" s="970"/>
      <c r="AM67" s="970"/>
      <c r="AN67" s="970"/>
      <c r="AO67" s="970"/>
      <c r="AP67" s="970"/>
      <c r="AQ67" s="970"/>
      <c r="AR67" s="970"/>
      <c r="AS67" s="970"/>
      <c r="AT67" s="970"/>
      <c r="AU67" s="970"/>
      <c r="AV67" s="970"/>
      <c r="AW67" s="970"/>
      <c r="AX67" s="970"/>
      <c r="AY67" s="970"/>
      <c r="AZ67" s="970"/>
      <c r="BA67" s="970"/>
      <c r="BB67" s="970"/>
      <c r="BC67" s="970"/>
      <c r="BD67" s="970"/>
      <c r="BE67" s="970"/>
      <c r="BF67" s="970"/>
      <c r="BG67" s="970"/>
      <c r="BH67" s="970"/>
      <c r="BI67" s="970"/>
      <c r="BJ67" s="970"/>
      <c r="BK67" s="970"/>
      <c r="BL67" s="970"/>
      <c r="BM67" s="970"/>
      <c r="BN67" s="970"/>
      <c r="BO67" s="970"/>
      <c r="BP67" s="970"/>
      <c r="BQ67" s="970"/>
      <c r="BR67" s="970"/>
      <c r="BS67" s="970"/>
      <c r="BT67" s="970"/>
      <c r="BU67" s="970"/>
      <c r="BV67" s="970"/>
      <c r="BW67" s="970"/>
      <c r="BX67" s="970"/>
      <c r="BY67" s="970"/>
      <c r="BZ67" s="970"/>
      <c r="CA67" s="970"/>
      <c r="CB67" s="970"/>
      <c r="CC67" s="970"/>
      <c r="CD67" s="970"/>
      <c r="CE67" s="970"/>
      <c r="CF67" s="970"/>
      <c r="CG67" s="970"/>
      <c r="CH67" s="970"/>
      <c r="CI67" s="970"/>
      <c r="CJ67" s="970"/>
      <c r="CK67" s="970"/>
      <c r="CL67" s="970"/>
      <c r="CM67" s="970"/>
      <c r="CN67" s="970"/>
      <c r="CO67" s="970"/>
      <c r="CP67" s="970"/>
      <c r="CQ67" s="970"/>
      <c r="CR67" s="970"/>
      <c r="CS67" s="970"/>
      <c r="CT67" s="970"/>
      <c r="CU67" s="970"/>
      <c r="CV67" s="970"/>
      <c r="CW67" s="970"/>
      <c r="CX67" s="970"/>
      <c r="CY67" s="970"/>
      <c r="CZ67" s="970"/>
      <c r="DA67" s="970"/>
      <c r="DB67" s="970"/>
      <c r="DC67" s="970"/>
      <c r="DD67" s="970"/>
      <c r="DE67" s="970"/>
      <c r="DF67" s="970"/>
      <c r="DG67" s="970"/>
      <c r="DH67" s="970"/>
      <c r="DI67" s="970"/>
      <c r="DJ67" s="970"/>
      <c r="DK67" s="970"/>
      <c r="DL67" s="970"/>
      <c r="DM67" s="970"/>
      <c r="DN67" s="970"/>
      <c r="DO67" s="970"/>
      <c r="DP67" s="970"/>
      <c r="DQ67" s="970"/>
      <c r="DR67" s="970"/>
      <c r="DS67" s="970"/>
      <c r="DT67" s="970"/>
      <c r="DU67" s="970"/>
      <c r="DV67" s="970"/>
      <c r="DW67" s="970"/>
      <c r="DX67" s="970"/>
      <c r="DY67" s="970"/>
      <c r="DZ67" s="970"/>
      <c r="EA67" s="970"/>
      <c r="EB67" s="970"/>
      <c r="EC67" s="970"/>
      <c r="ED67" s="970"/>
      <c r="EE67" s="970"/>
      <c r="EF67" s="970"/>
      <c r="EG67" s="970"/>
      <c r="EH67" s="970"/>
      <c r="EI67" s="970"/>
      <c r="EJ67" s="970"/>
      <c r="EK67" s="970"/>
      <c r="EL67" s="970"/>
      <c r="EM67" s="970"/>
      <c r="EN67" s="970"/>
      <c r="EO67" s="970"/>
      <c r="EP67" s="970"/>
      <c r="EQ67" s="970"/>
      <c r="ER67" s="970"/>
      <c r="ES67" s="970"/>
      <c r="ET67" s="970"/>
      <c r="EU67" s="970"/>
      <c r="EV67" s="970"/>
      <c r="EW67" s="970"/>
      <c r="EX67" s="970"/>
      <c r="EY67" s="970"/>
      <c r="EZ67" s="970"/>
      <c r="FA67" s="970"/>
      <c r="FB67" s="970"/>
      <c r="FC67" s="970"/>
      <c r="FD67" s="970"/>
      <c r="FE67" s="970"/>
      <c r="FF67" s="970"/>
      <c r="FG67" s="970"/>
      <c r="FH67" s="970"/>
      <c r="FI67" s="970"/>
      <c r="FJ67" s="970"/>
      <c r="FK67" s="970"/>
      <c r="FL67" s="970"/>
      <c r="FM67" s="970"/>
      <c r="FN67" s="970"/>
      <c r="FO67" s="970"/>
      <c r="FP67" s="970"/>
      <c r="FQ67" s="970"/>
      <c r="FR67" s="970"/>
      <c r="FS67" s="970"/>
      <c r="FT67" s="970"/>
      <c r="FU67" s="970"/>
      <c r="FV67" s="970"/>
      <c r="FW67" s="970"/>
      <c r="FX67" s="970"/>
      <c r="FY67" s="970"/>
      <c r="FZ67" s="970"/>
      <c r="GA67" s="970"/>
      <c r="GB67" s="970"/>
      <c r="GC67" s="970"/>
      <c r="GD67" s="970"/>
      <c r="GE67" s="970"/>
      <c r="GF67" s="970"/>
      <c r="GG67" s="970"/>
      <c r="GH67" s="970"/>
      <c r="GI67" s="970"/>
      <c r="GJ67" s="970"/>
      <c r="GK67" s="970"/>
      <c r="GL67" s="970"/>
      <c r="GM67" s="970"/>
      <c r="GN67" s="970"/>
      <c r="GO67" s="970"/>
      <c r="GP67" s="970"/>
      <c r="GQ67" s="970"/>
      <c r="GR67" s="970"/>
      <c r="GS67" s="970"/>
      <c r="GT67" s="970"/>
      <c r="GU67" s="970"/>
      <c r="GV67" s="970"/>
      <c r="GW67" s="970"/>
      <c r="GX67" s="970"/>
      <c r="GY67" s="970"/>
      <c r="GZ67" s="970"/>
      <c r="HA67" s="970"/>
      <c r="HB67" s="970"/>
      <c r="HC67" s="970"/>
      <c r="HD67" s="970"/>
      <c r="HE67" s="970"/>
      <c r="HF67" s="970"/>
      <c r="HG67" s="970"/>
      <c r="HH67" s="970"/>
      <c r="HI67" s="970"/>
      <c r="HJ67" s="970"/>
      <c r="HK67" s="970"/>
      <c r="HL67" s="970"/>
      <c r="HM67" s="970"/>
      <c r="HN67" s="970"/>
      <c r="HO67" s="970"/>
      <c r="HP67" s="970"/>
      <c r="HQ67" s="970"/>
      <c r="HR67" s="970"/>
      <c r="HS67" s="970"/>
      <c r="HT67" s="970"/>
      <c r="HU67" s="970"/>
      <c r="HV67" s="970"/>
      <c r="HW67" s="970"/>
      <c r="HX67" s="970"/>
      <c r="HY67" s="970"/>
      <c r="HZ67" s="970"/>
      <c r="IA67" s="970"/>
      <c r="IB67" s="970"/>
      <c r="IC67" s="970"/>
      <c r="ID67" s="970"/>
      <c r="IE67" s="970"/>
      <c r="IF67" s="970"/>
      <c r="IG67" s="970"/>
      <c r="IH67" s="970"/>
      <c r="II67" s="970"/>
      <c r="IJ67" s="970"/>
      <c r="IK67" s="970"/>
      <c r="IL67" s="970"/>
      <c r="IM67" s="970"/>
      <c r="IN67" s="970"/>
      <c r="IO67" s="970"/>
      <c r="IP67" s="970"/>
      <c r="IQ67" s="970"/>
      <c r="IR67" s="970"/>
      <c r="IS67" s="970"/>
      <c r="IT67" s="970"/>
      <c r="IU67" s="970"/>
      <c r="IV67" s="970"/>
      <c r="IW67" s="970"/>
      <c r="IX67" s="970"/>
      <c r="IY67" s="970"/>
      <c r="IZ67" s="970"/>
      <c r="JA67" s="970"/>
      <c r="JB67" s="970"/>
      <c r="JC67" s="970"/>
      <c r="JD67" s="970"/>
      <c r="JE67" s="970"/>
      <c r="JF67" s="970"/>
      <c r="JG67" s="970"/>
      <c r="JH67" s="970"/>
      <c r="JI67" s="970"/>
      <c r="JJ67" s="970"/>
      <c r="JK67" s="970"/>
      <c r="JL67" s="970"/>
      <c r="JM67" s="970"/>
      <c r="JN67" s="970"/>
      <c r="JO67" s="970"/>
      <c r="JP67" s="970"/>
      <c r="JQ67" s="970"/>
      <c r="JR67" s="970"/>
      <c r="JS67" s="970"/>
      <c r="JT67" s="970"/>
      <c r="JU67" s="970"/>
      <c r="JV67" s="970"/>
      <c r="JW67" s="970"/>
      <c r="JX67" s="970"/>
      <c r="JY67" s="970"/>
      <c r="JZ67" s="970"/>
      <c r="KA67" s="970"/>
      <c r="KB67" s="970"/>
      <c r="KC67" s="970"/>
      <c r="KD67" s="970"/>
      <c r="KE67" s="970"/>
      <c r="KF67" s="970"/>
      <c r="KG67" s="970"/>
      <c r="KH67" s="970"/>
      <c r="KI67" s="970"/>
      <c r="KJ67" s="970"/>
      <c r="KK67" s="970"/>
      <c r="KL67" s="970"/>
      <c r="KM67" s="970"/>
      <c r="KN67" s="970"/>
      <c r="KO67" s="970"/>
      <c r="KP67" s="970"/>
      <c r="KQ67" s="970"/>
      <c r="KR67" s="970"/>
      <c r="KS67" s="970"/>
      <c r="KT67" s="970"/>
      <c r="KU67" s="970"/>
      <c r="KV67" s="970"/>
      <c r="KW67" s="970"/>
      <c r="KX67" s="970"/>
      <c r="KY67" s="970"/>
      <c r="KZ67" s="970"/>
      <c r="LA67" s="970"/>
      <c r="LB67" s="970"/>
      <c r="LC67" s="970"/>
      <c r="LD67" s="970"/>
      <c r="LE67" s="970"/>
      <c r="LF67" s="970"/>
      <c r="LG67" s="970"/>
      <c r="LH67" s="970"/>
      <c r="LI67" s="970"/>
      <c r="LJ67" s="970"/>
      <c r="LK67" s="970"/>
      <c r="LL67" s="970"/>
      <c r="LM67" s="970"/>
      <c r="LN67" s="970"/>
      <c r="LO67" s="970"/>
      <c r="LP67" s="970"/>
      <c r="LQ67" s="970"/>
      <c r="LR67" s="970"/>
      <c r="LS67" s="970"/>
      <c r="LT67" s="970"/>
      <c r="LU67" s="970"/>
      <c r="LV67" s="970"/>
      <c r="LW67" s="970"/>
      <c r="LX67" s="970"/>
      <c r="LY67" s="970"/>
      <c r="LZ67" s="970"/>
      <c r="MA67" s="970"/>
      <c r="MB67" s="970"/>
      <c r="MC67" s="970"/>
      <c r="MD67" s="970"/>
      <c r="ME67" s="970"/>
      <c r="MF67" s="970"/>
      <c r="MG67" s="970"/>
      <c r="MH67" s="970"/>
      <c r="MI67" s="970"/>
      <c r="MJ67" s="970"/>
      <c r="MK67" s="970"/>
      <c r="ML67" s="970"/>
      <c r="MM67" s="970"/>
      <c r="MN67" s="970"/>
      <c r="MO67" s="970"/>
      <c r="MP67" s="970"/>
      <c r="MQ67" s="970"/>
      <c r="MR67" s="970"/>
      <c r="MS67" s="970"/>
      <c r="MT67" s="970"/>
      <c r="MU67" s="970"/>
      <c r="MV67" s="970"/>
      <c r="MW67" s="970"/>
      <c r="MX67" s="970"/>
      <c r="MY67" s="970"/>
      <c r="MZ67" s="970"/>
      <c r="NA67" s="970"/>
      <c r="NB67" s="970"/>
      <c r="NC67" s="970"/>
      <c r="ND67" s="970"/>
      <c r="NE67" s="970"/>
      <c r="NF67" s="970"/>
      <c r="NG67" s="970"/>
      <c r="NH67" s="970"/>
      <c r="NI67" s="970"/>
      <c r="NJ67" s="970"/>
      <c r="NK67" s="970"/>
      <c r="NL67" s="970"/>
      <c r="NM67" s="970"/>
      <c r="NN67" s="970"/>
      <c r="NO67" s="970"/>
      <c r="NP67" s="970"/>
      <c r="NQ67" s="970"/>
      <c r="NR67" s="970"/>
      <c r="NS67" s="970"/>
      <c r="NT67" s="970"/>
      <c r="NU67" s="970"/>
      <c r="NV67" s="970"/>
      <c r="NW67" s="970"/>
      <c r="NX67" s="970"/>
      <c r="NY67" s="970"/>
      <c r="NZ67" s="970"/>
      <c r="OA67" s="970"/>
      <c r="OB67" s="970"/>
      <c r="OC67" s="970"/>
      <c r="OD67" s="970"/>
      <c r="OE67" s="970"/>
      <c r="OF67" s="970"/>
      <c r="OG67" s="970"/>
      <c r="OH67" s="970"/>
      <c r="OI67" s="970"/>
      <c r="OJ67" s="970"/>
      <c r="OK67" s="970"/>
      <c r="OL67" s="970"/>
      <c r="OM67" s="970"/>
      <c r="ON67" s="970"/>
      <c r="OO67" s="970"/>
      <c r="OP67" s="970"/>
      <c r="OQ67" s="970"/>
      <c r="OR67" s="970"/>
      <c r="OS67" s="970"/>
      <c r="OT67" s="970"/>
      <c r="OU67" s="970"/>
      <c r="OV67" s="970"/>
      <c r="OW67" s="970"/>
      <c r="OX67" s="970"/>
      <c r="OY67" s="970"/>
      <c r="OZ67" s="970"/>
      <c r="PA67" s="970"/>
      <c r="PB67" s="970"/>
      <c r="PC67" s="970"/>
      <c r="PD67" s="970"/>
      <c r="PE67" s="970"/>
      <c r="PF67" s="970"/>
      <c r="PG67" s="970"/>
      <c r="PH67" s="970"/>
      <c r="PI67" s="970"/>
      <c r="PJ67" s="970"/>
      <c r="PK67" s="970"/>
      <c r="PL67" s="970"/>
      <c r="PM67" s="970"/>
      <c r="PN67" s="970"/>
      <c r="PO67" s="970"/>
      <c r="PP67" s="970"/>
      <c r="PQ67" s="970"/>
      <c r="PR67" s="970"/>
      <c r="PS67" s="970"/>
      <c r="PT67" s="970"/>
      <c r="PU67" s="970"/>
      <c r="PV67" s="970"/>
      <c r="PW67" s="970"/>
      <c r="PX67" s="970"/>
      <c r="PY67" s="970"/>
      <c r="PZ67" s="970"/>
      <c r="QA67" s="970"/>
      <c r="QB67" s="970"/>
      <c r="QC67" s="970"/>
      <c r="QD67" s="970"/>
      <c r="QE67" s="970"/>
      <c r="QF67" s="970"/>
      <c r="QG67" s="970"/>
      <c r="QH67" s="970"/>
      <c r="QI67" s="970"/>
      <c r="QJ67" s="970"/>
      <c r="QK67" s="970"/>
      <c r="QL67" s="970"/>
      <c r="QM67" s="970"/>
      <c r="QN67" s="970"/>
      <c r="QO67" s="970"/>
      <c r="QP67" s="970"/>
      <c r="QQ67" s="970"/>
      <c r="QR67" s="970"/>
      <c r="QS67" s="970"/>
      <c r="QT67" s="970"/>
      <c r="QU67" s="970"/>
      <c r="QV67" s="970"/>
      <c r="QW67" s="970"/>
      <c r="QX67" s="970"/>
      <c r="QY67" s="970"/>
      <c r="QZ67" s="970"/>
      <c r="RA67" s="970"/>
      <c r="RB67" s="970"/>
      <c r="RC67" s="970"/>
      <c r="RD67" s="970"/>
      <c r="RE67" s="970"/>
      <c r="RF67" s="970"/>
      <c r="RG67" s="970"/>
      <c r="RH67" s="970"/>
      <c r="RI67" s="970"/>
      <c r="RJ67" s="970"/>
      <c r="RK67" s="970"/>
      <c r="RL67" s="970"/>
      <c r="RM67" s="970"/>
      <c r="RN67" s="970"/>
      <c r="RO67" s="970"/>
      <c r="RP67" s="970"/>
      <c r="RQ67" s="970"/>
      <c r="RR67" s="970"/>
      <c r="RS67" s="970"/>
      <c r="RT67" s="970"/>
      <c r="RU67" s="970"/>
      <c r="RV67" s="970"/>
      <c r="RW67" s="970"/>
      <c r="RX67" s="970"/>
      <c r="RY67" s="970"/>
      <c r="RZ67" s="970"/>
      <c r="SA67" s="970"/>
      <c r="SB67" s="970"/>
      <c r="SC67" s="970"/>
      <c r="SD67" s="970"/>
      <c r="SE67" s="970"/>
      <c r="SF67" s="970"/>
      <c r="SG67" s="970"/>
      <c r="SH67" s="970"/>
      <c r="SI67" s="970"/>
      <c r="SJ67" s="970"/>
      <c r="SK67" s="970"/>
      <c r="SL67" s="970"/>
      <c r="SM67" s="970"/>
      <c r="SN67" s="970"/>
      <c r="SO67" s="970"/>
      <c r="SP67" s="970"/>
      <c r="SQ67" s="970"/>
      <c r="SR67" s="970"/>
    </row>
    <row r="68" spans="1:512" ht="15" customHeight="1">
      <c r="A68"/>
      <c r="B68" t="s">
        <v>2270</v>
      </c>
      <c r="C68"/>
      <c r="D68"/>
      <c r="E68"/>
      <c r="F68"/>
      <c r="G68" s="981"/>
      <c r="H68" s="981"/>
      <c r="I68" s="981"/>
      <c r="J68" s="981"/>
      <c r="K68" s="981"/>
      <c r="L68" s="981"/>
      <c r="M68" s="981"/>
      <c r="N68" s="981"/>
      <c r="O68" s="981"/>
      <c r="P68" s="981"/>
      <c r="Q68" s="981"/>
      <c r="R68" s="981"/>
      <c r="S68" s="981"/>
      <c r="T68" s="981"/>
      <c r="U68" s="981"/>
      <c r="V68" s="981"/>
      <c r="W68" s="981"/>
      <c r="X68" s="981"/>
      <c r="Y68" s="981"/>
      <c r="Z68" s="981"/>
      <c r="AA68" s="981"/>
      <c r="AB68" s="981"/>
      <c r="AC68" s="981"/>
      <c r="AD68" s="981"/>
      <c r="AE68" s="981"/>
      <c r="AF68" s="981"/>
      <c r="AG68" s="981"/>
      <c r="AH68" s="981"/>
      <c r="AI68" s="981"/>
      <c r="AJ68" s="981"/>
      <c r="AK68" s="981"/>
      <c r="AL68" s="981"/>
      <c r="AM68" s="981"/>
      <c r="AN68" s="981"/>
      <c r="AO68" s="981"/>
      <c r="AP68" s="981"/>
      <c r="AQ68" s="981"/>
      <c r="AR68" s="981"/>
      <c r="AS68" s="981"/>
      <c r="AT68" s="981"/>
      <c r="AU68" s="981"/>
      <c r="AV68" s="981"/>
      <c r="AW68" s="981"/>
      <c r="AX68" s="981"/>
      <c r="AY68" s="981"/>
      <c r="AZ68" s="981"/>
      <c r="BA68" s="981"/>
      <c r="BB68" s="981"/>
      <c r="BC68" s="981"/>
      <c r="BD68" s="981"/>
      <c r="BE68" s="981"/>
      <c r="BF68" s="971"/>
      <c r="BG68" s="971"/>
      <c r="BH68" s="971"/>
      <c r="BI68" s="971"/>
      <c r="BJ68" s="971"/>
      <c r="BK68" s="971"/>
      <c r="BL68" s="971"/>
      <c r="BM68" s="971"/>
      <c r="BN68" s="971"/>
      <c r="BO68" s="971"/>
      <c r="BP68" s="971"/>
      <c r="BQ68" s="971"/>
      <c r="BR68" s="971"/>
      <c r="BS68" s="971"/>
      <c r="BT68" s="971"/>
      <c r="BU68" s="971"/>
      <c r="BV68" s="971"/>
      <c r="BW68" s="971"/>
      <c r="BX68" s="971"/>
      <c r="BY68" s="971"/>
      <c r="BZ68" s="971"/>
      <c r="CA68" s="971"/>
      <c r="CB68" s="971"/>
      <c r="CC68" s="971"/>
      <c r="CD68" s="971"/>
      <c r="CE68" s="971"/>
      <c r="CF68" s="971"/>
      <c r="CG68" s="971"/>
      <c r="CH68" s="971"/>
      <c r="CI68" s="971"/>
      <c r="CJ68" s="971"/>
      <c r="CK68" s="971"/>
      <c r="CL68" s="971"/>
      <c r="CM68" s="971"/>
      <c r="CN68" s="971"/>
      <c r="CO68" s="971"/>
      <c r="CP68" s="971"/>
      <c r="CQ68" s="971"/>
      <c r="CR68" s="971"/>
      <c r="CS68" s="971"/>
      <c r="CT68" s="971"/>
      <c r="CU68" s="971"/>
      <c r="CV68" s="971"/>
      <c r="CW68" s="971"/>
      <c r="CX68" s="971"/>
      <c r="CY68" s="971"/>
      <c r="CZ68" s="971"/>
      <c r="DA68" s="971"/>
      <c r="DB68" s="971"/>
      <c r="DC68" s="971"/>
      <c r="DD68" s="971"/>
      <c r="DE68" s="971"/>
      <c r="DF68" s="971"/>
      <c r="DG68" s="971"/>
      <c r="DH68" s="971"/>
      <c r="DI68" s="971"/>
      <c r="DJ68" s="971"/>
      <c r="DK68" s="971"/>
      <c r="DL68" s="971"/>
      <c r="DM68" s="971"/>
      <c r="DN68" s="971"/>
      <c r="DO68" s="971"/>
      <c r="DP68" s="971"/>
      <c r="DQ68" s="971"/>
      <c r="DR68" s="971"/>
      <c r="DS68" s="971"/>
      <c r="DT68" s="971"/>
      <c r="DU68" s="971"/>
      <c r="DV68" s="971"/>
      <c r="DW68" s="971"/>
      <c r="DX68" s="971"/>
      <c r="DY68" s="971"/>
      <c r="DZ68" s="971"/>
      <c r="EA68" s="971"/>
      <c r="EB68" s="971"/>
      <c r="EC68" s="971"/>
      <c r="ED68" s="971"/>
      <c r="EE68" s="971"/>
      <c r="EF68" s="971"/>
      <c r="EG68" s="971"/>
      <c r="EH68" s="971"/>
      <c r="EI68" s="971"/>
      <c r="EJ68" s="971"/>
      <c r="EK68" s="971"/>
      <c r="EL68" s="971"/>
      <c r="EM68" s="971"/>
      <c r="EN68" s="971"/>
      <c r="EO68" s="971"/>
      <c r="EP68" s="971"/>
      <c r="EQ68" s="971"/>
      <c r="ER68" s="971"/>
      <c r="ES68" s="971"/>
      <c r="ET68" s="971"/>
      <c r="EU68" s="971"/>
      <c r="EV68" s="971"/>
      <c r="EW68" s="971"/>
      <c r="EX68" s="971"/>
      <c r="EY68" s="971"/>
      <c r="EZ68" s="971"/>
      <c r="FA68" s="971"/>
      <c r="FB68" s="971"/>
      <c r="FC68" s="971"/>
      <c r="FD68" s="971"/>
      <c r="FE68" s="971"/>
      <c r="FF68" s="971"/>
      <c r="FG68" s="971"/>
      <c r="FH68" s="971"/>
      <c r="FI68" s="971"/>
      <c r="FJ68" s="971"/>
      <c r="FK68" s="971"/>
      <c r="FL68" s="971"/>
      <c r="FM68" s="971"/>
      <c r="FN68" s="971"/>
      <c r="FO68" s="971"/>
      <c r="FP68" s="971"/>
      <c r="FQ68" s="971"/>
      <c r="FR68" s="971"/>
      <c r="FS68" s="971"/>
      <c r="FT68" s="971"/>
      <c r="FU68" s="971"/>
      <c r="FV68" s="971"/>
      <c r="FW68" s="971"/>
      <c r="FX68" s="971"/>
      <c r="FY68" s="971"/>
      <c r="FZ68" s="971"/>
      <c r="GA68" s="971"/>
      <c r="GB68" s="971"/>
      <c r="GC68" s="971"/>
      <c r="GD68" s="971"/>
      <c r="GE68" s="971"/>
      <c r="GF68" s="971"/>
      <c r="GG68" s="971"/>
      <c r="GH68" s="971"/>
      <c r="GI68" s="971"/>
      <c r="GJ68" s="971"/>
      <c r="GK68" s="971"/>
      <c r="GL68" s="971"/>
      <c r="GM68" s="971"/>
      <c r="GN68" s="971"/>
      <c r="GO68" s="971"/>
      <c r="GP68" s="971"/>
      <c r="GQ68" s="971"/>
      <c r="GR68" s="971"/>
      <c r="GS68" s="971"/>
      <c r="GT68" s="971"/>
      <c r="GU68" s="971"/>
      <c r="GV68" s="971"/>
      <c r="GW68" s="971"/>
      <c r="GX68" s="971"/>
      <c r="GY68" s="971"/>
      <c r="GZ68" s="971"/>
      <c r="HA68" s="971"/>
      <c r="HB68" s="971"/>
      <c r="HC68" s="971"/>
      <c r="HD68" s="971"/>
      <c r="HE68" s="971"/>
      <c r="HF68" s="971"/>
      <c r="HG68" s="971"/>
      <c r="HH68" s="971"/>
      <c r="HI68" s="971"/>
      <c r="HJ68" s="971"/>
      <c r="HK68" s="971"/>
      <c r="HL68" s="971"/>
      <c r="HM68" s="971"/>
      <c r="HN68" s="971"/>
      <c r="HO68" s="971"/>
      <c r="HP68" s="971"/>
      <c r="HQ68" s="971"/>
      <c r="HR68" s="971"/>
      <c r="HS68" s="971"/>
      <c r="HT68" s="971"/>
      <c r="HU68" s="971"/>
      <c r="HV68" s="971"/>
      <c r="HW68" s="971"/>
      <c r="HX68" s="971"/>
      <c r="HY68" s="971"/>
      <c r="HZ68" s="971"/>
      <c r="IA68" s="971"/>
      <c r="IB68" s="971"/>
      <c r="IC68" s="971"/>
      <c r="ID68" s="971"/>
      <c r="IE68" s="971"/>
      <c r="IF68" s="971"/>
      <c r="IG68" s="971"/>
      <c r="IH68" s="971"/>
      <c r="II68" s="971"/>
      <c r="IJ68" s="971"/>
      <c r="IK68" s="971"/>
      <c r="IL68" s="971"/>
      <c r="IM68" s="971"/>
      <c r="IN68" s="971"/>
      <c r="IO68" s="971"/>
      <c r="IP68" s="971"/>
      <c r="IQ68" s="971"/>
      <c r="IR68" s="971"/>
      <c r="IS68" s="971"/>
      <c r="IT68" s="971"/>
      <c r="IU68" s="971"/>
      <c r="IV68" s="971"/>
      <c r="IW68" s="971"/>
      <c r="IX68" s="971"/>
      <c r="IY68" s="971"/>
      <c r="IZ68" s="971"/>
      <c r="JA68" s="971"/>
      <c r="JB68" s="971"/>
      <c r="JC68" s="971"/>
      <c r="JD68" s="971"/>
      <c r="JE68" s="971"/>
      <c r="JF68" s="971"/>
      <c r="JG68" s="971"/>
      <c r="JH68" s="971"/>
      <c r="JI68" s="971"/>
      <c r="JJ68" s="971"/>
      <c r="JK68" s="971"/>
      <c r="JL68" s="971"/>
      <c r="JM68" s="971"/>
      <c r="JN68" s="971"/>
      <c r="JO68" s="971"/>
      <c r="JP68" s="971"/>
      <c r="JQ68" s="971"/>
      <c r="JR68" s="971"/>
      <c r="JS68" s="971"/>
      <c r="JT68" s="971"/>
      <c r="JU68" s="971"/>
      <c r="JV68" s="971"/>
      <c r="JW68" s="971"/>
      <c r="JX68" s="971"/>
      <c r="JY68" s="971"/>
      <c r="JZ68" s="971"/>
      <c r="KA68" s="971"/>
      <c r="KB68" s="971"/>
      <c r="KC68" s="971"/>
      <c r="KD68" s="971"/>
      <c r="KE68" s="971"/>
      <c r="KF68" s="971"/>
      <c r="KG68" s="971"/>
      <c r="KH68" s="971"/>
      <c r="KI68" s="971"/>
      <c r="KJ68" s="971"/>
      <c r="KK68" s="971"/>
      <c r="KL68" s="971"/>
      <c r="KM68" s="971"/>
      <c r="KN68" s="971"/>
      <c r="KO68" s="971"/>
      <c r="KP68" s="971"/>
      <c r="KQ68" s="971"/>
      <c r="KR68" s="971"/>
      <c r="KS68" s="971"/>
      <c r="KT68" s="971"/>
      <c r="KU68" s="971"/>
      <c r="KV68" s="971"/>
      <c r="KW68" s="971"/>
      <c r="KX68" s="971"/>
      <c r="KY68" s="971"/>
      <c r="KZ68" s="971"/>
      <c r="LA68" s="971"/>
      <c r="LB68" s="971"/>
      <c r="LC68" s="971"/>
      <c r="LD68" s="971"/>
      <c r="LE68" s="971"/>
      <c r="LF68" s="971"/>
      <c r="LG68" s="971"/>
      <c r="LH68" s="971"/>
      <c r="LI68" s="971"/>
      <c r="LJ68" s="971"/>
      <c r="LK68" s="971"/>
      <c r="LL68" s="971"/>
      <c r="LM68" s="971"/>
      <c r="LN68" s="971"/>
      <c r="LO68" s="971"/>
      <c r="LP68" s="971"/>
      <c r="LQ68" s="971"/>
      <c r="LR68" s="971"/>
      <c r="LS68" s="971"/>
      <c r="LT68" s="971"/>
      <c r="LU68" s="971"/>
      <c r="LV68" s="971"/>
      <c r="LW68" s="971"/>
      <c r="LX68" s="971"/>
      <c r="LY68" s="971"/>
      <c r="LZ68" s="971"/>
      <c r="MA68" s="971"/>
      <c r="MB68" s="971"/>
      <c r="MC68" s="971"/>
      <c r="MD68" s="971"/>
      <c r="ME68" s="971"/>
      <c r="MF68" s="971"/>
      <c r="MG68" s="971"/>
      <c r="MH68" s="971"/>
      <c r="MI68" s="971"/>
      <c r="MJ68" s="971"/>
      <c r="MK68" s="971"/>
      <c r="ML68" s="971"/>
      <c r="MM68" s="971"/>
      <c r="MN68" s="971"/>
      <c r="MO68" s="971"/>
      <c r="MP68" s="971"/>
      <c r="MQ68" s="971"/>
      <c r="MR68" s="971"/>
      <c r="MS68" s="971"/>
      <c r="MT68" s="971"/>
      <c r="MU68" s="971"/>
      <c r="MV68" s="971"/>
      <c r="MW68" s="971"/>
      <c r="MX68" s="971"/>
      <c r="MY68" s="971"/>
      <c r="MZ68" s="971"/>
      <c r="NA68" s="971"/>
      <c r="NB68" s="971"/>
      <c r="NC68" s="971"/>
      <c r="ND68" s="971"/>
      <c r="NE68" s="971"/>
      <c r="NF68" s="971"/>
      <c r="NG68" s="971"/>
      <c r="NH68" s="971"/>
      <c r="NI68" s="971"/>
      <c r="NJ68" s="971"/>
      <c r="NK68" s="971"/>
      <c r="NL68" s="971"/>
      <c r="NM68" s="971"/>
      <c r="NN68" s="971"/>
      <c r="NO68" s="971"/>
      <c r="NP68" s="971"/>
      <c r="NQ68" s="971"/>
      <c r="NR68" s="971"/>
      <c r="NS68" s="971"/>
      <c r="NT68" s="971"/>
      <c r="NU68" s="971"/>
      <c r="NV68" s="971"/>
      <c r="NW68" s="971"/>
      <c r="NX68" s="971"/>
      <c r="NY68" s="971"/>
      <c r="NZ68" s="971"/>
      <c r="OA68" s="971"/>
      <c r="OB68" s="971"/>
      <c r="OC68" s="971"/>
      <c r="OD68" s="971"/>
      <c r="OE68" s="971"/>
      <c r="OF68" s="971"/>
      <c r="OG68" s="971"/>
      <c r="OH68" s="971"/>
      <c r="OI68" s="971"/>
      <c r="OJ68" s="971"/>
      <c r="OK68" s="971"/>
      <c r="OL68" s="971"/>
      <c r="OM68" s="971"/>
      <c r="ON68" s="971"/>
      <c r="OO68" s="971"/>
      <c r="OP68" s="971"/>
      <c r="OQ68" s="971"/>
      <c r="OR68" s="971"/>
      <c r="OS68" s="971"/>
      <c r="OT68" s="971"/>
      <c r="OU68" s="971"/>
      <c r="OV68" s="971"/>
      <c r="OW68" s="971"/>
      <c r="OX68" s="971"/>
      <c r="OY68" s="971"/>
      <c r="OZ68" s="971"/>
      <c r="PA68" s="971"/>
      <c r="PB68" s="971"/>
      <c r="PC68" s="971"/>
      <c r="PD68" s="971"/>
      <c r="PE68" s="971"/>
      <c r="PF68" s="971"/>
      <c r="PG68" s="971"/>
      <c r="PH68" s="971"/>
      <c r="PI68" s="971"/>
      <c r="PJ68" s="971"/>
      <c r="PK68" s="971"/>
      <c r="PL68" s="971"/>
      <c r="PM68" s="971"/>
      <c r="PN68" s="971"/>
      <c r="PO68" s="971"/>
      <c r="PP68" s="971"/>
      <c r="PQ68" s="971"/>
      <c r="PR68" s="971"/>
      <c r="PS68" s="971"/>
      <c r="PT68" s="971"/>
      <c r="PU68" s="971"/>
      <c r="PV68" s="971"/>
      <c r="PW68" s="971"/>
      <c r="PX68" s="971"/>
      <c r="PY68" s="971"/>
      <c r="PZ68" s="971"/>
      <c r="QA68" s="971"/>
      <c r="QB68" s="971"/>
      <c r="QC68" s="971"/>
      <c r="QD68" s="971"/>
      <c r="QE68" s="971"/>
      <c r="QF68" s="971"/>
      <c r="QG68" s="971"/>
      <c r="QH68" s="971"/>
      <c r="QI68" s="971"/>
      <c r="QJ68" s="971"/>
      <c r="QK68" s="971"/>
      <c r="QL68" s="971"/>
      <c r="QM68" s="971"/>
      <c r="QN68" s="971"/>
      <c r="QO68" s="971"/>
      <c r="QP68" s="971"/>
      <c r="QQ68" s="971"/>
      <c r="QR68" s="971"/>
      <c r="QS68" s="971"/>
      <c r="QT68" s="971"/>
      <c r="QU68" s="971"/>
      <c r="QV68" s="971"/>
      <c r="QW68" s="971"/>
      <c r="QX68" s="971"/>
      <c r="QY68" s="971"/>
      <c r="QZ68" s="971"/>
      <c r="RA68" s="971"/>
      <c r="RB68" s="971"/>
      <c r="RC68" s="971"/>
      <c r="RD68" s="971"/>
      <c r="RE68" s="971"/>
      <c r="RF68" s="971"/>
      <c r="RG68" s="971"/>
      <c r="RH68" s="971"/>
      <c r="RI68" s="971"/>
      <c r="RJ68" s="971"/>
      <c r="RK68" s="971"/>
      <c r="RL68" s="971"/>
      <c r="RM68" s="971"/>
      <c r="RN68" s="971"/>
      <c r="RO68" s="971"/>
      <c r="RP68" s="971"/>
      <c r="RQ68" s="971"/>
      <c r="RR68" s="971"/>
      <c r="RS68" s="971"/>
      <c r="RT68" s="971"/>
      <c r="RU68" s="971"/>
      <c r="RV68" s="971"/>
      <c r="RW68" s="971"/>
      <c r="RX68" s="971"/>
      <c r="RY68" s="971"/>
      <c r="RZ68" s="971"/>
      <c r="SA68" s="971"/>
      <c r="SB68" s="971"/>
      <c r="SC68" s="971"/>
      <c r="SD68" s="971"/>
      <c r="SE68" s="971"/>
      <c r="SF68" s="971"/>
      <c r="SG68" s="971"/>
      <c r="SH68" s="971"/>
      <c r="SI68" s="971"/>
      <c r="SJ68" s="971"/>
      <c r="SK68" s="971"/>
      <c r="SL68" s="971"/>
      <c r="SM68" s="971"/>
      <c r="SN68" s="971"/>
      <c r="SO68" s="971"/>
      <c r="SP68" s="971"/>
      <c r="SQ68" s="971"/>
      <c r="SR68" s="971"/>
    </row>
    <row r="69" spans="1:512" ht="15" customHeight="1">
      <c r="A69"/>
      <c r="B69"/>
      <c r="C69" t="s">
        <v>2422</v>
      </c>
      <c r="D69"/>
      <c r="E69" t="s">
        <v>237</v>
      </c>
      <c r="F69"/>
      <c r="G69" s="970">
        <v>0</v>
      </c>
      <c r="H69" s="970">
        <v>1</v>
      </c>
      <c r="I69" s="970"/>
      <c r="J69" s="970"/>
      <c r="K69" s="970"/>
      <c r="L69" s="970"/>
      <c r="M69" s="970"/>
      <c r="N69" s="970"/>
      <c r="O69" s="970"/>
      <c r="P69" s="970"/>
      <c r="Q69" s="970"/>
      <c r="R69" s="970"/>
      <c r="S69" s="970"/>
      <c r="T69" s="970"/>
      <c r="U69" s="970"/>
      <c r="V69" s="970"/>
      <c r="W69" s="970"/>
      <c r="X69" s="970"/>
      <c r="Y69" s="970"/>
      <c r="Z69" s="970"/>
      <c r="AA69" s="970"/>
      <c r="AB69" s="970"/>
      <c r="AC69" s="970"/>
      <c r="AD69" s="970"/>
      <c r="AE69" s="970"/>
      <c r="AF69" s="970"/>
      <c r="AG69" s="970"/>
      <c r="AH69" s="970"/>
      <c r="AI69" s="970"/>
      <c r="AJ69" s="970"/>
      <c r="AK69" s="970"/>
      <c r="AL69" s="970"/>
      <c r="AM69" s="970"/>
      <c r="AN69" s="970"/>
      <c r="AO69" s="970"/>
      <c r="AP69" s="970"/>
      <c r="AQ69" s="970"/>
      <c r="AR69" s="970"/>
      <c r="AS69" s="970"/>
      <c r="AT69" s="970"/>
      <c r="AU69" s="970"/>
      <c r="AV69" s="970"/>
      <c r="AW69" s="970"/>
      <c r="AX69" s="970"/>
      <c r="AY69" s="970"/>
      <c r="AZ69" s="970"/>
      <c r="BA69" s="970"/>
      <c r="BB69" s="970"/>
      <c r="BC69" s="970"/>
      <c r="BD69" s="970"/>
      <c r="BE69" s="970"/>
      <c r="BF69" s="970"/>
      <c r="BG69" s="970"/>
      <c r="BH69" s="970"/>
      <c r="BI69" s="970"/>
      <c r="BJ69" s="970"/>
      <c r="BK69" s="970"/>
      <c r="BL69" s="970"/>
      <c r="BM69" s="970"/>
      <c r="BN69" s="970"/>
      <c r="BO69" s="970"/>
      <c r="BP69" s="970"/>
      <c r="BQ69" s="970"/>
      <c r="BR69" s="970"/>
      <c r="BS69" s="970"/>
      <c r="BT69" s="970"/>
      <c r="BU69" s="970"/>
      <c r="BV69" s="970"/>
      <c r="BW69" s="970"/>
      <c r="BX69" s="970"/>
      <c r="BY69" s="970"/>
      <c r="BZ69" s="970"/>
      <c r="CA69" s="970"/>
      <c r="CB69" s="970"/>
      <c r="CC69" s="970"/>
      <c r="CD69" s="970"/>
      <c r="CE69" s="970"/>
      <c r="CF69" s="970"/>
      <c r="CG69" s="970"/>
      <c r="CH69" s="970"/>
      <c r="CI69" s="970"/>
      <c r="CJ69" s="970"/>
      <c r="CK69" s="970"/>
      <c r="CL69" s="970"/>
      <c r="CM69" s="970"/>
      <c r="CN69" s="970"/>
      <c r="CO69" s="970"/>
      <c r="CP69" s="970"/>
      <c r="CQ69" s="970"/>
      <c r="CR69" s="970"/>
      <c r="CS69" s="970"/>
      <c r="CT69" s="970"/>
      <c r="CU69" s="970"/>
      <c r="CV69" s="970"/>
      <c r="CW69" s="970"/>
      <c r="CX69" s="970"/>
      <c r="CY69" s="970"/>
      <c r="CZ69" s="970"/>
      <c r="DA69" s="970"/>
      <c r="DB69" s="970"/>
      <c r="DC69" s="970"/>
      <c r="DD69" s="970"/>
      <c r="DE69" s="970"/>
      <c r="DF69" s="970"/>
      <c r="DG69" s="970"/>
      <c r="DH69" s="970"/>
      <c r="DI69" s="970"/>
      <c r="DJ69" s="970"/>
      <c r="DK69" s="970"/>
      <c r="DL69" s="970"/>
      <c r="DM69" s="970"/>
      <c r="DN69" s="970"/>
      <c r="DO69" s="970"/>
      <c r="DP69" s="970"/>
      <c r="DQ69" s="970"/>
      <c r="DR69" s="970"/>
      <c r="DS69" s="970"/>
      <c r="DT69" s="970"/>
      <c r="DU69" s="970"/>
      <c r="DV69" s="970"/>
      <c r="DW69" s="970"/>
      <c r="DX69" s="970"/>
      <c r="DY69" s="970"/>
      <c r="DZ69" s="970"/>
      <c r="EA69" s="970"/>
      <c r="EB69" s="970"/>
      <c r="EC69" s="970"/>
      <c r="ED69" s="970"/>
      <c r="EE69" s="970"/>
      <c r="EF69" s="970"/>
      <c r="EG69" s="970"/>
      <c r="EH69" s="970"/>
      <c r="EI69" s="970"/>
      <c r="EJ69" s="970"/>
      <c r="EK69" s="970"/>
      <c r="EL69" s="970"/>
      <c r="EM69" s="970"/>
      <c r="EN69" s="970"/>
      <c r="EO69" s="970"/>
      <c r="EP69" s="970"/>
      <c r="EQ69" s="970"/>
      <c r="ER69" s="970"/>
      <c r="ES69" s="970"/>
      <c r="ET69" s="970"/>
      <c r="EU69" s="970"/>
      <c r="EV69" s="970"/>
      <c r="EW69" s="970"/>
      <c r="EX69" s="970"/>
      <c r="EY69" s="970"/>
      <c r="EZ69" s="970"/>
      <c r="FA69" s="970"/>
      <c r="FB69" s="970"/>
      <c r="FC69" s="970"/>
      <c r="FD69" s="970"/>
      <c r="FE69" s="970"/>
      <c r="FF69" s="970"/>
      <c r="FG69" s="970"/>
      <c r="FH69" s="970"/>
      <c r="FI69" s="970"/>
      <c r="FJ69" s="970"/>
      <c r="FK69" s="970"/>
      <c r="FL69" s="970"/>
      <c r="FM69" s="970"/>
      <c r="FN69" s="970"/>
      <c r="FO69" s="970"/>
      <c r="FP69" s="970"/>
      <c r="FQ69" s="970"/>
      <c r="FR69" s="970"/>
      <c r="FS69" s="970"/>
      <c r="FT69" s="970"/>
      <c r="FU69" s="970"/>
      <c r="FV69" s="970"/>
      <c r="FW69" s="970"/>
      <c r="FX69" s="970"/>
      <c r="FY69" s="970"/>
      <c r="FZ69" s="970"/>
      <c r="GA69" s="970"/>
      <c r="GB69" s="970"/>
      <c r="GC69" s="970"/>
      <c r="GD69" s="970"/>
      <c r="GE69" s="970"/>
      <c r="GF69" s="970"/>
      <c r="GG69" s="970"/>
      <c r="GH69" s="970"/>
      <c r="GI69" s="970"/>
      <c r="GJ69" s="970"/>
      <c r="GK69" s="970"/>
      <c r="GL69" s="970"/>
      <c r="GM69" s="970"/>
      <c r="GN69" s="970"/>
      <c r="GO69" s="970"/>
      <c r="GP69" s="970"/>
      <c r="GQ69" s="970"/>
      <c r="GR69" s="970"/>
      <c r="GS69" s="970"/>
      <c r="GT69" s="970"/>
      <c r="GU69" s="970"/>
      <c r="GV69" s="970"/>
      <c r="GW69" s="970"/>
      <c r="GX69" s="970"/>
      <c r="GY69" s="970"/>
      <c r="GZ69" s="970"/>
      <c r="HA69" s="970"/>
      <c r="HB69" s="970"/>
      <c r="HC69" s="970"/>
      <c r="HD69" s="970"/>
      <c r="HE69" s="970"/>
      <c r="HF69" s="970"/>
      <c r="HG69" s="970"/>
      <c r="HH69" s="970"/>
      <c r="HI69" s="970"/>
      <c r="HJ69" s="970"/>
      <c r="HK69" s="970"/>
      <c r="HL69" s="970"/>
      <c r="HM69" s="970"/>
      <c r="HN69" s="970"/>
      <c r="HO69" s="970"/>
      <c r="HP69" s="970"/>
      <c r="HQ69" s="970"/>
      <c r="HR69" s="970"/>
      <c r="HS69" s="970"/>
      <c r="HT69" s="970"/>
      <c r="HU69" s="970"/>
      <c r="HV69" s="970"/>
      <c r="HW69" s="970"/>
      <c r="HX69" s="970"/>
      <c r="HY69" s="970"/>
      <c r="HZ69" s="970"/>
      <c r="IA69" s="970"/>
      <c r="IB69" s="970"/>
      <c r="IC69" s="970"/>
      <c r="ID69" s="970"/>
      <c r="IE69" s="970"/>
      <c r="IF69" s="970"/>
      <c r="IG69" s="970"/>
      <c r="IH69" s="970"/>
      <c r="II69" s="970"/>
      <c r="IJ69" s="970"/>
      <c r="IK69" s="970"/>
      <c r="IL69" s="970"/>
      <c r="IM69" s="970"/>
      <c r="IN69" s="970"/>
      <c r="IO69" s="970"/>
      <c r="IP69" s="970"/>
      <c r="IQ69" s="970"/>
      <c r="IR69" s="970"/>
      <c r="IS69" s="970"/>
      <c r="IT69" s="970"/>
      <c r="IU69" s="970"/>
      <c r="IV69" s="970"/>
      <c r="IW69" s="970"/>
      <c r="IX69" s="970"/>
      <c r="IY69" s="970"/>
      <c r="IZ69" s="970"/>
      <c r="JA69" s="970"/>
      <c r="JB69" s="970"/>
      <c r="JC69" s="970"/>
      <c r="JD69" s="970"/>
      <c r="JE69" s="970"/>
      <c r="JF69" s="970"/>
      <c r="JG69" s="970"/>
      <c r="JH69" s="970"/>
      <c r="JI69" s="970"/>
      <c r="JJ69" s="970"/>
      <c r="JK69" s="970"/>
      <c r="JL69" s="970"/>
      <c r="JM69" s="970"/>
      <c r="JN69" s="970"/>
      <c r="JO69" s="970"/>
      <c r="JP69" s="970"/>
      <c r="JQ69" s="970"/>
      <c r="JR69" s="970"/>
      <c r="JS69" s="970"/>
      <c r="JT69" s="970"/>
      <c r="JU69" s="970"/>
      <c r="JV69" s="970"/>
      <c r="JW69" s="970"/>
      <c r="JX69" s="970"/>
      <c r="JY69" s="970"/>
      <c r="JZ69" s="970"/>
      <c r="KA69" s="970"/>
      <c r="KB69" s="970"/>
      <c r="KC69" s="970"/>
      <c r="KD69" s="970"/>
      <c r="KE69" s="970"/>
      <c r="KF69" s="970"/>
      <c r="KG69" s="970"/>
      <c r="KH69" s="970"/>
      <c r="KI69" s="970"/>
      <c r="KJ69" s="970"/>
      <c r="KK69" s="970"/>
      <c r="KL69" s="970"/>
      <c r="KM69" s="970"/>
      <c r="KN69" s="970"/>
      <c r="KO69" s="970"/>
      <c r="KP69" s="970"/>
      <c r="KQ69" s="970"/>
      <c r="KR69" s="970"/>
      <c r="KS69" s="970"/>
      <c r="KT69" s="970"/>
      <c r="KU69" s="970"/>
      <c r="KV69" s="970"/>
      <c r="KW69" s="970"/>
      <c r="KX69" s="970"/>
      <c r="KY69" s="970"/>
      <c r="KZ69" s="970"/>
      <c r="LA69" s="970"/>
      <c r="LB69" s="970"/>
      <c r="LC69" s="970"/>
      <c r="LD69" s="970"/>
      <c r="LE69" s="970"/>
      <c r="LF69" s="970"/>
      <c r="LG69" s="970"/>
      <c r="LH69" s="970"/>
      <c r="LI69" s="970"/>
      <c r="LJ69" s="970"/>
      <c r="LK69" s="970"/>
      <c r="LL69" s="970"/>
      <c r="LM69" s="970"/>
      <c r="LN69" s="970"/>
      <c r="LO69" s="970"/>
      <c r="LP69" s="970"/>
      <c r="LQ69" s="970"/>
      <c r="LR69" s="970"/>
      <c r="LS69" s="970"/>
      <c r="LT69" s="970"/>
      <c r="LU69" s="970"/>
      <c r="LV69" s="970"/>
      <c r="LW69" s="970"/>
      <c r="LX69" s="970"/>
      <c r="LY69" s="970"/>
      <c r="LZ69" s="970"/>
      <c r="MA69" s="970"/>
      <c r="MB69" s="970"/>
      <c r="MC69" s="970"/>
      <c r="MD69" s="970"/>
      <c r="ME69" s="970"/>
      <c r="MF69" s="970"/>
      <c r="MG69" s="970"/>
      <c r="MH69" s="970"/>
      <c r="MI69" s="970"/>
      <c r="MJ69" s="970"/>
      <c r="MK69" s="970"/>
      <c r="ML69" s="970"/>
      <c r="MM69" s="970"/>
      <c r="MN69" s="970"/>
      <c r="MO69" s="970"/>
      <c r="MP69" s="970"/>
      <c r="MQ69" s="970"/>
      <c r="MR69" s="970"/>
      <c r="MS69" s="970"/>
      <c r="MT69" s="970"/>
      <c r="MU69" s="970"/>
      <c r="MV69" s="970"/>
      <c r="MW69" s="970"/>
      <c r="MX69" s="970"/>
      <c r="MY69" s="970"/>
      <c r="MZ69" s="970"/>
      <c r="NA69" s="970"/>
      <c r="NB69" s="970"/>
      <c r="NC69" s="970"/>
      <c r="ND69" s="970"/>
      <c r="NE69" s="970"/>
      <c r="NF69" s="970"/>
      <c r="NG69" s="970"/>
      <c r="NH69" s="970"/>
      <c r="NI69" s="970"/>
      <c r="NJ69" s="970"/>
      <c r="NK69" s="970"/>
      <c r="NL69" s="970"/>
      <c r="NM69" s="970"/>
      <c r="NN69" s="970"/>
      <c r="NO69" s="970"/>
      <c r="NP69" s="970"/>
      <c r="NQ69" s="970"/>
      <c r="NR69" s="970"/>
      <c r="NS69" s="970"/>
      <c r="NT69" s="970"/>
      <c r="NU69" s="970"/>
      <c r="NV69" s="970"/>
      <c r="NW69" s="970"/>
      <c r="NX69" s="970"/>
      <c r="NY69" s="970"/>
      <c r="NZ69" s="970"/>
      <c r="OA69" s="970"/>
      <c r="OB69" s="970"/>
      <c r="OC69" s="970"/>
      <c r="OD69" s="970"/>
      <c r="OE69" s="970"/>
      <c r="OF69" s="970"/>
      <c r="OG69" s="970"/>
      <c r="OH69" s="970"/>
      <c r="OI69" s="970"/>
      <c r="OJ69" s="970"/>
      <c r="OK69" s="970"/>
      <c r="OL69" s="970"/>
      <c r="OM69" s="970"/>
      <c r="ON69" s="970"/>
      <c r="OO69" s="970"/>
      <c r="OP69" s="970"/>
      <c r="OQ69" s="970"/>
      <c r="OR69" s="970"/>
      <c r="OS69" s="970"/>
      <c r="OT69" s="970"/>
      <c r="OU69" s="970"/>
      <c r="OV69" s="970"/>
      <c r="OW69" s="970"/>
      <c r="OX69" s="970"/>
      <c r="OY69" s="970"/>
      <c r="OZ69" s="970"/>
      <c r="PA69" s="970"/>
      <c r="PB69" s="970"/>
      <c r="PC69" s="970"/>
      <c r="PD69" s="970"/>
      <c r="PE69" s="970"/>
      <c r="PF69" s="970"/>
      <c r="PG69" s="970"/>
      <c r="PH69" s="970"/>
      <c r="PI69" s="970"/>
      <c r="PJ69" s="970"/>
      <c r="PK69" s="970"/>
      <c r="PL69" s="970"/>
      <c r="PM69" s="970"/>
      <c r="PN69" s="970"/>
      <c r="PO69" s="970"/>
      <c r="PP69" s="970"/>
      <c r="PQ69" s="970"/>
      <c r="PR69" s="970"/>
      <c r="PS69" s="970"/>
      <c r="PT69" s="970"/>
      <c r="PU69" s="970"/>
      <c r="PV69" s="970"/>
      <c r="PW69" s="970"/>
      <c r="PX69" s="970"/>
      <c r="PY69" s="970"/>
      <c r="PZ69" s="970"/>
      <c r="QA69" s="970"/>
      <c r="QB69" s="970"/>
      <c r="QC69" s="970"/>
      <c r="QD69" s="970"/>
      <c r="QE69" s="970"/>
      <c r="QF69" s="970"/>
      <c r="QG69" s="970"/>
      <c r="QH69" s="970"/>
      <c r="QI69" s="970"/>
      <c r="QJ69" s="970"/>
      <c r="QK69" s="970"/>
      <c r="QL69" s="970"/>
      <c r="QM69" s="970"/>
      <c r="QN69" s="970"/>
      <c r="QO69" s="970"/>
      <c r="QP69" s="970"/>
      <c r="QQ69" s="970"/>
      <c r="QR69" s="970"/>
      <c r="QS69" s="970"/>
      <c r="QT69" s="970"/>
      <c r="QU69" s="970"/>
      <c r="QV69" s="970"/>
      <c r="QW69" s="970"/>
      <c r="QX69" s="970"/>
      <c r="QY69" s="970"/>
      <c r="QZ69" s="970"/>
      <c r="RA69" s="970"/>
      <c r="RB69" s="970"/>
      <c r="RC69" s="970"/>
      <c r="RD69" s="970"/>
      <c r="RE69" s="970"/>
      <c r="RF69" s="970"/>
      <c r="RG69" s="970"/>
      <c r="RH69" s="970"/>
      <c r="RI69" s="970"/>
      <c r="RJ69" s="970"/>
      <c r="RK69" s="970"/>
      <c r="RL69" s="970"/>
      <c r="RM69" s="970"/>
      <c r="RN69" s="970"/>
      <c r="RO69" s="970"/>
      <c r="RP69" s="970"/>
      <c r="RQ69" s="970"/>
      <c r="RR69" s="970"/>
      <c r="RS69" s="970"/>
      <c r="RT69" s="970"/>
      <c r="RU69" s="970"/>
      <c r="RV69" s="970"/>
      <c r="RW69" s="970"/>
      <c r="RX69" s="970"/>
      <c r="RY69" s="970"/>
      <c r="RZ69" s="970"/>
      <c r="SA69" s="970"/>
      <c r="SB69" s="970"/>
      <c r="SC69" s="970"/>
      <c r="SD69" s="970"/>
      <c r="SE69" s="970"/>
      <c r="SF69" s="970"/>
      <c r="SG69" s="970"/>
      <c r="SH69" s="970"/>
      <c r="SI69" s="970"/>
      <c r="SJ69" s="970"/>
      <c r="SK69" s="970"/>
      <c r="SL69" s="970"/>
      <c r="SM69" s="970"/>
      <c r="SN69" s="970"/>
      <c r="SO69" s="970"/>
      <c r="SP69" s="970"/>
      <c r="SQ69" s="970"/>
      <c r="SR69" s="970"/>
    </row>
    <row r="70" spans="1:512" ht="15" customHeight="1">
      <c r="A70"/>
      <c r="B70"/>
      <c r="C70" t="s">
        <v>2423</v>
      </c>
      <c r="D70"/>
      <c r="E70" t="s">
        <v>237</v>
      </c>
      <c r="F70"/>
      <c r="G70" s="970">
        <v>1</v>
      </c>
      <c r="H70" s="970">
        <v>0</v>
      </c>
      <c r="I70" s="970"/>
      <c r="J70" s="970"/>
      <c r="K70" s="970"/>
      <c r="L70" s="970"/>
      <c r="M70" s="970"/>
      <c r="N70" s="970"/>
      <c r="O70" s="970"/>
      <c r="P70" s="970"/>
      <c r="Q70" s="970"/>
      <c r="R70" s="970"/>
      <c r="S70" s="970"/>
      <c r="T70" s="970"/>
      <c r="U70" s="970"/>
      <c r="V70" s="970"/>
      <c r="W70" s="970"/>
      <c r="X70" s="970"/>
      <c r="Y70" s="970"/>
      <c r="Z70" s="970"/>
      <c r="AA70" s="970"/>
      <c r="AB70" s="970"/>
      <c r="AC70" s="970"/>
      <c r="AD70" s="970"/>
      <c r="AE70" s="970"/>
      <c r="AF70" s="970"/>
      <c r="AG70" s="970"/>
      <c r="AH70" s="970"/>
      <c r="AI70" s="970"/>
      <c r="AJ70" s="970"/>
      <c r="AK70" s="970"/>
      <c r="AL70" s="970"/>
      <c r="AM70" s="970"/>
      <c r="AN70" s="970"/>
      <c r="AO70" s="970"/>
      <c r="AP70" s="970"/>
      <c r="AQ70" s="970"/>
      <c r="AR70" s="970"/>
      <c r="AS70" s="970"/>
      <c r="AT70" s="970"/>
      <c r="AU70" s="970"/>
      <c r="AV70" s="970"/>
      <c r="AW70" s="970"/>
      <c r="AX70" s="970"/>
      <c r="AY70" s="970"/>
      <c r="AZ70" s="970"/>
      <c r="BA70" s="970"/>
      <c r="BB70" s="970"/>
      <c r="BC70" s="970"/>
      <c r="BD70" s="970"/>
      <c r="BE70" s="970"/>
      <c r="BF70" s="970"/>
      <c r="BG70" s="970"/>
      <c r="BH70" s="970"/>
      <c r="BI70" s="970"/>
      <c r="BJ70" s="970"/>
      <c r="BK70" s="970"/>
      <c r="BL70" s="970"/>
      <c r="BM70" s="970"/>
      <c r="BN70" s="970"/>
      <c r="BO70" s="970"/>
      <c r="BP70" s="970"/>
      <c r="BQ70" s="970"/>
      <c r="BR70" s="970"/>
      <c r="BS70" s="970"/>
      <c r="BT70" s="970"/>
      <c r="BU70" s="970"/>
      <c r="BV70" s="970"/>
      <c r="BW70" s="970"/>
      <c r="BX70" s="970"/>
      <c r="BY70" s="970"/>
      <c r="BZ70" s="970"/>
      <c r="CA70" s="970"/>
      <c r="CB70" s="970"/>
      <c r="CC70" s="970"/>
      <c r="CD70" s="970"/>
      <c r="CE70" s="970"/>
      <c r="CF70" s="970"/>
      <c r="CG70" s="970"/>
      <c r="CH70" s="970"/>
      <c r="CI70" s="970"/>
      <c r="CJ70" s="970"/>
      <c r="CK70" s="970"/>
      <c r="CL70" s="970"/>
      <c r="CM70" s="970"/>
      <c r="CN70" s="970"/>
      <c r="CO70" s="970"/>
      <c r="CP70" s="970"/>
      <c r="CQ70" s="970"/>
      <c r="CR70" s="970"/>
      <c r="CS70" s="970"/>
      <c r="CT70" s="970"/>
      <c r="CU70" s="970"/>
      <c r="CV70" s="970"/>
      <c r="CW70" s="970"/>
      <c r="CX70" s="970"/>
      <c r="CY70" s="970"/>
      <c r="CZ70" s="970"/>
      <c r="DA70" s="970"/>
      <c r="DB70" s="970"/>
      <c r="DC70" s="970"/>
      <c r="DD70" s="970"/>
      <c r="DE70" s="970"/>
      <c r="DF70" s="970"/>
      <c r="DG70" s="970"/>
      <c r="DH70" s="970"/>
      <c r="DI70" s="970"/>
      <c r="DJ70" s="970"/>
      <c r="DK70" s="970"/>
      <c r="DL70" s="970"/>
      <c r="DM70" s="970"/>
      <c r="DN70" s="970"/>
      <c r="DO70" s="970"/>
      <c r="DP70" s="970"/>
      <c r="DQ70" s="970"/>
      <c r="DR70" s="970"/>
      <c r="DS70" s="970"/>
      <c r="DT70" s="970"/>
      <c r="DU70" s="970"/>
      <c r="DV70" s="970"/>
      <c r="DW70" s="970"/>
      <c r="DX70" s="970"/>
      <c r="DY70" s="970"/>
      <c r="DZ70" s="970"/>
      <c r="EA70" s="970"/>
      <c r="EB70" s="970"/>
      <c r="EC70" s="970"/>
      <c r="ED70" s="970"/>
      <c r="EE70" s="970"/>
      <c r="EF70" s="970"/>
      <c r="EG70" s="970"/>
      <c r="EH70" s="970"/>
      <c r="EI70" s="970"/>
      <c r="EJ70" s="970"/>
      <c r="EK70" s="970"/>
      <c r="EL70" s="970"/>
      <c r="EM70" s="970"/>
      <c r="EN70" s="970"/>
      <c r="EO70" s="970"/>
      <c r="EP70" s="970"/>
      <c r="EQ70" s="970"/>
      <c r="ER70" s="970"/>
      <c r="ES70" s="970"/>
      <c r="ET70" s="970"/>
      <c r="EU70" s="970"/>
      <c r="EV70" s="970"/>
      <c r="EW70" s="970"/>
      <c r="EX70" s="970"/>
      <c r="EY70" s="970"/>
      <c r="EZ70" s="970"/>
      <c r="FA70" s="970"/>
      <c r="FB70" s="970"/>
      <c r="FC70" s="970"/>
      <c r="FD70" s="970"/>
      <c r="FE70" s="970"/>
      <c r="FF70" s="970"/>
      <c r="FG70" s="970"/>
      <c r="FH70" s="970"/>
      <c r="FI70" s="970"/>
      <c r="FJ70" s="970"/>
      <c r="FK70" s="970"/>
      <c r="FL70" s="970"/>
      <c r="FM70" s="970"/>
      <c r="FN70" s="970"/>
      <c r="FO70" s="970"/>
      <c r="FP70" s="970"/>
      <c r="FQ70" s="970"/>
      <c r="FR70" s="970"/>
      <c r="FS70" s="970"/>
      <c r="FT70" s="970"/>
      <c r="FU70" s="970"/>
      <c r="FV70" s="970"/>
      <c r="FW70" s="970"/>
      <c r="FX70" s="970"/>
      <c r="FY70" s="970"/>
      <c r="FZ70" s="970"/>
      <c r="GA70" s="970"/>
      <c r="GB70" s="970"/>
      <c r="GC70" s="970"/>
      <c r="GD70" s="970"/>
      <c r="GE70" s="970"/>
      <c r="GF70" s="970"/>
      <c r="GG70" s="970"/>
      <c r="GH70" s="970"/>
      <c r="GI70" s="970"/>
      <c r="GJ70" s="970"/>
      <c r="GK70" s="970"/>
      <c r="GL70" s="970"/>
      <c r="GM70" s="970"/>
      <c r="GN70" s="970"/>
      <c r="GO70" s="970"/>
      <c r="GP70" s="970"/>
      <c r="GQ70" s="970"/>
      <c r="GR70" s="970"/>
      <c r="GS70" s="970"/>
      <c r="GT70" s="970"/>
      <c r="GU70" s="970"/>
      <c r="GV70" s="970"/>
      <c r="GW70" s="970"/>
      <c r="GX70" s="970"/>
      <c r="GY70" s="970"/>
      <c r="GZ70" s="970"/>
      <c r="HA70" s="970"/>
      <c r="HB70" s="970"/>
      <c r="HC70" s="970"/>
      <c r="HD70" s="970"/>
      <c r="HE70" s="970"/>
      <c r="HF70" s="970"/>
      <c r="HG70" s="970"/>
      <c r="HH70" s="970"/>
      <c r="HI70" s="970"/>
      <c r="HJ70" s="970"/>
      <c r="HK70" s="970"/>
      <c r="HL70" s="970"/>
      <c r="HM70" s="970"/>
      <c r="HN70" s="970"/>
      <c r="HO70" s="970"/>
      <c r="HP70" s="970"/>
      <c r="HQ70" s="970"/>
      <c r="HR70" s="970"/>
      <c r="HS70" s="970"/>
      <c r="HT70" s="970"/>
      <c r="HU70" s="970"/>
      <c r="HV70" s="970"/>
      <c r="HW70" s="970"/>
      <c r="HX70" s="970"/>
      <c r="HY70" s="970"/>
      <c r="HZ70" s="970"/>
      <c r="IA70" s="970"/>
      <c r="IB70" s="970"/>
      <c r="IC70" s="970"/>
      <c r="ID70" s="970"/>
      <c r="IE70" s="970"/>
      <c r="IF70" s="970"/>
      <c r="IG70" s="970"/>
      <c r="IH70" s="970"/>
      <c r="II70" s="970"/>
      <c r="IJ70" s="970"/>
      <c r="IK70" s="970"/>
      <c r="IL70" s="970"/>
      <c r="IM70" s="970"/>
      <c r="IN70" s="970"/>
      <c r="IO70" s="970"/>
      <c r="IP70" s="970"/>
      <c r="IQ70" s="970"/>
      <c r="IR70" s="970"/>
      <c r="IS70" s="970"/>
      <c r="IT70" s="970"/>
      <c r="IU70" s="970"/>
      <c r="IV70" s="970"/>
      <c r="IW70" s="970"/>
      <c r="IX70" s="970"/>
      <c r="IY70" s="970"/>
      <c r="IZ70" s="970"/>
      <c r="JA70" s="970"/>
      <c r="JB70" s="970"/>
      <c r="JC70" s="970"/>
      <c r="JD70" s="970"/>
      <c r="JE70" s="970"/>
      <c r="JF70" s="970"/>
      <c r="JG70" s="970"/>
      <c r="JH70" s="970"/>
      <c r="JI70" s="970"/>
      <c r="JJ70" s="970"/>
      <c r="JK70" s="970"/>
      <c r="JL70" s="970"/>
      <c r="JM70" s="970"/>
      <c r="JN70" s="970"/>
      <c r="JO70" s="970"/>
      <c r="JP70" s="970"/>
      <c r="JQ70" s="970"/>
      <c r="JR70" s="970"/>
      <c r="JS70" s="970"/>
      <c r="JT70" s="970"/>
      <c r="JU70" s="970"/>
      <c r="JV70" s="970"/>
      <c r="JW70" s="970"/>
      <c r="JX70" s="970"/>
      <c r="JY70" s="970"/>
      <c r="JZ70" s="970"/>
      <c r="KA70" s="970"/>
      <c r="KB70" s="970"/>
      <c r="KC70" s="970"/>
      <c r="KD70" s="970"/>
      <c r="KE70" s="970"/>
      <c r="KF70" s="970"/>
      <c r="KG70" s="970"/>
      <c r="KH70" s="970"/>
      <c r="KI70" s="970"/>
      <c r="KJ70" s="970"/>
      <c r="KK70" s="970"/>
      <c r="KL70" s="970"/>
      <c r="KM70" s="970"/>
      <c r="KN70" s="970"/>
      <c r="KO70" s="970"/>
      <c r="KP70" s="970"/>
      <c r="KQ70" s="970"/>
      <c r="KR70" s="970"/>
      <c r="KS70" s="970"/>
      <c r="KT70" s="970"/>
      <c r="KU70" s="970"/>
      <c r="KV70" s="970"/>
      <c r="KW70" s="970"/>
      <c r="KX70" s="970"/>
      <c r="KY70" s="970"/>
      <c r="KZ70" s="970"/>
      <c r="LA70" s="970"/>
      <c r="LB70" s="970"/>
      <c r="LC70" s="970"/>
      <c r="LD70" s="970"/>
      <c r="LE70" s="970"/>
      <c r="LF70" s="970"/>
      <c r="LG70" s="970"/>
      <c r="LH70" s="970"/>
      <c r="LI70" s="970"/>
      <c r="LJ70" s="970"/>
      <c r="LK70" s="970"/>
      <c r="LL70" s="970"/>
      <c r="LM70" s="970"/>
      <c r="LN70" s="970"/>
      <c r="LO70" s="970"/>
      <c r="LP70" s="970"/>
      <c r="LQ70" s="970"/>
      <c r="LR70" s="970"/>
      <c r="LS70" s="970"/>
      <c r="LT70" s="970"/>
      <c r="LU70" s="970"/>
      <c r="LV70" s="970"/>
      <c r="LW70" s="970"/>
      <c r="LX70" s="970"/>
      <c r="LY70" s="970"/>
      <c r="LZ70" s="970"/>
      <c r="MA70" s="970"/>
      <c r="MB70" s="970"/>
      <c r="MC70" s="970"/>
      <c r="MD70" s="970"/>
      <c r="ME70" s="970"/>
      <c r="MF70" s="970"/>
      <c r="MG70" s="970"/>
      <c r="MH70" s="970"/>
      <c r="MI70" s="970"/>
      <c r="MJ70" s="970"/>
      <c r="MK70" s="970"/>
      <c r="ML70" s="970"/>
      <c r="MM70" s="970"/>
      <c r="MN70" s="970"/>
      <c r="MO70" s="970"/>
      <c r="MP70" s="970"/>
      <c r="MQ70" s="970"/>
      <c r="MR70" s="970"/>
      <c r="MS70" s="970"/>
      <c r="MT70" s="970"/>
      <c r="MU70" s="970"/>
      <c r="MV70" s="970"/>
      <c r="MW70" s="970"/>
      <c r="MX70" s="970"/>
      <c r="MY70" s="970"/>
      <c r="MZ70" s="970"/>
      <c r="NA70" s="970"/>
      <c r="NB70" s="970"/>
      <c r="NC70" s="970"/>
      <c r="ND70" s="970"/>
      <c r="NE70" s="970"/>
      <c r="NF70" s="970"/>
      <c r="NG70" s="970"/>
      <c r="NH70" s="970"/>
      <c r="NI70" s="970"/>
      <c r="NJ70" s="970"/>
      <c r="NK70" s="970"/>
      <c r="NL70" s="970"/>
      <c r="NM70" s="970"/>
      <c r="NN70" s="970"/>
      <c r="NO70" s="970"/>
      <c r="NP70" s="970"/>
      <c r="NQ70" s="970"/>
      <c r="NR70" s="970"/>
      <c r="NS70" s="970"/>
      <c r="NT70" s="970"/>
      <c r="NU70" s="970"/>
      <c r="NV70" s="970"/>
      <c r="NW70" s="970"/>
      <c r="NX70" s="970"/>
      <c r="NY70" s="970"/>
      <c r="NZ70" s="970"/>
      <c r="OA70" s="970"/>
      <c r="OB70" s="970"/>
      <c r="OC70" s="970"/>
      <c r="OD70" s="970"/>
      <c r="OE70" s="970"/>
      <c r="OF70" s="970"/>
      <c r="OG70" s="970"/>
      <c r="OH70" s="970"/>
      <c r="OI70" s="970"/>
      <c r="OJ70" s="970"/>
      <c r="OK70" s="970"/>
      <c r="OL70" s="970"/>
      <c r="OM70" s="970"/>
      <c r="ON70" s="970"/>
      <c r="OO70" s="970"/>
      <c r="OP70" s="970"/>
      <c r="OQ70" s="970"/>
      <c r="OR70" s="970"/>
      <c r="OS70" s="970"/>
      <c r="OT70" s="970"/>
      <c r="OU70" s="970"/>
      <c r="OV70" s="970"/>
      <c r="OW70" s="970"/>
      <c r="OX70" s="970"/>
      <c r="OY70" s="970"/>
      <c r="OZ70" s="970"/>
      <c r="PA70" s="970"/>
      <c r="PB70" s="970"/>
      <c r="PC70" s="970"/>
      <c r="PD70" s="970"/>
      <c r="PE70" s="970"/>
      <c r="PF70" s="970"/>
      <c r="PG70" s="970"/>
      <c r="PH70" s="970"/>
      <c r="PI70" s="970"/>
      <c r="PJ70" s="970"/>
      <c r="PK70" s="970"/>
      <c r="PL70" s="970"/>
      <c r="PM70" s="970"/>
      <c r="PN70" s="970"/>
      <c r="PO70" s="970"/>
      <c r="PP70" s="970"/>
      <c r="PQ70" s="970"/>
      <c r="PR70" s="970"/>
      <c r="PS70" s="970"/>
      <c r="PT70" s="970"/>
      <c r="PU70" s="970"/>
      <c r="PV70" s="970"/>
      <c r="PW70" s="970"/>
      <c r="PX70" s="970"/>
      <c r="PY70" s="970"/>
      <c r="PZ70" s="970"/>
      <c r="QA70" s="970"/>
      <c r="QB70" s="970"/>
      <c r="QC70" s="970"/>
      <c r="QD70" s="970"/>
      <c r="QE70" s="970"/>
      <c r="QF70" s="970"/>
      <c r="QG70" s="970"/>
      <c r="QH70" s="970"/>
      <c r="QI70" s="970"/>
      <c r="QJ70" s="970"/>
      <c r="QK70" s="970"/>
      <c r="QL70" s="970"/>
      <c r="QM70" s="970"/>
      <c r="QN70" s="970"/>
      <c r="QO70" s="970"/>
      <c r="QP70" s="970"/>
      <c r="QQ70" s="970"/>
      <c r="QR70" s="970"/>
      <c r="QS70" s="970"/>
      <c r="QT70" s="970"/>
      <c r="QU70" s="970"/>
      <c r="QV70" s="970"/>
      <c r="QW70" s="970"/>
      <c r="QX70" s="970"/>
      <c r="QY70" s="970"/>
      <c r="QZ70" s="970"/>
      <c r="RA70" s="970"/>
      <c r="RB70" s="970"/>
      <c r="RC70" s="970"/>
      <c r="RD70" s="970"/>
      <c r="RE70" s="970"/>
      <c r="RF70" s="970"/>
      <c r="RG70" s="970"/>
      <c r="RH70" s="970"/>
      <c r="RI70" s="970"/>
      <c r="RJ70" s="970"/>
      <c r="RK70" s="970"/>
      <c r="RL70" s="970"/>
      <c r="RM70" s="970"/>
      <c r="RN70" s="970"/>
      <c r="RO70" s="970"/>
      <c r="RP70" s="970"/>
      <c r="RQ70" s="970"/>
      <c r="RR70" s="970"/>
      <c r="RS70" s="970"/>
      <c r="RT70" s="970"/>
      <c r="RU70" s="970"/>
      <c r="RV70" s="970"/>
      <c r="RW70" s="970"/>
      <c r="RX70" s="970"/>
      <c r="RY70" s="970"/>
      <c r="RZ70" s="970"/>
      <c r="SA70" s="970"/>
      <c r="SB70" s="970"/>
      <c r="SC70" s="970"/>
      <c r="SD70" s="970"/>
      <c r="SE70" s="970"/>
      <c r="SF70" s="970"/>
      <c r="SG70" s="970"/>
      <c r="SH70" s="970"/>
      <c r="SI70" s="970"/>
      <c r="SJ70" s="970"/>
      <c r="SK70" s="970"/>
      <c r="SL70" s="970"/>
      <c r="SM70" s="970"/>
      <c r="SN70" s="970"/>
      <c r="SO70" s="970"/>
      <c r="SP70" s="970"/>
      <c r="SQ70" s="970"/>
      <c r="SR70" s="970"/>
    </row>
    <row r="71" spans="1:512" ht="15" customHeight="1">
      <c r="A71"/>
      <c r="B71"/>
      <c r="C71" t="s">
        <v>2424</v>
      </c>
      <c r="D71"/>
      <c r="E71" t="s">
        <v>237</v>
      </c>
      <c r="F71"/>
      <c r="G71" s="970">
        <v>0</v>
      </c>
      <c r="H71" s="970">
        <v>0</v>
      </c>
      <c r="I71" s="970"/>
      <c r="J71" s="970"/>
      <c r="K71" s="970"/>
      <c r="L71" s="970"/>
      <c r="M71" s="970"/>
      <c r="N71" s="970"/>
      <c r="O71" s="970"/>
      <c r="P71" s="970"/>
      <c r="Q71" s="970"/>
      <c r="R71" s="970"/>
      <c r="S71" s="970"/>
      <c r="T71" s="970"/>
      <c r="U71" s="970"/>
      <c r="V71" s="970"/>
      <c r="W71" s="970"/>
      <c r="X71" s="970"/>
      <c r="Y71" s="970"/>
      <c r="Z71" s="970"/>
      <c r="AA71" s="970"/>
      <c r="AB71" s="970"/>
      <c r="AC71" s="970"/>
      <c r="AD71" s="970"/>
      <c r="AE71" s="970"/>
      <c r="AF71" s="970"/>
      <c r="AG71" s="970"/>
      <c r="AH71" s="970"/>
      <c r="AI71" s="970"/>
      <c r="AJ71" s="970"/>
      <c r="AK71" s="970"/>
      <c r="AL71" s="970"/>
      <c r="AM71" s="970"/>
      <c r="AN71" s="970"/>
      <c r="AO71" s="970"/>
      <c r="AP71" s="970"/>
      <c r="AQ71" s="970"/>
      <c r="AR71" s="970"/>
      <c r="AS71" s="970"/>
      <c r="AT71" s="970"/>
      <c r="AU71" s="970"/>
      <c r="AV71" s="970"/>
      <c r="AW71" s="970"/>
      <c r="AX71" s="970"/>
      <c r="AY71" s="970"/>
      <c r="AZ71" s="970"/>
      <c r="BA71" s="970"/>
      <c r="BB71" s="970"/>
      <c r="BC71" s="970"/>
      <c r="BD71" s="970"/>
      <c r="BE71" s="970"/>
      <c r="BF71" s="970"/>
      <c r="BG71" s="970"/>
      <c r="BH71" s="970"/>
      <c r="BI71" s="970"/>
      <c r="BJ71" s="970"/>
      <c r="BK71" s="970"/>
      <c r="BL71" s="970"/>
      <c r="BM71" s="970"/>
      <c r="BN71" s="970"/>
      <c r="BO71" s="970"/>
      <c r="BP71" s="970"/>
      <c r="BQ71" s="970"/>
      <c r="BR71" s="970"/>
      <c r="BS71" s="970"/>
      <c r="BT71" s="970"/>
      <c r="BU71" s="970"/>
      <c r="BV71" s="970"/>
      <c r="BW71" s="970"/>
      <c r="BX71" s="970"/>
      <c r="BY71" s="970"/>
      <c r="BZ71" s="970"/>
      <c r="CA71" s="970"/>
      <c r="CB71" s="970"/>
      <c r="CC71" s="970"/>
      <c r="CD71" s="970"/>
      <c r="CE71" s="970"/>
      <c r="CF71" s="970"/>
      <c r="CG71" s="970"/>
      <c r="CH71" s="970"/>
      <c r="CI71" s="970"/>
      <c r="CJ71" s="970"/>
      <c r="CK71" s="970"/>
      <c r="CL71" s="970"/>
      <c r="CM71" s="970"/>
      <c r="CN71" s="970"/>
      <c r="CO71" s="970"/>
      <c r="CP71" s="970"/>
      <c r="CQ71" s="970"/>
      <c r="CR71" s="970"/>
      <c r="CS71" s="970"/>
      <c r="CT71" s="970"/>
      <c r="CU71" s="970"/>
      <c r="CV71" s="970"/>
      <c r="CW71" s="970"/>
      <c r="CX71" s="970"/>
      <c r="CY71" s="970"/>
      <c r="CZ71" s="970"/>
      <c r="DA71" s="970"/>
      <c r="DB71" s="970"/>
      <c r="DC71" s="970"/>
      <c r="DD71" s="970"/>
      <c r="DE71" s="970"/>
      <c r="DF71" s="970"/>
      <c r="DG71" s="970"/>
      <c r="DH71" s="970"/>
      <c r="DI71" s="970"/>
      <c r="DJ71" s="970"/>
      <c r="DK71" s="970"/>
      <c r="DL71" s="970"/>
      <c r="DM71" s="970"/>
      <c r="DN71" s="970"/>
      <c r="DO71" s="970"/>
      <c r="DP71" s="970"/>
      <c r="DQ71" s="970"/>
      <c r="DR71" s="970"/>
      <c r="DS71" s="970"/>
      <c r="DT71" s="970"/>
      <c r="DU71" s="970"/>
      <c r="DV71" s="970"/>
      <c r="DW71" s="970"/>
      <c r="DX71" s="970"/>
      <c r="DY71" s="970"/>
      <c r="DZ71" s="970"/>
      <c r="EA71" s="970"/>
      <c r="EB71" s="970"/>
      <c r="EC71" s="970"/>
      <c r="ED71" s="970"/>
      <c r="EE71" s="970"/>
      <c r="EF71" s="970"/>
      <c r="EG71" s="970"/>
      <c r="EH71" s="970"/>
      <c r="EI71" s="970"/>
      <c r="EJ71" s="970"/>
      <c r="EK71" s="970"/>
      <c r="EL71" s="970"/>
      <c r="EM71" s="970"/>
      <c r="EN71" s="970"/>
      <c r="EO71" s="970"/>
      <c r="EP71" s="970"/>
      <c r="EQ71" s="970"/>
      <c r="ER71" s="970"/>
      <c r="ES71" s="970"/>
      <c r="ET71" s="970"/>
      <c r="EU71" s="970"/>
      <c r="EV71" s="970"/>
      <c r="EW71" s="970"/>
      <c r="EX71" s="970"/>
      <c r="EY71" s="970"/>
      <c r="EZ71" s="970"/>
      <c r="FA71" s="970"/>
      <c r="FB71" s="970"/>
      <c r="FC71" s="970"/>
      <c r="FD71" s="970"/>
      <c r="FE71" s="970"/>
      <c r="FF71" s="970"/>
      <c r="FG71" s="970"/>
      <c r="FH71" s="970"/>
      <c r="FI71" s="970"/>
      <c r="FJ71" s="970"/>
      <c r="FK71" s="970"/>
      <c r="FL71" s="970"/>
      <c r="FM71" s="970"/>
      <c r="FN71" s="970"/>
      <c r="FO71" s="970"/>
      <c r="FP71" s="970"/>
      <c r="FQ71" s="970"/>
      <c r="FR71" s="970"/>
      <c r="FS71" s="970"/>
      <c r="FT71" s="970"/>
      <c r="FU71" s="970"/>
      <c r="FV71" s="970"/>
      <c r="FW71" s="970"/>
      <c r="FX71" s="970"/>
      <c r="FY71" s="970"/>
      <c r="FZ71" s="970"/>
      <c r="GA71" s="970"/>
      <c r="GB71" s="970"/>
      <c r="GC71" s="970"/>
      <c r="GD71" s="970"/>
      <c r="GE71" s="970"/>
      <c r="GF71" s="970"/>
      <c r="GG71" s="970"/>
      <c r="GH71" s="970"/>
      <c r="GI71" s="970"/>
      <c r="GJ71" s="970"/>
      <c r="GK71" s="970"/>
      <c r="GL71" s="970"/>
      <c r="GM71" s="970"/>
      <c r="GN71" s="970"/>
      <c r="GO71" s="970"/>
      <c r="GP71" s="970"/>
      <c r="GQ71" s="970"/>
      <c r="GR71" s="970"/>
      <c r="GS71" s="970"/>
      <c r="GT71" s="970"/>
      <c r="GU71" s="970"/>
      <c r="GV71" s="970"/>
      <c r="GW71" s="970"/>
      <c r="GX71" s="970"/>
      <c r="GY71" s="970"/>
      <c r="GZ71" s="970"/>
      <c r="HA71" s="970"/>
      <c r="HB71" s="970"/>
      <c r="HC71" s="970"/>
      <c r="HD71" s="970"/>
      <c r="HE71" s="970"/>
      <c r="HF71" s="970"/>
      <c r="HG71" s="970"/>
      <c r="HH71" s="970"/>
      <c r="HI71" s="970"/>
      <c r="HJ71" s="970"/>
      <c r="HK71" s="970"/>
      <c r="HL71" s="970"/>
      <c r="HM71" s="970"/>
      <c r="HN71" s="970"/>
      <c r="HO71" s="970"/>
      <c r="HP71" s="970"/>
      <c r="HQ71" s="970"/>
      <c r="HR71" s="970"/>
      <c r="HS71" s="970"/>
      <c r="HT71" s="970"/>
      <c r="HU71" s="970"/>
      <c r="HV71" s="970"/>
      <c r="HW71" s="970"/>
      <c r="HX71" s="970"/>
      <c r="HY71" s="970"/>
      <c r="HZ71" s="970"/>
      <c r="IA71" s="970"/>
      <c r="IB71" s="970"/>
      <c r="IC71" s="970"/>
      <c r="ID71" s="970"/>
      <c r="IE71" s="970"/>
      <c r="IF71" s="970"/>
      <c r="IG71" s="970"/>
      <c r="IH71" s="970"/>
      <c r="II71" s="970"/>
      <c r="IJ71" s="970"/>
      <c r="IK71" s="970"/>
      <c r="IL71" s="970"/>
      <c r="IM71" s="970"/>
      <c r="IN71" s="970"/>
      <c r="IO71" s="970"/>
      <c r="IP71" s="970"/>
      <c r="IQ71" s="970"/>
      <c r="IR71" s="970"/>
      <c r="IS71" s="970"/>
      <c r="IT71" s="970"/>
      <c r="IU71" s="970"/>
      <c r="IV71" s="970"/>
      <c r="IW71" s="970"/>
      <c r="IX71" s="970"/>
      <c r="IY71" s="970"/>
      <c r="IZ71" s="970"/>
      <c r="JA71" s="970"/>
      <c r="JB71" s="970"/>
      <c r="JC71" s="970"/>
      <c r="JD71" s="970"/>
      <c r="JE71" s="970"/>
      <c r="JF71" s="970"/>
      <c r="JG71" s="970"/>
      <c r="JH71" s="970"/>
      <c r="JI71" s="970"/>
      <c r="JJ71" s="970"/>
      <c r="JK71" s="970"/>
      <c r="JL71" s="970"/>
      <c r="JM71" s="970"/>
      <c r="JN71" s="970"/>
      <c r="JO71" s="970"/>
      <c r="JP71" s="970"/>
      <c r="JQ71" s="970"/>
      <c r="JR71" s="970"/>
      <c r="JS71" s="970"/>
      <c r="JT71" s="970"/>
      <c r="JU71" s="970"/>
      <c r="JV71" s="970"/>
      <c r="JW71" s="970"/>
      <c r="JX71" s="970"/>
      <c r="JY71" s="970"/>
      <c r="JZ71" s="970"/>
      <c r="KA71" s="970"/>
      <c r="KB71" s="970"/>
      <c r="KC71" s="970"/>
      <c r="KD71" s="970"/>
      <c r="KE71" s="970"/>
      <c r="KF71" s="970"/>
      <c r="KG71" s="970"/>
      <c r="KH71" s="970"/>
      <c r="KI71" s="970"/>
      <c r="KJ71" s="970"/>
      <c r="KK71" s="970"/>
      <c r="KL71" s="970"/>
      <c r="KM71" s="970"/>
      <c r="KN71" s="970"/>
      <c r="KO71" s="970"/>
      <c r="KP71" s="970"/>
      <c r="KQ71" s="970"/>
      <c r="KR71" s="970"/>
      <c r="KS71" s="970"/>
      <c r="KT71" s="970"/>
      <c r="KU71" s="970"/>
      <c r="KV71" s="970"/>
      <c r="KW71" s="970"/>
      <c r="KX71" s="970"/>
      <c r="KY71" s="970"/>
      <c r="KZ71" s="970"/>
      <c r="LA71" s="970"/>
      <c r="LB71" s="970"/>
      <c r="LC71" s="970"/>
      <c r="LD71" s="970"/>
      <c r="LE71" s="970"/>
      <c r="LF71" s="970"/>
      <c r="LG71" s="970"/>
      <c r="LH71" s="970"/>
      <c r="LI71" s="970"/>
      <c r="LJ71" s="970"/>
      <c r="LK71" s="970"/>
      <c r="LL71" s="970"/>
      <c r="LM71" s="970"/>
      <c r="LN71" s="970"/>
      <c r="LO71" s="970"/>
      <c r="LP71" s="970"/>
      <c r="LQ71" s="970"/>
      <c r="LR71" s="970"/>
      <c r="LS71" s="970"/>
      <c r="LT71" s="970"/>
      <c r="LU71" s="970"/>
      <c r="LV71" s="970"/>
      <c r="LW71" s="970"/>
      <c r="LX71" s="970"/>
      <c r="LY71" s="970"/>
      <c r="LZ71" s="970"/>
      <c r="MA71" s="970"/>
      <c r="MB71" s="970"/>
      <c r="MC71" s="970"/>
      <c r="MD71" s="970"/>
      <c r="ME71" s="970"/>
      <c r="MF71" s="970"/>
      <c r="MG71" s="970"/>
      <c r="MH71" s="970"/>
      <c r="MI71" s="970"/>
      <c r="MJ71" s="970"/>
      <c r="MK71" s="970"/>
      <c r="ML71" s="970"/>
      <c r="MM71" s="970"/>
      <c r="MN71" s="970"/>
      <c r="MO71" s="970"/>
      <c r="MP71" s="970"/>
      <c r="MQ71" s="970"/>
      <c r="MR71" s="970"/>
      <c r="MS71" s="970"/>
      <c r="MT71" s="970"/>
      <c r="MU71" s="970"/>
      <c r="MV71" s="970"/>
      <c r="MW71" s="970"/>
      <c r="MX71" s="970"/>
      <c r="MY71" s="970"/>
      <c r="MZ71" s="970"/>
      <c r="NA71" s="970"/>
      <c r="NB71" s="970"/>
      <c r="NC71" s="970"/>
      <c r="ND71" s="970"/>
      <c r="NE71" s="970"/>
      <c r="NF71" s="970"/>
      <c r="NG71" s="970"/>
      <c r="NH71" s="970"/>
      <c r="NI71" s="970"/>
      <c r="NJ71" s="970"/>
      <c r="NK71" s="970"/>
      <c r="NL71" s="970"/>
      <c r="NM71" s="970"/>
      <c r="NN71" s="970"/>
      <c r="NO71" s="970"/>
      <c r="NP71" s="970"/>
      <c r="NQ71" s="970"/>
      <c r="NR71" s="970"/>
      <c r="NS71" s="970"/>
      <c r="NT71" s="970"/>
      <c r="NU71" s="970"/>
      <c r="NV71" s="970"/>
      <c r="NW71" s="970"/>
      <c r="NX71" s="970"/>
      <c r="NY71" s="970"/>
      <c r="NZ71" s="970"/>
      <c r="OA71" s="970"/>
      <c r="OB71" s="970"/>
      <c r="OC71" s="970"/>
      <c r="OD71" s="970"/>
      <c r="OE71" s="970"/>
      <c r="OF71" s="970"/>
      <c r="OG71" s="970"/>
      <c r="OH71" s="970"/>
      <c r="OI71" s="970"/>
      <c r="OJ71" s="970"/>
      <c r="OK71" s="970"/>
      <c r="OL71" s="970"/>
      <c r="OM71" s="970"/>
      <c r="ON71" s="970"/>
      <c r="OO71" s="970"/>
      <c r="OP71" s="970"/>
      <c r="OQ71" s="970"/>
      <c r="OR71" s="970"/>
      <c r="OS71" s="970"/>
      <c r="OT71" s="970"/>
      <c r="OU71" s="970"/>
      <c r="OV71" s="970"/>
      <c r="OW71" s="970"/>
      <c r="OX71" s="970"/>
      <c r="OY71" s="970"/>
      <c r="OZ71" s="970"/>
      <c r="PA71" s="970"/>
      <c r="PB71" s="970"/>
      <c r="PC71" s="970"/>
      <c r="PD71" s="970"/>
      <c r="PE71" s="970"/>
      <c r="PF71" s="970"/>
      <c r="PG71" s="970"/>
      <c r="PH71" s="970"/>
      <c r="PI71" s="970"/>
      <c r="PJ71" s="970"/>
      <c r="PK71" s="970"/>
      <c r="PL71" s="970"/>
      <c r="PM71" s="970"/>
      <c r="PN71" s="970"/>
      <c r="PO71" s="970"/>
      <c r="PP71" s="970"/>
      <c r="PQ71" s="970"/>
      <c r="PR71" s="970"/>
      <c r="PS71" s="970"/>
      <c r="PT71" s="970"/>
      <c r="PU71" s="970"/>
      <c r="PV71" s="970"/>
      <c r="PW71" s="970"/>
      <c r="PX71" s="970"/>
      <c r="PY71" s="970"/>
      <c r="PZ71" s="970"/>
      <c r="QA71" s="970"/>
      <c r="QB71" s="970"/>
      <c r="QC71" s="970"/>
      <c r="QD71" s="970"/>
      <c r="QE71" s="970"/>
      <c r="QF71" s="970"/>
      <c r="QG71" s="970"/>
      <c r="QH71" s="970"/>
      <c r="QI71" s="970"/>
      <c r="QJ71" s="970"/>
      <c r="QK71" s="970"/>
      <c r="QL71" s="970"/>
      <c r="QM71" s="970"/>
      <c r="QN71" s="970"/>
      <c r="QO71" s="970"/>
      <c r="QP71" s="970"/>
      <c r="QQ71" s="970"/>
      <c r="QR71" s="970"/>
      <c r="QS71" s="970"/>
      <c r="QT71" s="970"/>
      <c r="QU71" s="970"/>
      <c r="QV71" s="970"/>
      <c r="QW71" s="970"/>
      <c r="QX71" s="970"/>
      <c r="QY71" s="970"/>
      <c r="QZ71" s="970"/>
      <c r="RA71" s="970"/>
      <c r="RB71" s="970"/>
      <c r="RC71" s="970"/>
      <c r="RD71" s="970"/>
      <c r="RE71" s="970"/>
      <c r="RF71" s="970"/>
      <c r="RG71" s="970"/>
      <c r="RH71" s="970"/>
      <c r="RI71" s="970"/>
      <c r="RJ71" s="970"/>
      <c r="RK71" s="970"/>
      <c r="RL71" s="970"/>
      <c r="RM71" s="970"/>
      <c r="RN71" s="970"/>
      <c r="RO71" s="970"/>
      <c r="RP71" s="970"/>
      <c r="RQ71" s="970"/>
      <c r="RR71" s="970"/>
      <c r="RS71" s="970"/>
      <c r="RT71" s="970"/>
      <c r="RU71" s="970"/>
      <c r="RV71" s="970"/>
      <c r="RW71" s="970"/>
      <c r="RX71" s="970"/>
      <c r="RY71" s="970"/>
      <c r="RZ71" s="970"/>
      <c r="SA71" s="970"/>
      <c r="SB71" s="970"/>
      <c r="SC71" s="970"/>
      <c r="SD71" s="970"/>
      <c r="SE71" s="970"/>
      <c r="SF71" s="970"/>
      <c r="SG71" s="970"/>
      <c r="SH71" s="970"/>
      <c r="SI71" s="970"/>
      <c r="SJ71" s="970"/>
      <c r="SK71" s="970"/>
      <c r="SL71" s="970"/>
      <c r="SM71" s="970"/>
      <c r="SN71" s="970"/>
      <c r="SO71" s="970"/>
      <c r="SP71" s="970"/>
      <c r="SQ71" s="970"/>
      <c r="SR71" s="970"/>
    </row>
    <row r="72" spans="1:512" s="132" customFormat="1" ht="15" customHeight="1">
      <c r="A72"/>
      <c r="B72"/>
      <c r="C72"/>
      <c r="D72"/>
      <c r="E72"/>
      <c r="F72"/>
      <c r="G72" s="985"/>
      <c r="H72" s="979"/>
      <c r="I72" s="979"/>
      <c r="J72" s="979"/>
      <c r="K72" s="979"/>
      <c r="L72" s="979"/>
      <c r="M72" s="979"/>
      <c r="N72" s="979"/>
      <c r="O72" s="979"/>
      <c r="P72" s="979"/>
      <c r="Q72" s="979"/>
      <c r="R72" s="979"/>
      <c r="S72" s="979"/>
      <c r="T72" s="979"/>
      <c r="U72" s="983"/>
      <c r="V72" s="985"/>
      <c r="W72" s="985"/>
      <c r="X72" s="985"/>
      <c r="Y72" s="985"/>
      <c r="Z72" s="985"/>
      <c r="AA72" s="985"/>
      <c r="AB72" s="985"/>
      <c r="AC72" s="985"/>
      <c r="AD72" s="985"/>
      <c r="AE72" s="985"/>
      <c r="AF72" s="985"/>
      <c r="AG72" s="985"/>
      <c r="AH72" s="985"/>
      <c r="AI72" s="985"/>
      <c r="AJ72" s="985"/>
      <c r="AK72" s="985"/>
      <c r="AL72" s="985"/>
      <c r="AM72" s="985"/>
      <c r="AN72" s="985"/>
      <c r="AO72" s="985"/>
      <c r="AP72" s="985"/>
      <c r="AQ72" s="985"/>
      <c r="AR72" s="985"/>
      <c r="AS72" s="985"/>
      <c r="AT72" s="985"/>
      <c r="AU72" s="985"/>
      <c r="AV72" s="985"/>
      <c r="AW72" s="985"/>
      <c r="AX72" s="985"/>
      <c r="AY72" s="985"/>
      <c r="AZ72" s="985"/>
      <c r="BA72" s="985"/>
      <c r="BB72" s="985"/>
      <c r="BC72" s="985"/>
      <c r="BD72" s="985"/>
      <c r="BE72" s="985"/>
      <c r="BF72" s="1020"/>
      <c r="BG72" s="1020"/>
      <c r="BH72" s="1020"/>
      <c r="BI72" s="1020"/>
      <c r="BJ72" s="1020"/>
      <c r="BK72" s="1020"/>
      <c r="BL72" s="1020"/>
      <c r="BM72" s="1020"/>
      <c r="BN72" s="1020"/>
      <c r="BO72" s="1020"/>
      <c r="BP72" s="1020"/>
      <c r="BQ72" s="1020"/>
      <c r="BR72" s="1020"/>
      <c r="BS72" s="1020"/>
      <c r="BT72" s="1020"/>
      <c r="BU72" s="1020"/>
      <c r="BV72" s="1020"/>
      <c r="BW72" s="1020"/>
      <c r="BX72" s="1020"/>
      <c r="BY72" s="1020"/>
      <c r="BZ72" s="1020"/>
      <c r="CA72" s="1020"/>
      <c r="CB72" s="1020"/>
      <c r="CC72" s="1020"/>
      <c r="CD72" s="1020"/>
      <c r="CE72" s="1020"/>
      <c r="CF72" s="1020"/>
      <c r="CG72" s="1020"/>
      <c r="CH72" s="1020"/>
      <c r="CI72" s="1020"/>
      <c r="CJ72" s="1020"/>
      <c r="CK72" s="1020"/>
      <c r="CL72" s="1020"/>
      <c r="CM72" s="1020"/>
      <c r="CN72" s="1020"/>
      <c r="CO72" s="1020"/>
      <c r="CP72" s="1020"/>
      <c r="CQ72" s="1020"/>
      <c r="CR72" s="1020"/>
      <c r="CS72" s="1020"/>
      <c r="CT72" s="1020"/>
      <c r="CU72" s="1020"/>
      <c r="CV72" s="1020"/>
      <c r="CW72" s="1020"/>
      <c r="CX72" s="1020"/>
      <c r="CY72" s="1020"/>
      <c r="CZ72" s="1020"/>
      <c r="DA72" s="1020"/>
      <c r="DB72" s="1020"/>
      <c r="DC72" s="1020"/>
      <c r="DD72" s="1020"/>
      <c r="DE72" s="1020"/>
      <c r="DF72" s="1020"/>
      <c r="DG72" s="1020"/>
      <c r="DH72" s="1020"/>
      <c r="DI72" s="1020"/>
      <c r="DJ72" s="1020"/>
      <c r="DK72" s="1020"/>
      <c r="DL72" s="1020"/>
      <c r="DM72" s="1020"/>
      <c r="DN72" s="1020"/>
      <c r="DO72" s="1020"/>
      <c r="DP72" s="1020"/>
      <c r="DQ72" s="1020"/>
      <c r="DR72" s="1020"/>
      <c r="DS72" s="1020"/>
      <c r="DT72" s="1020"/>
      <c r="DU72" s="1020"/>
      <c r="DV72" s="1020"/>
      <c r="DW72" s="1020"/>
      <c r="DX72" s="1020"/>
      <c r="DY72" s="1020"/>
      <c r="DZ72" s="1020"/>
      <c r="EA72" s="1020"/>
      <c r="EB72" s="1020"/>
      <c r="EC72" s="1020"/>
      <c r="ED72" s="1020"/>
      <c r="EE72" s="1020"/>
      <c r="EF72" s="1020"/>
      <c r="EG72" s="1020"/>
      <c r="EH72" s="1020"/>
      <c r="EI72" s="1020"/>
      <c r="EJ72" s="1020"/>
      <c r="EK72" s="1020"/>
      <c r="EL72" s="1020"/>
      <c r="EM72" s="1020"/>
      <c r="EN72" s="1020"/>
      <c r="EO72" s="1020"/>
      <c r="EP72" s="1020"/>
      <c r="EQ72" s="1020"/>
      <c r="ER72" s="1020"/>
      <c r="ES72" s="1020"/>
      <c r="ET72" s="1020"/>
      <c r="EU72" s="1020"/>
      <c r="EV72" s="1020"/>
      <c r="EW72" s="1020"/>
      <c r="EX72" s="1020"/>
      <c r="EY72" s="1020"/>
      <c r="EZ72" s="1020"/>
      <c r="FA72" s="1020"/>
      <c r="FB72" s="1020"/>
      <c r="FC72" s="1020"/>
      <c r="FD72" s="1020"/>
      <c r="FE72" s="1020"/>
      <c r="FF72" s="1020"/>
      <c r="FG72" s="1020"/>
      <c r="FH72" s="1020"/>
      <c r="FI72" s="1020"/>
      <c r="FJ72" s="1020"/>
      <c r="FK72" s="1020"/>
      <c r="FL72" s="1020"/>
      <c r="FM72" s="1020"/>
      <c r="FN72" s="1020"/>
      <c r="FO72" s="1020"/>
      <c r="FP72" s="1020"/>
      <c r="FQ72" s="1020"/>
      <c r="FR72" s="1020"/>
      <c r="FS72" s="1020"/>
      <c r="FT72" s="1020"/>
      <c r="FU72" s="1020"/>
      <c r="FV72" s="1020"/>
      <c r="FW72" s="1020"/>
      <c r="FX72" s="1020"/>
      <c r="FY72" s="1020"/>
      <c r="FZ72" s="1020"/>
      <c r="GA72" s="1020"/>
      <c r="GB72" s="1020"/>
      <c r="GC72" s="1020"/>
      <c r="GD72" s="1020"/>
      <c r="GE72" s="1020"/>
      <c r="GF72" s="1020"/>
      <c r="GG72" s="1020"/>
      <c r="GH72" s="1020"/>
      <c r="GI72" s="1020"/>
      <c r="GJ72" s="1020"/>
      <c r="GK72" s="1020"/>
      <c r="GL72" s="1020"/>
      <c r="GM72" s="1020"/>
      <c r="GN72" s="1020"/>
      <c r="GO72" s="1020"/>
      <c r="GP72" s="1020"/>
      <c r="GQ72" s="1020"/>
      <c r="GR72" s="1020"/>
      <c r="GS72" s="1020"/>
      <c r="GT72" s="1020"/>
      <c r="GU72" s="1020"/>
      <c r="GV72" s="1020"/>
      <c r="GW72" s="1020"/>
      <c r="GX72" s="1020"/>
      <c r="GY72" s="1020"/>
      <c r="GZ72" s="1020"/>
      <c r="HA72" s="1020"/>
      <c r="HB72" s="1020"/>
      <c r="HC72" s="1020"/>
      <c r="HD72" s="1020"/>
      <c r="HE72" s="1020"/>
      <c r="HF72" s="1020"/>
      <c r="HG72" s="1020"/>
      <c r="HH72" s="1020"/>
      <c r="HI72" s="1020"/>
      <c r="HJ72" s="1020"/>
      <c r="HK72" s="1020"/>
      <c r="HL72" s="1020"/>
      <c r="HM72" s="1020"/>
      <c r="HN72" s="1020"/>
      <c r="HO72" s="1020"/>
      <c r="HP72" s="1020"/>
      <c r="HQ72" s="1020"/>
      <c r="HR72" s="1020"/>
      <c r="HS72" s="1020"/>
      <c r="HT72" s="1020"/>
      <c r="HU72" s="1020"/>
      <c r="HV72" s="1020"/>
      <c r="HW72" s="1020"/>
      <c r="HX72" s="1020"/>
      <c r="HY72" s="1020"/>
      <c r="HZ72" s="1020"/>
      <c r="IA72" s="1020"/>
      <c r="IB72" s="1020"/>
      <c r="IC72" s="1020"/>
      <c r="ID72" s="1020"/>
      <c r="IE72" s="1020"/>
      <c r="IF72" s="1020"/>
      <c r="IG72" s="1020"/>
      <c r="IH72" s="1020"/>
      <c r="II72" s="1020"/>
      <c r="IJ72" s="1020"/>
      <c r="IK72" s="1020"/>
      <c r="IL72" s="1020"/>
      <c r="IM72" s="1020"/>
      <c r="IN72" s="1020"/>
      <c r="IO72" s="1020"/>
      <c r="IP72" s="1020"/>
      <c r="IQ72" s="1020"/>
      <c r="IR72" s="1020"/>
      <c r="IS72" s="1020"/>
      <c r="IT72" s="1020"/>
      <c r="IU72" s="1020"/>
      <c r="IV72" s="1020"/>
      <c r="IW72" s="1020"/>
      <c r="IX72" s="1020"/>
      <c r="IY72" s="1020"/>
      <c r="IZ72" s="1020"/>
      <c r="JA72" s="1020"/>
      <c r="JB72" s="1020"/>
      <c r="JC72" s="1020"/>
      <c r="JD72" s="1020"/>
      <c r="JE72" s="1020"/>
      <c r="JF72" s="1020"/>
      <c r="JG72" s="1020"/>
      <c r="JH72" s="1020"/>
      <c r="JI72" s="1020"/>
      <c r="JJ72" s="1020"/>
      <c r="JK72" s="1020"/>
      <c r="JL72" s="1020"/>
      <c r="JM72" s="1020"/>
      <c r="JN72" s="1020"/>
      <c r="JO72" s="1020"/>
      <c r="JP72" s="1020"/>
      <c r="JQ72" s="1020"/>
      <c r="JR72" s="1020"/>
      <c r="JS72" s="1020"/>
      <c r="JT72" s="1020"/>
      <c r="JU72" s="1020"/>
      <c r="JV72" s="1020"/>
      <c r="JW72" s="1020"/>
      <c r="JX72" s="1020"/>
      <c r="JY72" s="1020"/>
      <c r="JZ72" s="1020"/>
      <c r="KA72" s="1020"/>
      <c r="KB72" s="1020"/>
      <c r="KC72" s="1020"/>
      <c r="KD72" s="1020"/>
      <c r="KE72" s="1020"/>
      <c r="KF72" s="1020"/>
      <c r="KG72" s="1020"/>
      <c r="KH72" s="1020"/>
      <c r="KI72" s="1020"/>
      <c r="KJ72" s="1020"/>
      <c r="KK72" s="1020"/>
      <c r="KL72" s="1020"/>
      <c r="KM72" s="1020"/>
      <c r="KN72" s="1020"/>
      <c r="KO72" s="1020"/>
      <c r="KP72" s="1020"/>
      <c r="KQ72" s="1020"/>
      <c r="KR72" s="1020"/>
      <c r="KS72" s="1020"/>
      <c r="KT72" s="1020"/>
      <c r="KU72" s="1020"/>
      <c r="KV72" s="1020"/>
      <c r="KW72" s="1020"/>
      <c r="KX72" s="1020"/>
      <c r="KY72" s="1020"/>
      <c r="KZ72" s="1020"/>
      <c r="LA72" s="1020"/>
      <c r="LB72" s="1020"/>
      <c r="LC72" s="1020"/>
      <c r="LD72" s="1020"/>
      <c r="LE72" s="1020"/>
      <c r="LF72" s="1020"/>
      <c r="LG72" s="1020"/>
      <c r="LH72" s="1020"/>
      <c r="LI72" s="1020"/>
      <c r="LJ72" s="1020"/>
      <c r="LK72" s="1020"/>
      <c r="LL72" s="1020"/>
      <c r="LM72" s="1020"/>
      <c r="LN72" s="1020"/>
      <c r="LO72" s="1020"/>
      <c r="LP72" s="1020"/>
      <c r="LQ72" s="1020"/>
      <c r="LR72" s="1020"/>
      <c r="LS72" s="1020"/>
      <c r="LT72" s="1020"/>
      <c r="LU72" s="1020"/>
      <c r="LV72" s="1020"/>
      <c r="LW72" s="1020"/>
      <c r="LX72" s="1020"/>
      <c r="LY72" s="1020"/>
      <c r="LZ72" s="1020"/>
      <c r="MA72" s="1020"/>
      <c r="MB72" s="1020"/>
      <c r="MC72" s="1020"/>
      <c r="MD72" s="1020"/>
      <c r="ME72" s="1020"/>
      <c r="MF72" s="1020"/>
      <c r="MG72" s="1020"/>
      <c r="MH72" s="1020"/>
      <c r="MI72" s="1020"/>
      <c r="MJ72" s="1020"/>
      <c r="MK72" s="1020"/>
      <c r="ML72" s="1020"/>
      <c r="MM72" s="1020"/>
      <c r="MN72" s="1020"/>
      <c r="MO72" s="1020"/>
      <c r="MP72" s="1020"/>
      <c r="MQ72" s="1020"/>
      <c r="MR72" s="1020"/>
      <c r="MS72" s="1020"/>
      <c r="MT72" s="1020"/>
      <c r="MU72" s="1020"/>
      <c r="MV72" s="1020"/>
      <c r="MW72" s="1020"/>
      <c r="MX72" s="1020"/>
      <c r="MY72" s="1020"/>
      <c r="MZ72" s="1020"/>
      <c r="NA72" s="1020"/>
      <c r="NB72" s="1020"/>
      <c r="NC72" s="1020"/>
      <c r="ND72" s="1020"/>
      <c r="NE72" s="1020"/>
      <c r="NF72" s="1020"/>
      <c r="NG72" s="1020"/>
      <c r="NH72" s="1020"/>
      <c r="NI72" s="1020"/>
      <c r="NJ72" s="1020"/>
      <c r="NK72" s="1020"/>
      <c r="NL72" s="1020"/>
      <c r="NM72" s="1020"/>
      <c r="NN72" s="1020"/>
      <c r="NO72" s="1020"/>
      <c r="NP72" s="1020"/>
      <c r="NQ72" s="1020"/>
      <c r="NR72" s="1020"/>
      <c r="NS72" s="1020"/>
      <c r="NT72" s="1020"/>
      <c r="NU72" s="1020"/>
      <c r="NV72" s="1020"/>
      <c r="NW72" s="1020"/>
      <c r="NX72" s="1020"/>
      <c r="NY72" s="1020"/>
      <c r="NZ72" s="1020"/>
      <c r="OA72" s="1020"/>
      <c r="OB72" s="1020"/>
      <c r="OC72" s="1020"/>
      <c r="OD72" s="1020"/>
      <c r="OE72" s="1020"/>
      <c r="OF72" s="1020"/>
      <c r="OG72" s="1020"/>
      <c r="OH72" s="1020"/>
      <c r="OI72" s="1020"/>
      <c r="OJ72" s="1020"/>
      <c r="OK72" s="1020"/>
      <c r="OL72" s="1020"/>
      <c r="OM72" s="1020"/>
      <c r="ON72" s="1020"/>
      <c r="OO72" s="1020"/>
      <c r="OP72" s="1020"/>
      <c r="OQ72" s="1020"/>
      <c r="OR72" s="1020"/>
      <c r="OS72" s="1020"/>
      <c r="OT72" s="1020"/>
      <c r="OU72" s="1020"/>
      <c r="OV72" s="1020"/>
      <c r="OW72" s="1020"/>
      <c r="OX72" s="1020"/>
      <c r="OY72" s="1020"/>
      <c r="OZ72" s="1020"/>
      <c r="PA72" s="1020"/>
      <c r="PB72" s="1020"/>
      <c r="PC72" s="1020"/>
      <c r="PD72" s="1020"/>
      <c r="PE72" s="1020"/>
      <c r="PF72" s="1020"/>
      <c r="PG72" s="1020"/>
      <c r="PH72" s="1020"/>
      <c r="PI72" s="1020"/>
      <c r="PJ72" s="1020"/>
      <c r="PK72" s="1020"/>
      <c r="PL72" s="1020"/>
      <c r="PM72" s="1020"/>
      <c r="PN72" s="1020"/>
      <c r="PO72" s="1020"/>
      <c r="PP72" s="1020"/>
      <c r="PQ72" s="1020"/>
      <c r="PR72" s="1020"/>
      <c r="PS72" s="1020"/>
      <c r="PT72" s="1020"/>
      <c r="PU72" s="1020"/>
      <c r="PV72" s="1020"/>
      <c r="PW72" s="1020"/>
      <c r="PX72" s="1020"/>
      <c r="PY72" s="1020"/>
      <c r="PZ72" s="1020"/>
      <c r="QA72" s="1020"/>
      <c r="QB72" s="1020"/>
      <c r="QC72" s="1020"/>
      <c r="QD72" s="1020"/>
      <c r="QE72" s="1020"/>
      <c r="QF72" s="1020"/>
      <c r="QG72" s="1020"/>
      <c r="QH72" s="1020"/>
      <c r="QI72" s="1020"/>
      <c r="QJ72" s="1020"/>
      <c r="QK72" s="1020"/>
      <c r="QL72" s="1020"/>
      <c r="QM72" s="1020"/>
      <c r="QN72" s="1020"/>
      <c r="QO72" s="1020"/>
      <c r="QP72" s="1020"/>
      <c r="QQ72" s="1020"/>
      <c r="QR72" s="1020"/>
      <c r="QS72" s="1020"/>
      <c r="QT72" s="1020"/>
      <c r="QU72" s="1020"/>
      <c r="QV72" s="1020"/>
      <c r="QW72" s="1020"/>
      <c r="QX72" s="1020"/>
      <c r="QY72" s="1020"/>
      <c r="QZ72" s="1020"/>
      <c r="RA72" s="1020"/>
      <c r="RB72" s="1020"/>
      <c r="RC72" s="1020"/>
      <c r="RD72" s="1020"/>
      <c r="RE72" s="1020"/>
      <c r="RF72" s="1020"/>
      <c r="RG72" s="1020"/>
      <c r="RH72" s="1020"/>
      <c r="RI72" s="1020"/>
      <c r="RJ72" s="1020"/>
      <c r="RK72" s="1020"/>
      <c r="RL72" s="1020"/>
      <c r="RM72" s="1020"/>
      <c r="RN72" s="1020"/>
      <c r="RO72" s="1020"/>
      <c r="RP72" s="1020"/>
      <c r="RQ72" s="1020"/>
      <c r="RR72" s="1020"/>
      <c r="RS72" s="1020"/>
      <c r="RT72" s="1020"/>
      <c r="RU72" s="1020"/>
      <c r="RV72" s="1020"/>
      <c r="RW72" s="1020"/>
      <c r="RX72" s="1020"/>
      <c r="RY72" s="1020"/>
      <c r="RZ72" s="1020"/>
      <c r="SA72" s="1020"/>
      <c r="SB72" s="1020"/>
      <c r="SC72" s="1020"/>
      <c r="SD72" s="1020"/>
      <c r="SE72" s="1020"/>
      <c r="SF72" s="1020"/>
      <c r="SG72" s="1020"/>
      <c r="SH72" s="1020"/>
      <c r="SI72" s="1020"/>
      <c r="SJ72" s="1020"/>
      <c r="SK72" s="1020"/>
      <c r="SL72" s="1020"/>
      <c r="SM72" s="1020"/>
      <c r="SN72" s="1020"/>
      <c r="SO72" s="1020"/>
      <c r="SP72" s="1020"/>
      <c r="SQ72" s="1020"/>
      <c r="SR72" s="1020"/>
    </row>
    <row r="73" spans="1:512" ht="15" customHeight="1">
      <c r="A73" t="s">
        <v>2709</v>
      </c>
      <c r="B73"/>
      <c r="C73"/>
      <c r="D73"/>
      <c r="E73" t="s">
        <v>237</v>
      </c>
      <c r="F73"/>
      <c r="G73" s="970">
        <v>0</v>
      </c>
      <c r="H73" s="970">
        <v>0</v>
      </c>
      <c r="I73" s="970"/>
      <c r="J73" s="970"/>
      <c r="K73" s="970"/>
      <c r="L73" s="970"/>
      <c r="M73" s="970"/>
      <c r="N73" s="970"/>
      <c r="O73" s="970"/>
      <c r="P73" s="970"/>
      <c r="Q73" s="970"/>
      <c r="R73" s="970"/>
      <c r="S73" s="970"/>
      <c r="T73" s="970"/>
      <c r="U73" s="970"/>
      <c r="V73" s="970"/>
      <c r="W73" s="970"/>
      <c r="X73" s="970"/>
      <c r="Y73" s="970"/>
      <c r="Z73" s="970"/>
      <c r="AA73" s="970"/>
      <c r="AB73" s="970"/>
      <c r="AC73" s="970"/>
      <c r="AD73" s="970"/>
      <c r="AE73" s="970"/>
      <c r="AF73" s="970"/>
      <c r="AG73" s="970"/>
      <c r="AH73" s="970"/>
      <c r="AI73" s="970"/>
      <c r="AJ73" s="970"/>
      <c r="AK73" s="970"/>
      <c r="AL73" s="970"/>
      <c r="AM73" s="970"/>
      <c r="AN73" s="970"/>
      <c r="AO73" s="970"/>
      <c r="AP73" s="970"/>
      <c r="AQ73" s="970"/>
      <c r="AR73" s="970"/>
      <c r="AS73" s="970"/>
      <c r="AT73" s="970"/>
      <c r="AU73" s="970"/>
      <c r="AV73" s="970"/>
      <c r="AW73" s="970"/>
      <c r="AX73" s="970"/>
      <c r="AY73" s="970"/>
      <c r="AZ73" s="970"/>
      <c r="BA73" s="970"/>
      <c r="BB73" s="970"/>
      <c r="BC73" s="970"/>
      <c r="BD73" s="970"/>
      <c r="BE73" s="970"/>
      <c r="BF73" s="970"/>
      <c r="BG73" s="970"/>
      <c r="BH73" s="970"/>
      <c r="BI73" s="970"/>
      <c r="BJ73" s="970"/>
      <c r="BK73" s="970"/>
      <c r="BL73" s="970"/>
      <c r="BM73" s="970"/>
      <c r="BN73" s="970"/>
      <c r="BO73" s="970"/>
      <c r="BP73" s="970"/>
      <c r="BQ73" s="970"/>
      <c r="BR73" s="970"/>
      <c r="BS73" s="970"/>
      <c r="BT73" s="970"/>
      <c r="BU73" s="970"/>
      <c r="BV73" s="970"/>
      <c r="BW73" s="970"/>
      <c r="BX73" s="970"/>
      <c r="BY73" s="970"/>
      <c r="BZ73" s="970"/>
      <c r="CA73" s="970"/>
      <c r="CB73" s="970"/>
      <c r="CC73" s="970"/>
      <c r="CD73" s="970"/>
      <c r="CE73" s="970"/>
      <c r="CF73" s="970"/>
      <c r="CG73" s="970"/>
      <c r="CH73" s="970"/>
      <c r="CI73" s="970"/>
      <c r="CJ73" s="970"/>
      <c r="CK73" s="970"/>
      <c r="CL73" s="970"/>
      <c r="CM73" s="970"/>
      <c r="CN73" s="970"/>
      <c r="CO73" s="970"/>
      <c r="CP73" s="970"/>
      <c r="CQ73" s="970"/>
      <c r="CR73" s="970"/>
      <c r="CS73" s="970"/>
      <c r="CT73" s="970"/>
      <c r="CU73" s="970"/>
      <c r="CV73" s="970"/>
      <c r="CW73" s="970"/>
      <c r="CX73" s="970"/>
      <c r="CY73" s="970"/>
      <c r="CZ73" s="970"/>
      <c r="DA73" s="970"/>
      <c r="DB73" s="970"/>
      <c r="DC73" s="970"/>
      <c r="DD73" s="970"/>
      <c r="DE73" s="970"/>
      <c r="DF73" s="970"/>
      <c r="DG73" s="970"/>
      <c r="DH73" s="970"/>
      <c r="DI73" s="970"/>
      <c r="DJ73" s="970"/>
      <c r="DK73" s="970"/>
      <c r="DL73" s="970"/>
      <c r="DM73" s="970"/>
      <c r="DN73" s="970"/>
      <c r="DO73" s="970"/>
      <c r="DP73" s="970"/>
      <c r="DQ73" s="970"/>
      <c r="DR73" s="970"/>
      <c r="DS73" s="970"/>
      <c r="DT73" s="970"/>
      <c r="DU73" s="970"/>
      <c r="DV73" s="970"/>
      <c r="DW73" s="970"/>
      <c r="DX73" s="970"/>
      <c r="DY73" s="970"/>
      <c r="DZ73" s="970"/>
      <c r="EA73" s="970"/>
      <c r="EB73" s="970"/>
      <c r="EC73" s="970"/>
      <c r="ED73" s="970"/>
      <c r="EE73" s="970"/>
      <c r="EF73" s="970"/>
      <c r="EG73" s="970"/>
      <c r="EH73" s="970"/>
      <c r="EI73" s="970"/>
      <c r="EJ73" s="970"/>
      <c r="EK73" s="970"/>
      <c r="EL73" s="970"/>
      <c r="EM73" s="970"/>
      <c r="EN73" s="970"/>
      <c r="EO73" s="970"/>
      <c r="EP73" s="970"/>
      <c r="EQ73" s="970"/>
      <c r="ER73" s="970"/>
      <c r="ES73" s="970"/>
      <c r="ET73" s="970"/>
      <c r="EU73" s="970"/>
      <c r="EV73" s="970"/>
      <c r="EW73" s="970"/>
      <c r="EX73" s="970"/>
      <c r="EY73" s="970"/>
      <c r="EZ73" s="970"/>
      <c r="FA73" s="970"/>
      <c r="FB73" s="970"/>
      <c r="FC73" s="970"/>
      <c r="FD73" s="970"/>
      <c r="FE73" s="970"/>
      <c r="FF73" s="970"/>
      <c r="FG73" s="970"/>
      <c r="FH73" s="970"/>
      <c r="FI73" s="970"/>
      <c r="FJ73" s="970"/>
      <c r="FK73" s="970"/>
      <c r="FL73" s="970"/>
      <c r="FM73" s="970"/>
      <c r="FN73" s="970"/>
      <c r="FO73" s="970"/>
      <c r="FP73" s="970"/>
      <c r="FQ73" s="970"/>
      <c r="FR73" s="970"/>
      <c r="FS73" s="970"/>
      <c r="FT73" s="970"/>
      <c r="FU73" s="970"/>
      <c r="FV73" s="970"/>
      <c r="FW73" s="970"/>
      <c r="FX73" s="970"/>
      <c r="FY73" s="970"/>
      <c r="FZ73" s="970"/>
      <c r="GA73" s="970"/>
      <c r="GB73" s="970"/>
      <c r="GC73" s="970"/>
      <c r="GD73" s="970"/>
      <c r="GE73" s="970"/>
      <c r="GF73" s="970"/>
      <c r="GG73" s="970"/>
      <c r="GH73" s="970"/>
      <c r="GI73" s="970"/>
      <c r="GJ73" s="970"/>
      <c r="GK73" s="970"/>
      <c r="GL73" s="970"/>
      <c r="GM73" s="970"/>
      <c r="GN73" s="970"/>
      <c r="GO73" s="970"/>
      <c r="GP73" s="970"/>
      <c r="GQ73" s="970"/>
      <c r="GR73" s="970"/>
      <c r="GS73" s="970"/>
      <c r="GT73" s="970"/>
      <c r="GU73" s="970"/>
      <c r="GV73" s="970"/>
      <c r="GW73" s="970"/>
      <c r="GX73" s="970"/>
      <c r="GY73" s="970"/>
      <c r="GZ73" s="970"/>
      <c r="HA73" s="970"/>
      <c r="HB73" s="970"/>
      <c r="HC73" s="970"/>
      <c r="HD73" s="970"/>
      <c r="HE73" s="970"/>
      <c r="HF73" s="970"/>
      <c r="HG73" s="970"/>
      <c r="HH73" s="970"/>
      <c r="HI73" s="970"/>
      <c r="HJ73" s="970"/>
      <c r="HK73" s="970"/>
      <c r="HL73" s="970"/>
      <c r="HM73" s="970"/>
      <c r="HN73" s="970"/>
      <c r="HO73" s="970"/>
      <c r="HP73" s="970"/>
      <c r="HQ73" s="970"/>
      <c r="HR73" s="970"/>
      <c r="HS73" s="970"/>
      <c r="HT73" s="970"/>
      <c r="HU73" s="970"/>
      <c r="HV73" s="970"/>
      <c r="HW73" s="970"/>
      <c r="HX73" s="970"/>
      <c r="HY73" s="970"/>
      <c r="HZ73" s="970"/>
      <c r="IA73" s="970"/>
      <c r="IB73" s="970"/>
      <c r="IC73" s="970"/>
      <c r="ID73" s="970"/>
      <c r="IE73" s="970"/>
      <c r="IF73" s="970"/>
      <c r="IG73" s="970"/>
      <c r="IH73" s="970"/>
      <c r="II73" s="970"/>
      <c r="IJ73" s="970"/>
      <c r="IK73" s="970"/>
      <c r="IL73" s="970"/>
      <c r="IM73" s="970"/>
      <c r="IN73" s="970"/>
      <c r="IO73" s="970"/>
      <c r="IP73" s="970"/>
      <c r="IQ73" s="970"/>
      <c r="IR73" s="970"/>
      <c r="IS73" s="970"/>
      <c r="IT73" s="970"/>
      <c r="IU73" s="970"/>
      <c r="IV73" s="970"/>
      <c r="IW73" s="970"/>
      <c r="IX73" s="970"/>
      <c r="IY73" s="970"/>
      <c r="IZ73" s="970"/>
      <c r="JA73" s="970"/>
      <c r="JB73" s="970"/>
      <c r="JC73" s="970"/>
      <c r="JD73" s="970"/>
      <c r="JE73" s="970"/>
      <c r="JF73" s="970"/>
      <c r="JG73" s="970"/>
      <c r="JH73" s="970"/>
      <c r="JI73" s="970"/>
      <c r="JJ73" s="970"/>
      <c r="JK73" s="970"/>
      <c r="JL73" s="970"/>
      <c r="JM73" s="970"/>
      <c r="JN73" s="970"/>
      <c r="JO73" s="970"/>
      <c r="JP73" s="970"/>
      <c r="JQ73" s="970"/>
      <c r="JR73" s="970"/>
      <c r="JS73" s="970"/>
      <c r="JT73" s="970"/>
      <c r="JU73" s="970"/>
      <c r="JV73" s="970"/>
      <c r="JW73" s="970"/>
      <c r="JX73" s="970"/>
      <c r="JY73" s="970"/>
      <c r="JZ73" s="970"/>
      <c r="KA73" s="970"/>
      <c r="KB73" s="970"/>
      <c r="KC73" s="970"/>
      <c r="KD73" s="970"/>
      <c r="KE73" s="970"/>
      <c r="KF73" s="970"/>
      <c r="KG73" s="970"/>
      <c r="KH73" s="970"/>
      <c r="KI73" s="970"/>
      <c r="KJ73" s="970"/>
      <c r="KK73" s="970"/>
      <c r="KL73" s="970"/>
      <c r="KM73" s="970"/>
      <c r="KN73" s="970"/>
      <c r="KO73" s="970"/>
      <c r="KP73" s="970"/>
      <c r="KQ73" s="970"/>
      <c r="KR73" s="970"/>
      <c r="KS73" s="970"/>
      <c r="KT73" s="970"/>
      <c r="KU73" s="970"/>
      <c r="KV73" s="970"/>
      <c r="KW73" s="970"/>
      <c r="KX73" s="970"/>
      <c r="KY73" s="970"/>
      <c r="KZ73" s="970"/>
      <c r="LA73" s="970"/>
      <c r="LB73" s="970"/>
      <c r="LC73" s="970"/>
      <c r="LD73" s="970"/>
      <c r="LE73" s="970"/>
      <c r="LF73" s="970"/>
      <c r="LG73" s="970"/>
      <c r="LH73" s="970"/>
      <c r="LI73" s="970"/>
      <c r="LJ73" s="970"/>
      <c r="LK73" s="970"/>
      <c r="LL73" s="970"/>
      <c r="LM73" s="970"/>
      <c r="LN73" s="970"/>
      <c r="LO73" s="970"/>
      <c r="LP73" s="970"/>
      <c r="LQ73" s="970"/>
      <c r="LR73" s="970"/>
      <c r="LS73" s="970"/>
      <c r="LT73" s="970"/>
      <c r="LU73" s="970"/>
      <c r="LV73" s="970"/>
      <c r="LW73" s="970"/>
      <c r="LX73" s="970"/>
      <c r="LY73" s="970"/>
      <c r="LZ73" s="970"/>
      <c r="MA73" s="970"/>
      <c r="MB73" s="970"/>
      <c r="MC73" s="970"/>
      <c r="MD73" s="970"/>
      <c r="ME73" s="970"/>
      <c r="MF73" s="970"/>
      <c r="MG73" s="970"/>
      <c r="MH73" s="970"/>
      <c r="MI73" s="970"/>
      <c r="MJ73" s="970"/>
      <c r="MK73" s="970"/>
      <c r="ML73" s="970"/>
      <c r="MM73" s="970"/>
      <c r="MN73" s="970"/>
      <c r="MO73" s="970"/>
      <c r="MP73" s="970"/>
      <c r="MQ73" s="970"/>
      <c r="MR73" s="970"/>
      <c r="MS73" s="970"/>
      <c r="MT73" s="970"/>
      <c r="MU73" s="970"/>
      <c r="MV73" s="970"/>
      <c r="MW73" s="970"/>
      <c r="MX73" s="970"/>
      <c r="MY73" s="970"/>
      <c r="MZ73" s="970"/>
      <c r="NA73" s="970"/>
      <c r="NB73" s="970"/>
      <c r="NC73" s="970"/>
      <c r="ND73" s="970"/>
      <c r="NE73" s="970"/>
      <c r="NF73" s="970"/>
      <c r="NG73" s="970"/>
      <c r="NH73" s="970"/>
      <c r="NI73" s="970"/>
      <c r="NJ73" s="970"/>
      <c r="NK73" s="970"/>
      <c r="NL73" s="970"/>
      <c r="NM73" s="970"/>
      <c r="NN73" s="970"/>
      <c r="NO73" s="970"/>
      <c r="NP73" s="970"/>
      <c r="NQ73" s="970"/>
      <c r="NR73" s="970"/>
      <c r="NS73" s="970"/>
      <c r="NT73" s="970"/>
      <c r="NU73" s="970"/>
      <c r="NV73" s="970"/>
      <c r="NW73" s="970"/>
      <c r="NX73" s="970"/>
      <c r="NY73" s="970"/>
      <c r="NZ73" s="970"/>
      <c r="OA73" s="970"/>
      <c r="OB73" s="970"/>
      <c r="OC73" s="970"/>
      <c r="OD73" s="970"/>
      <c r="OE73" s="970"/>
      <c r="OF73" s="970"/>
      <c r="OG73" s="970"/>
      <c r="OH73" s="970"/>
      <c r="OI73" s="970"/>
      <c r="OJ73" s="970"/>
      <c r="OK73" s="970"/>
      <c r="OL73" s="970"/>
      <c r="OM73" s="970"/>
      <c r="ON73" s="970"/>
      <c r="OO73" s="970"/>
      <c r="OP73" s="970"/>
      <c r="OQ73" s="970"/>
      <c r="OR73" s="970"/>
      <c r="OS73" s="970"/>
      <c r="OT73" s="970"/>
      <c r="OU73" s="970"/>
      <c r="OV73" s="970"/>
      <c r="OW73" s="970"/>
      <c r="OX73" s="970"/>
      <c r="OY73" s="970"/>
      <c r="OZ73" s="970"/>
      <c r="PA73" s="970"/>
      <c r="PB73" s="970"/>
      <c r="PC73" s="970"/>
      <c r="PD73" s="970"/>
      <c r="PE73" s="970"/>
      <c r="PF73" s="970"/>
      <c r="PG73" s="970"/>
      <c r="PH73" s="970"/>
      <c r="PI73" s="970"/>
      <c r="PJ73" s="970"/>
      <c r="PK73" s="970"/>
      <c r="PL73" s="970"/>
      <c r="PM73" s="970"/>
      <c r="PN73" s="970"/>
      <c r="PO73" s="970"/>
      <c r="PP73" s="970"/>
      <c r="PQ73" s="970"/>
      <c r="PR73" s="970"/>
      <c r="PS73" s="970"/>
      <c r="PT73" s="970"/>
      <c r="PU73" s="970"/>
      <c r="PV73" s="970"/>
      <c r="PW73" s="970"/>
      <c r="PX73" s="970"/>
      <c r="PY73" s="970"/>
      <c r="PZ73" s="970"/>
      <c r="QA73" s="970"/>
      <c r="QB73" s="970"/>
      <c r="QC73" s="970"/>
      <c r="QD73" s="970"/>
      <c r="QE73" s="970"/>
      <c r="QF73" s="970"/>
      <c r="QG73" s="970"/>
      <c r="QH73" s="970"/>
      <c r="QI73" s="970"/>
      <c r="QJ73" s="970"/>
      <c r="QK73" s="970"/>
      <c r="QL73" s="970"/>
      <c r="QM73" s="970"/>
      <c r="QN73" s="970"/>
      <c r="QO73" s="970"/>
      <c r="QP73" s="970"/>
      <c r="QQ73" s="970"/>
      <c r="QR73" s="970"/>
      <c r="QS73" s="970"/>
      <c r="QT73" s="970"/>
      <c r="QU73" s="970"/>
      <c r="QV73" s="970"/>
      <c r="QW73" s="970"/>
      <c r="QX73" s="970"/>
      <c r="QY73" s="970"/>
      <c r="QZ73" s="970"/>
      <c r="RA73" s="970"/>
      <c r="RB73" s="970"/>
      <c r="RC73" s="970"/>
      <c r="RD73" s="970"/>
      <c r="RE73" s="970"/>
      <c r="RF73" s="970"/>
      <c r="RG73" s="970"/>
      <c r="RH73" s="970"/>
      <c r="RI73" s="970"/>
      <c r="RJ73" s="970"/>
      <c r="RK73" s="970"/>
      <c r="RL73" s="970"/>
      <c r="RM73" s="970"/>
      <c r="RN73" s="970"/>
      <c r="RO73" s="970"/>
      <c r="RP73" s="970"/>
      <c r="RQ73" s="970"/>
      <c r="RR73" s="970"/>
      <c r="RS73" s="970"/>
      <c r="RT73" s="970"/>
      <c r="RU73" s="970"/>
      <c r="RV73" s="970"/>
      <c r="RW73" s="970"/>
      <c r="RX73" s="970"/>
      <c r="RY73" s="970"/>
      <c r="RZ73" s="970"/>
      <c r="SA73" s="970"/>
      <c r="SB73" s="970"/>
      <c r="SC73" s="970"/>
      <c r="SD73" s="970"/>
      <c r="SE73" s="970"/>
      <c r="SF73" s="970"/>
      <c r="SG73" s="970"/>
      <c r="SH73" s="970"/>
      <c r="SI73" s="970"/>
      <c r="SJ73" s="970"/>
      <c r="SK73" s="970"/>
      <c r="SL73" s="970"/>
      <c r="SM73" s="970"/>
      <c r="SN73" s="970"/>
      <c r="SO73" s="970"/>
      <c r="SP73" s="970"/>
      <c r="SQ73" s="970"/>
      <c r="SR73" s="970"/>
    </row>
    <row r="74" spans="1:512" ht="15" customHeight="1">
      <c r="A74"/>
      <c r="B74"/>
      <c r="C74"/>
      <c r="D74"/>
      <c r="E74"/>
      <c r="F74"/>
      <c r="G74" s="982"/>
      <c r="H74" s="982"/>
      <c r="I74" s="982"/>
      <c r="J74" s="982"/>
      <c r="K74" s="982"/>
      <c r="L74" s="982"/>
      <c r="M74" s="982"/>
      <c r="N74" s="982"/>
      <c r="O74" s="982"/>
      <c r="P74" s="982"/>
      <c r="Q74" s="982"/>
      <c r="R74" s="982"/>
      <c r="S74" s="982"/>
      <c r="T74" s="982"/>
      <c r="U74" s="982"/>
      <c r="V74" s="982"/>
      <c r="W74" s="982"/>
      <c r="X74" s="982"/>
      <c r="Y74" s="982"/>
      <c r="Z74" s="982"/>
      <c r="AA74" s="982"/>
      <c r="AB74" s="982"/>
      <c r="AC74" s="982"/>
      <c r="AD74" s="982"/>
      <c r="AE74" s="982"/>
      <c r="AF74" s="982"/>
      <c r="AG74" s="982"/>
      <c r="AH74" s="982"/>
      <c r="AI74" s="982"/>
      <c r="AJ74" s="982"/>
      <c r="AK74" s="982"/>
      <c r="AL74" s="982"/>
      <c r="AM74" s="982"/>
      <c r="AN74" s="982"/>
      <c r="AO74" s="982"/>
      <c r="AP74" s="982"/>
      <c r="AQ74" s="982"/>
      <c r="AR74" s="982"/>
      <c r="AS74" s="982"/>
      <c r="AT74" s="982"/>
      <c r="AU74" s="982"/>
      <c r="AV74" s="982"/>
      <c r="AW74" s="982"/>
      <c r="AX74" s="982"/>
      <c r="AY74" s="982"/>
      <c r="AZ74" s="982"/>
      <c r="BA74" s="982"/>
      <c r="BB74" s="982"/>
      <c r="BC74" s="982"/>
      <c r="BD74" s="982"/>
      <c r="BE74" s="982"/>
      <c r="BF74" s="971"/>
      <c r="BG74" s="971"/>
      <c r="BH74" s="971"/>
      <c r="BI74" s="971"/>
      <c r="BJ74" s="971"/>
      <c r="BK74" s="971"/>
      <c r="BL74" s="971"/>
      <c r="BM74" s="971"/>
      <c r="BN74" s="971"/>
      <c r="BO74" s="971"/>
      <c r="BP74" s="971"/>
      <c r="BQ74" s="971"/>
      <c r="BR74" s="971"/>
      <c r="BS74" s="971"/>
      <c r="BT74" s="971"/>
      <c r="BU74" s="971"/>
      <c r="BV74" s="971"/>
      <c r="BW74" s="971"/>
      <c r="BX74" s="971"/>
      <c r="BY74" s="971"/>
      <c r="BZ74" s="971"/>
      <c r="CA74" s="971"/>
      <c r="CB74" s="971"/>
      <c r="CC74" s="971"/>
      <c r="CD74" s="971"/>
      <c r="CE74" s="971"/>
      <c r="CF74" s="971"/>
      <c r="CG74" s="971"/>
      <c r="CH74" s="971"/>
      <c r="CI74" s="971"/>
      <c r="CJ74" s="971"/>
      <c r="CK74" s="971"/>
      <c r="CL74" s="971"/>
      <c r="CM74" s="971"/>
      <c r="CN74" s="971"/>
      <c r="CO74" s="971"/>
      <c r="CP74" s="971"/>
      <c r="CQ74" s="971"/>
      <c r="CR74" s="971"/>
      <c r="CS74" s="971"/>
      <c r="CT74" s="971"/>
      <c r="CU74" s="971"/>
      <c r="CV74" s="971"/>
      <c r="CW74" s="971"/>
      <c r="CX74" s="971"/>
      <c r="CY74" s="971"/>
      <c r="CZ74" s="971"/>
      <c r="DA74" s="971"/>
      <c r="DB74" s="971"/>
      <c r="DC74" s="971"/>
      <c r="DD74" s="971"/>
      <c r="DE74" s="971"/>
      <c r="DF74" s="971"/>
      <c r="DG74" s="971"/>
      <c r="DH74" s="971"/>
      <c r="DI74" s="971"/>
      <c r="DJ74" s="971"/>
      <c r="DK74" s="971"/>
      <c r="DL74" s="971"/>
      <c r="DM74" s="971"/>
      <c r="DN74" s="971"/>
      <c r="DO74" s="971"/>
      <c r="DP74" s="971"/>
      <c r="DQ74" s="971"/>
      <c r="DR74" s="971"/>
      <c r="DS74" s="971"/>
      <c r="DT74" s="971"/>
      <c r="DU74" s="971"/>
      <c r="DV74" s="971"/>
      <c r="DW74" s="971"/>
      <c r="DX74" s="971"/>
      <c r="DY74" s="971"/>
      <c r="DZ74" s="971"/>
      <c r="EA74" s="971"/>
      <c r="EB74" s="971"/>
      <c r="EC74" s="971"/>
      <c r="ED74" s="971"/>
      <c r="EE74" s="971"/>
      <c r="EF74" s="971"/>
      <c r="EG74" s="971"/>
      <c r="EH74" s="971"/>
      <c r="EI74" s="971"/>
      <c r="EJ74" s="971"/>
      <c r="EK74" s="971"/>
      <c r="EL74" s="971"/>
      <c r="EM74" s="971"/>
      <c r="EN74" s="971"/>
      <c r="EO74" s="971"/>
      <c r="EP74" s="971"/>
      <c r="EQ74" s="971"/>
      <c r="ER74" s="971"/>
      <c r="ES74" s="971"/>
      <c r="ET74" s="971"/>
      <c r="EU74" s="971"/>
      <c r="EV74" s="971"/>
      <c r="EW74" s="971"/>
      <c r="EX74" s="971"/>
      <c r="EY74" s="971"/>
      <c r="EZ74" s="971"/>
      <c r="FA74" s="971"/>
      <c r="FB74" s="971"/>
      <c r="FC74" s="971"/>
      <c r="FD74" s="971"/>
      <c r="FE74" s="971"/>
      <c r="FF74" s="971"/>
      <c r="FG74" s="971"/>
      <c r="FH74" s="971"/>
      <c r="FI74" s="971"/>
      <c r="FJ74" s="971"/>
      <c r="FK74" s="971"/>
      <c r="FL74" s="971"/>
      <c r="FM74" s="971"/>
      <c r="FN74" s="971"/>
      <c r="FO74" s="971"/>
      <c r="FP74" s="971"/>
      <c r="FQ74" s="971"/>
      <c r="FR74" s="971"/>
      <c r="FS74" s="971"/>
      <c r="FT74" s="971"/>
      <c r="FU74" s="971"/>
      <c r="FV74" s="971"/>
      <c r="FW74" s="971"/>
      <c r="FX74" s="971"/>
      <c r="FY74" s="971"/>
      <c r="FZ74" s="971"/>
      <c r="GA74" s="971"/>
      <c r="GB74" s="971"/>
      <c r="GC74" s="971"/>
      <c r="GD74" s="971"/>
      <c r="GE74" s="971"/>
      <c r="GF74" s="971"/>
      <c r="GG74" s="971"/>
      <c r="GH74" s="971"/>
      <c r="GI74" s="971"/>
      <c r="GJ74" s="971"/>
      <c r="GK74" s="971"/>
      <c r="GL74" s="971"/>
      <c r="GM74" s="971"/>
      <c r="GN74" s="971"/>
      <c r="GO74" s="971"/>
      <c r="GP74" s="971"/>
      <c r="GQ74" s="971"/>
      <c r="GR74" s="971"/>
      <c r="GS74" s="971"/>
      <c r="GT74" s="971"/>
      <c r="GU74" s="971"/>
      <c r="GV74" s="971"/>
      <c r="GW74" s="971"/>
      <c r="GX74" s="971"/>
      <c r="GY74" s="971"/>
      <c r="GZ74" s="971"/>
      <c r="HA74" s="971"/>
      <c r="HB74" s="971"/>
      <c r="HC74" s="971"/>
      <c r="HD74" s="971"/>
      <c r="HE74" s="971"/>
      <c r="HF74" s="971"/>
      <c r="HG74" s="971"/>
      <c r="HH74" s="971"/>
      <c r="HI74" s="971"/>
      <c r="HJ74" s="971"/>
      <c r="HK74" s="971"/>
      <c r="HL74" s="971"/>
      <c r="HM74" s="971"/>
      <c r="HN74" s="971"/>
      <c r="HO74" s="971"/>
      <c r="HP74" s="971"/>
      <c r="HQ74" s="971"/>
      <c r="HR74" s="971"/>
      <c r="HS74" s="971"/>
      <c r="HT74" s="971"/>
      <c r="HU74" s="971"/>
      <c r="HV74" s="971"/>
      <c r="HW74" s="971"/>
      <c r="HX74" s="971"/>
      <c r="HY74" s="971"/>
      <c r="HZ74" s="971"/>
      <c r="IA74" s="971"/>
      <c r="IB74" s="971"/>
      <c r="IC74" s="971"/>
      <c r="ID74" s="971"/>
      <c r="IE74" s="971"/>
      <c r="IF74" s="971"/>
      <c r="IG74" s="971"/>
      <c r="IH74" s="971"/>
      <c r="II74" s="971"/>
      <c r="IJ74" s="971"/>
      <c r="IK74" s="971"/>
      <c r="IL74" s="971"/>
      <c r="IM74" s="971"/>
      <c r="IN74" s="971"/>
      <c r="IO74" s="971"/>
      <c r="IP74" s="971"/>
      <c r="IQ74" s="971"/>
      <c r="IR74" s="971"/>
      <c r="IS74" s="971"/>
      <c r="IT74" s="971"/>
      <c r="IU74" s="971"/>
      <c r="IV74" s="971"/>
      <c r="IW74" s="971"/>
      <c r="IX74" s="971"/>
      <c r="IY74" s="971"/>
      <c r="IZ74" s="971"/>
      <c r="JA74" s="971"/>
      <c r="JB74" s="971"/>
      <c r="JC74" s="971"/>
      <c r="JD74" s="971"/>
      <c r="JE74" s="971"/>
      <c r="JF74" s="971"/>
      <c r="JG74" s="971"/>
      <c r="JH74" s="971"/>
      <c r="JI74" s="971"/>
      <c r="JJ74" s="971"/>
      <c r="JK74" s="971"/>
      <c r="JL74" s="971"/>
      <c r="JM74" s="971"/>
      <c r="JN74" s="971"/>
      <c r="JO74" s="971"/>
      <c r="JP74" s="971"/>
      <c r="JQ74" s="971"/>
      <c r="JR74" s="971"/>
      <c r="JS74" s="971"/>
      <c r="JT74" s="971"/>
      <c r="JU74" s="971"/>
      <c r="JV74" s="971"/>
      <c r="JW74" s="971"/>
      <c r="JX74" s="971"/>
      <c r="JY74" s="971"/>
      <c r="JZ74" s="971"/>
      <c r="KA74" s="971"/>
      <c r="KB74" s="971"/>
      <c r="KC74" s="971"/>
      <c r="KD74" s="971"/>
      <c r="KE74" s="971"/>
      <c r="KF74" s="971"/>
      <c r="KG74" s="971"/>
      <c r="KH74" s="971"/>
      <c r="KI74" s="971"/>
      <c r="KJ74" s="971"/>
      <c r="KK74" s="971"/>
      <c r="KL74" s="971"/>
      <c r="KM74" s="971"/>
      <c r="KN74" s="971"/>
      <c r="KO74" s="971"/>
      <c r="KP74" s="971"/>
      <c r="KQ74" s="971"/>
      <c r="KR74" s="971"/>
      <c r="KS74" s="971"/>
      <c r="KT74" s="971"/>
      <c r="KU74" s="971"/>
      <c r="KV74" s="971"/>
      <c r="KW74" s="971"/>
      <c r="KX74" s="971"/>
      <c r="KY74" s="971"/>
      <c r="KZ74" s="971"/>
      <c r="LA74" s="971"/>
      <c r="LB74" s="971"/>
      <c r="LC74" s="971"/>
      <c r="LD74" s="971"/>
      <c r="LE74" s="971"/>
      <c r="LF74" s="971"/>
      <c r="LG74" s="971"/>
      <c r="LH74" s="971"/>
      <c r="LI74" s="971"/>
      <c r="LJ74" s="971"/>
      <c r="LK74" s="971"/>
      <c r="LL74" s="971"/>
      <c r="LM74" s="971"/>
      <c r="LN74" s="971"/>
      <c r="LO74" s="971"/>
      <c r="LP74" s="971"/>
      <c r="LQ74" s="971"/>
      <c r="LR74" s="971"/>
      <c r="LS74" s="971"/>
      <c r="LT74" s="971"/>
      <c r="LU74" s="971"/>
      <c r="LV74" s="971"/>
      <c r="LW74" s="971"/>
      <c r="LX74" s="971"/>
      <c r="LY74" s="971"/>
      <c r="LZ74" s="971"/>
      <c r="MA74" s="971"/>
      <c r="MB74" s="971"/>
      <c r="MC74" s="971"/>
      <c r="MD74" s="971"/>
      <c r="ME74" s="971"/>
      <c r="MF74" s="971"/>
      <c r="MG74" s="971"/>
      <c r="MH74" s="971"/>
      <c r="MI74" s="971"/>
      <c r="MJ74" s="971"/>
      <c r="MK74" s="971"/>
      <c r="ML74" s="971"/>
      <c r="MM74" s="971"/>
      <c r="MN74" s="971"/>
      <c r="MO74" s="971"/>
      <c r="MP74" s="971"/>
      <c r="MQ74" s="971"/>
      <c r="MR74" s="971"/>
      <c r="MS74" s="971"/>
      <c r="MT74" s="971"/>
      <c r="MU74" s="971"/>
      <c r="MV74" s="971"/>
      <c r="MW74" s="971"/>
      <c r="MX74" s="971"/>
      <c r="MY74" s="971"/>
      <c r="MZ74" s="971"/>
      <c r="NA74" s="971"/>
      <c r="NB74" s="971"/>
      <c r="NC74" s="971"/>
      <c r="ND74" s="971"/>
      <c r="NE74" s="971"/>
      <c r="NF74" s="971"/>
      <c r="NG74" s="971"/>
      <c r="NH74" s="971"/>
      <c r="NI74" s="971"/>
      <c r="NJ74" s="971"/>
      <c r="NK74" s="971"/>
      <c r="NL74" s="971"/>
      <c r="NM74" s="971"/>
      <c r="NN74" s="971"/>
      <c r="NO74" s="971"/>
      <c r="NP74" s="971"/>
      <c r="NQ74" s="971"/>
      <c r="NR74" s="971"/>
      <c r="NS74" s="971"/>
      <c r="NT74" s="971"/>
      <c r="NU74" s="971"/>
      <c r="NV74" s="971"/>
      <c r="NW74" s="971"/>
      <c r="NX74" s="971"/>
      <c r="NY74" s="971"/>
      <c r="NZ74" s="971"/>
      <c r="OA74" s="971"/>
      <c r="OB74" s="971"/>
      <c r="OC74" s="971"/>
      <c r="OD74" s="971"/>
      <c r="OE74" s="971"/>
      <c r="OF74" s="971"/>
      <c r="OG74" s="971"/>
      <c r="OH74" s="971"/>
      <c r="OI74" s="971"/>
      <c r="OJ74" s="971"/>
      <c r="OK74" s="971"/>
      <c r="OL74" s="971"/>
      <c r="OM74" s="971"/>
      <c r="ON74" s="971"/>
      <c r="OO74" s="971"/>
      <c r="OP74" s="971"/>
      <c r="OQ74" s="971"/>
      <c r="OR74" s="971"/>
      <c r="OS74" s="971"/>
      <c r="OT74" s="971"/>
      <c r="OU74" s="971"/>
      <c r="OV74" s="971"/>
      <c r="OW74" s="971"/>
      <c r="OX74" s="971"/>
      <c r="OY74" s="971"/>
      <c r="OZ74" s="971"/>
      <c r="PA74" s="971"/>
      <c r="PB74" s="971"/>
      <c r="PC74" s="971"/>
      <c r="PD74" s="971"/>
      <c r="PE74" s="971"/>
      <c r="PF74" s="971"/>
      <c r="PG74" s="971"/>
      <c r="PH74" s="971"/>
      <c r="PI74" s="971"/>
      <c r="PJ74" s="971"/>
      <c r="PK74" s="971"/>
      <c r="PL74" s="971"/>
      <c r="PM74" s="971"/>
      <c r="PN74" s="971"/>
      <c r="PO74" s="971"/>
      <c r="PP74" s="971"/>
      <c r="PQ74" s="971"/>
      <c r="PR74" s="971"/>
      <c r="PS74" s="971"/>
      <c r="PT74" s="971"/>
      <c r="PU74" s="971"/>
      <c r="PV74" s="971"/>
      <c r="PW74" s="971"/>
      <c r="PX74" s="971"/>
      <c r="PY74" s="971"/>
      <c r="PZ74" s="971"/>
      <c r="QA74" s="971"/>
      <c r="QB74" s="971"/>
      <c r="QC74" s="971"/>
      <c r="QD74" s="971"/>
      <c r="QE74" s="971"/>
      <c r="QF74" s="971"/>
      <c r="QG74" s="971"/>
      <c r="QH74" s="971"/>
      <c r="QI74" s="971"/>
      <c r="QJ74" s="971"/>
      <c r="QK74" s="971"/>
      <c r="QL74" s="971"/>
      <c r="QM74" s="971"/>
      <c r="QN74" s="971"/>
      <c r="QO74" s="971"/>
      <c r="QP74" s="971"/>
      <c r="QQ74" s="971"/>
      <c r="QR74" s="971"/>
      <c r="QS74" s="971"/>
      <c r="QT74" s="971"/>
      <c r="QU74" s="971"/>
      <c r="QV74" s="971"/>
      <c r="QW74" s="971"/>
      <c r="QX74" s="971"/>
      <c r="QY74" s="971"/>
      <c r="QZ74" s="971"/>
      <c r="RA74" s="971"/>
      <c r="RB74" s="971"/>
      <c r="RC74" s="971"/>
      <c r="RD74" s="971"/>
      <c r="RE74" s="971"/>
      <c r="RF74" s="971"/>
      <c r="RG74" s="971"/>
      <c r="RH74" s="971"/>
      <c r="RI74" s="971"/>
      <c r="RJ74" s="971"/>
      <c r="RK74" s="971"/>
      <c r="RL74" s="971"/>
      <c r="RM74" s="971"/>
      <c r="RN74" s="971"/>
      <c r="RO74" s="971"/>
      <c r="RP74" s="971"/>
      <c r="RQ74" s="971"/>
      <c r="RR74" s="971"/>
      <c r="RS74" s="971"/>
      <c r="RT74" s="971"/>
      <c r="RU74" s="971"/>
      <c r="RV74" s="971"/>
      <c r="RW74" s="971"/>
      <c r="RX74" s="971"/>
      <c r="RY74" s="971"/>
      <c r="RZ74" s="971"/>
      <c r="SA74" s="971"/>
      <c r="SB74" s="971"/>
      <c r="SC74" s="971"/>
      <c r="SD74" s="971"/>
      <c r="SE74" s="971"/>
      <c r="SF74" s="971"/>
      <c r="SG74" s="971"/>
      <c r="SH74" s="971"/>
      <c r="SI74" s="971"/>
      <c r="SJ74" s="971"/>
      <c r="SK74" s="971"/>
      <c r="SL74" s="971"/>
      <c r="SM74" s="971"/>
      <c r="SN74" s="971"/>
      <c r="SO74" s="971"/>
      <c r="SP74" s="971"/>
      <c r="SQ74" s="971"/>
      <c r="SR74" s="971"/>
    </row>
    <row r="75" spans="1:512" ht="15" customHeight="1">
      <c r="A75" t="s">
        <v>2710</v>
      </c>
      <c r="B75"/>
      <c r="C75"/>
      <c r="D75"/>
      <c r="E75"/>
      <c r="F75"/>
      <c r="G75" s="983"/>
      <c r="H75" s="983"/>
      <c r="I75" s="983"/>
      <c r="J75" s="983"/>
      <c r="K75" s="983"/>
      <c r="L75" s="983"/>
      <c r="M75" s="983"/>
      <c r="N75" s="983"/>
      <c r="O75" s="983"/>
      <c r="P75" s="983"/>
      <c r="Q75" s="983"/>
      <c r="R75" s="983"/>
      <c r="S75" s="983"/>
      <c r="T75" s="983"/>
      <c r="U75" s="983"/>
      <c r="V75" s="983"/>
      <c r="W75" s="983"/>
      <c r="X75" s="983"/>
      <c r="Y75" s="983"/>
      <c r="Z75" s="983"/>
      <c r="AA75" s="983"/>
      <c r="AB75" s="983"/>
      <c r="AC75" s="983"/>
      <c r="AD75" s="983"/>
      <c r="AE75" s="983"/>
      <c r="AF75" s="983"/>
      <c r="AG75" s="983"/>
      <c r="AH75" s="983"/>
      <c r="AI75" s="983"/>
      <c r="AJ75" s="983"/>
      <c r="AK75" s="983"/>
      <c r="AL75" s="983"/>
      <c r="AM75" s="983"/>
      <c r="AN75" s="983"/>
      <c r="AO75" s="983"/>
      <c r="AP75" s="983"/>
      <c r="AQ75" s="983"/>
      <c r="AR75" s="983"/>
      <c r="AS75" s="983"/>
      <c r="AT75" s="983"/>
      <c r="AU75" s="983"/>
      <c r="AV75" s="983"/>
      <c r="AW75" s="983"/>
      <c r="AX75" s="983"/>
      <c r="AY75" s="983"/>
      <c r="AZ75" s="983"/>
      <c r="BA75" s="983"/>
      <c r="BB75" s="983"/>
      <c r="BC75" s="983"/>
      <c r="BD75" s="983"/>
      <c r="BE75" s="983"/>
      <c r="BF75" s="971"/>
      <c r="BG75" s="971"/>
      <c r="BH75" s="971"/>
      <c r="BI75" s="971"/>
      <c r="BJ75" s="971"/>
      <c r="BK75" s="971"/>
      <c r="BL75" s="971"/>
      <c r="BM75" s="971"/>
      <c r="BN75" s="971"/>
      <c r="BO75" s="971"/>
      <c r="BP75" s="971"/>
      <c r="BQ75" s="971"/>
      <c r="BR75" s="971"/>
      <c r="BS75" s="971"/>
      <c r="BT75" s="971"/>
      <c r="BU75" s="971"/>
      <c r="BV75" s="971"/>
      <c r="BW75" s="971"/>
      <c r="BX75" s="971"/>
      <c r="BY75" s="971"/>
      <c r="BZ75" s="971"/>
      <c r="CA75" s="971"/>
      <c r="CB75" s="971"/>
      <c r="CC75" s="971"/>
      <c r="CD75" s="971"/>
      <c r="CE75" s="971"/>
      <c r="CF75" s="971"/>
      <c r="CG75" s="971"/>
      <c r="CH75" s="971"/>
      <c r="CI75" s="971"/>
      <c r="CJ75" s="971"/>
      <c r="CK75" s="971"/>
      <c r="CL75" s="971"/>
      <c r="CM75" s="971"/>
      <c r="CN75" s="971"/>
      <c r="CO75" s="971"/>
      <c r="CP75" s="971"/>
      <c r="CQ75" s="971"/>
      <c r="CR75" s="971"/>
      <c r="CS75" s="971"/>
      <c r="CT75" s="971"/>
      <c r="CU75" s="971"/>
      <c r="CV75" s="971"/>
      <c r="CW75" s="971"/>
      <c r="CX75" s="971"/>
      <c r="CY75" s="971"/>
      <c r="CZ75" s="971"/>
      <c r="DA75" s="971"/>
      <c r="DB75" s="971"/>
      <c r="DC75" s="971"/>
      <c r="DD75" s="971"/>
      <c r="DE75" s="971"/>
      <c r="DF75" s="971"/>
      <c r="DG75" s="971"/>
      <c r="DH75" s="971"/>
      <c r="DI75" s="971"/>
      <c r="DJ75" s="971"/>
      <c r="DK75" s="971"/>
      <c r="DL75" s="971"/>
      <c r="DM75" s="971"/>
      <c r="DN75" s="971"/>
      <c r="DO75" s="971"/>
      <c r="DP75" s="971"/>
      <c r="DQ75" s="971"/>
      <c r="DR75" s="971"/>
      <c r="DS75" s="971"/>
      <c r="DT75" s="971"/>
      <c r="DU75" s="971"/>
      <c r="DV75" s="971"/>
      <c r="DW75" s="971"/>
      <c r="DX75" s="971"/>
      <c r="DY75" s="971"/>
      <c r="DZ75" s="971"/>
      <c r="EA75" s="971"/>
      <c r="EB75" s="971"/>
      <c r="EC75" s="971"/>
      <c r="ED75" s="971"/>
      <c r="EE75" s="971"/>
      <c r="EF75" s="971"/>
      <c r="EG75" s="971"/>
      <c r="EH75" s="971"/>
      <c r="EI75" s="971"/>
      <c r="EJ75" s="971"/>
      <c r="EK75" s="971"/>
      <c r="EL75" s="971"/>
      <c r="EM75" s="971"/>
      <c r="EN75" s="971"/>
      <c r="EO75" s="971"/>
      <c r="EP75" s="971"/>
      <c r="EQ75" s="971"/>
      <c r="ER75" s="971"/>
      <c r="ES75" s="971"/>
      <c r="ET75" s="971"/>
      <c r="EU75" s="971"/>
      <c r="EV75" s="971"/>
      <c r="EW75" s="971"/>
      <c r="EX75" s="971"/>
      <c r="EY75" s="971"/>
      <c r="EZ75" s="971"/>
      <c r="FA75" s="971"/>
      <c r="FB75" s="971"/>
      <c r="FC75" s="971"/>
      <c r="FD75" s="971"/>
      <c r="FE75" s="971"/>
      <c r="FF75" s="971"/>
      <c r="FG75" s="971"/>
      <c r="FH75" s="971"/>
      <c r="FI75" s="971"/>
      <c r="FJ75" s="971"/>
      <c r="FK75" s="971"/>
      <c r="FL75" s="971"/>
      <c r="FM75" s="971"/>
      <c r="FN75" s="971"/>
      <c r="FO75" s="971"/>
      <c r="FP75" s="971"/>
      <c r="FQ75" s="971"/>
      <c r="FR75" s="971"/>
      <c r="FS75" s="971"/>
      <c r="FT75" s="971"/>
      <c r="FU75" s="971"/>
      <c r="FV75" s="971"/>
      <c r="FW75" s="971"/>
      <c r="FX75" s="971"/>
      <c r="FY75" s="971"/>
      <c r="FZ75" s="971"/>
      <c r="GA75" s="971"/>
      <c r="GB75" s="971"/>
      <c r="GC75" s="971"/>
      <c r="GD75" s="971"/>
      <c r="GE75" s="971"/>
      <c r="GF75" s="971"/>
      <c r="GG75" s="971"/>
      <c r="GH75" s="971"/>
      <c r="GI75" s="971"/>
      <c r="GJ75" s="971"/>
      <c r="GK75" s="971"/>
      <c r="GL75" s="971"/>
      <c r="GM75" s="971"/>
      <c r="GN75" s="971"/>
      <c r="GO75" s="971"/>
      <c r="GP75" s="971"/>
      <c r="GQ75" s="971"/>
      <c r="GR75" s="971"/>
      <c r="GS75" s="971"/>
      <c r="GT75" s="971"/>
      <c r="GU75" s="971"/>
      <c r="GV75" s="971"/>
      <c r="GW75" s="971"/>
      <c r="GX75" s="971"/>
      <c r="GY75" s="971"/>
      <c r="GZ75" s="971"/>
      <c r="HA75" s="971"/>
      <c r="HB75" s="971"/>
      <c r="HC75" s="971"/>
      <c r="HD75" s="971"/>
      <c r="HE75" s="971"/>
      <c r="HF75" s="971"/>
      <c r="HG75" s="971"/>
      <c r="HH75" s="971"/>
      <c r="HI75" s="971"/>
      <c r="HJ75" s="971"/>
      <c r="HK75" s="971"/>
      <c r="HL75" s="971"/>
      <c r="HM75" s="971"/>
      <c r="HN75" s="971"/>
      <c r="HO75" s="971"/>
      <c r="HP75" s="971"/>
      <c r="HQ75" s="971"/>
      <c r="HR75" s="971"/>
      <c r="HS75" s="971"/>
      <c r="HT75" s="971"/>
      <c r="HU75" s="971"/>
      <c r="HV75" s="971"/>
      <c r="HW75" s="971"/>
      <c r="HX75" s="971"/>
      <c r="HY75" s="971"/>
      <c r="HZ75" s="971"/>
      <c r="IA75" s="971"/>
      <c r="IB75" s="971"/>
      <c r="IC75" s="971"/>
      <c r="ID75" s="971"/>
      <c r="IE75" s="971"/>
      <c r="IF75" s="971"/>
      <c r="IG75" s="971"/>
      <c r="IH75" s="971"/>
      <c r="II75" s="971"/>
      <c r="IJ75" s="971"/>
      <c r="IK75" s="971"/>
      <c r="IL75" s="971"/>
      <c r="IM75" s="971"/>
      <c r="IN75" s="971"/>
      <c r="IO75" s="971"/>
      <c r="IP75" s="971"/>
      <c r="IQ75" s="971"/>
      <c r="IR75" s="971"/>
      <c r="IS75" s="971"/>
      <c r="IT75" s="971"/>
      <c r="IU75" s="971"/>
      <c r="IV75" s="971"/>
      <c r="IW75" s="971"/>
      <c r="IX75" s="971"/>
      <c r="IY75" s="971"/>
      <c r="IZ75" s="971"/>
      <c r="JA75" s="971"/>
      <c r="JB75" s="971"/>
      <c r="JC75" s="971"/>
      <c r="JD75" s="971"/>
      <c r="JE75" s="971"/>
      <c r="JF75" s="971"/>
      <c r="JG75" s="971"/>
      <c r="JH75" s="971"/>
      <c r="JI75" s="971"/>
      <c r="JJ75" s="971"/>
      <c r="JK75" s="971"/>
      <c r="JL75" s="971"/>
      <c r="JM75" s="971"/>
      <c r="JN75" s="971"/>
      <c r="JO75" s="971"/>
      <c r="JP75" s="971"/>
      <c r="JQ75" s="971"/>
      <c r="JR75" s="971"/>
      <c r="JS75" s="971"/>
      <c r="JT75" s="971"/>
      <c r="JU75" s="971"/>
      <c r="JV75" s="971"/>
      <c r="JW75" s="971"/>
      <c r="JX75" s="971"/>
      <c r="JY75" s="971"/>
      <c r="JZ75" s="971"/>
      <c r="KA75" s="971"/>
      <c r="KB75" s="971"/>
      <c r="KC75" s="971"/>
      <c r="KD75" s="971"/>
      <c r="KE75" s="971"/>
      <c r="KF75" s="971"/>
      <c r="KG75" s="971"/>
      <c r="KH75" s="971"/>
      <c r="KI75" s="971"/>
      <c r="KJ75" s="971"/>
      <c r="KK75" s="971"/>
      <c r="KL75" s="971"/>
      <c r="KM75" s="971"/>
      <c r="KN75" s="971"/>
      <c r="KO75" s="971"/>
      <c r="KP75" s="971"/>
      <c r="KQ75" s="971"/>
      <c r="KR75" s="971"/>
      <c r="KS75" s="971"/>
      <c r="KT75" s="971"/>
      <c r="KU75" s="971"/>
      <c r="KV75" s="971"/>
      <c r="KW75" s="971"/>
      <c r="KX75" s="971"/>
      <c r="KY75" s="971"/>
      <c r="KZ75" s="971"/>
      <c r="LA75" s="971"/>
      <c r="LB75" s="971"/>
      <c r="LC75" s="971"/>
      <c r="LD75" s="971"/>
      <c r="LE75" s="971"/>
      <c r="LF75" s="971"/>
      <c r="LG75" s="971"/>
      <c r="LH75" s="971"/>
      <c r="LI75" s="971"/>
      <c r="LJ75" s="971"/>
      <c r="LK75" s="971"/>
      <c r="LL75" s="971"/>
      <c r="LM75" s="971"/>
      <c r="LN75" s="971"/>
      <c r="LO75" s="971"/>
      <c r="LP75" s="971"/>
      <c r="LQ75" s="971"/>
      <c r="LR75" s="971"/>
      <c r="LS75" s="971"/>
      <c r="LT75" s="971"/>
      <c r="LU75" s="971"/>
      <c r="LV75" s="971"/>
      <c r="LW75" s="971"/>
      <c r="LX75" s="971"/>
      <c r="LY75" s="971"/>
      <c r="LZ75" s="971"/>
      <c r="MA75" s="971"/>
      <c r="MB75" s="971"/>
      <c r="MC75" s="971"/>
      <c r="MD75" s="971"/>
      <c r="ME75" s="971"/>
      <c r="MF75" s="971"/>
      <c r="MG75" s="971"/>
      <c r="MH75" s="971"/>
      <c r="MI75" s="971"/>
      <c r="MJ75" s="971"/>
      <c r="MK75" s="971"/>
      <c r="ML75" s="971"/>
      <c r="MM75" s="971"/>
      <c r="MN75" s="971"/>
      <c r="MO75" s="971"/>
      <c r="MP75" s="971"/>
      <c r="MQ75" s="971"/>
      <c r="MR75" s="971"/>
      <c r="MS75" s="971"/>
      <c r="MT75" s="971"/>
      <c r="MU75" s="971"/>
      <c r="MV75" s="971"/>
      <c r="MW75" s="971"/>
      <c r="MX75" s="971"/>
      <c r="MY75" s="971"/>
      <c r="MZ75" s="971"/>
      <c r="NA75" s="971"/>
      <c r="NB75" s="971"/>
      <c r="NC75" s="971"/>
      <c r="ND75" s="971"/>
      <c r="NE75" s="971"/>
      <c r="NF75" s="971"/>
      <c r="NG75" s="971"/>
      <c r="NH75" s="971"/>
      <c r="NI75" s="971"/>
      <c r="NJ75" s="971"/>
      <c r="NK75" s="971"/>
      <c r="NL75" s="971"/>
      <c r="NM75" s="971"/>
      <c r="NN75" s="971"/>
      <c r="NO75" s="971"/>
      <c r="NP75" s="971"/>
      <c r="NQ75" s="971"/>
      <c r="NR75" s="971"/>
      <c r="NS75" s="971"/>
      <c r="NT75" s="971"/>
      <c r="NU75" s="971"/>
      <c r="NV75" s="971"/>
      <c r="NW75" s="971"/>
      <c r="NX75" s="971"/>
      <c r="NY75" s="971"/>
      <c r="NZ75" s="971"/>
      <c r="OA75" s="971"/>
      <c r="OB75" s="971"/>
      <c r="OC75" s="971"/>
      <c r="OD75" s="971"/>
      <c r="OE75" s="971"/>
      <c r="OF75" s="971"/>
      <c r="OG75" s="971"/>
      <c r="OH75" s="971"/>
      <c r="OI75" s="971"/>
      <c r="OJ75" s="971"/>
      <c r="OK75" s="971"/>
      <c r="OL75" s="971"/>
      <c r="OM75" s="971"/>
      <c r="ON75" s="971"/>
      <c r="OO75" s="971"/>
      <c r="OP75" s="971"/>
      <c r="OQ75" s="971"/>
      <c r="OR75" s="971"/>
      <c r="OS75" s="971"/>
      <c r="OT75" s="971"/>
      <c r="OU75" s="971"/>
      <c r="OV75" s="971"/>
      <c r="OW75" s="971"/>
      <c r="OX75" s="971"/>
      <c r="OY75" s="971"/>
      <c r="OZ75" s="971"/>
      <c r="PA75" s="971"/>
      <c r="PB75" s="971"/>
      <c r="PC75" s="971"/>
      <c r="PD75" s="971"/>
      <c r="PE75" s="971"/>
      <c r="PF75" s="971"/>
      <c r="PG75" s="971"/>
      <c r="PH75" s="971"/>
      <c r="PI75" s="971"/>
      <c r="PJ75" s="971"/>
      <c r="PK75" s="971"/>
      <c r="PL75" s="971"/>
      <c r="PM75" s="971"/>
      <c r="PN75" s="971"/>
      <c r="PO75" s="971"/>
      <c r="PP75" s="971"/>
      <c r="PQ75" s="971"/>
      <c r="PR75" s="971"/>
      <c r="PS75" s="971"/>
      <c r="PT75" s="971"/>
      <c r="PU75" s="971"/>
      <c r="PV75" s="971"/>
      <c r="PW75" s="971"/>
      <c r="PX75" s="971"/>
      <c r="PY75" s="971"/>
      <c r="PZ75" s="971"/>
      <c r="QA75" s="971"/>
      <c r="QB75" s="971"/>
      <c r="QC75" s="971"/>
      <c r="QD75" s="971"/>
      <c r="QE75" s="971"/>
      <c r="QF75" s="971"/>
      <c r="QG75" s="971"/>
      <c r="QH75" s="971"/>
      <c r="QI75" s="971"/>
      <c r="QJ75" s="971"/>
      <c r="QK75" s="971"/>
      <c r="QL75" s="971"/>
      <c r="QM75" s="971"/>
      <c r="QN75" s="971"/>
      <c r="QO75" s="971"/>
      <c r="QP75" s="971"/>
      <c r="QQ75" s="971"/>
      <c r="QR75" s="971"/>
      <c r="QS75" s="971"/>
      <c r="QT75" s="971"/>
      <c r="QU75" s="971"/>
      <c r="QV75" s="971"/>
      <c r="QW75" s="971"/>
      <c r="QX75" s="971"/>
      <c r="QY75" s="971"/>
      <c r="QZ75" s="971"/>
      <c r="RA75" s="971"/>
      <c r="RB75" s="971"/>
      <c r="RC75" s="971"/>
      <c r="RD75" s="971"/>
      <c r="RE75" s="971"/>
      <c r="RF75" s="971"/>
      <c r="RG75" s="971"/>
      <c r="RH75" s="971"/>
      <c r="RI75" s="971"/>
      <c r="RJ75" s="971"/>
      <c r="RK75" s="971"/>
      <c r="RL75" s="971"/>
      <c r="RM75" s="971"/>
      <c r="RN75" s="971"/>
      <c r="RO75" s="971"/>
      <c r="RP75" s="971"/>
      <c r="RQ75" s="971"/>
      <c r="RR75" s="971"/>
      <c r="RS75" s="971"/>
      <c r="RT75" s="971"/>
      <c r="RU75" s="971"/>
      <c r="RV75" s="971"/>
      <c r="RW75" s="971"/>
      <c r="RX75" s="971"/>
      <c r="RY75" s="971"/>
      <c r="RZ75" s="971"/>
      <c r="SA75" s="971"/>
      <c r="SB75" s="971"/>
      <c r="SC75" s="971"/>
      <c r="SD75" s="971"/>
      <c r="SE75" s="971"/>
      <c r="SF75" s="971"/>
      <c r="SG75" s="971"/>
      <c r="SH75" s="971"/>
      <c r="SI75" s="971"/>
      <c r="SJ75" s="971"/>
      <c r="SK75" s="971"/>
      <c r="SL75" s="971"/>
      <c r="SM75" s="971"/>
      <c r="SN75" s="971"/>
      <c r="SO75" s="971"/>
      <c r="SP75" s="971"/>
      <c r="SQ75" s="971"/>
      <c r="SR75" s="971"/>
    </row>
    <row r="76" spans="1:512" ht="15" customHeight="1">
      <c r="A76"/>
      <c r="B76" t="s">
        <v>2711</v>
      </c>
      <c r="C76"/>
      <c r="D76"/>
      <c r="E76"/>
      <c r="F76"/>
      <c r="G76" s="984"/>
      <c r="H76" s="984"/>
      <c r="I76" s="984"/>
      <c r="J76" s="984"/>
      <c r="K76" s="984"/>
      <c r="L76" s="984"/>
      <c r="M76" s="984"/>
      <c r="N76" s="984"/>
      <c r="O76" s="984"/>
      <c r="P76" s="984"/>
      <c r="Q76" s="984"/>
      <c r="R76" s="984"/>
      <c r="S76" s="984"/>
      <c r="T76" s="984"/>
      <c r="U76" s="984"/>
      <c r="V76" s="984"/>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984"/>
      <c r="BA76" s="984"/>
      <c r="BB76" s="984"/>
      <c r="BC76" s="984"/>
      <c r="BD76" s="984"/>
      <c r="BE76" s="984"/>
      <c r="BF76" s="971"/>
      <c r="BG76" s="971"/>
      <c r="BH76" s="971"/>
      <c r="BI76" s="971"/>
      <c r="BJ76" s="971"/>
      <c r="BK76" s="971"/>
      <c r="BL76" s="971"/>
      <c r="BM76" s="971"/>
      <c r="BN76" s="971"/>
      <c r="BO76" s="971"/>
      <c r="BP76" s="971"/>
      <c r="BQ76" s="971"/>
      <c r="BR76" s="971"/>
      <c r="BS76" s="971"/>
      <c r="BT76" s="971"/>
      <c r="BU76" s="971"/>
      <c r="BV76" s="971"/>
      <c r="BW76" s="971"/>
      <c r="BX76" s="971"/>
      <c r="BY76" s="971"/>
      <c r="BZ76" s="971"/>
      <c r="CA76" s="971"/>
      <c r="CB76" s="971"/>
      <c r="CC76" s="971"/>
      <c r="CD76" s="971"/>
      <c r="CE76" s="971"/>
      <c r="CF76" s="971"/>
      <c r="CG76" s="971"/>
      <c r="CH76" s="971"/>
      <c r="CI76" s="971"/>
      <c r="CJ76" s="971"/>
      <c r="CK76" s="971"/>
      <c r="CL76" s="971"/>
      <c r="CM76" s="971"/>
      <c r="CN76" s="971"/>
      <c r="CO76" s="971"/>
      <c r="CP76" s="971"/>
      <c r="CQ76" s="971"/>
      <c r="CR76" s="971"/>
      <c r="CS76" s="971"/>
      <c r="CT76" s="971"/>
      <c r="CU76" s="971"/>
      <c r="CV76" s="971"/>
      <c r="CW76" s="971"/>
      <c r="CX76" s="971"/>
      <c r="CY76" s="971"/>
      <c r="CZ76" s="971"/>
      <c r="DA76" s="971"/>
      <c r="DB76" s="971"/>
      <c r="DC76" s="971"/>
      <c r="DD76" s="971"/>
      <c r="DE76" s="971"/>
      <c r="DF76" s="971"/>
      <c r="DG76" s="971"/>
      <c r="DH76" s="971"/>
      <c r="DI76" s="971"/>
      <c r="DJ76" s="971"/>
      <c r="DK76" s="971"/>
      <c r="DL76" s="971"/>
      <c r="DM76" s="971"/>
      <c r="DN76" s="971"/>
      <c r="DO76" s="971"/>
      <c r="DP76" s="971"/>
      <c r="DQ76" s="971"/>
      <c r="DR76" s="971"/>
      <c r="DS76" s="971"/>
      <c r="DT76" s="971"/>
      <c r="DU76" s="971"/>
      <c r="DV76" s="971"/>
      <c r="DW76" s="971"/>
      <c r="DX76" s="971"/>
      <c r="DY76" s="971"/>
      <c r="DZ76" s="971"/>
      <c r="EA76" s="971"/>
      <c r="EB76" s="971"/>
      <c r="EC76" s="971"/>
      <c r="ED76" s="971"/>
      <c r="EE76" s="971"/>
      <c r="EF76" s="971"/>
      <c r="EG76" s="971"/>
      <c r="EH76" s="971"/>
      <c r="EI76" s="971"/>
      <c r="EJ76" s="971"/>
      <c r="EK76" s="971"/>
      <c r="EL76" s="971"/>
      <c r="EM76" s="971"/>
      <c r="EN76" s="971"/>
      <c r="EO76" s="971"/>
      <c r="EP76" s="971"/>
      <c r="EQ76" s="971"/>
      <c r="ER76" s="971"/>
      <c r="ES76" s="971"/>
      <c r="ET76" s="971"/>
      <c r="EU76" s="971"/>
      <c r="EV76" s="971"/>
      <c r="EW76" s="971"/>
      <c r="EX76" s="971"/>
      <c r="EY76" s="971"/>
      <c r="EZ76" s="971"/>
      <c r="FA76" s="971"/>
      <c r="FB76" s="971"/>
      <c r="FC76" s="971"/>
      <c r="FD76" s="971"/>
      <c r="FE76" s="971"/>
      <c r="FF76" s="971"/>
      <c r="FG76" s="971"/>
      <c r="FH76" s="971"/>
      <c r="FI76" s="971"/>
      <c r="FJ76" s="971"/>
      <c r="FK76" s="971"/>
      <c r="FL76" s="971"/>
      <c r="FM76" s="971"/>
      <c r="FN76" s="971"/>
      <c r="FO76" s="971"/>
      <c r="FP76" s="971"/>
      <c r="FQ76" s="971"/>
      <c r="FR76" s="971"/>
      <c r="FS76" s="971"/>
      <c r="FT76" s="971"/>
      <c r="FU76" s="971"/>
      <c r="FV76" s="971"/>
      <c r="FW76" s="971"/>
      <c r="FX76" s="971"/>
      <c r="FY76" s="971"/>
      <c r="FZ76" s="971"/>
      <c r="GA76" s="971"/>
      <c r="GB76" s="971"/>
      <c r="GC76" s="971"/>
      <c r="GD76" s="971"/>
      <c r="GE76" s="971"/>
      <c r="GF76" s="971"/>
      <c r="GG76" s="971"/>
      <c r="GH76" s="971"/>
      <c r="GI76" s="971"/>
      <c r="GJ76" s="971"/>
      <c r="GK76" s="971"/>
      <c r="GL76" s="971"/>
      <c r="GM76" s="971"/>
      <c r="GN76" s="971"/>
      <c r="GO76" s="971"/>
      <c r="GP76" s="971"/>
      <c r="GQ76" s="971"/>
      <c r="GR76" s="971"/>
      <c r="GS76" s="971"/>
      <c r="GT76" s="971"/>
      <c r="GU76" s="971"/>
      <c r="GV76" s="971"/>
      <c r="GW76" s="971"/>
      <c r="GX76" s="971"/>
      <c r="GY76" s="971"/>
      <c r="GZ76" s="971"/>
      <c r="HA76" s="971"/>
      <c r="HB76" s="971"/>
      <c r="HC76" s="971"/>
      <c r="HD76" s="971"/>
      <c r="HE76" s="971"/>
      <c r="HF76" s="971"/>
      <c r="HG76" s="971"/>
      <c r="HH76" s="971"/>
      <c r="HI76" s="971"/>
      <c r="HJ76" s="971"/>
      <c r="HK76" s="971"/>
      <c r="HL76" s="971"/>
      <c r="HM76" s="971"/>
      <c r="HN76" s="971"/>
      <c r="HO76" s="971"/>
      <c r="HP76" s="971"/>
      <c r="HQ76" s="971"/>
      <c r="HR76" s="971"/>
      <c r="HS76" s="971"/>
      <c r="HT76" s="971"/>
      <c r="HU76" s="971"/>
      <c r="HV76" s="971"/>
      <c r="HW76" s="971"/>
      <c r="HX76" s="971"/>
      <c r="HY76" s="971"/>
      <c r="HZ76" s="971"/>
      <c r="IA76" s="971"/>
      <c r="IB76" s="971"/>
      <c r="IC76" s="971"/>
      <c r="ID76" s="971"/>
      <c r="IE76" s="971"/>
      <c r="IF76" s="971"/>
      <c r="IG76" s="971"/>
      <c r="IH76" s="971"/>
      <c r="II76" s="971"/>
      <c r="IJ76" s="971"/>
      <c r="IK76" s="971"/>
      <c r="IL76" s="971"/>
      <c r="IM76" s="971"/>
      <c r="IN76" s="971"/>
      <c r="IO76" s="971"/>
      <c r="IP76" s="971"/>
      <c r="IQ76" s="971"/>
      <c r="IR76" s="971"/>
      <c r="IS76" s="971"/>
      <c r="IT76" s="971"/>
      <c r="IU76" s="971"/>
      <c r="IV76" s="971"/>
      <c r="IW76" s="971"/>
      <c r="IX76" s="971"/>
      <c r="IY76" s="971"/>
      <c r="IZ76" s="971"/>
      <c r="JA76" s="971"/>
      <c r="JB76" s="971"/>
      <c r="JC76" s="971"/>
      <c r="JD76" s="971"/>
      <c r="JE76" s="971"/>
      <c r="JF76" s="971"/>
      <c r="JG76" s="971"/>
      <c r="JH76" s="971"/>
      <c r="JI76" s="971"/>
      <c r="JJ76" s="971"/>
      <c r="JK76" s="971"/>
      <c r="JL76" s="971"/>
      <c r="JM76" s="971"/>
      <c r="JN76" s="971"/>
      <c r="JO76" s="971"/>
      <c r="JP76" s="971"/>
      <c r="JQ76" s="971"/>
      <c r="JR76" s="971"/>
      <c r="JS76" s="971"/>
      <c r="JT76" s="971"/>
      <c r="JU76" s="971"/>
      <c r="JV76" s="971"/>
      <c r="JW76" s="971"/>
      <c r="JX76" s="971"/>
      <c r="JY76" s="971"/>
      <c r="JZ76" s="971"/>
      <c r="KA76" s="971"/>
      <c r="KB76" s="971"/>
      <c r="KC76" s="971"/>
      <c r="KD76" s="971"/>
      <c r="KE76" s="971"/>
      <c r="KF76" s="971"/>
      <c r="KG76" s="971"/>
      <c r="KH76" s="971"/>
      <c r="KI76" s="971"/>
      <c r="KJ76" s="971"/>
      <c r="KK76" s="971"/>
      <c r="KL76" s="971"/>
      <c r="KM76" s="971"/>
      <c r="KN76" s="971"/>
      <c r="KO76" s="971"/>
      <c r="KP76" s="971"/>
      <c r="KQ76" s="971"/>
      <c r="KR76" s="971"/>
      <c r="KS76" s="971"/>
      <c r="KT76" s="971"/>
      <c r="KU76" s="971"/>
      <c r="KV76" s="971"/>
      <c r="KW76" s="971"/>
      <c r="KX76" s="971"/>
      <c r="KY76" s="971"/>
      <c r="KZ76" s="971"/>
      <c r="LA76" s="971"/>
      <c r="LB76" s="971"/>
      <c r="LC76" s="971"/>
      <c r="LD76" s="971"/>
      <c r="LE76" s="971"/>
      <c r="LF76" s="971"/>
      <c r="LG76" s="971"/>
      <c r="LH76" s="971"/>
      <c r="LI76" s="971"/>
      <c r="LJ76" s="971"/>
      <c r="LK76" s="971"/>
      <c r="LL76" s="971"/>
      <c r="LM76" s="971"/>
      <c r="LN76" s="971"/>
      <c r="LO76" s="971"/>
      <c r="LP76" s="971"/>
      <c r="LQ76" s="971"/>
      <c r="LR76" s="971"/>
      <c r="LS76" s="971"/>
      <c r="LT76" s="971"/>
      <c r="LU76" s="971"/>
      <c r="LV76" s="971"/>
      <c r="LW76" s="971"/>
      <c r="LX76" s="971"/>
      <c r="LY76" s="971"/>
      <c r="LZ76" s="971"/>
      <c r="MA76" s="971"/>
      <c r="MB76" s="971"/>
      <c r="MC76" s="971"/>
      <c r="MD76" s="971"/>
      <c r="ME76" s="971"/>
      <c r="MF76" s="971"/>
      <c r="MG76" s="971"/>
      <c r="MH76" s="971"/>
      <c r="MI76" s="971"/>
      <c r="MJ76" s="971"/>
      <c r="MK76" s="971"/>
      <c r="ML76" s="971"/>
      <c r="MM76" s="971"/>
      <c r="MN76" s="971"/>
      <c r="MO76" s="971"/>
      <c r="MP76" s="971"/>
      <c r="MQ76" s="971"/>
      <c r="MR76" s="971"/>
      <c r="MS76" s="971"/>
      <c r="MT76" s="971"/>
      <c r="MU76" s="971"/>
      <c r="MV76" s="971"/>
      <c r="MW76" s="971"/>
      <c r="MX76" s="971"/>
      <c r="MY76" s="971"/>
      <c r="MZ76" s="971"/>
      <c r="NA76" s="971"/>
      <c r="NB76" s="971"/>
      <c r="NC76" s="971"/>
      <c r="ND76" s="971"/>
      <c r="NE76" s="971"/>
      <c r="NF76" s="971"/>
      <c r="NG76" s="971"/>
      <c r="NH76" s="971"/>
      <c r="NI76" s="971"/>
      <c r="NJ76" s="971"/>
      <c r="NK76" s="971"/>
      <c r="NL76" s="971"/>
      <c r="NM76" s="971"/>
      <c r="NN76" s="971"/>
      <c r="NO76" s="971"/>
      <c r="NP76" s="971"/>
      <c r="NQ76" s="971"/>
      <c r="NR76" s="971"/>
      <c r="NS76" s="971"/>
      <c r="NT76" s="971"/>
      <c r="NU76" s="971"/>
      <c r="NV76" s="971"/>
      <c r="NW76" s="971"/>
      <c r="NX76" s="971"/>
      <c r="NY76" s="971"/>
      <c r="NZ76" s="971"/>
      <c r="OA76" s="971"/>
      <c r="OB76" s="971"/>
      <c r="OC76" s="971"/>
      <c r="OD76" s="971"/>
      <c r="OE76" s="971"/>
      <c r="OF76" s="971"/>
      <c r="OG76" s="971"/>
      <c r="OH76" s="971"/>
      <c r="OI76" s="971"/>
      <c r="OJ76" s="971"/>
      <c r="OK76" s="971"/>
      <c r="OL76" s="971"/>
      <c r="OM76" s="971"/>
      <c r="ON76" s="971"/>
      <c r="OO76" s="971"/>
      <c r="OP76" s="971"/>
      <c r="OQ76" s="971"/>
      <c r="OR76" s="971"/>
      <c r="OS76" s="971"/>
      <c r="OT76" s="971"/>
      <c r="OU76" s="971"/>
      <c r="OV76" s="971"/>
      <c r="OW76" s="971"/>
      <c r="OX76" s="971"/>
      <c r="OY76" s="971"/>
      <c r="OZ76" s="971"/>
      <c r="PA76" s="971"/>
      <c r="PB76" s="971"/>
      <c r="PC76" s="971"/>
      <c r="PD76" s="971"/>
      <c r="PE76" s="971"/>
      <c r="PF76" s="971"/>
      <c r="PG76" s="971"/>
      <c r="PH76" s="971"/>
      <c r="PI76" s="971"/>
      <c r="PJ76" s="971"/>
      <c r="PK76" s="971"/>
      <c r="PL76" s="971"/>
      <c r="PM76" s="971"/>
      <c r="PN76" s="971"/>
      <c r="PO76" s="971"/>
      <c r="PP76" s="971"/>
      <c r="PQ76" s="971"/>
      <c r="PR76" s="971"/>
      <c r="PS76" s="971"/>
      <c r="PT76" s="971"/>
      <c r="PU76" s="971"/>
      <c r="PV76" s="971"/>
      <c r="PW76" s="971"/>
      <c r="PX76" s="971"/>
      <c r="PY76" s="971"/>
      <c r="PZ76" s="971"/>
      <c r="QA76" s="971"/>
      <c r="QB76" s="971"/>
      <c r="QC76" s="971"/>
      <c r="QD76" s="971"/>
      <c r="QE76" s="971"/>
      <c r="QF76" s="971"/>
      <c r="QG76" s="971"/>
      <c r="QH76" s="971"/>
      <c r="QI76" s="971"/>
      <c r="QJ76" s="971"/>
      <c r="QK76" s="971"/>
      <c r="QL76" s="971"/>
      <c r="QM76" s="971"/>
      <c r="QN76" s="971"/>
      <c r="QO76" s="971"/>
      <c r="QP76" s="971"/>
      <c r="QQ76" s="971"/>
      <c r="QR76" s="971"/>
      <c r="QS76" s="971"/>
      <c r="QT76" s="971"/>
      <c r="QU76" s="971"/>
      <c r="QV76" s="971"/>
      <c r="QW76" s="971"/>
      <c r="QX76" s="971"/>
      <c r="QY76" s="971"/>
      <c r="QZ76" s="971"/>
      <c r="RA76" s="971"/>
      <c r="RB76" s="971"/>
      <c r="RC76" s="971"/>
      <c r="RD76" s="971"/>
      <c r="RE76" s="971"/>
      <c r="RF76" s="971"/>
      <c r="RG76" s="971"/>
      <c r="RH76" s="971"/>
      <c r="RI76" s="971"/>
      <c r="RJ76" s="971"/>
      <c r="RK76" s="971"/>
      <c r="RL76" s="971"/>
      <c r="RM76" s="971"/>
      <c r="RN76" s="971"/>
      <c r="RO76" s="971"/>
      <c r="RP76" s="971"/>
      <c r="RQ76" s="971"/>
      <c r="RR76" s="971"/>
      <c r="RS76" s="971"/>
      <c r="RT76" s="971"/>
      <c r="RU76" s="971"/>
      <c r="RV76" s="971"/>
      <c r="RW76" s="971"/>
      <c r="RX76" s="971"/>
      <c r="RY76" s="971"/>
      <c r="RZ76" s="971"/>
      <c r="SA76" s="971"/>
      <c r="SB76" s="971"/>
      <c r="SC76" s="971"/>
      <c r="SD76" s="971"/>
      <c r="SE76" s="971"/>
      <c r="SF76" s="971"/>
      <c r="SG76" s="971"/>
      <c r="SH76" s="971"/>
      <c r="SI76" s="971"/>
      <c r="SJ76" s="971"/>
      <c r="SK76" s="971"/>
      <c r="SL76" s="971"/>
      <c r="SM76" s="971"/>
      <c r="SN76" s="971"/>
      <c r="SO76" s="971"/>
      <c r="SP76" s="971"/>
      <c r="SQ76" s="971"/>
      <c r="SR76" s="971"/>
    </row>
    <row r="77" spans="1:512" ht="15" customHeight="1">
      <c r="A77"/>
      <c r="B77"/>
      <c r="C77" t="s">
        <v>2712</v>
      </c>
      <c r="D77"/>
      <c r="E77" t="s">
        <v>2119</v>
      </c>
      <c r="F77"/>
      <c r="G77" s="970">
        <v>1</v>
      </c>
      <c r="H77" s="970">
        <v>1</v>
      </c>
      <c r="I77" s="970"/>
      <c r="J77" s="970"/>
      <c r="K77" s="970"/>
      <c r="L77" s="970"/>
      <c r="M77" s="970"/>
      <c r="N77" s="970"/>
      <c r="O77" s="970"/>
      <c r="P77" s="970"/>
      <c r="Q77" s="970"/>
      <c r="R77" s="970"/>
      <c r="S77" s="970"/>
      <c r="T77" s="970"/>
      <c r="U77" s="970"/>
      <c r="V77" s="970"/>
      <c r="W77" s="970"/>
      <c r="X77" s="970"/>
      <c r="Y77" s="970"/>
      <c r="Z77" s="970"/>
      <c r="AA77" s="970"/>
      <c r="AB77" s="970"/>
      <c r="AC77" s="970"/>
      <c r="AD77" s="970"/>
      <c r="AE77" s="970"/>
      <c r="AF77" s="970"/>
      <c r="AG77" s="970"/>
      <c r="AH77" s="970"/>
      <c r="AI77" s="970"/>
      <c r="AJ77" s="970"/>
      <c r="AK77" s="970"/>
      <c r="AL77" s="970"/>
      <c r="AM77" s="970"/>
      <c r="AN77" s="970"/>
      <c r="AO77" s="970"/>
      <c r="AP77" s="970"/>
      <c r="AQ77" s="970"/>
      <c r="AR77" s="970"/>
      <c r="AS77" s="970"/>
      <c r="AT77" s="970"/>
      <c r="AU77" s="970"/>
      <c r="AV77" s="970"/>
      <c r="AW77" s="970"/>
      <c r="AX77" s="970"/>
      <c r="AY77" s="970"/>
      <c r="AZ77" s="970"/>
      <c r="BA77" s="970"/>
      <c r="BB77" s="970"/>
      <c r="BC77" s="970"/>
      <c r="BD77" s="970"/>
      <c r="BE77" s="970"/>
      <c r="BF77" s="970"/>
      <c r="BG77" s="970"/>
      <c r="BH77" s="970"/>
      <c r="BI77" s="970"/>
      <c r="BJ77" s="970"/>
      <c r="BK77" s="970"/>
      <c r="BL77" s="970"/>
      <c r="BM77" s="970"/>
      <c r="BN77" s="970"/>
      <c r="BO77" s="970"/>
      <c r="BP77" s="970"/>
      <c r="BQ77" s="970"/>
      <c r="BR77" s="970"/>
      <c r="BS77" s="970"/>
      <c r="BT77" s="970"/>
      <c r="BU77" s="970"/>
      <c r="BV77" s="970"/>
      <c r="BW77" s="970"/>
      <c r="BX77" s="970"/>
      <c r="BY77" s="970"/>
      <c r="BZ77" s="970"/>
      <c r="CA77" s="970"/>
      <c r="CB77" s="970"/>
      <c r="CC77" s="970"/>
      <c r="CD77" s="970"/>
      <c r="CE77" s="970"/>
      <c r="CF77" s="970"/>
      <c r="CG77" s="970"/>
      <c r="CH77" s="970"/>
      <c r="CI77" s="970"/>
      <c r="CJ77" s="970"/>
      <c r="CK77" s="970"/>
      <c r="CL77" s="970"/>
      <c r="CM77" s="970"/>
      <c r="CN77" s="970"/>
      <c r="CO77" s="970"/>
      <c r="CP77" s="970"/>
      <c r="CQ77" s="970"/>
      <c r="CR77" s="970"/>
      <c r="CS77" s="970"/>
      <c r="CT77" s="970"/>
      <c r="CU77" s="970"/>
      <c r="CV77" s="970"/>
      <c r="CW77" s="970"/>
      <c r="CX77" s="970"/>
      <c r="CY77" s="970"/>
      <c r="CZ77" s="970"/>
      <c r="DA77" s="970"/>
      <c r="DB77" s="970"/>
      <c r="DC77" s="970"/>
      <c r="DD77" s="970"/>
      <c r="DE77" s="970"/>
      <c r="DF77" s="970"/>
      <c r="DG77" s="970"/>
      <c r="DH77" s="970"/>
      <c r="DI77" s="970"/>
      <c r="DJ77" s="970"/>
      <c r="DK77" s="970"/>
      <c r="DL77" s="970"/>
      <c r="DM77" s="970"/>
      <c r="DN77" s="970"/>
      <c r="DO77" s="970"/>
      <c r="DP77" s="970"/>
      <c r="DQ77" s="970"/>
      <c r="DR77" s="970"/>
      <c r="DS77" s="970"/>
      <c r="DT77" s="970"/>
      <c r="DU77" s="970"/>
      <c r="DV77" s="970"/>
      <c r="DW77" s="970"/>
      <c r="DX77" s="970"/>
      <c r="DY77" s="970"/>
      <c r="DZ77" s="970"/>
      <c r="EA77" s="970"/>
      <c r="EB77" s="970"/>
      <c r="EC77" s="970"/>
      <c r="ED77" s="970"/>
      <c r="EE77" s="970"/>
      <c r="EF77" s="970"/>
      <c r="EG77" s="970"/>
      <c r="EH77" s="970"/>
      <c r="EI77" s="970"/>
      <c r="EJ77" s="970"/>
      <c r="EK77" s="970"/>
      <c r="EL77" s="970"/>
      <c r="EM77" s="970"/>
      <c r="EN77" s="970"/>
      <c r="EO77" s="970"/>
      <c r="EP77" s="970"/>
      <c r="EQ77" s="970"/>
      <c r="ER77" s="970"/>
      <c r="ES77" s="970"/>
      <c r="ET77" s="970"/>
      <c r="EU77" s="970"/>
      <c r="EV77" s="970"/>
      <c r="EW77" s="970"/>
      <c r="EX77" s="970"/>
      <c r="EY77" s="970"/>
      <c r="EZ77" s="970"/>
      <c r="FA77" s="970"/>
      <c r="FB77" s="970"/>
      <c r="FC77" s="970"/>
      <c r="FD77" s="970"/>
      <c r="FE77" s="970"/>
      <c r="FF77" s="970"/>
      <c r="FG77" s="970"/>
      <c r="FH77" s="970"/>
      <c r="FI77" s="970"/>
      <c r="FJ77" s="970"/>
      <c r="FK77" s="970"/>
      <c r="FL77" s="970"/>
      <c r="FM77" s="970"/>
      <c r="FN77" s="970"/>
      <c r="FO77" s="970"/>
      <c r="FP77" s="970"/>
      <c r="FQ77" s="970"/>
      <c r="FR77" s="970"/>
      <c r="FS77" s="970"/>
      <c r="FT77" s="970"/>
      <c r="FU77" s="970"/>
      <c r="FV77" s="970"/>
      <c r="FW77" s="970"/>
      <c r="FX77" s="970"/>
      <c r="FY77" s="970"/>
      <c r="FZ77" s="970"/>
      <c r="GA77" s="970"/>
      <c r="GB77" s="970"/>
      <c r="GC77" s="970"/>
      <c r="GD77" s="970"/>
      <c r="GE77" s="970"/>
      <c r="GF77" s="970"/>
      <c r="GG77" s="970"/>
      <c r="GH77" s="970"/>
      <c r="GI77" s="970"/>
      <c r="GJ77" s="970"/>
      <c r="GK77" s="970"/>
      <c r="GL77" s="970"/>
      <c r="GM77" s="970"/>
      <c r="GN77" s="970"/>
      <c r="GO77" s="970"/>
      <c r="GP77" s="970"/>
      <c r="GQ77" s="970"/>
      <c r="GR77" s="970"/>
      <c r="GS77" s="970"/>
      <c r="GT77" s="970"/>
      <c r="GU77" s="970"/>
      <c r="GV77" s="970"/>
      <c r="GW77" s="970"/>
      <c r="GX77" s="970"/>
      <c r="GY77" s="970"/>
      <c r="GZ77" s="970"/>
      <c r="HA77" s="970"/>
      <c r="HB77" s="970"/>
      <c r="HC77" s="970"/>
      <c r="HD77" s="970"/>
      <c r="HE77" s="970"/>
      <c r="HF77" s="970"/>
      <c r="HG77" s="970"/>
      <c r="HH77" s="970"/>
      <c r="HI77" s="970"/>
      <c r="HJ77" s="970"/>
      <c r="HK77" s="970"/>
      <c r="HL77" s="970"/>
      <c r="HM77" s="970"/>
      <c r="HN77" s="970"/>
      <c r="HO77" s="970"/>
      <c r="HP77" s="970"/>
      <c r="HQ77" s="970"/>
      <c r="HR77" s="970"/>
      <c r="HS77" s="970"/>
      <c r="HT77" s="970"/>
      <c r="HU77" s="970"/>
      <c r="HV77" s="970"/>
      <c r="HW77" s="970"/>
      <c r="HX77" s="970"/>
      <c r="HY77" s="970"/>
      <c r="HZ77" s="970"/>
      <c r="IA77" s="970"/>
      <c r="IB77" s="970"/>
      <c r="IC77" s="970"/>
      <c r="ID77" s="970"/>
      <c r="IE77" s="970"/>
      <c r="IF77" s="970"/>
      <c r="IG77" s="970"/>
      <c r="IH77" s="970"/>
      <c r="II77" s="970"/>
      <c r="IJ77" s="970"/>
      <c r="IK77" s="970"/>
      <c r="IL77" s="970"/>
      <c r="IM77" s="970"/>
      <c r="IN77" s="970"/>
      <c r="IO77" s="970"/>
      <c r="IP77" s="970"/>
      <c r="IQ77" s="970"/>
      <c r="IR77" s="970"/>
      <c r="IS77" s="970"/>
      <c r="IT77" s="970"/>
      <c r="IU77" s="970"/>
      <c r="IV77" s="970"/>
      <c r="IW77" s="970"/>
      <c r="IX77" s="970"/>
      <c r="IY77" s="970"/>
      <c r="IZ77" s="970"/>
      <c r="JA77" s="970"/>
      <c r="JB77" s="970"/>
      <c r="JC77" s="970"/>
      <c r="JD77" s="970"/>
      <c r="JE77" s="970"/>
      <c r="JF77" s="970"/>
      <c r="JG77" s="970"/>
      <c r="JH77" s="970"/>
      <c r="JI77" s="970"/>
      <c r="JJ77" s="970"/>
      <c r="JK77" s="970"/>
      <c r="JL77" s="970"/>
      <c r="JM77" s="970"/>
      <c r="JN77" s="970"/>
      <c r="JO77" s="970"/>
      <c r="JP77" s="970"/>
      <c r="JQ77" s="970"/>
      <c r="JR77" s="970"/>
      <c r="JS77" s="970"/>
      <c r="JT77" s="970"/>
      <c r="JU77" s="970"/>
      <c r="JV77" s="970"/>
      <c r="JW77" s="970"/>
      <c r="JX77" s="970"/>
      <c r="JY77" s="970"/>
      <c r="JZ77" s="970"/>
      <c r="KA77" s="970"/>
      <c r="KB77" s="970"/>
      <c r="KC77" s="970"/>
      <c r="KD77" s="970"/>
      <c r="KE77" s="970"/>
      <c r="KF77" s="970"/>
      <c r="KG77" s="970"/>
      <c r="KH77" s="970"/>
      <c r="KI77" s="970"/>
      <c r="KJ77" s="970"/>
      <c r="KK77" s="970"/>
      <c r="KL77" s="970"/>
      <c r="KM77" s="970"/>
      <c r="KN77" s="970"/>
      <c r="KO77" s="970"/>
      <c r="KP77" s="970"/>
      <c r="KQ77" s="970"/>
      <c r="KR77" s="970"/>
      <c r="KS77" s="970"/>
      <c r="KT77" s="970"/>
      <c r="KU77" s="970"/>
      <c r="KV77" s="970"/>
      <c r="KW77" s="970"/>
      <c r="KX77" s="970"/>
      <c r="KY77" s="970"/>
      <c r="KZ77" s="970"/>
      <c r="LA77" s="970"/>
      <c r="LB77" s="970"/>
      <c r="LC77" s="970"/>
      <c r="LD77" s="970"/>
      <c r="LE77" s="970"/>
      <c r="LF77" s="970"/>
      <c r="LG77" s="970"/>
      <c r="LH77" s="970"/>
      <c r="LI77" s="970"/>
      <c r="LJ77" s="970"/>
      <c r="LK77" s="970"/>
      <c r="LL77" s="970"/>
      <c r="LM77" s="970"/>
      <c r="LN77" s="970"/>
      <c r="LO77" s="970"/>
      <c r="LP77" s="970"/>
      <c r="LQ77" s="970"/>
      <c r="LR77" s="970"/>
      <c r="LS77" s="970"/>
      <c r="LT77" s="970"/>
      <c r="LU77" s="970"/>
      <c r="LV77" s="970"/>
      <c r="LW77" s="970"/>
      <c r="LX77" s="970"/>
      <c r="LY77" s="970"/>
      <c r="LZ77" s="970"/>
      <c r="MA77" s="970"/>
      <c r="MB77" s="970"/>
      <c r="MC77" s="970"/>
      <c r="MD77" s="970"/>
      <c r="ME77" s="970"/>
      <c r="MF77" s="970"/>
      <c r="MG77" s="970"/>
      <c r="MH77" s="970"/>
      <c r="MI77" s="970"/>
      <c r="MJ77" s="970"/>
      <c r="MK77" s="970"/>
      <c r="ML77" s="970"/>
      <c r="MM77" s="970"/>
      <c r="MN77" s="970"/>
      <c r="MO77" s="970"/>
      <c r="MP77" s="970"/>
      <c r="MQ77" s="970"/>
      <c r="MR77" s="970"/>
      <c r="MS77" s="970"/>
      <c r="MT77" s="970"/>
      <c r="MU77" s="970"/>
      <c r="MV77" s="970"/>
      <c r="MW77" s="970"/>
      <c r="MX77" s="970"/>
      <c r="MY77" s="970"/>
      <c r="MZ77" s="970"/>
      <c r="NA77" s="970"/>
      <c r="NB77" s="970"/>
      <c r="NC77" s="970"/>
      <c r="ND77" s="970"/>
      <c r="NE77" s="970"/>
      <c r="NF77" s="970"/>
      <c r="NG77" s="970"/>
      <c r="NH77" s="970"/>
      <c r="NI77" s="970"/>
      <c r="NJ77" s="970"/>
      <c r="NK77" s="970"/>
      <c r="NL77" s="970"/>
      <c r="NM77" s="970"/>
      <c r="NN77" s="970"/>
      <c r="NO77" s="970"/>
      <c r="NP77" s="970"/>
      <c r="NQ77" s="970"/>
      <c r="NR77" s="970"/>
      <c r="NS77" s="970"/>
      <c r="NT77" s="970"/>
      <c r="NU77" s="970"/>
      <c r="NV77" s="970"/>
      <c r="NW77" s="970"/>
      <c r="NX77" s="970"/>
      <c r="NY77" s="970"/>
      <c r="NZ77" s="970"/>
      <c r="OA77" s="970"/>
      <c r="OB77" s="970"/>
      <c r="OC77" s="970"/>
      <c r="OD77" s="970"/>
      <c r="OE77" s="970"/>
      <c r="OF77" s="970"/>
      <c r="OG77" s="970"/>
      <c r="OH77" s="970"/>
      <c r="OI77" s="970"/>
      <c r="OJ77" s="970"/>
      <c r="OK77" s="970"/>
      <c r="OL77" s="970"/>
      <c r="OM77" s="970"/>
      <c r="ON77" s="970"/>
      <c r="OO77" s="970"/>
      <c r="OP77" s="970"/>
      <c r="OQ77" s="970"/>
      <c r="OR77" s="970"/>
      <c r="OS77" s="970"/>
      <c r="OT77" s="970"/>
      <c r="OU77" s="970"/>
      <c r="OV77" s="970"/>
      <c r="OW77" s="970"/>
      <c r="OX77" s="970"/>
      <c r="OY77" s="970"/>
      <c r="OZ77" s="970"/>
      <c r="PA77" s="970"/>
      <c r="PB77" s="970"/>
      <c r="PC77" s="970"/>
      <c r="PD77" s="970"/>
      <c r="PE77" s="970"/>
      <c r="PF77" s="970"/>
      <c r="PG77" s="970"/>
      <c r="PH77" s="970"/>
      <c r="PI77" s="970"/>
      <c r="PJ77" s="970"/>
      <c r="PK77" s="970"/>
      <c r="PL77" s="970"/>
      <c r="PM77" s="970"/>
      <c r="PN77" s="970"/>
      <c r="PO77" s="970"/>
      <c r="PP77" s="970"/>
      <c r="PQ77" s="970"/>
      <c r="PR77" s="970"/>
      <c r="PS77" s="970"/>
      <c r="PT77" s="970"/>
      <c r="PU77" s="970"/>
      <c r="PV77" s="970"/>
      <c r="PW77" s="970"/>
      <c r="PX77" s="970"/>
      <c r="PY77" s="970"/>
      <c r="PZ77" s="970"/>
      <c r="QA77" s="970"/>
      <c r="QB77" s="970"/>
      <c r="QC77" s="970"/>
      <c r="QD77" s="970"/>
      <c r="QE77" s="970"/>
      <c r="QF77" s="970"/>
      <c r="QG77" s="970"/>
      <c r="QH77" s="970"/>
      <c r="QI77" s="970"/>
      <c r="QJ77" s="970"/>
      <c r="QK77" s="970"/>
      <c r="QL77" s="970"/>
      <c r="QM77" s="970"/>
      <c r="QN77" s="970"/>
      <c r="QO77" s="970"/>
      <c r="QP77" s="970"/>
      <c r="QQ77" s="970"/>
      <c r="QR77" s="970"/>
      <c r="QS77" s="970"/>
      <c r="QT77" s="970"/>
      <c r="QU77" s="970"/>
      <c r="QV77" s="970"/>
      <c r="QW77" s="970"/>
      <c r="QX77" s="970"/>
      <c r="QY77" s="970"/>
      <c r="QZ77" s="970"/>
      <c r="RA77" s="970"/>
      <c r="RB77" s="970"/>
      <c r="RC77" s="970"/>
      <c r="RD77" s="970"/>
      <c r="RE77" s="970"/>
      <c r="RF77" s="970"/>
      <c r="RG77" s="970"/>
      <c r="RH77" s="970"/>
      <c r="RI77" s="970"/>
      <c r="RJ77" s="970"/>
      <c r="RK77" s="970"/>
      <c r="RL77" s="970"/>
      <c r="RM77" s="970"/>
      <c r="RN77" s="970"/>
      <c r="RO77" s="970"/>
      <c r="RP77" s="970"/>
      <c r="RQ77" s="970"/>
      <c r="RR77" s="970"/>
      <c r="RS77" s="970"/>
      <c r="RT77" s="970"/>
      <c r="RU77" s="970"/>
      <c r="RV77" s="970"/>
      <c r="RW77" s="970"/>
      <c r="RX77" s="970"/>
      <c r="RY77" s="970"/>
      <c r="RZ77" s="970"/>
      <c r="SA77" s="970"/>
      <c r="SB77" s="970"/>
      <c r="SC77" s="970"/>
      <c r="SD77" s="970"/>
      <c r="SE77" s="970"/>
      <c r="SF77" s="970"/>
      <c r="SG77" s="970"/>
      <c r="SH77" s="970"/>
      <c r="SI77" s="970"/>
      <c r="SJ77" s="970"/>
      <c r="SK77" s="970"/>
      <c r="SL77" s="970"/>
      <c r="SM77" s="970"/>
      <c r="SN77" s="970"/>
      <c r="SO77" s="970"/>
      <c r="SP77" s="970"/>
      <c r="SQ77" s="970"/>
      <c r="SR77" s="970"/>
    </row>
    <row r="78" spans="1:512" ht="15" customHeight="1">
      <c r="A78"/>
      <c r="B78"/>
      <c r="C78" t="s">
        <v>2713</v>
      </c>
      <c r="D78"/>
      <c r="E78" t="s">
        <v>2119</v>
      </c>
      <c r="F78"/>
      <c r="G78" s="970">
        <v>0</v>
      </c>
      <c r="H78" s="970">
        <v>0</v>
      </c>
      <c r="I78" s="970"/>
      <c r="J78" s="970"/>
      <c r="K78" s="970"/>
      <c r="L78" s="970"/>
      <c r="M78" s="970"/>
      <c r="N78" s="970"/>
      <c r="O78" s="970"/>
      <c r="P78" s="970"/>
      <c r="Q78" s="970"/>
      <c r="R78" s="970"/>
      <c r="S78" s="970"/>
      <c r="T78" s="970"/>
      <c r="U78" s="970"/>
      <c r="V78" s="970"/>
      <c r="W78" s="970"/>
      <c r="X78" s="970"/>
      <c r="Y78" s="970"/>
      <c r="Z78" s="970"/>
      <c r="AA78" s="970"/>
      <c r="AB78" s="970"/>
      <c r="AC78" s="970"/>
      <c r="AD78" s="970"/>
      <c r="AE78" s="970"/>
      <c r="AF78" s="970"/>
      <c r="AG78" s="970"/>
      <c r="AH78" s="970"/>
      <c r="AI78" s="970"/>
      <c r="AJ78" s="970"/>
      <c r="AK78" s="970"/>
      <c r="AL78" s="970"/>
      <c r="AM78" s="970"/>
      <c r="AN78" s="970"/>
      <c r="AO78" s="970"/>
      <c r="AP78" s="970"/>
      <c r="AQ78" s="970"/>
      <c r="AR78" s="970"/>
      <c r="AS78" s="970"/>
      <c r="AT78" s="970"/>
      <c r="AU78" s="970"/>
      <c r="AV78" s="970"/>
      <c r="AW78" s="970"/>
      <c r="AX78" s="970"/>
      <c r="AY78" s="970"/>
      <c r="AZ78" s="970"/>
      <c r="BA78" s="970"/>
      <c r="BB78" s="970"/>
      <c r="BC78" s="970"/>
      <c r="BD78" s="970"/>
      <c r="BE78" s="970"/>
      <c r="BF78" s="970"/>
      <c r="BG78" s="970"/>
      <c r="BH78" s="970"/>
      <c r="BI78" s="970"/>
      <c r="BJ78" s="970"/>
      <c r="BK78" s="970"/>
      <c r="BL78" s="970"/>
      <c r="BM78" s="970"/>
      <c r="BN78" s="970"/>
      <c r="BO78" s="970"/>
      <c r="BP78" s="970"/>
      <c r="BQ78" s="970"/>
      <c r="BR78" s="970"/>
      <c r="BS78" s="970"/>
      <c r="BT78" s="970"/>
      <c r="BU78" s="970"/>
      <c r="BV78" s="970"/>
      <c r="BW78" s="970"/>
      <c r="BX78" s="970"/>
      <c r="BY78" s="970"/>
      <c r="BZ78" s="970"/>
      <c r="CA78" s="970"/>
      <c r="CB78" s="970"/>
      <c r="CC78" s="970"/>
      <c r="CD78" s="970"/>
      <c r="CE78" s="970"/>
      <c r="CF78" s="970"/>
      <c r="CG78" s="970"/>
      <c r="CH78" s="970"/>
      <c r="CI78" s="970"/>
      <c r="CJ78" s="970"/>
      <c r="CK78" s="970"/>
      <c r="CL78" s="970"/>
      <c r="CM78" s="970"/>
      <c r="CN78" s="970"/>
      <c r="CO78" s="970"/>
      <c r="CP78" s="970"/>
      <c r="CQ78" s="970"/>
      <c r="CR78" s="970"/>
      <c r="CS78" s="970"/>
      <c r="CT78" s="970"/>
      <c r="CU78" s="970"/>
      <c r="CV78" s="970"/>
      <c r="CW78" s="970"/>
      <c r="CX78" s="970"/>
      <c r="CY78" s="970"/>
      <c r="CZ78" s="970"/>
      <c r="DA78" s="970"/>
      <c r="DB78" s="970"/>
      <c r="DC78" s="970"/>
      <c r="DD78" s="970"/>
      <c r="DE78" s="970"/>
      <c r="DF78" s="970"/>
      <c r="DG78" s="970"/>
      <c r="DH78" s="970"/>
      <c r="DI78" s="970"/>
      <c r="DJ78" s="970"/>
      <c r="DK78" s="970"/>
      <c r="DL78" s="970"/>
      <c r="DM78" s="970"/>
      <c r="DN78" s="970"/>
      <c r="DO78" s="970"/>
      <c r="DP78" s="970"/>
      <c r="DQ78" s="970"/>
      <c r="DR78" s="970"/>
      <c r="DS78" s="970"/>
      <c r="DT78" s="970"/>
      <c r="DU78" s="970"/>
      <c r="DV78" s="970"/>
      <c r="DW78" s="970"/>
      <c r="DX78" s="970"/>
      <c r="DY78" s="970"/>
      <c r="DZ78" s="970"/>
      <c r="EA78" s="970"/>
      <c r="EB78" s="970"/>
      <c r="EC78" s="970"/>
      <c r="ED78" s="970"/>
      <c r="EE78" s="970"/>
      <c r="EF78" s="970"/>
      <c r="EG78" s="970"/>
      <c r="EH78" s="970"/>
      <c r="EI78" s="970"/>
      <c r="EJ78" s="970"/>
      <c r="EK78" s="970"/>
      <c r="EL78" s="970"/>
      <c r="EM78" s="970"/>
      <c r="EN78" s="970"/>
      <c r="EO78" s="970"/>
      <c r="EP78" s="970"/>
      <c r="EQ78" s="970"/>
      <c r="ER78" s="970"/>
      <c r="ES78" s="970"/>
      <c r="ET78" s="970"/>
      <c r="EU78" s="970"/>
      <c r="EV78" s="970"/>
      <c r="EW78" s="970"/>
      <c r="EX78" s="970"/>
      <c r="EY78" s="970"/>
      <c r="EZ78" s="970"/>
      <c r="FA78" s="970"/>
      <c r="FB78" s="970"/>
      <c r="FC78" s="970"/>
      <c r="FD78" s="970"/>
      <c r="FE78" s="970"/>
      <c r="FF78" s="970"/>
      <c r="FG78" s="970"/>
      <c r="FH78" s="970"/>
      <c r="FI78" s="970"/>
      <c r="FJ78" s="970"/>
      <c r="FK78" s="970"/>
      <c r="FL78" s="970"/>
      <c r="FM78" s="970"/>
      <c r="FN78" s="970"/>
      <c r="FO78" s="970"/>
      <c r="FP78" s="970"/>
      <c r="FQ78" s="970"/>
      <c r="FR78" s="970"/>
      <c r="FS78" s="970"/>
      <c r="FT78" s="970"/>
      <c r="FU78" s="970"/>
      <c r="FV78" s="970"/>
      <c r="FW78" s="970"/>
      <c r="FX78" s="970"/>
      <c r="FY78" s="970"/>
      <c r="FZ78" s="970"/>
      <c r="GA78" s="970"/>
      <c r="GB78" s="970"/>
      <c r="GC78" s="970"/>
      <c r="GD78" s="970"/>
      <c r="GE78" s="970"/>
      <c r="GF78" s="970"/>
      <c r="GG78" s="970"/>
      <c r="GH78" s="970"/>
      <c r="GI78" s="970"/>
      <c r="GJ78" s="970"/>
      <c r="GK78" s="970"/>
      <c r="GL78" s="970"/>
      <c r="GM78" s="970"/>
      <c r="GN78" s="970"/>
      <c r="GO78" s="970"/>
      <c r="GP78" s="970"/>
      <c r="GQ78" s="970"/>
      <c r="GR78" s="970"/>
      <c r="GS78" s="970"/>
      <c r="GT78" s="970"/>
      <c r="GU78" s="970"/>
      <c r="GV78" s="970"/>
      <c r="GW78" s="970"/>
      <c r="GX78" s="970"/>
      <c r="GY78" s="970"/>
      <c r="GZ78" s="970"/>
      <c r="HA78" s="970"/>
      <c r="HB78" s="970"/>
      <c r="HC78" s="970"/>
      <c r="HD78" s="970"/>
      <c r="HE78" s="970"/>
      <c r="HF78" s="970"/>
      <c r="HG78" s="970"/>
      <c r="HH78" s="970"/>
      <c r="HI78" s="970"/>
      <c r="HJ78" s="970"/>
      <c r="HK78" s="970"/>
      <c r="HL78" s="970"/>
      <c r="HM78" s="970"/>
      <c r="HN78" s="970"/>
      <c r="HO78" s="970"/>
      <c r="HP78" s="970"/>
      <c r="HQ78" s="970"/>
      <c r="HR78" s="970"/>
      <c r="HS78" s="970"/>
      <c r="HT78" s="970"/>
      <c r="HU78" s="970"/>
      <c r="HV78" s="970"/>
      <c r="HW78" s="970"/>
      <c r="HX78" s="970"/>
      <c r="HY78" s="970"/>
      <c r="HZ78" s="970"/>
      <c r="IA78" s="970"/>
      <c r="IB78" s="970"/>
      <c r="IC78" s="970"/>
      <c r="ID78" s="970"/>
      <c r="IE78" s="970"/>
      <c r="IF78" s="970"/>
      <c r="IG78" s="970"/>
      <c r="IH78" s="970"/>
      <c r="II78" s="970"/>
      <c r="IJ78" s="970"/>
      <c r="IK78" s="970"/>
      <c r="IL78" s="970"/>
      <c r="IM78" s="970"/>
      <c r="IN78" s="970"/>
      <c r="IO78" s="970"/>
      <c r="IP78" s="970"/>
      <c r="IQ78" s="970"/>
      <c r="IR78" s="970"/>
      <c r="IS78" s="970"/>
      <c r="IT78" s="970"/>
      <c r="IU78" s="970"/>
      <c r="IV78" s="970"/>
      <c r="IW78" s="970"/>
      <c r="IX78" s="970"/>
      <c r="IY78" s="970"/>
      <c r="IZ78" s="970"/>
      <c r="JA78" s="970"/>
      <c r="JB78" s="970"/>
      <c r="JC78" s="970"/>
      <c r="JD78" s="970"/>
      <c r="JE78" s="970"/>
      <c r="JF78" s="970"/>
      <c r="JG78" s="970"/>
      <c r="JH78" s="970"/>
      <c r="JI78" s="970"/>
      <c r="JJ78" s="970"/>
      <c r="JK78" s="970"/>
      <c r="JL78" s="970"/>
      <c r="JM78" s="970"/>
      <c r="JN78" s="970"/>
      <c r="JO78" s="970"/>
      <c r="JP78" s="970"/>
      <c r="JQ78" s="970"/>
      <c r="JR78" s="970"/>
      <c r="JS78" s="970"/>
      <c r="JT78" s="970"/>
      <c r="JU78" s="970"/>
      <c r="JV78" s="970"/>
      <c r="JW78" s="970"/>
      <c r="JX78" s="970"/>
      <c r="JY78" s="970"/>
      <c r="JZ78" s="970"/>
      <c r="KA78" s="970"/>
      <c r="KB78" s="970"/>
      <c r="KC78" s="970"/>
      <c r="KD78" s="970"/>
      <c r="KE78" s="970"/>
      <c r="KF78" s="970"/>
      <c r="KG78" s="970"/>
      <c r="KH78" s="970"/>
      <c r="KI78" s="970"/>
      <c r="KJ78" s="970"/>
      <c r="KK78" s="970"/>
      <c r="KL78" s="970"/>
      <c r="KM78" s="970"/>
      <c r="KN78" s="970"/>
      <c r="KO78" s="970"/>
      <c r="KP78" s="970"/>
      <c r="KQ78" s="970"/>
      <c r="KR78" s="970"/>
      <c r="KS78" s="970"/>
      <c r="KT78" s="970"/>
      <c r="KU78" s="970"/>
      <c r="KV78" s="970"/>
      <c r="KW78" s="970"/>
      <c r="KX78" s="970"/>
      <c r="KY78" s="970"/>
      <c r="KZ78" s="970"/>
      <c r="LA78" s="970"/>
      <c r="LB78" s="970"/>
      <c r="LC78" s="970"/>
      <c r="LD78" s="970"/>
      <c r="LE78" s="970"/>
      <c r="LF78" s="970"/>
      <c r="LG78" s="970"/>
      <c r="LH78" s="970"/>
      <c r="LI78" s="970"/>
      <c r="LJ78" s="970"/>
      <c r="LK78" s="970"/>
      <c r="LL78" s="970"/>
      <c r="LM78" s="970"/>
      <c r="LN78" s="970"/>
      <c r="LO78" s="970"/>
      <c r="LP78" s="970"/>
      <c r="LQ78" s="970"/>
      <c r="LR78" s="970"/>
      <c r="LS78" s="970"/>
      <c r="LT78" s="970"/>
      <c r="LU78" s="970"/>
      <c r="LV78" s="970"/>
      <c r="LW78" s="970"/>
      <c r="LX78" s="970"/>
      <c r="LY78" s="970"/>
      <c r="LZ78" s="970"/>
      <c r="MA78" s="970"/>
      <c r="MB78" s="970"/>
      <c r="MC78" s="970"/>
      <c r="MD78" s="970"/>
      <c r="ME78" s="970"/>
      <c r="MF78" s="970"/>
      <c r="MG78" s="970"/>
      <c r="MH78" s="970"/>
      <c r="MI78" s="970"/>
      <c r="MJ78" s="970"/>
      <c r="MK78" s="970"/>
      <c r="ML78" s="970"/>
      <c r="MM78" s="970"/>
      <c r="MN78" s="970"/>
      <c r="MO78" s="970"/>
      <c r="MP78" s="970"/>
      <c r="MQ78" s="970"/>
      <c r="MR78" s="970"/>
      <c r="MS78" s="970"/>
      <c r="MT78" s="970"/>
      <c r="MU78" s="970"/>
      <c r="MV78" s="970"/>
      <c r="MW78" s="970"/>
      <c r="MX78" s="970"/>
      <c r="MY78" s="970"/>
      <c r="MZ78" s="970"/>
      <c r="NA78" s="970"/>
      <c r="NB78" s="970"/>
      <c r="NC78" s="970"/>
      <c r="ND78" s="970"/>
      <c r="NE78" s="970"/>
      <c r="NF78" s="970"/>
      <c r="NG78" s="970"/>
      <c r="NH78" s="970"/>
      <c r="NI78" s="970"/>
      <c r="NJ78" s="970"/>
      <c r="NK78" s="970"/>
      <c r="NL78" s="970"/>
      <c r="NM78" s="970"/>
      <c r="NN78" s="970"/>
      <c r="NO78" s="970"/>
      <c r="NP78" s="970"/>
      <c r="NQ78" s="970"/>
      <c r="NR78" s="970"/>
      <c r="NS78" s="970"/>
      <c r="NT78" s="970"/>
      <c r="NU78" s="970"/>
      <c r="NV78" s="970"/>
      <c r="NW78" s="970"/>
      <c r="NX78" s="970"/>
      <c r="NY78" s="970"/>
      <c r="NZ78" s="970"/>
      <c r="OA78" s="970"/>
      <c r="OB78" s="970"/>
      <c r="OC78" s="970"/>
      <c r="OD78" s="970"/>
      <c r="OE78" s="970"/>
      <c r="OF78" s="970"/>
      <c r="OG78" s="970"/>
      <c r="OH78" s="970"/>
      <c r="OI78" s="970"/>
      <c r="OJ78" s="970"/>
      <c r="OK78" s="970"/>
      <c r="OL78" s="970"/>
      <c r="OM78" s="970"/>
      <c r="ON78" s="970"/>
      <c r="OO78" s="970"/>
      <c r="OP78" s="970"/>
      <c r="OQ78" s="970"/>
      <c r="OR78" s="970"/>
      <c r="OS78" s="970"/>
      <c r="OT78" s="970"/>
      <c r="OU78" s="970"/>
      <c r="OV78" s="970"/>
      <c r="OW78" s="970"/>
      <c r="OX78" s="970"/>
      <c r="OY78" s="970"/>
      <c r="OZ78" s="970"/>
      <c r="PA78" s="970"/>
      <c r="PB78" s="970"/>
      <c r="PC78" s="970"/>
      <c r="PD78" s="970"/>
      <c r="PE78" s="970"/>
      <c r="PF78" s="970"/>
      <c r="PG78" s="970"/>
      <c r="PH78" s="970"/>
      <c r="PI78" s="970"/>
      <c r="PJ78" s="970"/>
      <c r="PK78" s="970"/>
      <c r="PL78" s="970"/>
      <c r="PM78" s="970"/>
      <c r="PN78" s="970"/>
      <c r="PO78" s="970"/>
      <c r="PP78" s="970"/>
      <c r="PQ78" s="970"/>
      <c r="PR78" s="970"/>
      <c r="PS78" s="970"/>
      <c r="PT78" s="970"/>
      <c r="PU78" s="970"/>
      <c r="PV78" s="970"/>
      <c r="PW78" s="970"/>
      <c r="PX78" s="970"/>
      <c r="PY78" s="970"/>
      <c r="PZ78" s="970"/>
      <c r="QA78" s="970"/>
      <c r="QB78" s="970"/>
      <c r="QC78" s="970"/>
      <c r="QD78" s="970"/>
      <c r="QE78" s="970"/>
      <c r="QF78" s="970"/>
      <c r="QG78" s="970"/>
      <c r="QH78" s="970"/>
      <c r="QI78" s="970"/>
      <c r="QJ78" s="970"/>
      <c r="QK78" s="970"/>
      <c r="QL78" s="970"/>
      <c r="QM78" s="970"/>
      <c r="QN78" s="970"/>
      <c r="QO78" s="970"/>
      <c r="QP78" s="970"/>
      <c r="QQ78" s="970"/>
      <c r="QR78" s="970"/>
      <c r="QS78" s="970"/>
      <c r="QT78" s="970"/>
      <c r="QU78" s="970"/>
      <c r="QV78" s="970"/>
      <c r="QW78" s="970"/>
      <c r="QX78" s="970"/>
      <c r="QY78" s="970"/>
      <c r="QZ78" s="970"/>
      <c r="RA78" s="970"/>
      <c r="RB78" s="970"/>
      <c r="RC78" s="970"/>
      <c r="RD78" s="970"/>
      <c r="RE78" s="970"/>
      <c r="RF78" s="970"/>
      <c r="RG78" s="970"/>
      <c r="RH78" s="970"/>
      <c r="RI78" s="970"/>
      <c r="RJ78" s="970"/>
      <c r="RK78" s="970"/>
      <c r="RL78" s="970"/>
      <c r="RM78" s="970"/>
      <c r="RN78" s="970"/>
      <c r="RO78" s="970"/>
      <c r="RP78" s="970"/>
      <c r="RQ78" s="970"/>
      <c r="RR78" s="970"/>
      <c r="RS78" s="970"/>
      <c r="RT78" s="970"/>
      <c r="RU78" s="970"/>
      <c r="RV78" s="970"/>
      <c r="RW78" s="970"/>
      <c r="RX78" s="970"/>
      <c r="RY78" s="970"/>
      <c r="RZ78" s="970"/>
      <c r="SA78" s="970"/>
      <c r="SB78" s="970"/>
      <c r="SC78" s="970"/>
      <c r="SD78" s="970"/>
      <c r="SE78" s="970"/>
      <c r="SF78" s="970"/>
      <c r="SG78" s="970"/>
      <c r="SH78" s="970"/>
      <c r="SI78" s="970"/>
      <c r="SJ78" s="970"/>
      <c r="SK78" s="970"/>
      <c r="SL78" s="970"/>
      <c r="SM78" s="970"/>
      <c r="SN78" s="970"/>
      <c r="SO78" s="970"/>
      <c r="SP78" s="970"/>
      <c r="SQ78" s="970"/>
      <c r="SR78" s="970"/>
    </row>
    <row r="79" spans="1:512" ht="15" customHeight="1">
      <c r="A79"/>
      <c r="B79"/>
      <c r="C79" t="s">
        <v>2714</v>
      </c>
      <c r="D79"/>
      <c r="E79" t="s">
        <v>2119</v>
      </c>
      <c r="F79"/>
      <c r="G79" s="970">
        <v>1</v>
      </c>
      <c r="H79" s="970">
        <v>0</v>
      </c>
      <c r="I79" s="970"/>
      <c r="J79" s="970"/>
      <c r="K79" s="970"/>
      <c r="L79" s="970"/>
      <c r="M79" s="970"/>
      <c r="N79" s="970"/>
      <c r="O79" s="970"/>
      <c r="P79" s="970"/>
      <c r="Q79" s="970"/>
      <c r="R79" s="970"/>
      <c r="S79" s="970"/>
      <c r="T79" s="970"/>
      <c r="U79" s="970"/>
      <c r="V79" s="970"/>
      <c r="W79" s="970"/>
      <c r="X79" s="970"/>
      <c r="Y79" s="970"/>
      <c r="Z79" s="970"/>
      <c r="AA79" s="970"/>
      <c r="AB79" s="970"/>
      <c r="AC79" s="970"/>
      <c r="AD79" s="970"/>
      <c r="AE79" s="970"/>
      <c r="AF79" s="970"/>
      <c r="AG79" s="970"/>
      <c r="AH79" s="970"/>
      <c r="AI79" s="970"/>
      <c r="AJ79" s="970"/>
      <c r="AK79" s="970"/>
      <c r="AL79" s="970"/>
      <c r="AM79" s="970"/>
      <c r="AN79" s="970"/>
      <c r="AO79" s="970"/>
      <c r="AP79" s="970"/>
      <c r="AQ79" s="970"/>
      <c r="AR79" s="970"/>
      <c r="AS79" s="970"/>
      <c r="AT79" s="970"/>
      <c r="AU79" s="970"/>
      <c r="AV79" s="970"/>
      <c r="AW79" s="970"/>
      <c r="AX79" s="970"/>
      <c r="AY79" s="970"/>
      <c r="AZ79" s="970"/>
      <c r="BA79" s="970"/>
      <c r="BB79" s="970"/>
      <c r="BC79" s="970"/>
      <c r="BD79" s="970"/>
      <c r="BE79" s="970"/>
      <c r="BF79" s="970"/>
      <c r="BG79" s="970"/>
      <c r="BH79" s="970"/>
      <c r="BI79" s="970"/>
      <c r="BJ79" s="970"/>
      <c r="BK79" s="970"/>
      <c r="BL79" s="970"/>
      <c r="BM79" s="970"/>
      <c r="BN79" s="970"/>
      <c r="BO79" s="970"/>
      <c r="BP79" s="970"/>
      <c r="BQ79" s="970"/>
      <c r="BR79" s="970"/>
      <c r="BS79" s="970"/>
      <c r="BT79" s="970"/>
      <c r="BU79" s="970"/>
      <c r="BV79" s="970"/>
      <c r="BW79" s="970"/>
      <c r="BX79" s="970"/>
      <c r="BY79" s="970"/>
      <c r="BZ79" s="970"/>
      <c r="CA79" s="970"/>
      <c r="CB79" s="970"/>
      <c r="CC79" s="970"/>
      <c r="CD79" s="970"/>
      <c r="CE79" s="970"/>
      <c r="CF79" s="970"/>
      <c r="CG79" s="970"/>
      <c r="CH79" s="970"/>
      <c r="CI79" s="970"/>
      <c r="CJ79" s="970"/>
      <c r="CK79" s="970"/>
      <c r="CL79" s="970"/>
      <c r="CM79" s="970"/>
      <c r="CN79" s="970"/>
      <c r="CO79" s="970"/>
      <c r="CP79" s="970"/>
      <c r="CQ79" s="970"/>
      <c r="CR79" s="970"/>
      <c r="CS79" s="970"/>
      <c r="CT79" s="970"/>
      <c r="CU79" s="970"/>
      <c r="CV79" s="970"/>
      <c r="CW79" s="970"/>
      <c r="CX79" s="970"/>
      <c r="CY79" s="970"/>
      <c r="CZ79" s="970"/>
      <c r="DA79" s="970"/>
      <c r="DB79" s="970"/>
      <c r="DC79" s="970"/>
      <c r="DD79" s="970"/>
      <c r="DE79" s="970"/>
      <c r="DF79" s="970"/>
      <c r="DG79" s="970"/>
      <c r="DH79" s="970"/>
      <c r="DI79" s="970"/>
      <c r="DJ79" s="970"/>
      <c r="DK79" s="970"/>
      <c r="DL79" s="970"/>
      <c r="DM79" s="970"/>
      <c r="DN79" s="970"/>
      <c r="DO79" s="970"/>
      <c r="DP79" s="970"/>
      <c r="DQ79" s="970"/>
      <c r="DR79" s="970"/>
      <c r="DS79" s="970"/>
      <c r="DT79" s="970"/>
      <c r="DU79" s="970"/>
      <c r="DV79" s="970"/>
      <c r="DW79" s="970"/>
      <c r="DX79" s="970"/>
      <c r="DY79" s="970"/>
      <c r="DZ79" s="970"/>
      <c r="EA79" s="970"/>
      <c r="EB79" s="970"/>
      <c r="EC79" s="970"/>
      <c r="ED79" s="970"/>
      <c r="EE79" s="970"/>
      <c r="EF79" s="970"/>
      <c r="EG79" s="970"/>
      <c r="EH79" s="970"/>
      <c r="EI79" s="970"/>
      <c r="EJ79" s="970"/>
      <c r="EK79" s="970"/>
      <c r="EL79" s="970"/>
      <c r="EM79" s="970"/>
      <c r="EN79" s="970"/>
      <c r="EO79" s="970"/>
      <c r="EP79" s="970"/>
      <c r="EQ79" s="970"/>
      <c r="ER79" s="970"/>
      <c r="ES79" s="970"/>
      <c r="ET79" s="970"/>
      <c r="EU79" s="970"/>
      <c r="EV79" s="970"/>
      <c r="EW79" s="970"/>
      <c r="EX79" s="970"/>
      <c r="EY79" s="970"/>
      <c r="EZ79" s="970"/>
      <c r="FA79" s="970"/>
      <c r="FB79" s="970"/>
      <c r="FC79" s="970"/>
      <c r="FD79" s="970"/>
      <c r="FE79" s="970"/>
      <c r="FF79" s="970"/>
      <c r="FG79" s="970"/>
      <c r="FH79" s="970"/>
      <c r="FI79" s="970"/>
      <c r="FJ79" s="970"/>
      <c r="FK79" s="970"/>
      <c r="FL79" s="970"/>
      <c r="FM79" s="970"/>
      <c r="FN79" s="970"/>
      <c r="FO79" s="970"/>
      <c r="FP79" s="970"/>
      <c r="FQ79" s="970"/>
      <c r="FR79" s="970"/>
      <c r="FS79" s="970"/>
      <c r="FT79" s="970"/>
      <c r="FU79" s="970"/>
      <c r="FV79" s="970"/>
      <c r="FW79" s="970"/>
      <c r="FX79" s="970"/>
      <c r="FY79" s="970"/>
      <c r="FZ79" s="970"/>
      <c r="GA79" s="970"/>
      <c r="GB79" s="970"/>
      <c r="GC79" s="970"/>
      <c r="GD79" s="970"/>
      <c r="GE79" s="970"/>
      <c r="GF79" s="970"/>
      <c r="GG79" s="970"/>
      <c r="GH79" s="970"/>
      <c r="GI79" s="970"/>
      <c r="GJ79" s="970"/>
      <c r="GK79" s="970"/>
      <c r="GL79" s="970"/>
      <c r="GM79" s="970"/>
      <c r="GN79" s="970"/>
      <c r="GO79" s="970"/>
      <c r="GP79" s="970"/>
      <c r="GQ79" s="970"/>
      <c r="GR79" s="970"/>
      <c r="GS79" s="970"/>
      <c r="GT79" s="970"/>
      <c r="GU79" s="970"/>
      <c r="GV79" s="970"/>
      <c r="GW79" s="970"/>
      <c r="GX79" s="970"/>
      <c r="GY79" s="970"/>
      <c r="GZ79" s="970"/>
      <c r="HA79" s="970"/>
      <c r="HB79" s="970"/>
      <c r="HC79" s="970"/>
      <c r="HD79" s="970"/>
      <c r="HE79" s="970"/>
      <c r="HF79" s="970"/>
      <c r="HG79" s="970"/>
      <c r="HH79" s="970"/>
      <c r="HI79" s="970"/>
      <c r="HJ79" s="970"/>
      <c r="HK79" s="970"/>
      <c r="HL79" s="970"/>
      <c r="HM79" s="970"/>
      <c r="HN79" s="970"/>
      <c r="HO79" s="970"/>
      <c r="HP79" s="970"/>
      <c r="HQ79" s="970"/>
      <c r="HR79" s="970"/>
      <c r="HS79" s="970"/>
      <c r="HT79" s="970"/>
      <c r="HU79" s="970"/>
      <c r="HV79" s="970"/>
      <c r="HW79" s="970"/>
      <c r="HX79" s="970"/>
      <c r="HY79" s="970"/>
      <c r="HZ79" s="970"/>
      <c r="IA79" s="970"/>
      <c r="IB79" s="970"/>
      <c r="IC79" s="970"/>
      <c r="ID79" s="970"/>
      <c r="IE79" s="970"/>
      <c r="IF79" s="970"/>
      <c r="IG79" s="970"/>
      <c r="IH79" s="970"/>
      <c r="II79" s="970"/>
      <c r="IJ79" s="970"/>
      <c r="IK79" s="970"/>
      <c r="IL79" s="970"/>
      <c r="IM79" s="970"/>
      <c r="IN79" s="970"/>
      <c r="IO79" s="970"/>
      <c r="IP79" s="970"/>
      <c r="IQ79" s="970"/>
      <c r="IR79" s="970"/>
      <c r="IS79" s="970"/>
      <c r="IT79" s="970"/>
      <c r="IU79" s="970"/>
      <c r="IV79" s="970"/>
      <c r="IW79" s="970"/>
      <c r="IX79" s="970"/>
      <c r="IY79" s="970"/>
      <c r="IZ79" s="970"/>
      <c r="JA79" s="970"/>
      <c r="JB79" s="970"/>
      <c r="JC79" s="970"/>
      <c r="JD79" s="970"/>
      <c r="JE79" s="970"/>
      <c r="JF79" s="970"/>
      <c r="JG79" s="970"/>
      <c r="JH79" s="970"/>
      <c r="JI79" s="970"/>
      <c r="JJ79" s="970"/>
      <c r="JK79" s="970"/>
      <c r="JL79" s="970"/>
      <c r="JM79" s="970"/>
      <c r="JN79" s="970"/>
      <c r="JO79" s="970"/>
      <c r="JP79" s="970"/>
      <c r="JQ79" s="970"/>
      <c r="JR79" s="970"/>
      <c r="JS79" s="970"/>
      <c r="JT79" s="970"/>
      <c r="JU79" s="970"/>
      <c r="JV79" s="970"/>
      <c r="JW79" s="970"/>
      <c r="JX79" s="970"/>
      <c r="JY79" s="970"/>
      <c r="JZ79" s="970"/>
      <c r="KA79" s="970"/>
      <c r="KB79" s="970"/>
      <c r="KC79" s="970"/>
      <c r="KD79" s="970"/>
      <c r="KE79" s="970"/>
      <c r="KF79" s="970"/>
      <c r="KG79" s="970"/>
      <c r="KH79" s="970"/>
      <c r="KI79" s="970"/>
      <c r="KJ79" s="970"/>
      <c r="KK79" s="970"/>
      <c r="KL79" s="970"/>
      <c r="KM79" s="970"/>
      <c r="KN79" s="970"/>
      <c r="KO79" s="970"/>
      <c r="KP79" s="970"/>
      <c r="KQ79" s="970"/>
      <c r="KR79" s="970"/>
      <c r="KS79" s="970"/>
      <c r="KT79" s="970"/>
      <c r="KU79" s="970"/>
      <c r="KV79" s="970"/>
      <c r="KW79" s="970"/>
      <c r="KX79" s="970"/>
      <c r="KY79" s="970"/>
      <c r="KZ79" s="970"/>
      <c r="LA79" s="970"/>
      <c r="LB79" s="970"/>
      <c r="LC79" s="970"/>
      <c r="LD79" s="970"/>
      <c r="LE79" s="970"/>
      <c r="LF79" s="970"/>
      <c r="LG79" s="970"/>
      <c r="LH79" s="970"/>
      <c r="LI79" s="970"/>
      <c r="LJ79" s="970"/>
      <c r="LK79" s="970"/>
      <c r="LL79" s="970"/>
      <c r="LM79" s="970"/>
      <c r="LN79" s="970"/>
      <c r="LO79" s="970"/>
      <c r="LP79" s="970"/>
      <c r="LQ79" s="970"/>
      <c r="LR79" s="970"/>
      <c r="LS79" s="970"/>
      <c r="LT79" s="970"/>
      <c r="LU79" s="970"/>
      <c r="LV79" s="970"/>
      <c r="LW79" s="970"/>
      <c r="LX79" s="970"/>
      <c r="LY79" s="970"/>
      <c r="LZ79" s="970"/>
      <c r="MA79" s="970"/>
      <c r="MB79" s="970"/>
      <c r="MC79" s="970"/>
      <c r="MD79" s="970"/>
      <c r="ME79" s="970"/>
      <c r="MF79" s="970"/>
      <c r="MG79" s="970"/>
      <c r="MH79" s="970"/>
      <c r="MI79" s="970"/>
      <c r="MJ79" s="970"/>
      <c r="MK79" s="970"/>
      <c r="ML79" s="970"/>
      <c r="MM79" s="970"/>
      <c r="MN79" s="970"/>
      <c r="MO79" s="970"/>
      <c r="MP79" s="970"/>
      <c r="MQ79" s="970"/>
      <c r="MR79" s="970"/>
      <c r="MS79" s="970"/>
      <c r="MT79" s="970"/>
      <c r="MU79" s="970"/>
      <c r="MV79" s="970"/>
      <c r="MW79" s="970"/>
      <c r="MX79" s="970"/>
      <c r="MY79" s="970"/>
      <c r="MZ79" s="970"/>
      <c r="NA79" s="970"/>
      <c r="NB79" s="970"/>
      <c r="NC79" s="970"/>
      <c r="ND79" s="970"/>
      <c r="NE79" s="970"/>
      <c r="NF79" s="970"/>
      <c r="NG79" s="970"/>
      <c r="NH79" s="970"/>
      <c r="NI79" s="970"/>
      <c r="NJ79" s="970"/>
      <c r="NK79" s="970"/>
      <c r="NL79" s="970"/>
      <c r="NM79" s="970"/>
      <c r="NN79" s="970"/>
      <c r="NO79" s="970"/>
      <c r="NP79" s="970"/>
      <c r="NQ79" s="970"/>
      <c r="NR79" s="970"/>
      <c r="NS79" s="970"/>
      <c r="NT79" s="970"/>
      <c r="NU79" s="970"/>
      <c r="NV79" s="970"/>
      <c r="NW79" s="970"/>
      <c r="NX79" s="970"/>
      <c r="NY79" s="970"/>
      <c r="NZ79" s="970"/>
      <c r="OA79" s="970"/>
      <c r="OB79" s="970"/>
      <c r="OC79" s="970"/>
      <c r="OD79" s="970"/>
      <c r="OE79" s="970"/>
      <c r="OF79" s="970"/>
      <c r="OG79" s="970"/>
      <c r="OH79" s="970"/>
      <c r="OI79" s="970"/>
      <c r="OJ79" s="970"/>
      <c r="OK79" s="970"/>
      <c r="OL79" s="970"/>
      <c r="OM79" s="970"/>
      <c r="ON79" s="970"/>
      <c r="OO79" s="970"/>
      <c r="OP79" s="970"/>
      <c r="OQ79" s="970"/>
      <c r="OR79" s="970"/>
      <c r="OS79" s="970"/>
      <c r="OT79" s="970"/>
      <c r="OU79" s="970"/>
      <c r="OV79" s="970"/>
      <c r="OW79" s="970"/>
      <c r="OX79" s="970"/>
      <c r="OY79" s="970"/>
      <c r="OZ79" s="970"/>
      <c r="PA79" s="970"/>
      <c r="PB79" s="970"/>
      <c r="PC79" s="970"/>
      <c r="PD79" s="970"/>
      <c r="PE79" s="970"/>
      <c r="PF79" s="970"/>
      <c r="PG79" s="970"/>
      <c r="PH79" s="970"/>
      <c r="PI79" s="970"/>
      <c r="PJ79" s="970"/>
      <c r="PK79" s="970"/>
      <c r="PL79" s="970"/>
      <c r="PM79" s="970"/>
      <c r="PN79" s="970"/>
      <c r="PO79" s="970"/>
      <c r="PP79" s="970"/>
      <c r="PQ79" s="970"/>
      <c r="PR79" s="970"/>
      <c r="PS79" s="970"/>
      <c r="PT79" s="970"/>
      <c r="PU79" s="970"/>
      <c r="PV79" s="970"/>
      <c r="PW79" s="970"/>
      <c r="PX79" s="970"/>
      <c r="PY79" s="970"/>
      <c r="PZ79" s="970"/>
      <c r="QA79" s="970"/>
      <c r="QB79" s="970"/>
      <c r="QC79" s="970"/>
      <c r="QD79" s="970"/>
      <c r="QE79" s="970"/>
      <c r="QF79" s="970"/>
      <c r="QG79" s="970"/>
      <c r="QH79" s="970"/>
      <c r="QI79" s="970"/>
      <c r="QJ79" s="970"/>
      <c r="QK79" s="970"/>
      <c r="QL79" s="970"/>
      <c r="QM79" s="970"/>
      <c r="QN79" s="970"/>
      <c r="QO79" s="970"/>
      <c r="QP79" s="970"/>
      <c r="QQ79" s="970"/>
      <c r="QR79" s="970"/>
      <c r="QS79" s="970"/>
      <c r="QT79" s="970"/>
      <c r="QU79" s="970"/>
      <c r="QV79" s="970"/>
      <c r="QW79" s="970"/>
      <c r="QX79" s="970"/>
      <c r="QY79" s="970"/>
      <c r="QZ79" s="970"/>
      <c r="RA79" s="970"/>
      <c r="RB79" s="970"/>
      <c r="RC79" s="970"/>
      <c r="RD79" s="970"/>
      <c r="RE79" s="970"/>
      <c r="RF79" s="970"/>
      <c r="RG79" s="970"/>
      <c r="RH79" s="970"/>
      <c r="RI79" s="970"/>
      <c r="RJ79" s="970"/>
      <c r="RK79" s="970"/>
      <c r="RL79" s="970"/>
      <c r="RM79" s="970"/>
      <c r="RN79" s="970"/>
      <c r="RO79" s="970"/>
      <c r="RP79" s="970"/>
      <c r="RQ79" s="970"/>
      <c r="RR79" s="970"/>
      <c r="RS79" s="970"/>
      <c r="RT79" s="970"/>
      <c r="RU79" s="970"/>
      <c r="RV79" s="970"/>
      <c r="RW79" s="970"/>
      <c r="RX79" s="970"/>
      <c r="RY79" s="970"/>
      <c r="RZ79" s="970"/>
      <c r="SA79" s="970"/>
      <c r="SB79" s="970"/>
      <c r="SC79" s="970"/>
      <c r="SD79" s="970"/>
      <c r="SE79" s="970"/>
      <c r="SF79" s="970"/>
      <c r="SG79" s="970"/>
      <c r="SH79" s="970"/>
      <c r="SI79" s="970"/>
      <c r="SJ79" s="970"/>
      <c r="SK79" s="970"/>
      <c r="SL79" s="970"/>
      <c r="SM79" s="970"/>
      <c r="SN79" s="970"/>
      <c r="SO79" s="970"/>
      <c r="SP79" s="970"/>
      <c r="SQ79" s="970"/>
      <c r="SR79" s="970"/>
    </row>
    <row r="80" spans="1:512" ht="15" customHeight="1">
      <c r="A80"/>
      <c r="B80"/>
      <c r="C80" t="s">
        <v>2715</v>
      </c>
      <c r="D80"/>
      <c r="E80" t="s">
        <v>2119</v>
      </c>
      <c r="F80"/>
      <c r="G80" s="970">
        <v>0</v>
      </c>
      <c r="H80" s="970">
        <v>0</v>
      </c>
      <c r="I80" s="970"/>
      <c r="J80" s="970"/>
      <c r="K80" s="970"/>
      <c r="L80" s="970"/>
      <c r="M80" s="970"/>
      <c r="N80" s="970"/>
      <c r="O80" s="970"/>
      <c r="P80" s="970"/>
      <c r="Q80" s="970"/>
      <c r="R80" s="970"/>
      <c r="S80" s="970"/>
      <c r="T80" s="970"/>
      <c r="U80" s="970"/>
      <c r="V80" s="970"/>
      <c r="W80" s="970"/>
      <c r="X80" s="970"/>
      <c r="Y80" s="970"/>
      <c r="Z80" s="970"/>
      <c r="AA80" s="970"/>
      <c r="AB80" s="970"/>
      <c r="AC80" s="970"/>
      <c r="AD80" s="970"/>
      <c r="AE80" s="970"/>
      <c r="AF80" s="970"/>
      <c r="AG80" s="970"/>
      <c r="AH80" s="970"/>
      <c r="AI80" s="970"/>
      <c r="AJ80" s="970"/>
      <c r="AK80" s="970"/>
      <c r="AL80" s="970"/>
      <c r="AM80" s="970"/>
      <c r="AN80" s="970"/>
      <c r="AO80" s="970"/>
      <c r="AP80" s="970"/>
      <c r="AQ80" s="970"/>
      <c r="AR80" s="970"/>
      <c r="AS80" s="970"/>
      <c r="AT80" s="970"/>
      <c r="AU80" s="970"/>
      <c r="AV80" s="970"/>
      <c r="AW80" s="970"/>
      <c r="AX80" s="970"/>
      <c r="AY80" s="970"/>
      <c r="AZ80" s="970"/>
      <c r="BA80" s="970"/>
      <c r="BB80" s="970"/>
      <c r="BC80" s="970"/>
      <c r="BD80" s="970"/>
      <c r="BE80" s="970"/>
      <c r="BF80" s="970"/>
      <c r="BG80" s="970"/>
      <c r="BH80" s="970"/>
      <c r="BI80" s="970"/>
      <c r="BJ80" s="970"/>
      <c r="BK80" s="970"/>
      <c r="BL80" s="970"/>
      <c r="BM80" s="970"/>
      <c r="BN80" s="970"/>
      <c r="BO80" s="970"/>
      <c r="BP80" s="970"/>
      <c r="BQ80" s="970"/>
      <c r="BR80" s="970"/>
      <c r="BS80" s="970"/>
      <c r="BT80" s="970"/>
      <c r="BU80" s="970"/>
      <c r="BV80" s="970"/>
      <c r="BW80" s="970"/>
      <c r="BX80" s="970"/>
      <c r="BY80" s="970"/>
      <c r="BZ80" s="970"/>
      <c r="CA80" s="970"/>
      <c r="CB80" s="970"/>
      <c r="CC80" s="970"/>
      <c r="CD80" s="970"/>
      <c r="CE80" s="970"/>
      <c r="CF80" s="970"/>
      <c r="CG80" s="970"/>
      <c r="CH80" s="970"/>
      <c r="CI80" s="970"/>
      <c r="CJ80" s="970"/>
      <c r="CK80" s="970"/>
      <c r="CL80" s="970"/>
      <c r="CM80" s="970"/>
      <c r="CN80" s="970"/>
      <c r="CO80" s="970"/>
      <c r="CP80" s="970"/>
      <c r="CQ80" s="970"/>
      <c r="CR80" s="970"/>
      <c r="CS80" s="970"/>
      <c r="CT80" s="970"/>
      <c r="CU80" s="970"/>
      <c r="CV80" s="970"/>
      <c r="CW80" s="970"/>
      <c r="CX80" s="970"/>
      <c r="CY80" s="970"/>
      <c r="CZ80" s="970"/>
      <c r="DA80" s="970"/>
      <c r="DB80" s="970"/>
      <c r="DC80" s="970"/>
      <c r="DD80" s="970"/>
      <c r="DE80" s="970"/>
      <c r="DF80" s="970"/>
      <c r="DG80" s="970"/>
      <c r="DH80" s="970"/>
      <c r="DI80" s="970"/>
      <c r="DJ80" s="970"/>
      <c r="DK80" s="970"/>
      <c r="DL80" s="970"/>
      <c r="DM80" s="970"/>
      <c r="DN80" s="970"/>
      <c r="DO80" s="970"/>
      <c r="DP80" s="970"/>
      <c r="DQ80" s="970"/>
      <c r="DR80" s="970"/>
      <c r="DS80" s="970"/>
      <c r="DT80" s="970"/>
      <c r="DU80" s="970"/>
      <c r="DV80" s="970"/>
      <c r="DW80" s="970"/>
      <c r="DX80" s="970"/>
      <c r="DY80" s="970"/>
      <c r="DZ80" s="970"/>
      <c r="EA80" s="970"/>
      <c r="EB80" s="970"/>
      <c r="EC80" s="970"/>
      <c r="ED80" s="970"/>
      <c r="EE80" s="970"/>
      <c r="EF80" s="970"/>
      <c r="EG80" s="970"/>
      <c r="EH80" s="970"/>
      <c r="EI80" s="970"/>
      <c r="EJ80" s="970"/>
      <c r="EK80" s="970"/>
      <c r="EL80" s="970"/>
      <c r="EM80" s="970"/>
      <c r="EN80" s="970"/>
      <c r="EO80" s="970"/>
      <c r="EP80" s="970"/>
      <c r="EQ80" s="970"/>
      <c r="ER80" s="970"/>
      <c r="ES80" s="970"/>
      <c r="ET80" s="970"/>
      <c r="EU80" s="970"/>
      <c r="EV80" s="970"/>
      <c r="EW80" s="970"/>
      <c r="EX80" s="970"/>
      <c r="EY80" s="970"/>
      <c r="EZ80" s="970"/>
      <c r="FA80" s="970"/>
      <c r="FB80" s="970"/>
      <c r="FC80" s="970"/>
      <c r="FD80" s="970"/>
      <c r="FE80" s="970"/>
      <c r="FF80" s="970"/>
      <c r="FG80" s="970"/>
      <c r="FH80" s="970"/>
      <c r="FI80" s="970"/>
      <c r="FJ80" s="970"/>
      <c r="FK80" s="970"/>
      <c r="FL80" s="970"/>
      <c r="FM80" s="970"/>
      <c r="FN80" s="970"/>
      <c r="FO80" s="970"/>
      <c r="FP80" s="970"/>
      <c r="FQ80" s="970"/>
      <c r="FR80" s="970"/>
      <c r="FS80" s="970"/>
      <c r="FT80" s="970"/>
      <c r="FU80" s="970"/>
      <c r="FV80" s="970"/>
      <c r="FW80" s="970"/>
      <c r="FX80" s="970"/>
      <c r="FY80" s="970"/>
      <c r="FZ80" s="970"/>
      <c r="GA80" s="970"/>
      <c r="GB80" s="970"/>
      <c r="GC80" s="970"/>
      <c r="GD80" s="970"/>
      <c r="GE80" s="970"/>
      <c r="GF80" s="970"/>
      <c r="GG80" s="970"/>
      <c r="GH80" s="970"/>
      <c r="GI80" s="970"/>
      <c r="GJ80" s="970"/>
      <c r="GK80" s="970"/>
      <c r="GL80" s="970"/>
      <c r="GM80" s="970"/>
      <c r="GN80" s="970"/>
      <c r="GO80" s="970"/>
      <c r="GP80" s="970"/>
      <c r="GQ80" s="970"/>
      <c r="GR80" s="970"/>
      <c r="GS80" s="970"/>
      <c r="GT80" s="970"/>
      <c r="GU80" s="970"/>
      <c r="GV80" s="970"/>
      <c r="GW80" s="970"/>
      <c r="GX80" s="970"/>
      <c r="GY80" s="970"/>
      <c r="GZ80" s="970"/>
      <c r="HA80" s="970"/>
      <c r="HB80" s="970"/>
      <c r="HC80" s="970"/>
      <c r="HD80" s="970"/>
      <c r="HE80" s="970"/>
      <c r="HF80" s="970"/>
      <c r="HG80" s="970"/>
      <c r="HH80" s="970"/>
      <c r="HI80" s="970"/>
      <c r="HJ80" s="970"/>
      <c r="HK80" s="970"/>
      <c r="HL80" s="970"/>
      <c r="HM80" s="970"/>
      <c r="HN80" s="970"/>
      <c r="HO80" s="970"/>
      <c r="HP80" s="970"/>
      <c r="HQ80" s="970"/>
      <c r="HR80" s="970"/>
      <c r="HS80" s="970"/>
      <c r="HT80" s="970"/>
      <c r="HU80" s="970"/>
      <c r="HV80" s="970"/>
      <c r="HW80" s="970"/>
      <c r="HX80" s="970"/>
      <c r="HY80" s="970"/>
      <c r="HZ80" s="970"/>
      <c r="IA80" s="970"/>
      <c r="IB80" s="970"/>
      <c r="IC80" s="970"/>
      <c r="ID80" s="970"/>
      <c r="IE80" s="970"/>
      <c r="IF80" s="970"/>
      <c r="IG80" s="970"/>
      <c r="IH80" s="970"/>
      <c r="II80" s="970"/>
      <c r="IJ80" s="970"/>
      <c r="IK80" s="970"/>
      <c r="IL80" s="970"/>
      <c r="IM80" s="970"/>
      <c r="IN80" s="970"/>
      <c r="IO80" s="970"/>
      <c r="IP80" s="970"/>
      <c r="IQ80" s="970"/>
      <c r="IR80" s="970"/>
      <c r="IS80" s="970"/>
      <c r="IT80" s="970"/>
      <c r="IU80" s="970"/>
      <c r="IV80" s="970"/>
      <c r="IW80" s="970"/>
      <c r="IX80" s="970"/>
      <c r="IY80" s="970"/>
      <c r="IZ80" s="970"/>
      <c r="JA80" s="970"/>
      <c r="JB80" s="970"/>
      <c r="JC80" s="970"/>
      <c r="JD80" s="970"/>
      <c r="JE80" s="970"/>
      <c r="JF80" s="970"/>
      <c r="JG80" s="970"/>
      <c r="JH80" s="970"/>
      <c r="JI80" s="970"/>
      <c r="JJ80" s="970"/>
      <c r="JK80" s="970"/>
      <c r="JL80" s="970"/>
      <c r="JM80" s="970"/>
      <c r="JN80" s="970"/>
      <c r="JO80" s="970"/>
      <c r="JP80" s="970"/>
      <c r="JQ80" s="970"/>
      <c r="JR80" s="970"/>
      <c r="JS80" s="970"/>
      <c r="JT80" s="970"/>
      <c r="JU80" s="970"/>
      <c r="JV80" s="970"/>
      <c r="JW80" s="970"/>
      <c r="JX80" s="970"/>
      <c r="JY80" s="970"/>
      <c r="JZ80" s="970"/>
      <c r="KA80" s="970"/>
      <c r="KB80" s="970"/>
      <c r="KC80" s="970"/>
      <c r="KD80" s="970"/>
      <c r="KE80" s="970"/>
      <c r="KF80" s="970"/>
      <c r="KG80" s="970"/>
      <c r="KH80" s="970"/>
      <c r="KI80" s="970"/>
      <c r="KJ80" s="970"/>
      <c r="KK80" s="970"/>
      <c r="KL80" s="970"/>
      <c r="KM80" s="970"/>
      <c r="KN80" s="970"/>
      <c r="KO80" s="970"/>
      <c r="KP80" s="970"/>
      <c r="KQ80" s="970"/>
      <c r="KR80" s="970"/>
      <c r="KS80" s="970"/>
      <c r="KT80" s="970"/>
      <c r="KU80" s="970"/>
      <c r="KV80" s="970"/>
      <c r="KW80" s="970"/>
      <c r="KX80" s="970"/>
      <c r="KY80" s="970"/>
      <c r="KZ80" s="970"/>
      <c r="LA80" s="970"/>
      <c r="LB80" s="970"/>
      <c r="LC80" s="970"/>
      <c r="LD80" s="970"/>
      <c r="LE80" s="970"/>
      <c r="LF80" s="970"/>
      <c r="LG80" s="970"/>
      <c r="LH80" s="970"/>
      <c r="LI80" s="970"/>
      <c r="LJ80" s="970"/>
      <c r="LK80" s="970"/>
      <c r="LL80" s="970"/>
      <c r="LM80" s="970"/>
      <c r="LN80" s="970"/>
      <c r="LO80" s="970"/>
      <c r="LP80" s="970"/>
      <c r="LQ80" s="970"/>
      <c r="LR80" s="970"/>
      <c r="LS80" s="970"/>
      <c r="LT80" s="970"/>
      <c r="LU80" s="970"/>
      <c r="LV80" s="970"/>
      <c r="LW80" s="970"/>
      <c r="LX80" s="970"/>
      <c r="LY80" s="970"/>
      <c r="LZ80" s="970"/>
      <c r="MA80" s="970"/>
      <c r="MB80" s="970"/>
      <c r="MC80" s="970"/>
      <c r="MD80" s="970"/>
      <c r="ME80" s="970"/>
      <c r="MF80" s="970"/>
      <c r="MG80" s="970"/>
      <c r="MH80" s="970"/>
      <c r="MI80" s="970"/>
      <c r="MJ80" s="970"/>
      <c r="MK80" s="970"/>
      <c r="ML80" s="970"/>
      <c r="MM80" s="970"/>
      <c r="MN80" s="970"/>
      <c r="MO80" s="970"/>
      <c r="MP80" s="970"/>
      <c r="MQ80" s="970"/>
      <c r="MR80" s="970"/>
      <c r="MS80" s="970"/>
      <c r="MT80" s="970"/>
      <c r="MU80" s="970"/>
      <c r="MV80" s="970"/>
      <c r="MW80" s="970"/>
      <c r="MX80" s="970"/>
      <c r="MY80" s="970"/>
      <c r="MZ80" s="970"/>
      <c r="NA80" s="970"/>
      <c r="NB80" s="970"/>
      <c r="NC80" s="970"/>
      <c r="ND80" s="970"/>
      <c r="NE80" s="970"/>
      <c r="NF80" s="970"/>
      <c r="NG80" s="970"/>
      <c r="NH80" s="970"/>
      <c r="NI80" s="970"/>
      <c r="NJ80" s="970"/>
      <c r="NK80" s="970"/>
      <c r="NL80" s="970"/>
      <c r="NM80" s="970"/>
      <c r="NN80" s="970"/>
      <c r="NO80" s="970"/>
      <c r="NP80" s="970"/>
      <c r="NQ80" s="970"/>
      <c r="NR80" s="970"/>
      <c r="NS80" s="970"/>
      <c r="NT80" s="970"/>
      <c r="NU80" s="970"/>
      <c r="NV80" s="970"/>
      <c r="NW80" s="970"/>
      <c r="NX80" s="970"/>
      <c r="NY80" s="970"/>
      <c r="NZ80" s="970"/>
      <c r="OA80" s="970"/>
      <c r="OB80" s="970"/>
      <c r="OC80" s="970"/>
      <c r="OD80" s="970"/>
      <c r="OE80" s="970"/>
      <c r="OF80" s="970"/>
      <c r="OG80" s="970"/>
      <c r="OH80" s="970"/>
      <c r="OI80" s="970"/>
      <c r="OJ80" s="970"/>
      <c r="OK80" s="970"/>
      <c r="OL80" s="970"/>
      <c r="OM80" s="970"/>
      <c r="ON80" s="970"/>
      <c r="OO80" s="970"/>
      <c r="OP80" s="970"/>
      <c r="OQ80" s="970"/>
      <c r="OR80" s="970"/>
      <c r="OS80" s="970"/>
      <c r="OT80" s="970"/>
      <c r="OU80" s="970"/>
      <c r="OV80" s="970"/>
      <c r="OW80" s="970"/>
      <c r="OX80" s="970"/>
      <c r="OY80" s="970"/>
      <c r="OZ80" s="970"/>
      <c r="PA80" s="970"/>
      <c r="PB80" s="970"/>
      <c r="PC80" s="970"/>
      <c r="PD80" s="970"/>
      <c r="PE80" s="970"/>
      <c r="PF80" s="970"/>
      <c r="PG80" s="970"/>
      <c r="PH80" s="970"/>
      <c r="PI80" s="970"/>
      <c r="PJ80" s="970"/>
      <c r="PK80" s="970"/>
      <c r="PL80" s="970"/>
      <c r="PM80" s="970"/>
      <c r="PN80" s="970"/>
      <c r="PO80" s="970"/>
      <c r="PP80" s="970"/>
      <c r="PQ80" s="970"/>
      <c r="PR80" s="970"/>
      <c r="PS80" s="970"/>
      <c r="PT80" s="970"/>
      <c r="PU80" s="970"/>
      <c r="PV80" s="970"/>
      <c r="PW80" s="970"/>
      <c r="PX80" s="970"/>
      <c r="PY80" s="970"/>
      <c r="PZ80" s="970"/>
      <c r="QA80" s="970"/>
      <c r="QB80" s="970"/>
      <c r="QC80" s="970"/>
      <c r="QD80" s="970"/>
      <c r="QE80" s="970"/>
      <c r="QF80" s="970"/>
      <c r="QG80" s="970"/>
      <c r="QH80" s="970"/>
      <c r="QI80" s="970"/>
      <c r="QJ80" s="970"/>
      <c r="QK80" s="970"/>
      <c r="QL80" s="970"/>
      <c r="QM80" s="970"/>
      <c r="QN80" s="970"/>
      <c r="QO80" s="970"/>
      <c r="QP80" s="970"/>
      <c r="QQ80" s="970"/>
      <c r="QR80" s="970"/>
      <c r="QS80" s="970"/>
      <c r="QT80" s="970"/>
      <c r="QU80" s="970"/>
      <c r="QV80" s="970"/>
      <c r="QW80" s="970"/>
      <c r="QX80" s="970"/>
      <c r="QY80" s="970"/>
      <c r="QZ80" s="970"/>
      <c r="RA80" s="970"/>
      <c r="RB80" s="970"/>
      <c r="RC80" s="970"/>
      <c r="RD80" s="970"/>
      <c r="RE80" s="970"/>
      <c r="RF80" s="970"/>
      <c r="RG80" s="970"/>
      <c r="RH80" s="970"/>
      <c r="RI80" s="970"/>
      <c r="RJ80" s="970"/>
      <c r="RK80" s="970"/>
      <c r="RL80" s="970"/>
      <c r="RM80" s="970"/>
      <c r="RN80" s="970"/>
      <c r="RO80" s="970"/>
      <c r="RP80" s="970"/>
      <c r="RQ80" s="970"/>
      <c r="RR80" s="970"/>
      <c r="RS80" s="970"/>
      <c r="RT80" s="970"/>
      <c r="RU80" s="970"/>
      <c r="RV80" s="970"/>
      <c r="RW80" s="970"/>
      <c r="RX80" s="970"/>
      <c r="RY80" s="970"/>
      <c r="RZ80" s="970"/>
      <c r="SA80" s="970"/>
      <c r="SB80" s="970"/>
      <c r="SC80" s="970"/>
      <c r="SD80" s="970"/>
      <c r="SE80" s="970"/>
      <c r="SF80" s="970"/>
      <c r="SG80" s="970"/>
      <c r="SH80" s="970"/>
      <c r="SI80" s="970"/>
      <c r="SJ80" s="970"/>
      <c r="SK80" s="970"/>
      <c r="SL80" s="970"/>
      <c r="SM80" s="970"/>
      <c r="SN80" s="970"/>
      <c r="SO80" s="970"/>
      <c r="SP80" s="970"/>
      <c r="SQ80" s="970"/>
      <c r="SR80" s="970"/>
    </row>
    <row r="81" spans="1:512" ht="15" customHeight="1">
      <c r="A81"/>
      <c r="B81" t="s">
        <v>2716</v>
      </c>
      <c r="C81"/>
      <c r="D81"/>
      <c r="E81"/>
      <c r="F81"/>
      <c r="G81" s="985"/>
      <c r="H81" s="985"/>
      <c r="I81" s="985"/>
      <c r="J81" s="985"/>
      <c r="K81" s="985"/>
      <c r="L81" s="985"/>
      <c r="M81" s="985"/>
      <c r="N81" s="985"/>
      <c r="O81" s="985"/>
      <c r="P81" s="985"/>
      <c r="Q81" s="985"/>
      <c r="R81" s="985"/>
      <c r="S81" s="985"/>
      <c r="T81" s="985"/>
      <c r="U81" s="985"/>
      <c r="V81" s="985"/>
      <c r="W81" s="985"/>
      <c r="X81" s="985"/>
      <c r="Y81" s="985"/>
      <c r="Z81" s="985"/>
      <c r="AA81" s="985"/>
      <c r="AB81" s="985"/>
      <c r="AC81" s="985"/>
      <c r="AD81" s="985"/>
      <c r="AE81" s="985"/>
      <c r="AF81" s="985"/>
      <c r="AG81" s="985"/>
      <c r="AH81" s="985"/>
      <c r="AI81" s="985"/>
      <c r="AJ81" s="985"/>
      <c r="AK81" s="985"/>
      <c r="AL81" s="985"/>
      <c r="AM81" s="985"/>
      <c r="AN81" s="985"/>
      <c r="AO81" s="985"/>
      <c r="AP81" s="985"/>
      <c r="AQ81" s="985"/>
      <c r="AR81" s="985"/>
      <c r="AS81" s="985"/>
      <c r="AT81" s="985"/>
      <c r="AU81" s="985"/>
      <c r="AV81" s="985"/>
      <c r="AW81" s="985"/>
      <c r="AX81" s="985"/>
      <c r="AY81" s="985"/>
      <c r="AZ81" s="985"/>
      <c r="BA81" s="985"/>
      <c r="BB81" s="985"/>
      <c r="BC81" s="985"/>
      <c r="BD81" s="985"/>
      <c r="BE81" s="985"/>
      <c r="BF81" s="971"/>
      <c r="BG81" s="971"/>
      <c r="BH81" s="971"/>
      <c r="BI81" s="971"/>
      <c r="BJ81" s="971"/>
      <c r="BK81" s="971"/>
      <c r="BL81" s="971"/>
      <c r="BM81" s="971"/>
      <c r="BN81" s="971"/>
      <c r="BO81" s="971"/>
      <c r="BP81" s="971"/>
      <c r="BQ81" s="971"/>
      <c r="BR81" s="971"/>
      <c r="BS81" s="971"/>
      <c r="BT81" s="971"/>
      <c r="BU81" s="971"/>
      <c r="BV81" s="971"/>
      <c r="BW81" s="971"/>
      <c r="BX81" s="971"/>
      <c r="BY81" s="971"/>
      <c r="BZ81" s="971"/>
      <c r="CA81" s="971"/>
      <c r="CB81" s="971"/>
      <c r="CC81" s="971"/>
      <c r="CD81" s="971"/>
      <c r="CE81" s="971"/>
      <c r="CF81" s="971"/>
      <c r="CG81" s="971"/>
      <c r="CH81" s="971"/>
      <c r="CI81" s="971"/>
      <c r="CJ81" s="971"/>
      <c r="CK81" s="971"/>
      <c r="CL81" s="971"/>
      <c r="CM81" s="971"/>
      <c r="CN81" s="971"/>
      <c r="CO81" s="971"/>
      <c r="CP81" s="971"/>
      <c r="CQ81" s="971"/>
      <c r="CR81" s="971"/>
      <c r="CS81" s="971"/>
      <c r="CT81" s="971"/>
      <c r="CU81" s="971"/>
      <c r="CV81" s="971"/>
      <c r="CW81" s="971"/>
      <c r="CX81" s="971"/>
      <c r="CY81" s="971"/>
      <c r="CZ81" s="971"/>
      <c r="DA81" s="971"/>
      <c r="DB81" s="971"/>
      <c r="DC81" s="971"/>
      <c r="DD81" s="971"/>
      <c r="DE81" s="971"/>
      <c r="DF81" s="971"/>
      <c r="DG81" s="971"/>
      <c r="DH81" s="971"/>
      <c r="DI81" s="971"/>
      <c r="DJ81" s="971"/>
      <c r="DK81" s="971"/>
      <c r="DL81" s="971"/>
      <c r="DM81" s="971"/>
      <c r="DN81" s="971"/>
      <c r="DO81" s="971"/>
      <c r="DP81" s="971"/>
      <c r="DQ81" s="971"/>
      <c r="DR81" s="971"/>
      <c r="DS81" s="971"/>
      <c r="DT81" s="971"/>
      <c r="DU81" s="971"/>
      <c r="DV81" s="971"/>
      <c r="DW81" s="971"/>
      <c r="DX81" s="971"/>
      <c r="DY81" s="971"/>
      <c r="DZ81" s="971"/>
      <c r="EA81" s="971"/>
      <c r="EB81" s="971"/>
      <c r="EC81" s="971"/>
      <c r="ED81" s="971"/>
      <c r="EE81" s="971"/>
      <c r="EF81" s="971"/>
      <c r="EG81" s="971"/>
      <c r="EH81" s="971"/>
      <c r="EI81" s="971"/>
      <c r="EJ81" s="971"/>
      <c r="EK81" s="971"/>
      <c r="EL81" s="971"/>
      <c r="EM81" s="971"/>
      <c r="EN81" s="971"/>
      <c r="EO81" s="971"/>
      <c r="EP81" s="971"/>
      <c r="EQ81" s="971"/>
      <c r="ER81" s="971"/>
      <c r="ES81" s="971"/>
      <c r="ET81" s="971"/>
      <c r="EU81" s="971"/>
      <c r="EV81" s="971"/>
      <c r="EW81" s="971"/>
      <c r="EX81" s="971"/>
      <c r="EY81" s="971"/>
      <c r="EZ81" s="971"/>
      <c r="FA81" s="971"/>
      <c r="FB81" s="971"/>
      <c r="FC81" s="971"/>
      <c r="FD81" s="971"/>
      <c r="FE81" s="971"/>
      <c r="FF81" s="971"/>
      <c r="FG81" s="971"/>
      <c r="FH81" s="971"/>
      <c r="FI81" s="971"/>
      <c r="FJ81" s="971"/>
      <c r="FK81" s="971"/>
      <c r="FL81" s="971"/>
      <c r="FM81" s="971"/>
      <c r="FN81" s="971"/>
      <c r="FO81" s="971"/>
      <c r="FP81" s="971"/>
      <c r="FQ81" s="971"/>
      <c r="FR81" s="971"/>
      <c r="FS81" s="971"/>
      <c r="FT81" s="971"/>
      <c r="FU81" s="971"/>
      <c r="FV81" s="971"/>
      <c r="FW81" s="971"/>
      <c r="FX81" s="971"/>
      <c r="FY81" s="971"/>
      <c r="FZ81" s="971"/>
      <c r="GA81" s="971"/>
      <c r="GB81" s="971"/>
      <c r="GC81" s="971"/>
      <c r="GD81" s="971"/>
      <c r="GE81" s="971"/>
      <c r="GF81" s="971"/>
      <c r="GG81" s="971"/>
      <c r="GH81" s="971"/>
      <c r="GI81" s="971"/>
      <c r="GJ81" s="971"/>
      <c r="GK81" s="971"/>
      <c r="GL81" s="971"/>
      <c r="GM81" s="971"/>
      <c r="GN81" s="971"/>
      <c r="GO81" s="971"/>
      <c r="GP81" s="971"/>
      <c r="GQ81" s="971"/>
      <c r="GR81" s="971"/>
      <c r="GS81" s="971"/>
      <c r="GT81" s="971"/>
      <c r="GU81" s="971"/>
      <c r="GV81" s="971"/>
      <c r="GW81" s="971"/>
      <c r="GX81" s="971"/>
      <c r="GY81" s="971"/>
      <c r="GZ81" s="971"/>
      <c r="HA81" s="971"/>
      <c r="HB81" s="971"/>
      <c r="HC81" s="971"/>
      <c r="HD81" s="971"/>
      <c r="HE81" s="971"/>
      <c r="HF81" s="971"/>
      <c r="HG81" s="971"/>
      <c r="HH81" s="971"/>
      <c r="HI81" s="971"/>
      <c r="HJ81" s="971"/>
      <c r="HK81" s="971"/>
      <c r="HL81" s="971"/>
      <c r="HM81" s="971"/>
      <c r="HN81" s="971"/>
      <c r="HO81" s="971"/>
      <c r="HP81" s="971"/>
      <c r="HQ81" s="971"/>
      <c r="HR81" s="971"/>
      <c r="HS81" s="971"/>
      <c r="HT81" s="971"/>
      <c r="HU81" s="971"/>
      <c r="HV81" s="971"/>
      <c r="HW81" s="971"/>
      <c r="HX81" s="971"/>
      <c r="HY81" s="971"/>
      <c r="HZ81" s="971"/>
      <c r="IA81" s="971"/>
      <c r="IB81" s="971"/>
      <c r="IC81" s="971"/>
      <c r="ID81" s="971"/>
      <c r="IE81" s="971"/>
      <c r="IF81" s="971"/>
      <c r="IG81" s="971"/>
      <c r="IH81" s="971"/>
      <c r="II81" s="971"/>
      <c r="IJ81" s="971"/>
      <c r="IK81" s="971"/>
      <c r="IL81" s="971"/>
      <c r="IM81" s="971"/>
      <c r="IN81" s="971"/>
      <c r="IO81" s="971"/>
      <c r="IP81" s="971"/>
      <c r="IQ81" s="971"/>
      <c r="IR81" s="971"/>
      <c r="IS81" s="971"/>
      <c r="IT81" s="971"/>
      <c r="IU81" s="971"/>
      <c r="IV81" s="971"/>
      <c r="IW81" s="971"/>
      <c r="IX81" s="971"/>
      <c r="IY81" s="971"/>
      <c r="IZ81" s="971"/>
      <c r="JA81" s="971"/>
      <c r="JB81" s="971"/>
      <c r="JC81" s="971"/>
      <c r="JD81" s="971"/>
      <c r="JE81" s="971"/>
      <c r="JF81" s="971"/>
      <c r="JG81" s="971"/>
      <c r="JH81" s="971"/>
      <c r="JI81" s="971"/>
      <c r="JJ81" s="971"/>
      <c r="JK81" s="971"/>
      <c r="JL81" s="971"/>
      <c r="JM81" s="971"/>
      <c r="JN81" s="971"/>
      <c r="JO81" s="971"/>
      <c r="JP81" s="971"/>
      <c r="JQ81" s="971"/>
      <c r="JR81" s="971"/>
      <c r="JS81" s="971"/>
      <c r="JT81" s="971"/>
      <c r="JU81" s="971"/>
      <c r="JV81" s="971"/>
      <c r="JW81" s="971"/>
      <c r="JX81" s="971"/>
      <c r="JY81" s="971"/>
      <c r="JZ81" s="971"/>
      <c r="KA81" s="971"/>
      <c r="KB81" s="971"/>
      <c r="KC81" s="971"/>
      <c r="KD81" s="971"/>
      <c r="KE81" s="971"/>
      <c r="KF81" s="971"/>
      <c r="KG81" s="971"/>
      <c r="KH81" s="971"/>
      <c r="KI81" s="971"/>
      <c r="KJ81" s="971"/>
      <c r="KK81" s="971"/>
      <c r="KL81" s="971"/>
      <c r="KM81" s="971"/>
      <c r="KN81" s="971"/>
      <c r="KO81" s="971"/>
      <c r="KP81" s="971"/>
      <c r="KQ81" s="971"/>
      <c r="KR81" s="971"/>
      <c r="KS81" s="971"/>
      <c r="KT81" s="971"/>
      <c r="KU81" s="971"/>
      <c r="KV81" s="971"/>
      <c r="KW81" s="971"/>
      <c r="KX81" s="971"/>
      <c r="KY81" s="971"/>
      <c r="KZ81" s="971"/>
      <c r="LA81" s="971"/>
      <c r="LB81" s="971"/>
      <c r="LC81" s="971"/>
      <c r="LD81" s="971"/>
      <c r="LE81" s="971"/>
      <c r="LF81" s="971"/>
      <c r="LG81" s="971"/>
      <c r="LH81" s="971"/>
      <c r="LI81" s="971"/>
      <c r="LJ81" s="971"/>
      <c r="LK81" s="971"/>
      <c r="LL81" s="971"/>
      <c r="LM81" s="971"/>
      <c r="LN81" s="971"/>
      <c r="LO81" s="971"/>
      <c r="LP81" s="971"/>
      <c r="LQ81" s="971"/>
      <c r="LR81" s="971"/>
      <c r="LS81" s="971"/>
      <c r="LT81" s="971"/>
      <c r="LU81" s="971"/>
      <c r="LV81" s="971"/>
      <c r="LW81" s="971"/>
      <c r="LX81" s="971"/>
      <c r="LY81" s="971"/>
      <c r="LZ81" s="971"/>
      <c r="MA81" s="971"/>
      <c r="MB81" s="971"/>
      <c r="MC81" s="971"/>
      <c r="MD81" s="971"/>
      <c r="ME81" s="971"/>
      <c r="MF81" s="971"/>
      <c r="MG81" s="971"/>
      <c r="MH81" s="971"/>
      <c r="MI81" s="971"/>
      <c r="MJ81" s="971"/>
      <c r="MK81" s="971"/>
      <c r="ML81" s="971"/>
      <c r="MM81" s="971"/>
      <c r="MN81" s="971"/>
      <c r="MO81" s="971"/>
      <c r="MP81" s="971"/>
      <c r="MQ81" s="971"/>
      <c r="MR81" s="971"/>
      <c r="MS81" s="971"/>
      <c r="MT81" s="971"/>
      <c r="MU81" s="971"/>
      <c r="MV81" s="971"/>
      <c r="MW81" s="971"/>
      <c r="MX81" s="971"/>
      <c r="MY81" s="971"/>
      <c r="MZ81" s="971"/>
      <c r="NA81" s="971"/>
      <c r="NB81" s="971"/>
      <c r="NC81" s="971"/>
      <c r="ND81" s="971"/>
      <c r="NE81" s="971"/>
      <c r="NF81" s="971"/>
      <c r="NG81" s="971"/>
      <c r="NH81" s="971"/>
      <c r="NI81" s="971"/>
      <c r="NJ81" s="971"/>
      <c r="NK81" s="971"/>
      <c r="NL81" s="971"/>
      <c r="NM81" s="971"/>
      <c r="NN81" s="971"/>
      <c r="NO81" s="971"/>
      <c r="NP81" s="971"/>
      <c r="NQ81" s="971"/>
      <c r="NR81" s="971"/>
      <c r="NS81" s="971"/>
      <c r="NT81" s="971"/>
      <c r="NU81" s="971"/>
      <c r="NV81" s="971"/>
      <c r="NW81" s="971"/>
      <c r="NX81" s="971"/>
      <c r="NY81" s="971"/>
      <c r="NZ81" s="971"/>
      <c r="OA81" s="971"/>
      <c r="OB81" s="971"/>
      <c r="OC81" s="971"/>
      <c r="OD81" s="971"/>
      <c r="OE81" s="971"/>
      <c r="OF81" s="971"/>
      <c r="OG81" s="971"/>
      <c r="OH81" s="971"/>
      <c r="OI81" s="971"/>
      <c r="OJ81" s="971"/>
      <c r="OK81" s="971"/>
      <c r="OL81" s="971"/>
      <c r="OM81" s="971"/>
      <c r="ON81" s="971"/>
      <c r="OO81" s="971"/>
      <c r="OP81" s="971"/>
      <c r="OQ81" s="971"/>
      <c r="OR81" s="971"/>
      <c r="OS81" s="971"/>
      <c r="OT81" s="971"/>
      <c r="OU81" s="971"/>
      <c r="OV81" s="971"/>
      <c r="OW81" s="971"/>
      <c r="OX81" s="971"/>
      <c r="OY81" s="971"/>
      <c r="OZ81" s="971"/>
      <c r="PA81" s="971"/>
      <c r="PB81" s="971"/>
      <c r="PC81" s="971"/>
      <c r="PD81" s="971"/>
      <c r="PE81" s="971"/>
      <c r="PF81" s="971"/>
      <c r="PG81" s="971"/>
      <c r="PH81" s="971"/>
      <c r="PI81" s="971"/>
      <c r="PJ81" s="971"/>
      <c r="PK81" s="971"/>
      <c r="PL81" s="971"/>
      <c r="PM81" s="971"/>
      <c r="PN81" s="971"/>
      <c r="PO81" s="971"/>
      <c r="PP81" s="971"/>
      <c r="PQ81" s="971"/>
      <c r="PR81" s="971"/>
      <c r="PS81" s="971"/>
      <c r="PT81" s="971"/>
      <c r="PU81" s="971"/>
      <c r="PV81" s="971"/>
      <c r="PW81" s="971"/>
      <c r="PX81" s="971"/>
      <c r="PY81" s="971"/>
      <c r="PZ81" s="971"/>
      <c r="QA81" s="971"/>
      <c r="QB81" s="971"/>
      <c r="QC81" s="971"/>
      <c r="QD81" s="971"/>
      <c r="QE81" s="971"/>
      <c r="QF81" s="971"/>
      <c r="QG81" s="971"/>
      <c r="QH81" s="971"/>
      <c r="QI81" s="971"/>
      <c r="QJ81" s="971"/>
      <c r="QK81" s="971"/>
      <c r="QL81" s="971"/>
      <c r="QM81" s="971"/>
      <c r="QN81" s="971"/>
      <c r="QO81" s="971"/>
      <c r="QP81" s="971"/>
      <c r="QQ81" s="971"/>
      <c r="QR81" s="971"/>
      <c r="QS81" s="971"/>
      <c r="QT81" s="971"/>
      <c r="QU81" s="971"/>
      <c r="QV81" s="971"/>
      <c r="QW81" s="971"/>
      <c r="QX81" s="971"/>
      <c r="QY81" s="971"/>
      <c r="QZ81" s="971"/>
      <c r="RA81" s="971"/>
      <c r="RB81" s="971"/>
      <c r="RC81" s="971"/>
      <c r="RD81" s="971"/>
      <c r="RE81" s="971"/>
      <c r="RF81" s="971"/>
      <c r="RG81" s="971"/>
      <c r="RH81" s="971"/>
      <c r="RI81" s="971"/>
      <c r="RJ81" s="971"/>
      <c r="RK81" s="971"/>
      <c r="RL81" s="971"/>
      <c r="RM81" s="971"/>
      <c r="RN81" s="971"/>
      <c r="RO81" s="971"/>
      <c r="RP81" s="971"/>
      <c r="RQ81" s="971"/>
      <c r="RR81" s="971"/>
      <c r="RS81" s="971"/>
      <c r="RT81" s="971"/>
      <c r="RU81" s="971"/>
      <c r="RV81" s="971"/>
      <c r="RW81" s="971"/>
      <c r="RX81" s="971"/>
      <c r="RY81" s="971"/>
      <c r="RZ81" s="971"/>
      <c r="SA81" s="971"/>
      <c r="SB81" s="971"/>
      <c r="SC81" s="971"/>
      <c r="SD81" s="971"/>
      <c r="SE81" s="971"/>
      <c r="SF81" s="971"/>
      <c r="SG81" s="971"/>
      <c r="SH81" s="971"/>
      <c r="SI81" s="971"/>
      <c r="SJ81" s="971"/>
      <c r="SK81" s="971"/>
      <c r="SL81" s="971"/>
      <c r="SM81" s="971"/>
      <c r="SN81" s="971"/>
      <c r="SO81" s="971"/>
      <c r="SP81" s="971"/>
      <c r="SQ81" s="971"/>
      <c r="SR81" s="971"/>
    </row>
    <row r="82" spans="1:512" ht="15" customHeight="1">
      <c r="A82"/>
      <c r="B82"/>
      <c r="C82" t="s">
        <v>2717</v>
      </c>
      <c r="D82"/>
      <c r="E82" t="s">
        <v>2265</v>
      </c>
      <c r="F82"/>
      <c r="G82" s="970">
        <v>5082</v>
      </c>
      <c r="H82" s="970">
        <v>765</v>
      </c>
      <c r="I82" s="970"/>
      <c r="J82" s="970"/>
      <c r="K82" s="970"/>
      <c r="L82" s="970"/>
      <c r="M82" s="970"/>
      <c r="N82" s="970"/>
      <c r="O82" s="970"/>
      <c r="P82" s="970"/>
      <c r="Q82" s="970"/>
      <c r="R82" s="970"/>
      <c r="S82" s="970"/>
      <c r="T82" s="970"/>
      <c r="U82" s="970"/>
      <c r="V82" s="970"/>
      <c r="W82" s="970"/>
      <c r="X82" s="970"/>
      <c r="Y82" s="970"/>
      <c r="Z82" s="970"/>
      <c r="AA82" s="970"/>
      <c r="AB82" s="970"/>
      <c r="AC82" s="970"/>
      <c r="AD82" s="970"/>
      <c r="AE82" s="970"/>
      <c r="AF82" s="970"/>
      <c r="AG82" s="970"/>
      <c r="AH82" s="970"/>
      <c r="AI82" s="970"/>
      <c r="AJ82" s="970"/>
      <c r="AK82" s="970"/>
      <c r="AL82" s="970"/>
      <c r="AM82" s="970"/>
      <c r="AN82" s="970"/>
      <c r="AO82" s="970"/>
      <c r="AP82" s="970"/>
      <c r="AQ82" s="970"/>
      <c r="AR82" s="970"/>
      <c r="AS82" s="970"/>
      <c r="AT82" s="970"/>
      <c r="AU82" s="970"/>
      <c r="AV82" s="970"/>
      <c r="AW82" s="970"/>
      <c r="AX82" s="970"/>
      <c r="AY82" s="970"/>
      <c r="AZ82" s="970"/>
      <c r="BA82" s="970"/>
      <c r="BB82" s="970"/>
      <c r="BC82" s="970"/>
      <c r="BD82" s="970"/>
      <c r="BE82" s="970"/>
      <c r="BF82" s="970"/>
      <c r="BG82" s="970"/>
      <c r="BH82" s="970"/>
      <c r="BI82" s="970"/>
      <c r="BJ82" s="970"/>
      <c r="BK82" s="970"/>
      <c r="BL82" s="970"/>
      <c r="BM82" s="970"/>
      <c r="BN82" s="970"/>
      <c r="BO82" s="970"/>
      <c r="BP82" s="970"/>
      <c r="BQ82" s="970"/>
      <c r="BR82" s="970"/>
      <c r="BS82" s="970"/>
      <c r="BT82" s="970"/>
      <c r="BU82" s="970"/>
      <c r="BV82" s="970"/>
      <c r="BW82" s="970"/>
      <c r="BX82" s="970"/>
      <c r="BY82" s="970"/>
      <c r="BZ82" s="970"/>
      <c r="CA82" s="970"/>
      <c r="CB82" s="970"/>
      <c r="CC82" s="970"/>
      <c r="CD82" s="970"/>
      <c r="CE82" s="970"/>
      <c r="CF82" s="970"/>
      <c r="CG82" s="970"/>
      <c r="CH82" s="970"/>
      <c r="CI82" s="970"/>
      <c r="CJ82" s="970"/>
      <c r="CK82" s="970"/>
      <c r="CL82" s="970"/>
      <c r="CM82" s="970"/>
      <c r="CN82" s="970"/>
      <c r="CO82" s="970"/>
      <c r="CP82" s="970"/>
      <c r="CQ82" s="970"/>
      <c r="CR82" s="970"/>
      <c r="CS82" s="970"/>
      <c r="CT82" s="970"/>
      <c r="CU82" s="970"/>
      <c r="CV82" s="970"/>
      <c r="CW82" s="970"/>
      <c r="CX82" s="970"/>
      <c r="CY82" s="970"/>
      <c r="CZ82" s="970"/>
      <c r="DA82" s="970"/>
      <c r="DB82" s="970"/>
      <c r="DC82" s="970"/>
      <c r="DD82" s="970"/>
      <c r="DE82" s="970"/>
      <c r="DF82" s="970"/>
      <c r="DG82" s="970"/>
      <c r="DH82" s="970"/>
      <c r="DI82" s="970"/>
      <c r="DJ82" s="970"/>
      <c r="DK82" s="970"/>
      <c r="DL82" s="970"/>
      <c r="DM82" s="970"/>
      <c r="DN82" s="970"/>
      <c r="DO82" s="970"/>
      <c r="DP82" s="970"/>
      <c r="DQ82" s="970"/>
      <c r="DR82" s="970"/>
      <c r="DS82" s="970"/>
      <c r="DT82" s="970"/>
      <c r="DU82" s="970"/>
      <c r="DV82" s="970"/>
      <c r="DW82" s="970"/>
      <c r="DX82" s="970"/>
      <c r="DY82" s="970"/>
      <c r="DZ82" s="970"/>
      <c r="EA82" s="970"/>
      <c r="EB82" s="970"/>
      <c r="EC82" s="970"/>
      <c r="ED82" s="970"/>
      <c r="EE82" s="970"/>
      <c r="EF82" s="970"/>
      <c r="EG82" s="970"/>
      <c r="EH82" s="970"/>
      <c r="EI82" s="970"/>
      <c r="EJ82" s="970"/>
      <c r="EK82" s="970"/>
      <c r="EL82" s="970"/>
      <c r="EM82" s="970"/>
      <c r="EN82" s="970"/>
      <c r="EO82" s="970"/>
      <c r="EP82" s="970"/>
      <c r="EQ82" s="970"/>
      <c r="ER82" s="970"/>
      <c r="ES82" s="970"/>
      <c r="ET82" s="970"/>
      <c r="EU82" s="970"/>
      <c r="EV82" s="970"/>
      <c r="EW82" s="970"/>
      <c r="EX82" s="970"/>
      <c r="EY82" s="970"/>
      <c r="EZ82" s="970"/>
      <c r="FA82" s="970"/>
      <c r="FB82" s="970"/>
      <c r="FC82" s="970"/>
      <c r="FD82" s="970"/>
      <c r="FE82" s="970"/>
      <c r="FF82" s="970"/>
      <c r="FG82" s="970"/>
      <c r="FH82" s="970"/>
      <c r="FI82" s="970"/>
      <c r="FJ82" s="970"/>
      <c r="FK82" s="970"/>
      <c r="FL82" s="970"/>
      <c r="FM82" s="970"/>
      <c r="FN82" s="970"/>
      <c r="FO82" s="970"/>
      <c r="FP82" s="970"/>
      <c r="FQ82" s="970"/>
      <c r="FR82" s="970"/>
      <c r="FS82" s="970"/>
      <c r="FT82" s="970"/>
      <c r="FU82" s="970"/>
      <c r="FV82" s="970"/>
      <c r="FW82" s="970"/>
      <c r="FX82" s="970"/>
      <c r="FY82" s="970"/>
      <c r="FZ82" s="970"/>
      <c r="GA82" s="970"/>
      <c r="GB82" s="970"/>
      <c r="GC82" s="970"/>
      <c r="GD82" s="970"/>
      <c r="GE82" s="970"/>
      <c r="GF82" s="970"/>
      <c r="GG82" s="970"/>
      <c r="GH82" s="970"/>
      <c r="GI82" s="970"/>
      <c r="GJ82" s="970"/>
      <c r="GK82" s="970"/>
      <c r="GL82" s="970"/>
      <c r="GM82" s="970"/>
      <c r="GN82" s="970"/>
      <c r="GO82" s="970"/>
      <c r="GP82" s="970"/>
      <c r="GQ82" s="970"/>
      <c r="GR82" s="970"/>
      <c r="GS82" s="970"/>
      <c r="GT82" s="970"/>
      <c r="GU82" s="970"/>
      <c r="GV82" s="970"/>
      <c r="GW82" s="970"/>
      <c r="GX82" s="970"/>
      <c r="GY82" s="970"/>
      <c r="GZ82" s="970"/>
      <c r="HA82" s="970"/>
      <c r="HB82" s="970"/>
      <c r="HC82" s="970"/>
      <c r="HD82" s="970"/>
      <c r="HE82" s="970"/>
      <c r="HF82" s="970"/>
      <c r="HG82" s="970"/>
      <c r="HH82" s="970"/>
      <c r="HI82" s="970"/>
      <c r="HJ82" s="970"/>
      <c r="HK82" s="970"/>
      <c r="HL82" s="970"/>
      <c r="HM82" s="970"/>
      <c r="HN82" s="970"/>
      <c r="HO82" s="970"/>
      <c r="HP82" s="970"/>
      <c r="HQ82" s="970"/>
      <c r="HR82" s="970"/>
      <c r="HS82" s="970"/>
      <c r="HT82" s="970"/>
      <c r="HU82" s="970"/>
      <c r="HV82" s="970"/>
      <c r="HW82" s="970"/>
      <c r="HX82" s="970"/>
      <c r="HY82" s="970"/>
      <c r="HZ82" s="970"/>
      <c r="IA82" s="970"/>
      <c r="IB82" s="970"/>
      <c r="IC82" s="970"/>
      <c r="ID82" s="970"/>
      <c r="IE82" s="970"/>
      <c r="IF82" s="970"/>
      <c r="IG82" s="970"/>
      <c r="IH82" s="970"/>
      <c r="II82" s="970"/>
      <c r="IJ82" s="970"/>
      <c r="IK82" s="970"/>
      <c r="IL82" s="970"/>
      <c r="IM82" s="970"/>
      <c r="IN82" s="970"/>
      <c r="IO82" s="970"/>
      <c r="IP82" s="970"/>
      <c r="IQ82" s="970"/>
      <c r="IR82" s="970"/>
      <c r="IS82" s="970"/>
      <c r="IT82" s="970"/>
      <c r="IU82" s="970"/>
      <c r="IV82" s="970"/>
      <c r="IW82" s="970"/>
      <c r="IX82" s="970"/>
      <c r="IY82" s="970"/>
      <c r="IZ82" s="970"/>
      <c r="JA82" s="970"/>
      <c r="JB82" s="970"/>
      <c r="JC82" s="970"/>
      <c r="JD82" s="970"/>
      <c r="JE82" s="970"/>
      <c r="JF82" s="970"/>
      <c r="JG82" s="970"/>
      <c r="JH82" s="970"/>
      <c r="JI82" s="970"/>
      <c r="JJ82" s="970"/>
      <c r="JK82" s="970"/>
      <c r="JL82" s="970"/>
      <c r="JM82" s="970"/>
      <c r="JN82" s="970"/>
      <c r="JO82" s="970"/>
      <c r="JP82" s="970"/>
      <c r="JQ82" s="970"/>
      <c r="JR82" s="970"/>
      <c r="JS82" s="970"/>
      <c r="JT82" s="970"/>
      <c r="JU82" s="970"/>
      <c r="JV82" s="970"/>
      <c r="JW82" s="970"/>
      <c r="JX82" s="970"/>
      <c r="JY82" s="970"/>
      <c r="JZ82" s="970"/>
      <c r="KA82" s="970"/>
      <c r="KB82" s="970"/>
      <c r="KC82" s="970"/>
      <c r="KD82" s="970"/>
      <c r="KE82" s="970"/>
      <c r="KF82" s="970"/>
      <c r="KG82" s="970"/>
      <c r="KH82" s="970"/>
      <c r="KI82" s="970"/>
      <c r="KJ82" s="970"/>
      <c r="KK82" s="970"/>
      <c r="KL82" s="970"/>
      <c r="KM82" s="970"/>
      <c r="KN82" s="970"/>
      <c r="KO82" s="970"/>
      <c r="KP82" s="970"/>
      <c r="KQ82" s="970"/>
      <c r="KR82" s="970"/>
      <c r="KS82" s="970"/>
      <c r="KT82" s="970"/>
      <c r="KU82" s="970"/>
      <c r="KV82" s="970"/>
      <c r="KW82" s="970"/>
      <c r="KX82" s="970"/>
      <c r="KY82" s="970"/>
      <c r="KZ82" s="970"/>
      <c r="LA82" s="970"/>
      <c r="LB82" s="970"/>
      <c r="LC82" s="970"/>
      <c r="LD82" s="970"/>
      <c r="LE82" s="970"/>
      <c r="LF82" s="970"/>
      <c r="LG82" s="970"/>
      <c r="LH82" s="970"/>
      <c r="LI82" s="970"/>
      <c r="LJ82" s="970"/>
      <c r="LK82" s="970"/>
      <c r="LL82" s="970"/>
      <c r="LM82" s="970"/>
      <c r="LN82" s="970"/>
      <c r="LO82" s="970"/>
      <c r="LP82" s="970"/>
      <c r="LQ82" s="970"/>
      <c r="LR82" s="970"/>
      <c r="LS82" s="970"/>
      <c r="LT82" s="970"/>
      <c r="LU82" s="970"/>
      <c r="LV82" s="970"/>
      <c r="LW82" s="970"/>
      <c r="LX82" s="970"/>
      <c r="LY82" s="970"/>
      <c r="LZ82" s="970"/>
      <c r="MA82" s="970"/>
      <c r="MB82" s="970"/>
      <c r="MC82" s="970"/>
      <c r="MD82" s="970"/>
      <c r="ME82" s="970"/>
      <c r="MF82" s="970"/>
      <c r="MG82" s="970"/>
      <c r="MH82" s="970"/>
      <c r="MI82" s="970"/>
      <c r="MJ82" s="970"/>
      <c r="MK82" s="970"/>
      <c r="ML82" s="970"/>
      <c r="MM82" s="970"/>
      <c r="MN82" s="970"/>
      <c r="MO82" s="970"/>
      <c r="MP82" s="970"/>
      <c r="MQ82" s="970"/>
      <c r="MR82" s="970"/>
      <c r="MS82" s="970"/>
      <c r="MT82" s="970"/>
      <c r="MU82" s="970"/>
      <c r="MV82" s="970"/>
      <c r="MW82" s="970"/>
      <c r="MX82" s="970"/>
      <c r="MY82" s="970"/>
      <c r="MZ82" s="970"/>
      <c r="NA82" s="970"/>
      <c r="NB82" s="970"/>
      <c r="NC82" s="970"/>
      <c r="ND82" s="970"/>
      <c r="NE82" s="970"/>
      <c r="NF82" s="970"/>
      <c r="NG82" s="970"/>
      <c r="NH82" s="970"/>
      <c r="NI82" s="970"/>
      <c r="NJ82" s="970"/>
      <c r="NK82" s="970"/>
      <c r="NL82" s="970"/>
      <c r="NM82" s="970"/>
      <c r="NN82" s="970"/>
      <c r="NO82" s="970"/>
      <c r="NP82" s="970"/>
      <c r="NQ82" s="970"/>
      <c r="NR82" s="970"/>
      <c r="NS82" s="970"/>
      <c r="NT82" s="970"/>
      <c r="NU82" s="970"/>
      <c r="NV82" s="970"/>
      <c r="NW82" s="970"/>
      <c r="NX82" s="970"/>
      <c r="NY82" s="970"/>
      <c r="NZ82" s="970"/>
      <c r="OA82" s="970"/>
      <c r="OB82" s="970"/>
      <c r="OC82" s="970"/>
      <c r="OD82" s="970"/>
      <c r="OE82" s="970"/>
      <c r="OF82" s="970"/>
      <c r="OG82" s="970"/>
      <c r="OH82" s="970"/>
      <c r="OI82" s="970"/>
      <c r="OJ82" s="970"/>
      <c r="OK82" s="970"/>
      <c r="OL82" s="970"/>
      <c r="OM82" s="970"/>
      <c r="ON82" s="970"/>
      <c r="OO82" s="970"/>
      <c r="OP82" s="970"/>
      <c r="OQ82" s="970"/>
      <c r="OR82" s="970"/>
      <c r="OS82" s="970"/>
      <c r="OT82" s="970"/>
      <c r="OU82" s="970"/>
      <c r="OV82" s="970"/>
      <c r="OW82" s="970"/>
      <c r="OX82" s="970"/>
      <c r="OY82" s="970"/>
      <c r="OZ82" s="970"/>
      <c r="PA82" s="970"/>
      <c r="PB82" s="970"/>
      <c r="PC82" s="970"/>
      <c r="PD82" s="970"/>
      <c r="PE82" s="970"/>
      <c r="PF82" s="970"/>
      <c r="PG82" s="970"/>
      <c r="PH82" s="970"/>
      <c r="PI82" s="970"/>
      <c r="PJ82" s="970"/>
      <c r="PK82" s="970"/>
      <c r="PL82" s="970"/>
      <c r="PM82" s="970"/>
      <c r="PN82" s="970"/>
      <c r="PO82" s="970"/>
      <c r="PP82" s="970"/>
      <c r="PQ82" s="970"/>
      <c r="PR82" s="970"/>
      <c r="PS82" s="970"/>
      <c r="PT82" s="970"/>
      <c r="PU82" s="970"/>
      <c r="PV82" s="970"/>
      <c r="PW82" s="970"/>
      <c r="PX82" s="970"/>
      <c r="PY82" s="970"/>
      <c r="PZ82" s="970"/>
      <c r="QA82" s="970"/>
      <c r="QB82" s="970"/>
      <c r="QC82" s="970"/>
      <c r="QD82" s="970"/>
      <c r="QE82" s="970"/>
      <c r="QF82" s="970"/>
      <c r="QG82" s="970"/>
      <c r="QH82" s="970"/>
      <c r="QI82" s="970"/>
      <c r="QJ82" s="970"/>
      <c r="QK82" s="970"/>
      <c r="QL82" s="970"/>
      <c r="QM82" s="970"/>
      <c r="QN82" s="970"/>
      <c r="QO82" s="970"/>
      <c r="QP82" s="970"/>
      <c r="QQ82" s="970"/>
      <c r="QR82" s="970"/>
      <c r="QS82" s="970"/>
      <c r="QT82" s="970"/>
      <c r="QU82" s="970"/>
      <c r="QV82" s="970"/>
      <c r="QW82" s="970"/>
      <c r="QX82" s="970"/>
      <c r="QY82" s="970"/>
      <c r="QZ82" s="970"/>
      <c r="RA82" s="970"/>
      <c r="RB82" s="970"/>
      <c r="RC82" s="970"/>
      <c r="RD82" s="970"/>
      <c r="RE82" s="970"/>
      <c r="RF82" s="970"/>
      <c r="RG82" s="970"/>
      <c r="RH82" s="970"/>
      <c r="RI82" s="970"/>
      <c r="RJ82" s="970"/>
      <c r="RK82" s="970"/>
      <c r="RL82" s="970"/>
      <c r="RM82" s="970"/>
      <c r="RN82" s="970"/>
      <c r="RO82" s="970"/>
      <c r="RP82" s="970"/>
      <c r="RQ82" s="970"/>
      <c r="RR82" s="970"/>
      <c r="RS82" s="970"/>
      <c r="RT82" s="970"/>
      <c r="RU82" s="970"/>
      <c r="RV82" s="970"/>
      <c r="RW82" s="970"/>
      <c r="RX82" s="970"/>
      <c r="RY82" s="970"/>
      <c r="RZ82" s="970"/>
      <c r="SA82" s="970"/>
      <c r="SB82" s="970"/>
      <c r="SC82" s="970"/>
      <c r="SD82" s="970"/>
      <c r="SE82" s="970"/>
      <c r="SF82" s="970"/>
      <c r="SG82" s="970"/>
      <c r="SH82" s="970"/>
      <c r="SI82" s="970"/>
      <c r="SJ82" s="970"/>
      <c r="SK82" s="970"/>
      <c r="SL82" s="970"/>
      <c r="SM82" s="970"/>
      <c r="SN82" s="970"/>
      <c r="SO82" s="970"/>
      <c r="SP82" s="970"/>
      <c r="SQ82" s="970"/>
      <c r="SR82" s="970"/>
    </row>
    <row r="83" spans="1:512" ht="15" customHeight="1">
      <c r="A83"/>
      <c r="B83"/>
      <c r="C83" t="s">
        <v>2718</v>
      </c>
      <c r="D83"/>
      <c r="E83" t="s">
        <v>2265</v>
      </c>
      <c r="F83"/>
      <c r="G83" s="970">
        <v>500</v>
      </c>
      <c r="H83" s="1012">
        <v>500</v>
      </c>
      <c r="I83" s="970"/>
      <c r="J83" s="970"/>
      <c r="K83" s="970"/>
      <c r="L83" s="970"/>
      <c r="M83" s="970"/>
      <c r="N83" s="970"/>
      <c r="O83" s="970"/>
      <c r="P83" s="970"/>
      <c r="Q83" s="970"/>
      <c r="R83" s="970"/>
      <c r="S83" s="970"/>
      <c r="T83" s="970"/>
      <c r="U83" s="970"/>
      <c r="V83" s="970"/>
      <c r="W83" s="970"/>
      <c r="X83" s="970"/>
      <c r="Y83" s="970"/>
      <c r="Z83" s="970"/>
      <c r="AA83" s="970"/>
      <c r="AB83" s="970"/>
      <c r="AC83" s="970"/>
      <c r="AD83" s="970"/>
      <c r="AE83" s="970"/>
      <c r="AF83" s="970"/>
      <c r="AG83" s="970"/>
      <c r="AH83" s="970"/>
      <c r="AI83" s="970"/>
      <c r="AJ83" s="970"/>
      <c r="AK83" s="970"/>
      <c r="AL83" s="970"/>
      <c r="AM83" s="970"/>
      <c r="AN83" s="970"/>
      <c r="AO83" s="970"/>
      <c r="AP83" s="970"/>
      <c r="AQ83" s="970"/>
      <c r="AR83" s="970"/>
      <c r="AS83" s="970"/>
      <c r="AT83" s="970"/>
      <c r="AU83" s="970"/>
      <c r="AV83" s="970"/>
      <c r="AW83" s="970"/>
      <c r="AX83" s="970"/>
      <c r="AY83" s="970"/>
      <c r="AZ83" s="970"/>
      <c r="BA83" s="970"/>
      <c r="BB83" s="970"/>
      <c r="BC83" s="970"/>
      <c r="BD83" s="970"/>
      <c r="BE83" s="970"/>
      <c r="BF83" s="970"/>
      <c r="BG83" s="970"/>
      <c r="BH83" s="970"/>
      <c r="BI83" s="970"/>
      <c r="BJ83" s="970"/>
      <c r="BK83" s="970"/>
      <c r="BL83" s="970"/>
      <c r="BM83" s="970"/>
      <c r="BN83" s="970"/>
      <c r="BO83" s="970"/>
      <c r="BP83" s="970"/>
      <c r="BQ83" s="970"/>
      <c r="BR83" s="970"/>
      <c r="BS83" s="970"/>
      <c r="BT83" s="970"/>
      <c r="BU83" s="970"/>
      <c r="BV83" s="970"/>
      <c r="BW83" s="970"/>
      <c r="BX83" s="970"/>
      <c r="BY83" s="970"/>
      <c r="BZ83" s="970"/>
      <c r="CA83" s="970"/>
      <c r="CB83" s="970"/>
      <c r="CC83" s="970"/>
      <c r="CD83" s="970"/>
      <c r="CE83" s="970"/>
      <c r="CF83" s="970"/>
      <c r="CG83" s="970"/>
      <c r="CH83" s="970"/>
      <c r="CI83" s="970"/>
      <c r="CJ83" s="970"/>
      <c r="CK83" s="970"/>
      <c r="CL83" s="970"/>
      <c r="CM83" s="970"/>
      <c r="CN83" s="970"/>
      <c r="CO83" s="970"/>
      <c r="CP83" s="970"/>
      <c r="CQ83" s="970"/>
      <c r="CR83" s="970"/>
      <c r="CS83" s="970"/>
      <c r="CT83" s="970"/>
      <c r="CU83" s="970"/>
      <c r="CV83" s="970"/>
      <c r="CW83" s="970"/>
      <c r="CX83" s="970"/>
      <c r="CY83" s="970"/>
      <c r="CZ83" s="970"/>
      <c r="DA83" s="970"/>
      <c r="DB83" s="970"/>
      <c r="DC83" s="970"/>
      <c r="DD83" s="970"/>
      <c r="DE83" s="970"/>
      <c r="DF83" s="970"/>
      <c r="DG83" s="970"/>
      <c r="DH83" s="970"/>
      <c r="DI83" s="970"/>
      <c r="DJ83" s="970"/>
      <c r="DK83" s="970"/>
      <c r="DL83" s="970"/>
      <c r="DM83" s="970"/>
      <c r="DN83" s="970"/>
      <c r="DO83" s="970"/>
      <c r="DP83" s="970"/>
      <c r="DQ83" s="970"/>
      <c r="DR83" s="970"/>
      <c r="DS83" s="970"/>
      <c r="DT83" s="970"/>
      <c r="DU83" s="970"/>
      <c r="DV83" s="970"/>
      <c r="DW83" s="970"/>
      <c r="DX83" s="970"/>
      <c r="DY83" s="970"/>
      <c r="DZ83" s="970"/>
      <c r="EA83" s="970"/>
      <c r="EB83" s="970"/>
      <c r="EC83" s="970"/>
      <c r="ED83" s="970"/>
      <c r="EE83" s="970"/>
      <c r="EF83" s="970"/>
      <c r="EG83" s="970"/>
      <c r="EH83" s="970"/>
      <c r="EI83" s="970"/>
      <c r="EJ83" s="970"/>
      <c r="EK83" s="970"/>
      <c r="EL83" s="970"/>
      <c r="EM83" s="970"/>
      <c r="EN83" s="970"/>
      <c r="EO83" s="970"/>
      <c r="EP83" s="970"/>
      <c r="EQ83" s="970"/>
      <c r="ER83" s="970"/>
      <c r="ES83" s="970"/>
      <c r="ET83" s="970"/>
      <c r="EU83" s="970"/>
      <c r="EV83" s="970"/>
      <c r="EW83" s="970"/>
      <c r="EX83" s="970"/>
      <c r="EY83" s="970"/>
      <c r="EZ83" s="970"/>
      <c r="FA83" s="970"/>
      <c r="FB83" s="970"/>
      <c r="FC83" s="970"/>
      <c r="FD83" s="970"/>
      <c r="FE83" s="970"/>
      <c r="FF83" s="970"/>
      <c r="FG83" s="970"/>
      <c r="FH83" s="970"/>
      <c r="FI83" s="970"/>
      <c r="FJ83" s="970"/>
      <c r="FK83" s="970"/>
      <c r="FL83" s="970"/>
      <c r="FM83" s="970"/>
      <c r="FN83" s="970"/>
      <c r="FO83" s="970"/>
      <c r="FP83" s="970"/>
      <c r="FQ83" s="970"/>
      <c r="FR83" s="970"/>
      <c r="FS83" s="970"/>
      <c r="FT83" s="970"/>
      <c r="FU83" s="970"/>
      <c r="FV83" s="970"/>
      <c r="FW83" s="970"/>
      <c r="FX83" s="970"/>
      <c r="FY83" s="970"/>
      <c r="FZ83" s="970"/>
      <c r="GA83" s="970"/>
      <c r="GB83" s="970"/>
      <c r="GC83" s="970"/>
      <c r="GD83" s="970"/>
      <c r="GE83" s="970"/>
      <c r="GF83" s="970"/>
      <c r="GG83" s="970"/>
      <c r="GH83" s="970"/>
      <c r="GI83" s="970"/>
      <c r="GJ83" s="970"/>
      <c r="GK83" s="970"/>
      <c r="GL83" s="970"/>
      <c r="GM83" s="970"/>
      <c r="GN83" s="970"/>
      <c r="GO83" s="970"/>
      <c r="GP83" s="970"/>
      <c r="GQ83" s="970"/>
      <c r="GR83" s="970"/>
      <c r="GS83" s="970"/>
      <c r="GT83" s="970"/>
      <c r="GU83" s="970"/>
      <c r="GV83" s="970"/>
      <c r="GW83" s="970"/>
      <c r="GX83" s="970"/>
      <c r="GY83" s="970"/>
      <c r="GZ83" s="970"/>
      <c r="HA83" s="970"/>
      <c r="HB83" s="970"/>
      <c r="HC83" s="970"/>
      <c r="HD83" s="970"/>
      <c r="HE83" s="970"/>
      <c r="HF83" s="970"/>
      <c r="HG83" s="970"/>
      <c r="HH83" s="970"/>
      <c r="HI83" s="970"/>
      <c r="HJ83" s="970"/>
      <c r="HK83" s="970"/>
      <c r="HL83" s="970"/>
      <c r="HM83" s="970"/>
      <c r="HN83" s="970"/>
      <c r="HO83" s="970"/>
      <c r="HP83" s="970"/>
      <c r="HQ83" s="970"/>
      <c r="HR83" s="970"/>
      <c r="HS83" s="970"/>
      <c r="HT83" s="970"/>
      <c r="HU83" s="970"/>
      <c r="HV83" s="970"/>
      <c r="HW83" s="970"/>
      <c r="HX83" s="970"/>
      <c r="HY83" s="970"/>
      <c r="HZ83" s="970"/>
      <c r="IA83" s="970"/>
      <c r="IB83" s="970"/>
      <c r="IC83" s="970"/>
      <c r="ID83" s="970"/>
      <c r="IE83" s="970"/>
      <c r="IF83" s="970"/>
      <c r="IG83" s="970"/>
      <c r="IH83" s="970"/>
      <c r="II83" s="970"/>
      <c r="IJ83" s="970"/>
      <c r="IK83" s="970"/>
      <c r="IL83" s="970"/>
      <c r="IM83" s="970"/>
      <c r="IN83" s="970"/>
      <c r="IO83" s="970"/>
      <c r="IP83" s="970"/>
      <c r="IQ83" s="970"/>
      <c r="IR83" s="970"/>
      <c r="IS83" s="970"/>
      <c r="IT83" s="970"/>
      <c r="IU83" s="970"/>
      <c r="IV83" s="970"/>
      <c r="IW83" s="970"/>
      <c r="IX83" s="970"/>
      <c r="IY83" s="970"/>
      <c r="IZ83" s="970"/>
      <c r="JA83" s="970"/>
      <c r="JB83" s="970"/>
      <c r="JC83" s="970"/>
      <c r="JD83" s="970"/>
      <c r="JE83" s="970"/>
      <c r="JF83" s="970"/>
      <c r="JG83" s="970"/>
      <c r="JH83" s="970"/>
      <c r="JI83" s="970"/>
      <c r="JJ83" s="970"/>
      <c r="JK83" s="970"/>
      <c r="JL83" s="970"/>
      <c r="JM83" s="970"/>
      <c r="JN83" s="970"/>
      <c r="JO83" s="970"/>
      <c r="JP83" s="970"/>
      <c r="JQ83" s="970"/>
      <c r="JR83" s="970"/>
      <c r="JS83" s="970"/>
      <c r="JT83" s="970"/>
      <c r="JU83" s="970"/>
      <c r="JV83" s="970"/>
      <c r="JW83" s="970"/>
      <c r="JX83" s="970"/>
      <c r="JY83" s="970"/>
      <c r="JZ83" s="970"/>
      <c r="KA83" s="970"/>
      <c r="KB83" s="970"/>
      <c r="KC83" s="970"/>
      <c r="KD83" s="970"/>
      <c r="KE83" s="970"/>
      <c r="KF83" s="970"/>
      <c r="KG83" s="970"/>
      <c r="KH83" s="970"/>
      <c r="KI83" s="970"/>
      <c r="KJ83" s="970"/>
      <c r="KK83" s="970"/>
      <c r="KL83" s="970"/>
      <c r="KM83" s="970"/>
      <c r="KN83" s="970"/>
      <c r="KO83" s="970"/>
      <c r="KP83" s="970"/>
      <c r="KQ83" s="970"/>
      <c r="KR83" s="970"/>
      <c r="KS83" s="970"/>
      <c r="KT83" s="970"/>
      <c r="KU83" s="970"/>
      <c r="KV83" s="970"/>
      <c r="KW83" s="970"/>
      <c r="KX83" s="970"/>
      <c r="KY83" s="970"/>
      <c r="KZ83" s="970"/>
      <c r="LA83" s="970"/>
      <c r="LB83" s="970"/>
      <c r="LC83" s="970"/>
      <c r="LD83" s="970"/>
      <c r="LE83" s="970"/>
      <c r="LF83" s="970"/>
      <c r="LG83" s="970"/>
      <c r="LH83" s="970"/>
      <c r="LI83" s="970"/>
      <c r="LJ83" s="970"/>
      <c r="LK83" s="970"/>
      <c r="LL83" s="970"/>
      <c r="LM83" s="970"/>
      <c r="LN83" s="970"/>
      <c r="LO83" s="970"/>
      <c r="LP83" s="970"/>
      <c r="LQ83" s="970"/>
      <c r="LR83" s="970"/>
      <c r="LS83" s="970"/>
      <c r="LT83" s="970"/>
      <c r="LU83" s="970"/>
      <c r="LV83" s="970"/>
      <c r="LW83" s="970"/>
      <c r="LX83" s="970"/>
      <c r="LY83" s="970"/>
      <c r="LZ83" s="970"/>
      <c r="MA83" s="970"/>
      <c r="MB83" s="970"/>
      <c r="MC83" s="970"/>
      <c r="MD83" s="970"/>
      <c r="ME83" s="970"/>
      <c r="MF83" s="970"/>
      <c r="MG83" s="970"/>
      <c r="MH83" s="970"/>
      <c r="MI83" s="970"/>
      <c r="MJ83" s="970"/>
      <c r="MK83" s="970"/>
      <c r="ML83" s="970"/>
      <c r="MM83" s="970"/>
      <c r="MN83" s="970"/>
      <c r="MO83" s="970"/>
      <c r="MP83" s="970"/>
      <c r="MQ83" s="970"/>
      <c r="MR83" s="970"/>
      <c r="MS83" s="970"/>
      <c r="MT83" s="970"/>
      <c r="MU83" s="970"/>
      <c r="MV83" s="970"/>
      <c r="MW83" s="970"/>
      <c r="MX83" s="970"/>
      <c r="MY83" s="970"/>
      <c r="MZ83" s="970"/>
      <c r="NA83" s="970"/>
      <c r="NB83" s="970"/>
      <c r="NC83" s="970"/>
      <c r="ND83" s="970"/>
      <c r="NE83" s="970"/>
      <c r="NF83" s="970"/>
      <c r="NG83" s="970"/>
      <c r="NH83" s="970"/>
      <c r="NI83" s="970"/>
      <c r="NJ83" s="970"/>
      <c r="NK83" s="970"/>
      <c r="NL83" s="970"/>
      <c r="NM83" s="970"/>
      <c r="NN83" s="970"/>
      <c r="NO83" s="970"/>
      <c r="NP83" s="970"/>
      <c r="NQ83" s="970"/>
      <c r="NR83" s="970"/>
      <c r="NS83" s="970"/>
      <c r="NT83" s="970"/>
      <c r="NU83" s="970"/>
      <c r="NV83" s="970"/>
      <c r="NW83" s="970"/>
      <c r="NX83" s="970"/>
      <c r="NY83" s="970"/>
      <c r="NZ83" s="970"/>
      <c r="OA83" s="970"/>
      <c r="OB83" s="970"/>
      <c r="OC83" s="970"/>
      <c r="OD83" s="970"/>
      <c r="OE83" s="970"/>
      <c r="OF83" s="970"/>
      <c r="OG83" s="970"/>
      <c r="OH83" s="970"/>
      <c r="OI83" s="970"/>
      <c r="OJ83" s="970"/>
      <c r="OK83" s="970"/>
      <c r="OL83" s="970"/>
      <c r="OM83" s="970"/>
      <c r="ON83" s="970"/>
      <c r="OO83" s="970"/>
      <c r="OP83" s="970"/>
      <c r="OQ83" s="970"/>
      <c r="OR83" s="970"/>
      <c r="OS83" s="970"/>
      <c r="OT83" s="970"/>
      <c r="OU83" s="970"/>
      <c r="OV83" s="970"/>
      <c r="OW83" s="970"/>
      <c r="OX83" s="970"/>
      <c r="OY83" s="970"/>
      <c r="OZ83" s="970"/>
      <c r="PA83" s="970"/>
      <c r="PB83" s="970"/>
      <c r="PC83" s="970"/>
      <c r="PD83" s="970"/>
      <c r="PE83" s="970"/>
      <c r="PF83" s="970"/>
      <c r="PG83" s="970"/>
      <c r="PH83" s="970"/>
      <c r="PI83" s="970"/>
      <c r="PJ83" s="970"/>
      <c r="PK83" s="970"/>
      <c r="PL83" s="970"/>
      <c r="PM83" s="970"/>
      <c r="PN83" s="970"/>
      <c r="PO83" s="970"/>
      <c r="PP83" s="970"/>
      <c r="PQ83" s="970"/>
      <c r="PR83" s="970"/>
      <c r="PS83" s="970"/>
      <c r="PT83" s="970"/>
      <c r="PU83" s="970"/>
      <c r="PV83" s="970"/>
      <c r="PW83" s="970"/>
      <c r="PX83" s="970"/>
      <c r="PY83" s="970"/>
      <c r="PZ83" s="970"/>
      <c r="QA83" s="970"/>
      <c r="QB83" s="970"/>
      <c r="QC83" s="970"/>
      <c r="QD83" s="970"/>
      <c r="QE83" s="970"/>
      <c r="QF83" s="970"/>
      <c r="QG83" s="970"/>
      <c r="QH83" s="970"/>
      <c r="QI83" s="970"/>
      <c r="QJ83" s="970"/>
      <c r="QK83" s="970"/>
      <c r="QL83" s="970"/>
      <c r="QM83" s="970"/>
      <c r="QN83" s="970"/>
      <c r="QO83" s="970"/>
      <c r="QP83" s="970"/>
      <c r="QQ83" s="970"/>
      <c r="QR83" s="970"/>
      <c r="QS83" s="970"/>
      <c r="QT83" s="970"/>
      <c r="QU83" s="970"/>
      <c r="QV83" s="970"/>
      <c r="QW83" s="970"/>
      <c r="QX83" s="970"/>
      <c r="QY83" s="970"/>
      <c r="QZ83" s="970"/>
      <c r="RA83" s="970"/>
      <c r="RB83" s="970"/>
      <c r="RC83" s="970"/>
      <c r="RD83" s="970"/>
      <c r="RE83" s="970"/>
      <c r="RF83" s="970"/>
      <c r="RG83" s="970"/>
      <c r="RH83" s="970"/>
      <c r="RI83" s="970"/>
      <c r="RJ83" s="970"/>
      <c r="RK83" s="970"/>
      <c r="RL83" s="970"/>
      <c r="RM83" s="970"/>
      <c r="RN83" s="970"/>
      <c r="RO83" s="970"/>
      <c r="RP83" s="970"/>
      <c r="RQ83" s="970"/>
      <c r="RR83" s="970"/>
      <c r="RS83" s="970"/>
      <c r="RT83" s="970"/>
      <c r="RU83" s="970"/>
      <c r="RV83" s="970"/>
      <c r="RW83" s="970"/>
      <c r="RX83" s="970"/>
      <c r="RY83" s="970"/>
      <c r="RZ83" s="970"/>
      <c r="SA83" s="970"/>
      <c r="SB83" s="970"/>
      <c r="SC83" s="970"/>
      <c r="SD83" s="970"/>
      <c r="SE83" s="970"/>
      <c r="SF83" s="970"/>
      <c r="SG83" s="970"/>
      <c r="SH83" s="970"/>
      <c r="SI83" s="970"/>
      <c r="SJ83" s="970"/>
      <c r="SK83" s="970"/>
      <c r="SL83" s="970"/>
      <c r="SM83" s="970"/>
      <c r="SN83" s="970"/>
      <c r="SO83" s="970"/>
      <c r="SP83" s="970"/>
      <c r="SQ83" s="970"/>
      <c r="SR83" s="970"/>
    </row>
    <row r="84" spans="1:512" ht="15" customHeight="1">
      <c r="A84"/>
      <c r="B84"/>
      <c r="C84" t="s">
        <v>2719</v>
      </c>
      <c r="D84"/>
      <c r="E84" t="s">
        <v>2265</v>
      </c>
      <c r="F84"/>
      <c r="G84" s="970">
        <v>750</v>
      </c>
      <c r="H84" s="1012">
        <v>750</v>
      </c>
      <c r="I84" s="970"/>
      <c r="J84" s="970"/>
      <c r="K84" s="970"/>
      <c r="L84" s="970"/>
      <c r="M84" s="970"/>
      <c r="N84" s="970"/>
      <c r="O84" s="970"/>
      <c r="P84" s="970"/>
      <c r="Q84" s="970"/>
      <c r="R84" s="970"/>
      <c r="S84" s="970"/>
      <c r="T84" s="970"/>
      <c r="U84" s="970"/>
      <c r="V84" s="970"/>
      <c r="W84" s="970"/>
      <c r="X84" s="970"/>
      <c r="Y84" s="970"/>
      <c r="Z84" s="970"/>
      <c r="AA84" s="970"/>
      <c r="AB84" s="970"/>
      <c r="AC84" s="970"/>
      <c r="AD84" s="970"/>
      <c r="AE84" s="970"/>
      <c r="AF84" s="970"/>
      <c r="AG84" s="970"/>
      <c r="AH84" s="970"/>
      <c r="AI84" s="970"/>
      <c r="AJ84" s="970"/>
      <c r="AK84" s="970"/>
      <c r="AL84" s="970"/>
      <c r="AM84" s="970"/>
      <c r="AN84" s="970"/>
      <c r="AO84" s="970"/>
      <c r="AP84" s="970"/>
      <c r="AQ84" s="970"/>
      <c r="AR84" s="970"/>
      <c r="AS84" s="970"/>
      <c r="AT84" s="970"/>
      <c r="AU84" s="970"/>
      <c r="AV84" s="970"/>
      <c r="AW84" s="970"/>
      <c r="AX84" s="970"/>
      <c r="AY84" s="970"/>
      <c r="AZ84" s="970"/>
      <c r="BA84" s="970"/>
      <c r="BB84" s="970"/>
      <c r="BC84" s="970"/>
      <c r="BD84" s="970"/>
      <c r="BE84" s="970"/>
      <c r="BF84" s="970"/>
      <c r="BG84" s="970"/>
      <c r="BH84" s="970"/>
      <c r="BI84" s="970"/>
      <c r="BJ84" s="970"/>
      <c r="BK84" s="970"/>
      <c r="BL84" s="970"/>
      <c r="BM84" s="970"/>
      <c r="BN84" s="970"/>
      <c r="BO84" s="970"/>
      <c r="BP84" s="970"/>
      <c r="BQ84" s="970"/>
      <c r="BR84" s="970"/>
      <c r="BS84" s="970"/>
      <c r="BT84" s="970"/>
      <c r="BU84" s="970"/>
      <c r="BV84" s="970"/>
      <c r="BW84" s="970"/>
      <c r="BX84" s="970"/>
      <c r="BY84" s="970"/>
      <c r="BZ84" s="970"/>
      <c r="CA84" s="970"/>
      <c r="CB84" s="970"/>
      <c r="CC84" s="970"/>
      <c r="CD84" s="970"/>
      <c r="CE84" s="970"/>
      <c r="CF84" s="970"/>
      <c r="CG84" s="970"/>
      <c r="CH84" s="970"/>
      <c r="CI84" s="970"/>
      <c r="CJ84" s="970"/>
      <c r="CK84" s="970"/>
      <c r="CL84" s="970"/>
      <c r="CM84" s="970"/>
      <c r="CN84" s="970"/>
      <c r="CO84" s="970"/>
      <c r="CP84" s="970"/>
      <c r="CQ84" s="970"/>
      <c r="CR84" s="970"/>
      <c r="CS84" s="970"/>
      <c r="CT84" s="970"/>
      <c r="CU84" s="970"/>
      <c r="CV84" s="970"/>
      <c r="CW84" s="970"/>
      <c r="CX84" s="970"/>
      <c r="CY84" s="970"/>
      <c r="CZ84" s="970"/>
      <c r="DA84" s="970"/>
      <c r="DB84" s="970"/>
      <c r="DC84" s="970"/>
      <c r="DD84" s="970"/>
      <c r="DE84" s="970"/>
      <c r="DF84" s="970"/>
      <c r="DG84" s="970"/>
      <c r="DH84" s="970"/>
      <c r="DI84" s="970"/>
      <c r="DJ84" s="970"/>
      <c r="DK84" s="970"/>
      <c r="DL84" s="970"/>
      <c r="DM84" s="970"/>
      <c r="DN84" s="970"/>
      <c r="DO84" s="970"/>
      <c r="DP84" s="970"/>
      <c r="DQ84" s="970"/>
      <c r="DR84" s="970"/>
      <c r="DS84" s="970"/>
      <c r="DT84" s="970"/>
      <c r="DU84" s="970"/>
      <c r="DV84" s="970"/>
      <c r="DW84" s="970"/>
      <c r="DX84" s="970"/>
      <c r="DY84" s="970"/>
      <c r="DZ84" s="970"/>
      <c r="EA84" s="970"/>
      <c r="EB84" s="970"/>
      <c r="EC84" s="970"/>
      <c r="ED84" s="970"/>
      <c r="EE84" s="970"/>
      <c r="EF84" s="970"/>
      <c r="EG84" s="970"/>
      <c r="EH84" s="970"/>
      <c r="EI84" s="970"/>
      <c r="EJ84" s="970"/>
      <c r="EK84" s="970"/>
      <c r="EL84" s="970"/>
      <c r="EM84" s="970"/>
      <c r="EN84" s="970"/>
      <c r="EO84" s="970"/>
      <c r="EP84" s="970"/>
      <c r="EQ84" s="970"/>
      <c r="ER84" s="970"/>
      <c r="ES84" s="970"/>
      <c r="ET84" s="970"/>
      <c r="EU84" s="970"/>
      <c r="EV84" s="970"/>
      <c r="EW84" s="970"/>
      <c r="EX84" s="970"/>
      <c r="EY84" s="970"/>
      <c r="EZ84" s="970"/>
      <c r="FA84" s="970"/>
      <c r="FB84" s="970"/>
      <c r="FC84" s="970"/>
      <c r="FD84" s="970"/>
      <c r="FE84" s="970"/>
      <c r="FF84" s="970"/>
      <c r="FG84" s="970"/>
      <c r="FH84" s="970"/>
      <c r="FI84" s="970"/>
      <c r="FJ84" s="970"/>
      <c r="FK84" s="970"/>
      <c r="FL84" s="970"/>
      <c r="FM84" s="970"/>
      <c r="FN84" s="970"/>
      <c r="FO84" s="970"/>
      <c r="FP84" s="970"/>
      <c r="FQ84" s="970"/>
      <c r="FR84" s="970"/>
      <c r="FS84" s="970"/>
      <c r="FT84" s="970"/>
      <c r="FU84" s="970"/>
      <c r="FV84" s="970"/>
      <c r="FW84" s="970"/>
      <c r="FX84" s="970"/>
      <c r="FY84" s="970"/>
      <c r="FZ84" s="970"/>
      <c r="GA84" s="970"/>
      <c r="GB84" s="970"/>
      <c r="GC84" s="970"/>
      <c r="GD84" s="970"/>
      <c r="GE84" s="970"/>
      <c r="GF84" s="970"/>
      <c r="GG84" s="970"/>
      <c r="GH84" s="970"/>
      <c r="GI84" s="970"/>
      <c r="GJ84" s="970"/>
      <c r="GK84" s="970"/>
      <c r="GL84" s="970"/>
      <c r="GM84" s="970"/>
      <c r="GN84" s="970"/>
      <c r="GO84" s="970"/>
      <c r="GP84" s="970"/>
      <c r="GQ84" s="970"/>
      <c r="GR84" s="970"/>
      <c r="GS84" s="970"/>
      <c r="GT84" s="970"/>
      <c r="GU84" s="970"/>
      <c r="GV84" s="970"/>
      <c r="GW84" s="970"/>
      <c r="GX84" s="970"/>
      <c r="GY84" s="970"/>
      <c r="GZ84" s="970"/>
      <c r="HA84" s="970"/>
      <c r="HB84" s="970"/>
      <c r="HC84" s="970"/>
      <c r="HD84" s="970"/>
      <c r="HE84" s="970"/>
      <c r="HF84" s="970"/>
      <c r="HG84" s="970"/>
      <c r="HH84" s="970"/>
      <c r="HI84" s="970"/>
      <c r="HJ84" s="970"/>
      <c r="HK84" s="970"/>
      <c r="HL84" s="970"/>
      <c r="HM84" s="970"/>
      <c r="HN84" s="970"/>
      <c r="HO84" s="970"/>
      <c r="HP84" s="970"/>
      <c r="HQ84" s="970"/>
      <c r="HR84" s="970"/>
      <c r="HS84" s="970"/>
      <c r="HT84" s="970"/>
      <c r="HU84" s="970"/>
      <c r="HV84" s="970"/>
      <c r="HW84" s="970"/>
      <c r="HX84" s="970"/>
      <c r="HY84" s="970"/>
      <c r="HZ84" s="970"/>
      <c r="IA84" s="970"/>
      <c r="IB84" s="970"/>
      <c r="IC84" s="970"/>
      <c r="ID84" s="970"/>
      <c r="IE84" s="970"/>
      <c r="IF84" s="970"/>
      <c r="IG84" s="970"/>
      <c r="IH84" s="970"/>
      <c r="II84" s="970"/>
      <c r="IJ84" s="970"/>
      <c r="IK84" s="970"/>
      <c r="IL84" s="970"/>
      <c r="IM84" s="970"/>
      <c r="IN84" s="970"/>
      <c r="IO84" s="970"/>
      <c r="IP84" s="970"/>
      <c r="IQ84" s="970"/>
      <c r="IR84" s="970"/>
      <c r="IS84" s="970"/>
      <c r="IT84" s="970"/>
      <c r="IU84" s="970"/>
      <c r="IV84" s="970"/>
      <c r="IW84" s="970"/>
      <c r="IX84" s="970"/>
      <c r="IY84" s="970"/>
      <c r="IZ84" s="970"/>
      <c r="JA84" s="970"/>
      <c r="JB84" s="970"/>
      <c r="JC84" s="970"/>
      <c r="JD84" s="970"/>
      <c r="JE84" s="970"/>
      <c r="JF84" s="970"/>
      <c r="JG84" s="970"/>
      <c r="JH84" s="970"/>
      <c r="JI84" s="970"/>
      <c r="JJ84" s="970"/>
      <c r="JK84" s="970"/>
      <c r="JL84" s="970"/>
      <c r="JM84" s="970"/>
      <c r="JN84" s="970"/>
      <c r="JO84" s="970"/>
      <c r="JP84" s="970"/>
      <c r="JQ84" s="970"/>
      <c r="JR84" s="970"/>
      <c r="JS84" s="970"/>
      <c r="JT84" s="970"/>
      <c r="JU84" s="970"/>
      <c r="JV84" s="970"/>
      <c r="JW84" s="970"/>
      <c r="JX84" s="970"/>
      <c r="JY84" s="970"/>
      <c r="JZ84" s="970"/>
      <c r="KA84" s="970"/>
      <c r="KB84" s="970"/>
      <c r="KC84" s="970"/>
      <c r="KD84" s="970"/>
      <c r="KE84" s="970"/>
      <c r="KF84" s="970"/>
      <c r="KG84" s="970"/>
      <c r="KH84" s="970"/>
      <c r="KI84" s="970"/>
      <c r="KJ84" s="970"/>
      <c r="KK84" s="970"/>
      <c r="KL84" s="970"/>
      <c r="KM84" s="970"/>
      <c r="KN84" s="970"/>
      <c r="KO84" s="970"/>
      <c r="KP84" s="970"/>
      <c r="KQ84" s="970"/>
      <c r="KR84" s="970"/>
      <c r="KS84" s="970"/>
      <c r="KT84" s="970"/>
      <c r="KU84" s="970"/>
      <c r="KV84" s="970"/>
      <c r="KW84" s="970"/>
      <c r="KX84" s="970"/>
      <c r="KY84" s="970"/>
      <c r="KZ84" s="970"/>
      <c r="LA84" s="970"/>
      <c r="LB84" s="970"/>
      <c r="LC84" s="970"/>
      <c r="LD84" s="970"/>
      <c r="LE84" s="970"/>
      <c r="LF84" s="970"/>
      <c r="LG84" s="970"/>
      <c r="LH84" s="970"/>
      <c r="LI84" s="970"/>
      <c r="LJ84" s="970"/>
      <c r="LK84" s="970"/>
      <c r="LL84" s="970"/>
      <c r="LM84" s="970"/>
      <c r="LN84" s="970"/>
      <c r="LO84" s="970"/>
      <c r="LP84" s="970"/>
      <c r="LQ84" s="970"/>
      <c r="LR84" s="970"/>
      <c r="LS84" s="970"/>
      <c r="LT84" s="970"/>
      <c r="LU84" s="970"/>
      <c r="LV84" s="970"/>
      <c r="LW84" s="970"/>
      <c r="LX84" s="970"/>
      <c r="LY84" s="970"/>
      <c r="LZ84" s="970"/>
      <c r="MA84" s="970"/>
      <c r="MB84" s="970"/>
      <c r="MC84" s="970"/>
      <c r="MD84" s="970"/>
      <c r="ME84" s="970"/>
      <c r="MF84" s="970"/>
      <c r="MG84" s="970"/>
      <c r="MH84" s="970"/>
      <c r="MI84" s="970"/>
      <c r="MJ84" s="970"/>
      <c r="MK84" s="970"/>
      <c r="ML84" s="970"/>
      <c r="MM84" s="970"/>
      <c r="MN84" s="970"/>
      <c r="MO84" s="970"/>
      <c r="MP84" s="970"/>
      <c r="MQ84" s="970"/>
      <c r="MR84" s="970"/>
      <c r="MS84" s="970"/>
      <c r="MT84" s="970"/>
      <c r="MU84" s="970"/>
      <c r="MV84" s="970"/>
      <c r="MW84" s="970"/>
      <c r="MX84" s="970"/>
      <c r="MY84" s="970"/>
      <c r="MZ84" s="970"/>
      <c r="NA84" s="970"/>
      <c r="NB84" s="970"/>
      <c r="NC84" s="970"/>
      <c r="ND84" s="970"/>
      <c r="NE84" s="970"/>
      <c r="NF84" s="970"/>
      <c r="NG84" s="970"/>
      <c r="NH84" s="970"/>
      <c r="NI84" s="970"/>
      <c r="NJ84" s="970"/>
      <c r="NK84" s="970"/>
      <c r="NL84" s="970"/>
      <c r="NM84" s="970"/>
      <c r="NN84" s="970"/>
      <c r="NO84" s="970"/>
      <c r="NP84" s="970"/>
      <c r="NQ84" s="970"/>
      <c r="NR84" s="970"/>
      <c r="NS84" s="970"/>
      <c r="NT84" s="970"/>
      <c r="NU84" s="970"/>
      <c r="NV84" s="970"/>
      <c r="NW84" s="970"/>
      <c r="NX84" s="970"/>
      <c r="NY84" s="970"/>
      <c r="NZ84" s="970"/>
      <c r="OA84" s="970"/>
      <c r="OB84" s="970"/>
      <c r="OC84" s="970"/>
      <c r="OD84" s="970"/>
      <c r="OE84" s="970"/>
      <c r="OF84" s="970"/>
      <c r="OG84" s="970"/>
      <c r="OH84" s="970"/>
      <c r="OI84" s="970"/>
      <c r="OJ84" s="970"/>
      <c r="OK84" s="970"/>
      <c r="OL84" s="970"/>
      <c r="OM84" s="970"/>
      <c r="ON84" s="970"/>
      <c r="OO84" s="970"/>
      <c r="OP84" s="970"/>
      <c r="OQ84" s="970"/>
      <c r="OR84" s="970"/>
      <c r="OS84" s="970"/>
      <c r="OT84" s="970"/>
      <c r="OU84" s="970"/>
      <c r="OV84" s="970"/>
      <c r="OW84" s="970"/>
      <c r="OX84" s="970"/>
      <c r="OY84" s="970"/>
      <c r="OZ84" s="970"/>
      <c r="PA84" s="970"/>
      <c r="PB84" s="970"/>
      <c r="PC84" s="970"/>
      <c r="PD84" s="970"/>
      <c r="PE84" s="970"/>
      <c r="PF84" s="970"/>
      <c r="PG84" s="970"/>
      <c r="PH84" s="970"/>
      <c r="PI84" s="970"/>
      <c r="PJ84" s="970"/>
      <c r="PK84" s="970"/>
      <c r="PL84" s="970"/>
      <c r="PM84" s="970"/>
      <c r="PN84" s="970"/>
      <c r="PO84" s="970"/>
      <c r="PP84" s="970"/>
      <c r="PQ84" s="970"/>
      <c r="PR84" s="970"/>
      <c r="PS84" s="970"/>
      <c r="PT84" s="970"/>
      <c r="PU84" s="970"/>
      <c r="PV84" s="970"/>
      <c r="PW84" s="970"/>
      <c r="PX84" s="970"/>
      <c r="PY84" s="970"/>
      <c r="PZ84" s="970"/>
      <c r="QA84" s="970"/>
      <c r="QB84" s="970"/>
      <c r="QC84" s="970"/>
      <c r="QD84" s="970"/>
      <c r="QE84" s="970"/>
      <c r="QF84" s="970"/>
      <c r="QG84" s="970"/>
      <c r="QH84" s="970"/>
      <c r="QI84" s="970"/>
      <c r="QJ84" s="970"/>
      <c r="QK84" s="970"/>
      <c r="QL84" s="970"/>
      <c r="QM84" s="970"/>
      <c r="QN84" s="970"/>
      <c r="QO84" s="970"/>
      <c r="QP84" s="970"/>
      <c r="QQ84" s="970"/>
      <c r="QR84" s="970"/>
      <c r="QS84" s="970"/>
      <c r="QT84" s="970"/>
      <c r="QU84" s="970"/>
      <c r="QV84" s="970"/>
      <c r="QW84" s="970"/>
      <c r="QX84" s="970"/>
      <c r="QY84" s="970"/>
      <c r="QZ84" s="970"/>
      <c r="RA84" s="970"/>
      <c r="RB84" s="970"/>
      <c r="RC84" s="970"/>
      <c r="RD84" s="970"/>
      <c r="RE84" s="970"/>
      <c r="RF84" s="970"/>
      <c r="RG84" s="970"/>
      <c r="RH84" s="970"/>
      <c r="RI84" s="970"/>
      <c r="RJ84" s="970"/>
      <c r="RK84" s="970"/>
      <c r="RL84" s="970"/>
      <c r="RM84" s="970"/>
      <c r="RN84" s="970"/>
      <c r="RO84" s="970"/>
      <c r="RP84" s="970"/>
      <c r="RQ84" s="970"/>
      <c r="RR84" s="970"/>
      <c r="RS84" s="970"/>
      <c r="RT84" s="970"/>
      <c r="RU84" s="970"/>
      <c r="RV84" s="970"/>
      <c r="RW84" s="970"/>
      <c r="RX84" s="970"/>
      <c r="RY84" s="970"/>
      <c r="RZ84" s="970"/>
      <c r="SA84" s="970"/>
      <c r="SB84" s="970"/>
      <c r="SC84" s="970"/>
      <c r="SD84" s="970"/>
      <c r="SE84" s="970"/>
      <c r="SF84" s="970"/>
      <c r="SG84" s="970"/>
      <c r="SH84" s="970"/>
      <c r="SI84" s="970"/>
      <c r="SJ84" s="970"/>
      <c r="SK84" s="970"/>
      <c r="SL84" s="970"/>
      <c r="SM84" s="970"/>
      <c r="SN84" s="970"/>
      <c r="SO84" s="970"/>
      <c r="SP84" s="970"/>
      <c r="SQ84" s="970"/>
      <c r="SR84" s="970"/>
    </row>
    <row r="85" spans="1:512" ht="15" customHeight="1">
      <c r="A85"/>
      <c r="B85"/>
      <c r="C85" t="s">
        <v>2720</v>
      </c>
      <c r="D85"/>
      <c r="E85" t="s">
        <v>2265</v>
      </c>
      <c r="F85"/>
      <c r="G85" s="970">
        <v>800</v>
      </c>
      <c r="H85" s="1012">
        <v>800</v>
      </c>
      <c r="I85" s="970"/>
      <c r="J85" s="970"/>
      <c r="K85" s="970"/>
      <c r="L85" s="970"/>
      <c r="M85" s="970"/>
      <c r="N85" s="970"/>
      <c r="O85" s="970"/>
      <c r="P85" s="970"/>
      <c r="Q85" s="970"/>
      <c r="R85" s="970"/>
      <c r="S85" s="970"/>
      <c r="T85" s="970"/>
      <c r="U85" s="970"/>
      <c r="V85" s="970"/>
      <c r="W85" s="970"/>
      <c r="X85" s="970"/>
      <c r="Y85" s="970"/>
      <c r="Z85" s="970"/>
      <c r="AA85" s="970"/>
      <c r="AB85" s="970"/>
      <c r="AC85" s="970"/>
      <c r="AD85" s="970"/>
      <c r="AE85" s="970"/>
      <c r="AF85" s="970"/>
      <c r="AG85" s="970"/>
      <c r="AH85" s="970"/>
      <c r="AI85" s="970"/>
      <c r="AJ85" s="970"/>
      <c r="AK85" s="970"/>
      <c r="AL85" s="970"/>
      <c r="AM85" s="970"/>
      <c r="AN85" s="970"/>
      <c r="AO85" s="970"/>
      <c r="AP85" s="970"/>
      <c r="AQ85" s="970"/>
      <c r="AR85" s="970"/>
      <c r="AS85" s="970"/>
      <c r="AT85" s="970"/>
      <c r="AU85" s="970"/>
      <c r="AV85" s="970"/>
      <c r="AW85" s="970"/>
      <c r="AX85" s="970"/>
      <c r="AY85" s="970"/>
      <c r="AZ85" s="970"/>
      <c r="BA85" s="970"/>
      <c r="BB85" s="970"/>
      <c r="BC85" s="970"/>
      <c r="BD85" s="970"/>
      <c r="BE85" s="970"/>
      <c r="BF85" s="970"/>
      <c r="BG85" s="970"/>
      <c r="BH85" s="970"/>
      <c r="BI85" s="970"/>
      <c r="BJ85" s="970"/>
      <c r="BK85" s="970"/>
      <c r="BL85" s="970"/>
      <c r="BM85" s="970"/>
      <c r="BN85" s="970"/>
      <c r="BO85" s="970"/>
      <c r="BP85" s="970"/>
      <c r="BQ85" s="970"/>
      <c r="BR85" s="970"/>
      <c r="BS85" s="970"/>
      <c r="BT85" s="970"/>
      <c r="BU85" s="970"/>
      <c r="BV85" s="970"/>
      <c r="BW85" s="970"/>
      <c r="BX85" s="970"/>
      <c r="BY85" s="970"/>
      <c r="BZ85" s="970"/>
      <c r="CA85" s="970"/>
      <c r="CB85" s="970"/>
      <c r="CC85" s="970"/>
      <c r="CD85" s="970"/>
      <c r="CE85" s="970"/>
      <c r="CF85" s="970"/>
      <c r="CG85" s="970"/>
      <c r="CH85" s="970"/>
      <c r="CI85" s="970"/>
      <c r="CJ85" s="970"/>
      <c r="CK85" s="970"/>
      <c r="CL85" s="970"/>
      <c r="CM85" s="970"/>
      <c r="CN85" s="970"/>
      <c r="CO85" s="970"/>
      <c r="CP85" s="970"/>
      <c r="CQ85" s="970"/>
      <c r="CR85" s="970"/>
      <c r="CS85" s="970"/>
      <c r="CT85" s="970"/>
      <c r="CU85" s="970"/>
      <c r="CV85" s="970"/>
      <c r="CW85" s="970"/>
      <c r="CX85" s="970"/>
      <c r="CY85" s="970"/>
      <c r="CZ85" s="970"/>
      <c r="DA85" s="970"/>
      <c r="DB85" s="970"/>
      <c r="DC85" s="970"/>
      <c r="DD85" s="970"/>
      <c r="DE85" s="970"/>
      <c r="DF85" s="970"/>
      <c r="DG85" s="970"/>
      <c r="DH85" s="970"/>
      <c r="DI85" s="970"/>
      <c r="DJ85" s="970"/>
      <c r="DK85" s="970"/>
      <c r="DL85" s="970"/>
      <c r="DM85" s="970"/>
      <c r="DN85" s="970"/>
      <c r="DO85" s="970"/>
      <c r="DP85" s="970"/>
      <c r="DQ85" s="970"/>
      <c r="DR85" s="970"/>
      <c r="DS85" s="970"/>
      <c r="DT85" s="970"/>
      <c r="DU85" s="970"/>
      <c r="DV85" s="970"/>
      <c r="DW85" s="970"/>
      <c r="DX85" s="970"/>
      <c r="DY85" s="970"/>
      <c r="DZ85" s="970"/>
      <c r="EA85" s="970"/>
      <c r="EB85" s="970"/>
      <c r="EC85" s="970"/>
      <c r="ED85" s="970"/>
      <c r="EE85" s="970"/>
      <c r="EF85" s="970"/>
      <c r="EG85" s="970"/>
      <c r="EH85" s="970"/>
      <c r="EI85" s="970"/>
      <c r="EJ85" s="970"/>
      <c r="EK85" s="970"/>
      <c r="EL85" s="970"/>
      <c r="EM85" s="970"/>
      <c r="EN85" s="970"/>
      <c r="EO85" s="970"/>
      <c r="EP85" s="970"/>
      <c r="EQ85" s="970"/>
      <c r="ER85" s="970"/>
      <c r="ES85" s="970"/>
      <c r="ET85" s="970"/>
      <c r="EU85" s="970"/>
      <c r="EV85" s="970"/>
      <c r="EW85" s="970"/>
      <c r="EX85" s="970"/>
      <c r="EY85" s="970"/>
      <c r="EZ85" s="970"/>
      <c r="FA85" s="970"/>
      <c r="FB85" s="970"/>
      <c r="FC85" s="970"/>
      <c r="FD85" s="970"/>
      <c r="FE85" s="970"/>
      <c r="FF85" s="970"/>
      <c r="FG85" s="970"/>
      <c r="FH85" s="970"/>
      <c r="FI85" s="970"/>
      <c r="FJ85" s="970"/>
      <c r="FK85" s="970"/>
      <c r="FL85" s="970"/>
      <c r="FM85" s="970"/>
      <c r="FN85" s="970"/>
      <c r="FO85" s="970"/>
      <c r="FP85" s="970"/>
      <c r="FQ85" s="970"/>
      <c r="FR85" s="970"/>
      <c r="FS85" s="970"/>
      <c r="FT85" s="970"/>
      <c r="FU85" s="970"/>
      <c r="FV85" s="970"/>
      <c r="FW85" s="970"/>
      <c r="FX85" s="970"/>
      <c r="FY85" s="970"/>
      <c r="FZ85" s="970"/>
      <c r="GA85" s="970"/>
      <c r="GB85" s="970"/>
      <c r="GC85" s="970"/>
      <c r="GD85" s="970"/>
      <c r="GE85" s="970"/>
      <c r="GF85" s="970"/>
      <c r="GG85" s="970"/>
      <c r="GH85" s="970"/>
      <c r="GI85" s="970"/>
      <c r="GJ85" s="970"/>
      <c r="GK85" s="970"/>
      <c r="GL85" s="970"/>
      <c r="GM85" s="970"/>
      <c r="GN85" s="970"/>
      <c r="GO85" s="970"/>
      <c r="GP85" s="970"/>
      <c r="GQ85" s="970"/>
      <c r="GR85" s="970"/>
      <c r="GS85" s="970"/>
      <c r="GT85" s="970"/>
      <c r="GU85" s="970"/>
      <c r="GV85" s="970"/>
      <c r="GW85" s="970"/>
      <c r="GX85" s="970"/>
      <c r="GY85" s="970"/>
      <c r="GZ85" s="970"/>
      <c r="HA85" s="970"/>
      <c r="HB85" s="970"/>
      <c r="HC85" s="970"/>
      <c r="HD85" s="970"/>
      <c r="HE85" s="970"/>
      <c r="HF85" s="970"/>
      <c r="HG85" s="970"/>
      <c r="HH85" s="970"/>
      <c r="HI85" s="970"/>
      <c r="HJ85" s="970"/>
      <c r="HK85" s="970"/>
      <c r="HL85" s="970"/>
      <c r="HM85" s="970"/>
      <c r="HN85" s="970"/>
      <c r="HO85" s="970"/>
      <c r="HP85" s="970"/>
      <c r="HQ85" s="970"/>
      <c r="HR85" s="970"/>
      <c r="HS85" s="970"/>
      <c r="HT85" s="970"/>
      <c r="HU85" s="970"/>
      <c r="HV85" s="970"/>
      <c r="HW85" s="970"/>
      <c r="HX85" s="970"/>
      <c r="HY85" s="970"/>
      <c r="HZ85" s="970"/>
      <c r="IA85" s="970"/>
      <c r="IB85" s="970"/>
      <c r="IC85" s="970"/>
      <c r="ID85" s="970"/>
      <c r="IE85" s="970"/>
      <c r="IF85" s="970"/>
      <c r="IG85" s="970"/>
      <c r="IH85" s="970"/>
      <c r="II85" s="970"/>
      <c r="IJ85" s="970"/>
      <c r="IK85" s="970"/>
      <c r="IL85" s="970"/>
      <c r="IM85" s="970"/>
      <c r="IN85" s="970"/>
      <c r="IO85" s="970"/>
      <c r="IP85" s="970"/>
      <c r="IQ85" s="970"/>
      <c r="IR85" s="970"/>
      <c r="IS85" s="970"/>
      <c r="IT85" s="970"/>
      <c r="IU85" s="970"/>
      <c r="IV85" s="970"/>
      <c r="IW85" s="970"/>
      <c r="IX85" s="970"/>
      <c r="IY85" s="970"/>
      <c r="IZ85" s="970"/>
      <c r="JA85" s="970"/>
      <c r="JB85" s="970"/>
      <c r="JC85" s="970"/>
      <c r="JD85" s="970"/>
      <c r="JE85" s="970"/>
      <c r="JF85" s="970"/>
      <c r="JG85" s="970"/>
      <c r="JH85" s="970"/>
      <c r="JI85" s="970"/>
      <c r="JJ85" s="970"/>
      <c r="JK85" s="970"/>
      <c r="JL85" s="970"/>
      <c r="JM85" s="970"/>
      <c r="JN85" s="970"/>
      <c r="JO85" s="970"/>
      <c r="JP85" s="970"/>
      <c r="JQ85" s="970"/>
      <c r="JR85" s="970"/>
      <c r="JS85" s="970"/>
      <c r="JT85" s="970"/>
      <c r="JU85" s="970"/>
      <c r="JV85" s="970"/>
      <c r="JW85" s="970"/>
      <c r="JX85" s="970"/>
      <c r="JY85" s="970"/>
      <c r="JZ85" s="970"/>
      <c r="KA85" s="970"/>
      <c r="KB85" s="970"/>
      <c r="KC85" s="970"/>
      <c r="KD85" s="970"/>
      <c r="KE85" s="970"/>
      <c r="KF85" s="970"/>
      <c r="KG85" s="970"/>
      <c r="KH85" s="970"/>
      <c r="KI85" s="970"/>
      <c r="KJ85" s="970"/>
      <c r="KK85" s="970"/>
      <c r="KL85" s="970"/>
      <c r="KM85" s="970"/>
      <c r="KN85" s="970"/>
      <c r="KO85" s="970"/>
      <c r="KP85" s="970"/>
      <c r="KQ85" s="970"/>
      <c r="KR85" s="970"/>
      <c r="KS85" s="970"/>
      <c r="KT85" s="970"/>
      <c r="KU85" s="970"/>
      <c r="KV85" s="970"/>
      <c r="KW85" s="970"/>
      <c r="KX85" s="970"/>
      <c r="KY85" s="970"/>
      <c r="KZ85" s="970"/>
      <c r="LA85" s="970"/>
      <c r="LB85" s="970"/>
      <c r="LC85" s="970"/>
      <c r="LD85" s="970"/>
      <c r="LE85" s="970"/>
      <c r="LF85" s="970"/>
      <c r="LG85" s="970"/>
      <c r="LH85" s="970"/>
      <c r="LI85" s="970"/>
      <c r="LJ85" s="970"/>
      <c r="LK85" s="970"/>
      <c r="LL85" s="970"/>
      <c r="LM85" s="970"/>
      <c r="LN85" s="970"/>
      <c r="LO85" s="970"/>
      <c r="LP85" s="970"/>
      <c r="LQ85" s="970"/>
      <c r="LR85" s="970"/>
      <c r="LS85" s="970"/>
      <c r="LT85" s="970"/>
      <c r="LU85" s="970"/>
      <c r="LV85" s="970"/>
      <c r="LW85" s="970"/>
      <c r="LX85" s="970"/>
      <c r="LY85" s="970"/>
      <c r="LZ85" s="970"/>
      <c r="MA85" s="970"/>
      <c r="MB85" s="970"/>
      <c r="MC85" s="970"/>
      <c r="MD85" s="970"/>
      <c r="ME85" s="970"/>
      <c r="MF85" s="970"/>
      <c r="MG85" s="970"/>
      <c r="MH85" s="970"/>
      <c r="MI85" s="970"/>
      <c r="MJ85" s="970"/>
      <c r="MK85" s="970"/>
      <c r="ML85" s="970"/>
      <c r="MM85" s="970"/>
      <c r="MN85" s="970"/>
      <c r="MO85" s="970"/>
      <c r="MP85" s="970"/>
      <c r="MQ85" s="970"/>
      <c r="MR85" s="970"/>
      <c r="MS85" s="970"/>
      <c r="MT85" s="970"/>
      <c r="MU85" s="970"/>
      <c r="MV85" s="970"/>
      <c r="MW85" s="970"/>
      <c r="MX85" s="970"/>
      <c r="MY85" s="970"/>
      <c r="MZ85" s="970"/>
      <c r="NA85" s="970"/>
      <c r="NB85" s="970"/>
      <c r="NC85" s="970"/>
      <c r="ND85" s="970"/>
      <c r="NE85" s="970"/>
      <c r="NF85" s="970"/>
      <c r="NG85" s="970"/>
      <c r="NH85" s="970"/>
      <c r="NI85" s="970"/>
      <c r="NJ85" s="970"/>
      <c r="NK85" s="970"/>
      <c r="NL85" s="970"/>
      <c r="NM85" s="970"/>
      <c r="NN85" s="970"/>
      <c r="NO85" s="970"/>
      <c r="NP85" s="970"/>
      <c r="NQ85" s="970"/>
      <c r="NR85" s="970"/>
      <c r="NS85" s="970"/>
      <c r="NT85" s="970"/>
      <c r="NU85" s="970"/>
      <c r="NV85" s="970"/>
      <c r="NW85" s="970"/>
      <c r="NX85" s="970"/>
      <c r="NY85" s="970"/>
      <c r="NZ85" s="970"/>
      <c r="OA85" s="970"/>
      <c r="OB85" s="970"/>
      <c r="OC85" s="970"/>
      <c r="OD85" s="970"/>
      <c r="OE85" s="970"/>
      <c r="OF85" s="970"/>
      <c r="OG85" s="970"/>
      <c r="OH85" s="970"/>
      <c r="OI85" s="970"/>
      <c r="OJ85" s="970"/>
      <c r="OK85" s="970"/>
      <c r="OL85" s="970"/>
      <c r="OM85" s="970"/>
      <c r="ON85" s="970"/>
      <c r="OO85" s="970"/>
      <c r="OP85" s="970"/>
      <c r="OQ85" s="970"/>
      <c r="OR85" s="970"/>
      <c r="OS85" s="970"/>
      <c r="OT85" s="970"/>
      <c r="OU85" s="970"/>
      <c r="OV85" s="970"/>
      <c r="OW85" s="970"/>
      <c r="OX85" s="970"/>
      <c r="OY85" s="970"/>
      <c r="OZ85" s="970"/>
      <c r="PA85" s="970"/>
      <c r="PB85" s="970"/>
      <c r="PC85" s="970"/>
      <c r="PD85" s="970"/>
      <c r="PE85" s="970"/>
      <c r="PF85" s="970"/>
      <c r="PG85" s="970"/>
      <c r="PH85" s="970"/>
      <c r="PI85" s="970"/>
      <c r="PJ85" s="970"/>
      <c r="PK85" s="970"/>
      <c r="PL85" s="970"/>
      <c r="PM85" s="970"/>
      <c r="PN85" s="970"/>
      <c r="PO85" s="970"/>
      <c r="PP85" s="970"/>
      <c r="PQ85" s="970"/>
      <c r="PR85" s="970"/>
      <c r="PS85" s="970"/>
      <c r="PT85" s="970"/>
      <c r="PU85" s="970"/>
      <c r="PV85" s="970"/>
      <c r="PW85" s="970"/>
      <c r="PX85" s="970"/>
      <c r="PY85" s="970"/>
      <c r="PZ85" s="970"/>
      <c r="QA85" s="970"/>
      <c r="QB85" s="970"/>
      <c r="QC85" s="970"/>
      <c r="QD85" s="970"/>
      <c r="QE85" s="970"/>
      <c r="QF85" s="970"/>
      <c r="QG85" s="970"/>
      <c r="QH85" s="970"/>
      <c r="QI85" s="970"/>
      <c r="QJ85" s="970"/>
      <c r="QK85" s="970"/>
      <c r="QL85" s="970"/>
      <c r="QM85" s="970"/>
      <c r="QN85" s="970"/>
      <c r="QO85" s="970"/>
      <c r="QP85" s="970"/>
      <c r="QQ85" s="970"/>
      <c r="QR85" s="970"/>
      <c r="QS85" s="970"/>
      <c r="QT85" s="970"/>
      <c r="QU85" s="970"/>
      <c r="QV85" s="970"/>
      <c r="QW85" s="970"/>
      <c r="QX85" s="970"/>
      <c r="QY85" s="970"/>
      <c r="QZ85" s="970"/>
      <c r="RA85" s="970"/>
      <c r="RB85" s="970"/>
      <c r="RC85" s="970"/>
      <c r="RD85" s="970"/>
      <c r="RE85" s="970"/>
      <c r="RF85" s="970"/>
      <c r="RG85" s="970"/>
      <c r="RH85" s="970"/>
      <c r="RI85" s="970"/>
      <c r="RJ85" s="970"/>
      <c r="RK85" s="970"/>
      <c r="RL85" s="970"/>
      <c r="RM85" s="970"/>
      <c r="RN85" s="970"/>
      <c r="RO85" s="970"/>
      <c r="RP85" s="970"/>
      <c r="RQ85" s="970"/>
      <c r="RR85" s="970"/>
      <c r="RS85" s="970"/>
      <c r="RT85" s="970"/>
      <c r="RU85" s="970"/>
      <c r="RV85" s="970"/>
      <c r="RW85" s="970"/>
      <c r="RX85" s="970"/>
      <c r="RY85" s="970"/>
      <c r="RZ85" s="970"/>
      <c r="SA85" s="970"/>
      <c r="SB85" s="970"/>
      <c r="SC85" s="970"/>
      <c r="SD85" s="970"/>
      <c r="SE85" s="970"/>
      <c r="SF85" s="970"/>
      <c r="SG85" s="970"/>
      <c r="SH85" s="970"/>
      <c r="SI85" s="970"/>
      <c r="SJ85" s="970"/>
      <c r="SK85" s="970"/>
      <c r="SL85" s="970"/>
      <c r="SM85" s="970"/>
      <c r="SN85" s="970"/>
      <c r="SO85" s="970"/>
      <c r="SP85" s="970"/>
      <c r="SQ85" s="970"/>
      <c r="SR85" s="970"/>
    </row>
    <row r="86" spans="1:512" ht="15" customHeight="1">
      <c r="A86"/>
      <c r="B86" t="s">
        <v>2723</v>
      </c>
      <c r="C86"/>
      <c r="D86"/>
      <c r="E86" t="s">
        <v>2722</v>
      </c>
      <c r="F86"/>
      <c r="G86" s="970">
        <v>250000</v>
      </c>
      <c r="H86" s="1012">
        <v>250000</v>
      </c>
      <c r="I86" s="970"/>
      <c r="J86" s="970"/>
      <c r="K86" s="970"/>
      <c r="L86" s="970"/>
      <c r="M86" s="970"/>
      <c r="N86" s="970"/>
      <c r="O86" s="970"/>
      <c r="P86" s="970"/>
      <c r="Q86" s="970"/>
      <c r="R86" s="970"/>
      <c r="S86" s="970"/>
      <c r="T86" s="970"/>
      <c r="U86" s="970"/>
      <c r="V86" s="970"/>
      <c r="W86" s="970"/>
      <c r="X86" s="970"/>
      <c r="Y86" s="970"/>
      <c r="Z86" s="970"/>
      <c r="AA86" s="970"/>
      <c r="AB86" s="970"/>
      <c r="AC86" s="970"/>
      <c r="AD86" s="970"/>
      <c r="AE86" s="970"/>
      <c r="AF86" s="970"/>
      <c r="AG86" s="970"/>
      <c r="AH86" s="970"/>
      <c r="AI86" s="970"/>
      <c r="AJ86" s="970"/>
      <c r="AK86" s="970"/>
      <c r="AL86" s="970"/>
      <c r="AM86" s="970"/>
      <c r="AN86" s="970"/>
      <c r="AO86" s="970"/>
      <c r="AP86" s="970"/>
      <c r="AQ86" s="970"/>
      <c r="AR86" s="970"/>
      <c r="AS86" s="970"/>
      <c r="AT86" s="970"/>
      <c r="AU86" s="970"/>
      <c r="AV86" s="970"/>
      <c r="AW86" s="970"/>
      <c r="AX86" s="970"/>
      <c r="AY86" s="970"/>
      <c r="AZ86" s="970"/>
      <c r="BA86" s="970"/>
      <c r="BB86" s="970"/>
      <c r="BC86" s="970"/>
      <c r="BD86" s="970"/>
      <c r="BE86" s="970"/>
      <c r="BF86" s="970"/>
      <c r="BG86" s="970"/>
      <c r="BH86" s="970"/>
      <c r="BI86" s="970"/>
      <c r="BJ86" s="970"/>
      <c r="BK86" s="970"/>
      <c r="BL86" s="970"/>
      <c r="BM86" s="970"/>
      <c r="BN86" s="970"/>
      <c r="BO86" s="970"/>
      <c r="BP86" s="970"/>
      <c r="BQ86" s="970"/>
      <c r="BR86" s="970"/>
      <c r="BS86" s="970"/>
      <c r="BT86" s="970"/>
      <c r="BU86" s="970"/>
      <c r="BV86" s="970"/>
      <c r="BW86" s="970"/>
      <c r="BX86" s="970"/>
      <c r="BY86" s="970"/>
      <c r="BZ86" s="970"/>
      <c r="CA86" s="970"/>
      <c r="CB86" s="970"/>
      <c r="CC86" s="970"/>
      <c r="CD86" s="970"/>
      <c r="CE86" s="970"/>
      <c r="CF86" s="970"/>
      <c r="CG86" s="970"/>
      <c r="CH86" s="970"/>
      <c r="CI86" s="970"/>
      <c r="CJ86" s="970"/>
      <c r="CK86" s="970"/>
      <c r="CL86" s="970"/>
      <c r="CM86" s="970"/>
      <c r="CN86" s="970"/>
      <c r="CO86" s="970"/>
      <c r="CP86" s="970"/>
      <c r="CQ86" s="970"/>
      <c r="CR86" s="970"/>
      <c r="CS86" s="970"/>
      <c r="CT86" s="970"/>
      <c r="CU86" s="970"/>
      <c r="CV86" s="970"/>
      <c r="CW86" s="970"/>
      <c r="CX86" s="970"/>
      <c r="CY86" s="970"/>
      <c r="CZ86" s="970"/>
      <c r="DA86" s="970"/>
      <c r="DB86" s="970"/>
      <c r="DC86" s="970"/>
      <c r="DD86" s="970"/>
      <c r="DE86" s="970"/>
      <c r="DF86" s="970"/>
      <c r="DG86" s="970"/>
      <c r="DH86" s="970"/>
      <c r="DI86" s="970"/>
      <c r="DJ86" s="970"/>
      <c r="DK86" s="970"/>
      <c r="DL86" s="970"/>
      <c r="DM86" s="970"/>
      <c r="DN86" s="970"/>
      <c r="DO86" s="970"/>
      <c r="DP86" s="970"/>
      <c r="DQ86" s="970"/>
      <c r="DR86" s="970"/>
      <c r="DS86" s="970"/>
      <c r="DT86" s="970"/>
      <c r="DU86" s="970"/>
      <c r="DV86" s="970"/>
      <c r="DW86" s="970"/>
      <c r="DX86" s="970"/>
      <c r="DY86" s="970"/>
      <c r="DZ86" s="970"/>
      <c r="EA86" s="970"/>
      <c r="EB86" s="970"/>
      <c r="EC86" s="970"/>
      <c r="ED86" s="970"/>
      <c r="EE86" s="970"/>
      <c r="EF86" s="970"/>
      <c r="EG86" s="970"/>
      <c r="EH86" s="970"/>
      <c r="EI86" s="970"/>
      <c r="EJ86" s="970"/>
      <c r="EK86" s="970"/>
      <c r="EL86" s="970"/>
      <c r="EM86" s="970"/>
      <c r="EN86" s="970"/>
      <c r="EO86" s="970"/>
      <c r="EP86" s="970"/>
      <c r="EQ86" s="970"/>
      <c r="ER86" s="970"/>
      <c r="ES86" s="970"/>
      <c r="ET86" s="970"/>
      <c r="EU86" s="970"/>
      <c r="EV86" s="970"/>
      <c r="EW86" s="970"/>
      <c r="EX86" s="970"/>
      <c r="EY86" s="970"/>
      <c r="EZ86" s="970"/>
      <c r="FA86" s="970"/>
      <c r="FB86" s="970"/>
      <c r="FC86" s="970"/>
      <c r="FD86" s="970"/>
      <c r="FE86" s="970"/>
      <c r="FF86" s="970"/>
      <c r="FG86" s="970"/>
      <c r="FH86" s="970"/>
      <c r="FI86" s="970"/>
      <c r="FJ86" s="970"/>
      <c r="FK86" s="970"/>
      <c r="FL86" s="970"/>
      <c r="FM86" s="970"/>
      <c r="FN86" s="970"/>
      <c r="FO86" s="970"/>
      <c r="FP86" s="970"/>
      <c r="FQ86" s="970"/>
      <c r="FR86" s="970"/>
      <c r="FS86" s="970"/>
      <c r="FT86" s="970"/>
      <c r="FU86" s="970"/>
      <c r="FV86" s="970"/>
      <c r="FW86" s="970"/>
      <c r="FX86" s="970"/>
      <c r="FY86" s="970"/>
      <c r="FZ86" s="970"/>
      <c r="GA86" s="970"/>
      <c r="GB86" s="970"/>
      <c r="GC86" s="970"/>
      <c r="GD86" s="970"/>
      <c r="GE86" s="970"/>
      <c r="GF86" s="970"/>
      <c r="GG86" s="970"/>
      <c r="GH86" s="970"/>
      <c r="GI86" s="970"/>
      <c r="GJ86" s="970"/>
      <c r="GK86" s="970"/>
      <c r="GL86" s="970"/>
      <c r="GM86" s="970"/>
      <c r="GN86" s="970"/>
      <c r="GO86" s="970"/>
      <c r="GP86" s="970"/>
      <c r="GQ86" s="970"/>
      <c r="GR86" s="970"/>
      <c r="GS86" s="970"/>
      <c r="GT86" s="970"/>
      <c r="GU86" s="970"/>
      <c r="GV86" s="970"/>
      <c r="GW86" s="970"/>
      <c r="GX86" s="970"/>
      <c r="GY86" s="970"/>
      <c r="GZ86" s="970"/>
      <c r="HA86" s="970"/>
      <c r="HB86" s="970"/>
      <c r="HC86" s="970"/>
      <c r="HD86" s="970"/>
      <c r="HE86" s="970"/>
      <c r="HF86" s="970"/>
      <c r="HG86" s="970"/>
      <c r="HH86" s="970"/>
      <c r="HI86" s="970"/>
      <c r="HJ86" s="970"/>
      <c r="HK86" s="970"/>
      <c r="HL86" s="970"/>
      <c r="HM86" s="970"/>
      <c r="HN86" s="970"/>
      <c r="HO86" s="970"/>
      <c r="HP86" s="970"/>
      <c r="HQ86" s="970"/>
      <c r="HR86" s="970"/>
      <c r="HS86" s="970"/>
      <c r="HT86" s="970"/>
      <c r="HU86" s="970"/>
      <c r="HV86" s="970"/>
      <c r="HW86" s="970"/>
      <c r="HX86" s="970"/>
      <c r="HY86" s="970"/>
      <c r="HZ86" s="970"/>
      <c r="IA86" s="970"/>
      <c r="IB86" s="970"/>
      <c r="IC86" s="970"/>
      <c r="ID86" s="970"/>
      <c r="IE86" s="970"/>
      <c r="IF86" s="970"/>
      <c r="IG86" s="970"/>
      <c r="IH86" s="970"/>
      <c r="II86" s="970"/>
      <c r="IJ86" s="970"/>
      <c r="IK86" s="970"/>
      <c r="IL86" s="970"/>
      <c r="IM86" s="970"/>
      <c r="IN86" s="970"/>
      <c r="IO86" s="970"/>
      <c r="IP86" s="970"/>
      <c r="IQ86" s="970"/>
      <c r="IR86" s="970"/>
      <c r="IS86" s="970"/>
      <c r="IT86" s="970"/>
      <c r="IU86" s="970"/>
      <c r="IV86" s="970"/>
      <c r="IW86" s="970"/>
      <c r="IX86" s="970"/>
      <c r="IY86" s="970"/>
      <c r="IZ86" s="970"/>
      <c r="JA86" s="970"/>
      <c r="JB86" s="970"/>
      <c r="JC86" s="970"/>
      <c r="JD86" s="970"/>
      <c r="JE86" s="970"/>
      <c r="JF86" s="970"/>
      <c r="JG86" s="970"/>
      <c r="JH86" s="970"/>
      <c r="JI86" s="970"/>
      <c r="JJ86" s="970"/>
      <c r="JK86" s="970"/>
      <c r="JL86" s="970"/>
      <c r="JM86" s="970"/>
      <c r="JN86" s="970"/>
      <c r="JO86" s="970"/>
      <c r="JP86" s="970"/>
      <c r="JQ86" s="970"/>
      <c r="JR86" s="970"/>
      <c r="JS86" s="970"/>
      <c r="JT86" s="970"/>
      <c r="JU86" s="970"/>
      <c r="JV86" s="970"/>
      <c r="JW86" s="970"/>
      <c r="JX86" s="970"/>
      <c r="JY86" s="970"/>
      <c r="JZ86" s="970"/>
      <c r="KA86" s="970"/>
      <c r="KB86" s="970"/>
      <c r="KC86" s="970"/>
      <c r="KD86" s="970"/>
      <c r="KE86" s="970"/>
      <c r="KF86" s="970"/>
      <c r="KG86" s="970"/>
      <c r="KH86" s="970"/>
      <c r="KI86" s="970"/>
      <c r="KJ86" s="970"/>
      <c r="KK86" s="970"/>
      <c r="KL86" s="970"/>
      <c r="KM86" s="970"/>
      <c r="KN86" s="970"/>
      <c r="KO86" s="970"/>
      <c r="KP86" s="970"/>
      <c r="KQ86" s="970"/>
      <c r="KR86" s="970"/>
      <c r="KS86" s="970"/>
      <c r="KT86" s="970"/>
      <c r="KU86" s="970"/>
      <c r="KV86" s="970"/>
      <c r="KW86" s="970"/>
      <c r="KX86" s="970"/>
      <c r="KY86" s="970"/>
      <c r="KZ86" s="970"/>
      <c r="LA86" s="970"/>
      <c r="LB86" s="970"/>
      <c r="LC86" s="970"/>
      <c r="LD86" s="970"/>
      <c r="LE86" s="970"/>
      <c r="LF86" s="970"/>
      <c r="LG86" s="970"/>
      <c r="LH86" s="970"/>
      <c r="LI86" s="970"/>
      <c r="LJ86" s="970"/>
      <c r="LK86" s="970"/>
      <c r="LL86" s="970"/>
      <c r="LM86" s="970"/>
      <c r="LN86" s="970"/>
      <c r="LO86" s="970"/>
      <c r="LP86" s="970"/>
      <c r="LQ86" s="970"/>
      <c r="LR86" s="970"/>
      <c r="LS86" s="970"/>
      <c r="LT86" s="970"/>
      <c r="LU86" s="970"/>
      <c r="LV86" s="970"/>
      <c r="LW86" s="970"/>
      <c r="LX86" s="970"/>
      <c r="LY86" s="970"/>
      <c r="LZ86" s="970"/>
      <c r="MA86" s="970"/>
      <c r="MB86" s="970"/>
      <c r="MC86" s="970"/>
      <c r="MD86" s="970"/>
      <c r="ME86" s="970"/>
      <c r="MF86" s="970"/>
      <c r="MG86" s="970"/>
      <c r="MH86" s="970"/>
      <c r="MI86" s="970"/>
      <c r="MJ86" s="970"/>
      <c r="MK86" s="970"/>
      <c r="ML86" s="970"/>
      <c r="MM86" s="970"/>
      <c r="MN86" s="970"/>
      <c r="MO86" s="970"/>
      <c r="MP86" s="970"/>
      <c r="MQ86" s="970"/>
      <c r="MR86" s="970"/>
      <c r="MS86" s="970"/>
      <c r="MT86" s="970"/>
      <c r="MU86" s="970"/>
      <c r="MV86" s="970"/>
      <c r="MW86" s="970"/>
      <c r="MX86" s="970"/>
      <c r="MY86" s="970"/>
      <c r="MZ86" s="970"/>
      <c r="NA86" s="970"/>
      <c r="NB86" s="970"/>
      <c r="NC86" s="970"/>
      <c r="ND86" s="970"/>
      <c r="NE86" s="970"/>
      <c r="NF86" s="970"/>
      <c r="NG86" s="970"/>
      <c r="NH86" s="970"/>
      <c r="NI86" s="970"/>
      <c r="NJ86" s="970"/>
      <c r="NK86" s="970"/>
      <c r="NL86" s="970"/>
      <c r="NM86" s="970"/>
      <c r="NN86" s="970"/>
      <c r="NO86" s="970"/>
      <c r="NP86" s="970"/>
      <c r="NQ86" s="970"/>
      <c r="NR86" s="970"/>
      <c r="NS86" s="970"/>
      <c r="NT86" s="970"/>
      <c r="NU86" s="970"/>
      <c r="NV86" s="970"/>
      <c r="NW86" s="970"/>
      <c r="NX86" s="970"/>
      <c r="NY86" s="970"/>
      <c r="NZ86" s="970"/>
      <c r="OA86" s="970"/>
      <c r="OB86" s="970"/>
      <c r="OC86" s="970"/>
      <c r="OD86" s="970"/>
      <c r="OE86" s="970"/>
      <c r="OF86" s="970"/>
      <c r="OG86" s="970"/>
      <c r="OH86" s="970"/>
      <c r="OI86" s="970"/>
      <c r="OJ86" s="970"/>
      <c r="OK86" s="970"/>
      <c r="OL86" s="970"/>
      <c r="OM86" s="970"/>
      <c r="ON86" s="970"/>
      <c r="OO86" s="970"/>
      <c r="OP86" s="970"/>
      <c r="OQ86" s="970"/>
      <c r="OR86" s="970"/>
      <c r="OS86" s="970"/>
      <c r="OT86" s="970"/>
      <c r="OU86" s="970"/>
      <c r="OV86" s="970"/>
      <c r="OW86" s="970"/>
      <c r="OX86" s="970"/>
      <c r="OY86" s="970"/>
      <c r="OZ86" s="970"/>
      <c r="PA86" s="970"/>
      <c r="PB86" s="970"/>
      <c r="PC86" s="970"/>
      <c r="PD86" s="970"/>
      <c r="PE86" s="970"/>
      <c r="PF86" s="970"/>
      <c r="PG86" s="970"/>
      <c r="PH86" s="970"/>
      <c r="PI86" s="970"/>
      <c r="PJ86" s="970"/>
      <c r="PK86" s="970"/>
      <c r="PL86" s="970"/>
      <c r="PM86" s="970"/>
      <c r="PN86" s="970"/>
      <c r="PO86" s="970"/>
      <c r="PP86" s="970"/>
      <c r="PQ86" s="970"/>
      <c r="PR86" s="970"/>
      <c r="PS86" s="970"/>
      <c r="PT86" s="970"/>
      <c r="PU86" s="970"/>
      <c r="PV86" s="970"/>
      <c r="PW86" s="970"/>
      <c r="PX86" s="970"/>
      <c r="PY86" s="970"/>
      <c r="PZ86" s="970"/>
      <c r="QA86" s="970"/>
      <c r="QB86" s="970"/>
      <c r="QC86" s="970"/>
      <c r="QD86" s="970"/>
      <c r="QE86" s="970"/>
      <c r="QF86" s="970"/>
      <c r="QG86" s="970"/>
      <c r="QH86" s="970"/>
      <c r="QI86" s="970"/>
      <c r="QJ86" s="970"/>
      <c r="QK86" s="970"/>
      <c r="QL86" s="970"/>
      <c r="QM86" s="970"/>
      <c r="QN86" s="970"/>
      <c r="QO86" s="970"/>
      <c r="QP86" s="970"/>
      <c r="QQ86" s="970"/>
      <c r="QR86" s="970"/>
      <c r="QS86" s="970"/>
      <c r="QT86" s="970"/>
      <c r="QU86" s="970"/>
      <c r="QV86" s="970"/>
      <c r="QW86" s="970"/>
      <c r="QX86" s="970"/>
      <c r="QY86" s="970"/>
      <c r="QZ86" s="970"/>
      <c r="RA86" s="970"/>
      <c r="RB86" s="970"/>
      <c r="RC86" s="970"/>
      <c r="RD86" s="970"/>
      <c r="RE86" s="970"/>
      <c r="RF86" s="970"/>
      <c r="RG86" s="970"/>
      <c r="RH86" s="970"/>
      <c r="RI86" s="970"/>
      <c r="RJ86" s="970"/>
      <c r="RK86" s="970"/>
      <c r="RL86" s="970"/>
      <c r="RM86" s="970"/>
      <c r="RN86" s="970"/>
      <c r="RO86" s="970"/>
      <c r="RP86" s="970"/>
      <c r="RQ86" s="970"/>
      <c r="RR86" s="970"/>
      <c r="RS86" s="970"/>
      <c r="RT86" s="970"/>
      <c r="RU86" s="970"/>
      <c r="RV86" s="970"/>
      <c r="RW86" s="970"/>
      <c r="RX86" s="970"/>
      <c r="RY86" s="970"/>
      <c r="RZ86" s="970"/>
      <c r="SA86" s="970"/>
      <c r="SB86" s="970"/>
      <c r="SC86" s="970"/>
      <c r="SD86" s="970"/>
      <c r="SE86" s="970"/>
      <c r="SF86" s="970"/>
      <c r="SG86" s="970"/>
      <c r="SH86" s="970"/>
      <c r="SI86" s="970"/>
      <c r="SJ86" s="970"/>
      <c r="SK86" s="970"/>
      <c r="SL86" s="970"/>
      <c r="SM86" s="970"/>
      <c r="SN86" s="970"/>
      <c r="SO86" s="970"/>
      <c r="SP86" s="970"/>
      <c r="SQ86" s="970"/>
      <c r="SR86" s="970"/>
    </row>
    <row r="87" spans="1:512" ht="15" customHeight="1">
      <c r="A87"/>
      <c r="B87"/>
      <c r="C87"/>
      <c r="D87"/>
      <c r="E87"/>
      <c r="F87"/>
      <c r="G87" s="983"/>
      <c r="H87" s="983"/>
      <c r="I87" s="983"/>
      <c r="J87" s="983"/>
      <c r="K87" s="983"/>
      <c r="L87" s="983"/>
      <c r="M87" s="983"/>
      <c r="N87" s="983"/>
      <c r="O87" s="983"/>
      <c r="P87" s="983"/>
      <c r="Q87" s="983"/>
      <c r="R87" s="983"/>
      <c r="S87" s="983"/>
      <c r="T87" s="983"/>
      <c r="U87" s="983"/>
      <c r="V87" s="983"/>
      <c r="W87" s="981"/>
      <c r="X87" s="981"/>
      <c r="Y87" s="981"/>
      <c r="Z87" s="981"/>
      <c r="AA87" s="981"/>
      <c r="AB87" s="981"/>
      <c r="AC87" s="981"/>
      <c r="AD87" s="981"/>
      <c r="AE87" s="981"/>
      <c r="AF87" s="981"/>
      <c r="AG87" s="981"/>
      <c r="AH87" s="981"/>
      <c r="AI87" s="981"/>
      <c r="AJ87" s="981"/>
      <c r="AK87" s="981"/>
      <c r="AL87" s="981"/>
      <c r="AM87" s="981"/>
      <c r="AN87" s="981"/>
      <c r="AO87" s="981"/>
      <c r="AP87" s="981"/>
      <c r="AQ87" s="981"/>
      <c r="AR87" s="981"/>
      <c r="AS87" s="981"/>
      <c r="AT87" s="981"/>
      <c r="AU87" s="981"/>
      <c r="AV87" s="981"/>
      <c r="AW87" s="981"/>
      <c r="AX87" s="981"/>
      <c r="AY87" s="981"/>
      <c r="AZ87" s="981"/>
      <c r="BA87" s="981"/>
      <c r="BB87" s="981"/>
      <c r="BC87" s="981"/>
      <c r="BD87" s="981"/>
      <c r="BE87" s="981"/>
      <c r="BF87" s="971"/>
      <c r="BG87" s="971"/>
      <c r="BH87" s="971"/>
      <c r="BI87" s="971"/>
      <c r="BJ87" s="971"/>
      <c r="BK87" s="971"/>
      <c r="BL87" s="971"/>
      <c r="BM87" s="971"/>
      <c r="BN87" s="971"/>
      <c r="BO87" s="971"/>
      <c r="BP87" s="971"/>
      <c r="BQ87" s="971"/>
      <c r="BR87" s="971"/>
      <c r="BS87" s="971"/>
      <c r="BT87" s="971"/>
      <c r="BU87" s="971"/>
      <c r="BV87" s="971"/>
      <c r="BW87" s="971"/>
      <c r="BX87" s="971"/>
      <c r="BY87" s="971"/>
      <c r="BZ87" s="971"/>
      <c r="CA87" s="971"/>
      <c r="CB87" s="971"/>
      <c r="CC87" s="971"/>
      <c r="CD87" s="971"/>
      <c r="CE87" s="971"/>
      <c r="CF87" s="971"/>
      <c r="CG87" s="971"/>
      <c r="CH87" s="971"/>
      <c r="CI87" s="971"/>
      <c r="CJ87" s="971"/>
      <c r="CK87" s="971"/>
      <c r="CL87" s="971"/>
      <c r="CM87" s="971"/>
      <c r="CN87" s="971"/>
      <c r="CO87" s="971"/>
      <c r="CP87" s="971"/>
      <c r="CQ87" s="971"/>
      <c r="CR87" s="971"/>
      <c r="CS87" s="971"/>
      <c r="CT87" s="971"/>
      <c r="CU87" s="971"/>
      <c r="CV87" s="971"/>
      <c r="CW87" s="971"/>
      <c r="CX87" s="971"/>
      <c r="CY87" s="971"/>
      <c r="CZ87" s="971"/>
      <c r="DA87" s="971"/>
      <c r="DB87" s="971"/>
      <c r="DC87" s="971"/>
      <c r="DD87" s="971"/>
      <c r="DE87" s="971"/>
      <c r="DF87" s="971"/>
      <c r="DG87" s="971"/>
      <c r="DH87" s="971"/>
      <c r="DI87" s="971"/>
      <c r="DJ87" s="971"/>
      <c r="DK87" s="971"/>
      <c r="DL87" s="971"/>
      <c r="DM87" s="971"/>
      <c r="DN87" s="971"/>
      <c r="DO87" s="971"/>
      <c r="DP87" s="971"/>
      <c r="DQ87" s="971"/>
      <c r="DR87" s="971"/>
      <c r="DS87" s="971"/>
      <c r="DT87" s="971"/>
      <c r="DU87" s="971"/>
      <c r="DV87" s="971"/>
      <c r="DW87" s="971"/>
      <c r="DX87" s="971"/>
      <c r="DY87" s="971"/>
      <c r="DZ87" s="971"/>
      <c r="EA87" s="971"/>
      <c r="EB87" s="971"/>
      <c r="EC87" s="971"/>
      <c r="ED87" s="971"/>
      <c r="EE87" s="971"/>
      <c r="EF87" s="971"/>
      <c r="EG87" s="971"/>
      <c r="EH87" s="971"/>
      <c r="EI87" s="971"/>
      <c r="EJ87" s="971"/>
      <c r="EK87" s="971"/>
      <c r="EL87" s="971"/>
      <c r="EM87" s="971"/>
      <c r="EN87" s="971"/>
      <c r="EO87" s="971"/>
      <c r="EP87" s="971"/>
      <c r="EQ87" s="971"/>
      <c r="ER87" s="971"/>
      <c r="ES87" s="971"/>
      <c r="ET87" s="971"/>
      <c r="EU87" s="971"/>
      <c r="EV87" s="971"/>
      <c r="EW87" s="971"/>
      <c r="EX87" s="971"/>
      <c r="EY87" s="971"/>
      <c r="EZ87" s="971"/>
      <c r="FA87" s="971"/>
      <c r="FB87" s="971"/>
      <c r="FC87" s="971"/>
      <c r="FD87" s="971"/>
      <c r="FE87" s="971"/>
      <c r="FF87" s="971"/>
      <c r="FG87" s="971"/>
      <c r="FH87" s="971"/>
      <c r="FI87" s="971"/>
      <c r="FJ87" s="971"/>
      <c r="FK87" s="971"/>
      <c r="FL87" s="971"/>
      <c r="FM87" s="971"/>
      <c r="FN87" s="971"/>
      <c r="FO87" s="971"/>
      <c r="FP87" s="971"/>
      <c r="FQ87" s="971"/>
      <c r="FR87" s="971"/>
      <c r="FS87" s="971"/>
      <c r="FT87" s="971"/>
      <c r="FU87" s="971"/>
      <c r="FV87" s="971"/>
      <c r="FW87" s="971"/>
      <c r="FX87" s="971"/>
      <c r="FY87" s="971"/>
      <c r="FZ87" s="971"/>
      <c r="GA87" s="971"/>
      <c r="GB87" s="971"/>
      <c r="GC87" s="971"/>
      <c r="GD87" s="971"/>
      <c r="GE87" s="971"/>
      <c r="GF87" s="971"/>
      <c r="GG87" s="971"/>
      <c r="GH87" s="971"/>
      <c r="GI87" s="971"/>
      <c r="GJ87" s="971"/>
      <c r="GK87" s="971"/>
      <c r="GL87" s="971"/>
      <c r="GM87" s="971"/>
      <c r="GN87" s="971"/>
      <c r="GO87" s="971"/>
      <c r="GP87" s="971"/>
      <c r="GQ87" s="971"/>
      <c r="GR87" s="971"/>
      <c r="GS87" s="971"/>
      <c r="GT87" s="971"/>
      <c r="GU87" s="971"/>
      <c r="GV87" s="971"/>
      <c r="GW87" s="971"/>
      <c r="GX87" s="971"/>
      <c r="GY87" s="971"/>
      <c r="GZ87" s="971"/>
      <c r="HA87" s="971"/>
      <c r="HB87" s="971"/>
      <c r="HC87" s="971"/>
      <c r="HD87" s="971"/>
      <c r="HE87" s="971"/>
      <c r="HF87" s="971"/>
      <c r="HG87" s="971"/>
      <c r="HH87" s="971"/>
      <c r="HI87" s="971"/>
      <c r="HJ87" s="971"/>
      <c r="HK87" s="971"/>
      <c r="HL87" s="971"/>
      <c r="HM87" s="971"/>
      <c r="HN87" s="971"/>
      <c r="HO87" s="971"/>
      <c r="HP87" s="971"/>
      <c r="HQ87" s="971"/>
      <c r="HR87" s="971"/>
      <c r="HS87" s="971"/>
      <c r="HT87" s="971"/>
      <c r="HU87" s="971"/>
      <c r="HV87" s="971"/>
      <c r="HW87" s="971"/>
      <c r="HX87" s="971"/>
      <c r="HY87" s="971"/>
      <c r="HZ87" s="971"/>
      <c r="IA87" s="971"/>
      <c r="IB87" s="971"/>
      <c r="IC87" s="971"/>
      <c r="ID87" s="971"/>
      <c r="IE87" s="971"/>
      <c r="IF87" s="971"/>
      <c r="IG87" s="971"/>
      <c r="IH87" s="971"/>
      <c r="II87" s="971"/>
      <c r="IJ87" s="971"/>
      <c r="IK87" s="971"/>
      <c r="IL87" s="971"/>
      <c r="IM87" s="971"/>
      <c r="IN87" s="971"/>
      <c r="IO87" s="971"/>
      <c r="IP87" s="971"/>
      <c r="IQ87" s="971"/>
      <c r="IR87" s="971"/>
      <c r="IS87" s="971"/>
      <c r="IT87" s="971"/>
      <c r="IU87" s="971"/>
      <c r="IV87" s="971"/>
      <c r="IW87" s="971"/>
      <c r="IX87" s="971"/>
      <c r="IY87" s="971"/>
      <c r="IZ87" s="971"/>
      <c r="JA87" s="971"/>
      <c r="JB87" s="971"/>
      <c r="JC87" s="971"/>
      <c r="JD87" s="971"/>
      <c r="JE87" s="971"/>
      <c r="JF87" s="971"/>
      <c r="JG87" s="971"/>
      <c r="JH87" s="971"/>
      <c r="JI87" s="971"/>
      <c r="JJ87" s="971"/>
      <c r="JK87" s="971"/>
      <c r="JL87" s="971"/>
      <c r="JM87" s="971"/>
      <c r="JN87" s="971"/>
      <c r="JO87" s="971"/>
      <c r="JP87" s="971"/>
      <c r="JQ87" s="971"/>
      <c r="JR87" s="971"/>
      <c r="JS87" s="971"/>
      <c r="JT87" s="971"/>
      <c r="JU87" s="971"/>
      <c r="JV87" s="971"/>
      <c r="JW87" s="971"/>
      <c r="JX87" s="971"/>
      <c r="JY87" s="971"/>
      <c r="JZ87" s="971"/>
      <c r="KA87" s="971"/>
      <c r="KB87" s="971"/>
      <c r="KC87" s="971"/>
      <c r="KD87" s="971"/>
      <c r="KE87" s="971"/>
      <c r="KF87" s="971"/>
      <c r="KG87" s="971"/>
      <c r="KH87" s="971"/>
      <c r="KI87" s="971"/>
      <c r="KJ87" s="971"/>
      <c r="KK87" s="971"/>
      <c r="KL87" s="971"/>
      <c r="KM87" s="971"/>
      <c r="KN87" s="971"/>
      <c r="KO87" s="971"/>
      <c r="KP87" s="971"/>
      <c r="KQ87" s="971"/>
      <c r="KR87" s="971"/>
      <c r="KS87" s="971"/>
      <c r="KT87" s="971"/>
      <c r="KU87" s="971"/>
      <c r="KV87" s="971"/>
      <c r="KW87" s="971"/>
      <c r="KX87" s="971"/>
      <c r="KY87" s="971"/>
      <c r="KZ87" s="971"/>
      <c r="LA87" s="971"/>
      <c r="LB87" s="971"/>
      <c r="LC87" s="971"/>
      <c r="LD87" s="971"/>
      <c r="LE87" s="971"/>
      <c r="LF87" s="971"/>
      <c r="LG87" s="971"/>
      <c r="LH87" s="971"/>
      <c r="LI87" s="971"/>
      <c r="LJ87" s="971"/>
      <c r="LK87" s="971"/>
      <c r="LL87" s="971"/>
      <c r="LM87" s="971"/>
      <c r="LN87" s="971"/>
      <c r="LO87" s="971"/>
      <c r="LP87" s="971"/>
      <c r="LQ87" s="971"/>
      <c r="LR87" s="971"/>
      <c r="LS87" s="971"/>
      <c r="LT87" s="971"/>
      <c r="LU87" s="971"/>
      <c r="LV87" s="971"/>
      <c r="LW87" s="971"/>
      <c r="LX87" s="971"/>
      <c r="LY87" s="971"/>
      <c r="LZ87" s="971"/>
      <c r="MA87" s="971"/>
      <c r="MB87" s="971"/>
      <c r="MC87" s="971"/>
      <c r="MD87" s="971"/>
      <c r="ME87" s="971"/>
      <c r="MF87" s="971"/>
      <c r="MG87" s="971"/>
      <c r="MH87" s="971"/>
      <c r="MI87" s="971"/>
      <c r="MJ87" s="971"/>
      <c r="MK87" s="971"/>
      <c r="ML87" s="971"/>
      <c r="MM87" s="971"/>
      <c r="MN87" s="971"/>
      <c r="MO87" s="971"/>
      <c r="MP87" s="971"/>
      <c r="MQ87" s="971"/>
      <c r="MR87" s="971"/>
      <c r="MS87" s="971"/>
      <c r="MT87" s="971"/>
      <c r="MU87" s="971"/>
      <c r="MV87" s="971"/>
      <c r="MW87" s="971"/>
      <c r="MX87" s="971"/>
      <c r="MY87" s="971"/>
      <c r="MZ87" s="971"/>
      <c r="NA87" s="971"/>
      <c r="NB87" s="971"/>
      <c r="NC87" s="971"/>
      <c r="ND87" s="971"/>
      <c r="NE87" s="971"/>
      <c r="NF87" s="971"/>
      <c r="NG87" s="971"/>
      <c r="NH87" s="971"/>
      <c r="NI87" s="971"/>
      <c r="NJ87" s="971"/>
      <c r="NK87" s="971"/>
      <c r="NL87" s="971"/>
      <c r="NM87" s="971"/>
      <c r="NN87" s="971"/>
      <c r="NO87" s="971"/>
      <c r="NP87" s="971"/>
      <c r="NQ87" s="971"/>
      <c r="NR87" s="971"/>
      <c r="NS87" s="971"/>
      <c r="NT87" s="971"/>
      <c r="NU87" s="971"/>
      <c r="NV87" s="971"/>
      <c r="NW87" s="971"/>
      <c r="NX87" s="971"/>
      <c r="NY87" s="971"/>
      <c r="NZ87" s="971"/>
      <c r="OA87" s="971"/>
      <c r="OB87" s="971"/>
      <c r="OC87" s="971"/>
      <c r="OD87" s="971"/>
      <c r="OE87" s="971"/>
      <c r="OF87" s="971"/>
      <c r="OG87" s="971"/>
      <c r="OH87" s="971"/>
      <c r="OI87" s="971"/>
      <c r="OJ87" s="971"/>
      <c r="OK87" s="971"/>
      <c r="OL87" s="971"/>
      <c r="OM87" s="971"/>
      <c r="ON87" s="971"/>
      <c r="OO87" s="971"/>
      <c r="OP87" s="971"/>
      <c r="OQ87" s="971"/>
      <c r="OR87" s="971"/>
      <c r="OS87" s="971"/>
      <c r="OT87" s="971"/>
      <c r="OU87" s="971"/>
      <c r="OV87" s="971"/>
      <c r="OW87" s="971"/>
      <c r="OX87" s="971"/>
      <c r="OY87" s="971"/>
      <c r="OZ87" s="971"/>
      <c r="PA87" s="971"/>
      <c r="PB87" s="971"/>
      <c r="PC87" s="971"/>
      <c r="PD87" s="971"/>
      <c r="PE87" s="971"/>
      <c r="PF87" s="971"/>
      <c r="PG87" s="971"/>
      <c r="PH87" s="971"/>
      <c r="PI87" s="971"/>
      <c r="PJ87" s="971"/>
      <c r="PK87" s="971"/>
      <c r="PL87" s="971"/>
      <c r="PM87" s="971"/>
      <c r="PN87" s="971"/>
      <c r="PO87" s="971"/>
      <c r="PP87" s="971"/>
      <c r="PQ87" s="971"/>
      <c r="PR87" s="971"/>
      <c r="PS87" s="971"/>
      <c r="PT87" s="971"/>
      <c r="PU87" s="971"/>
      <c r="PV87" s="971"/>
      <c r="PW87" s="971"/>
      <c r="PX87" s="971"/>
      <c r="PY87" s="971"/>
      <c r="PZ87" s="971"/>
      <c r="QA87" s="971"/>
      <c r="QB87" s="971"/>
      <c r="QC87" s="971"/>
      <c r="QD87" s="971"/>
      <c r="QE87" s="971"/>
      <c r="QF87" s="971"/>
      <c r="QG87" s="971"/>
      <c r="QH87" s="971"/>
      <c r="QI87" s="971"/>
      <c r="QJ87" s="971"/>
      <c r="QK87" s="971"/>
      <c r="QL87" s="971"/>
      <c r="QM87" s="971"/>
      <c r="QN87" s="971"/>
      <c r="QO87" s="971"/>
      <c r="QP87" s="971"/>
      <c r="QQ87" s="971"/>
      <c r="QR87" s="971"/>
      <c r="QS87" s="971"/>
      <c r="QT87" s="971"/>
      <c r="QU87" s="971"/>
      <c r="QV87" s="971"/>
      <c r="QW87" s="971"/>
      <c r="QX87" s="971"/>
      <c r="QY87" s="971"/>
      <c r="QZ87" s="971"/>
      <c r="RA87" s="971"/>
      <c r="RB87" s="971"/>
      <c r="RC87" s="971"/>
      <c r="RD87" s="971"/>
      <c r="RE87" s="971"/>
      <c r="RF87" s="971"/>
      <c r="RG87" s="971"/>
      <c r="RH87" s="971"/>
      <c r="RI87" s="971"/>
      <c r="RJ87" s="971"/>
      <c r="RK87" s="971"/>
      <c r="RL87" s="971"/>
      <c r="RM87" s="971"/>
      <c r="RN87" s="971"/>
      <c r="RO87" s="971"/>
      <c r="RP87" s="971"/>
      <c r="RQ87" s="971"/>
      <c r="RR87" s="971"/>
      <c r="RS87" s="971"/>
      <c r="RT87" s="971"/>
      <c r="RU87" s="971"/>
      <c r="RV87" s="971"/>
      <c r="RW87" s="971"/>
      <c r="RX87" s="971"/>
      <c r="RY87" s="971"/>
      <c r="RZ87" s="971"/>
      <c r="SA87" s="971"/>
      <c r="SB87" s="971"/>
      <c r="SC87" s="971"/>
      <c r="SD87" s="971"/>
      <c r="SE87" s="971"/>
      <c r="SF87" s="971"/>
      <c r="SG87" s="971"/>
      <c r="SH87" s="971"/>
      <c r="SI87" s="971"/>
      <c r="SJ87" s="971"/>
      <c r="SK87" s="971"/>
      <c r="SL87" s="971"/>
      <c r="SM87" s="971"/>
      <c r="SN87" s="971"/>
      <c r="SO87" s="971"/>
      <c r="SP87" s="971"/>
      <c r="SQ87" s="971"/>
      <c r="SR87" s="971"/>
    </row>
    <row r="88" spans="1:512" ht="15" customHeight="1">
      <c r="A88" t="s">
        <v>2721</v>
      </c>
      <c r="B88"/>
      <c r="C88"/>
      <c r="D88"/>
      <c r="E88" t="s">
        <v>3848</v>
      </c>
      <c r="F88"/>
      <c r="G88" s="970">
        <v>0.5</v>
      </c>
      <c r="H88" s="1012">
        <v>0.5</v>
      </c>
      <c r="I88" s="970"/>
      <c r="J88" s="970"/>
      <c r="K88" s="970"/>
      <c r="L88" s="970"/>
      <c r="M88" s="970"/>
      <c r="N88" s="970"/>
      <c r="O88" s="970"/>
      <c r="P88" s="970"/>
      <c r="Q88" s="970"/>
      <c r="R88" s="970"/>
      <c r="S88" s="970"/>
      <c r="T88" s="970"/>
      <c r="U88" s="970"/>
      <c r="V88" s="970"/>
      <c r="W88" s="970"/>
      <c r="X88" s="970"/>
      <c r="Y88" s="970"/>
      <c r="Z88" s="970"/>
      <c r="AA88" s="970"/>
      <c r="AB88" s="970"/>
      <c r="AC88" s="970"/>
      <c r="AD88" s="970"/>
      <c r="AE88" s="970"/>
      <c r="AF88" s="970"/>
      <c r="AG88" s="970"/>
      <c r="AH88" s="970"/>
      <c r="AI88" s="970"/>
      <c r="AJ88" s="970"/>
      <c r="AK88" s="970"/>
      <c r="AL88" s="970"/>
      <c r="AM88" s="970"/>
      <c r="AN88" s="970"/>
      <c r="AO88" s="970"/>
      <c r="AP88" s="970"/>
      <c r="AQ88" s="970"/>
      <c r="AR88" s="970"/>
      <c r="AS88" s="970"/>
      <c r="AT88" s="970"/>
      <c r="AU88" s="970"/>
      <c r="AV88" s="970"/>
      <c r="AW88" s="970"/>
      <c r="AX88" s="970"/>
      <c r="AY88" s="970"/>
      <c r="AZ88" s="970"/>
      <c r="BA88" s="970"/>
      <c r="BB88" s="970"/>
      <c r="BC88" s="970"/>
      <c r="BD88" s="970"/>
      <c r="BE88" s="970"/>
      <c r="BF88" s="970"/>
      <c r="BG88" s="970"/>
      <c r="BH88" s="970"/>
      <c r="BI88" s="970"/>
      <c r="BJ88" s="970"/>
      <c r="BK88" s="970"/>
      <c r="BL88" s="970"/>
      <c r="BM88" s="970"/>
      <c r="BN88" s="970"/>
      <c r="BO88" s="970"/>
      <c r="BP88" s="970"/>
      <c r="BQ88" s="970"/>
      <c r="BR88" s="970"/>
      <c r="BS88" s="970"/>
      <c r="BT88" s="970"/>
      <c r="BU88" s="970"/>
      <c r="BV88" s="970"/>
      <c r="BW88" s="970"/>
      <c r="BX88" s="970"/>
      <c r="BY88" s="970"/>
      <c r="BZ88" s="970"/>
      <c r="CA88" s="970"/>
      <c r="CB88" s="970"/>
      <c r="CC88" s="970"/>
      <c r="CD88" s="970"/>
      <c r="CE88" s="970"/>
      <c r="CF88" s="970"/>
      <c r="CG88" s="970"/>
      <c r="CH88" s="970"/>
      <c r="CI88" s="970"/>
      <c r="CJ88" s="970"/>
      <c r="CK88" s="970"/>
      <c r="CL88" s="970"/>
      <c r="CM88" s="970"/>
      <c r="CN88" s="970"/>
      <c r="CO88" s="970"/>
      <c r="CP88" s="970"/>
      <c r="CQ88" s="970"/>
      <c r="CR88" s="970"/>
      <c r="CS88" s="970"/>
      <c r="CT88" s="970"/>
      <c r="CU88" s="970"/>
      <c r="CV88" s="970"/>
      <c r="CW88" s="970"/>
      <c r="CX88" s="970"/>
      <c r="CY88" s="970"/>
      <c r="CZ88" s="970"/>
      <c r="DA88" s="970"/>
      <c r="DB88" s="970"/>
      <c r="DC88" s="970"/>
      <c r="DD88" s="970"/>
      <c r="DE88" s="970"/>
      <c r="DF88" s="970"/>
      <c r="DG88" s="970"/>
      <c r="DH88" s="970"/>
      <c r="DI88" s="970"/>
      <c r="DJ88" s="970"/>
      <c r="DK88" s="970"/>
      <c r="DL88" s="970"/>
      <c r="DM88" s="970"/>
      <c r="DN88" s="970"/>
      <c r="DO88" s="970"/>
      <c r="DP88" s="970"/>
      <c r="DQ88" s="970"/>
      <c r="DR88" s="970"/>
      <c r="DS88" s="970"/>
      <c r="DT88" s="970"/>
      <c r="DU88" s="970"/>
      <c r="DV88" s="970"/>
      <c r="DW88" s="970"/>
      <c r="DX88" s="970"/>
      <c r="DY88" s="970"/>
      <c r="DZ88" s="970"/>
      <c r="EA88" s="970"/>
      <c r="EB88" s="970"/>
      <c r="EC88" s="970"/>
      <c r="ED88" s="970"/>
      <c r="EE88" s="970"/>
      <c r="EF88" s="970"/>
      <c r="EG88" s="970"/>
      <c r="EH88" s="970"/>
      <c r="EI88" s="970"/>
      <c r="EJ88" s="970"/>
      <c r="EK88" s="970"/>
      <c r="EL88" s="970"/>
      <c r="EM88" s="970"/>
      <c r="EN88" s="970"/>
      <c r="EO88" s="970"/>
      <c r="EP88" s="970"/>
      <c r="EQ88" s="970"/>
      <c r="ER88" s="970"/>
      <c r="ES88" s="970"/>
      <c r="ET88" s="970"/>
      <c r="EU88" s="970"/>
      <c r="EV88" s="970"/>
      <c r="EW88" s="970"/>
      <c r="EX88" s="970"/>
      <c r="EY88" s="970"/>
      <c r="EZ88" s="970"/>
      <c r="FA88" s="970"/>
      <c r="FB88" s="970"/>
      <c r="FC88" s="970"/>
      <c r="FD88" s="970"/>
      <c r="FE88" s="970"/>
      <c r="FF88" s="970"/>
      <c r="FG88" s="970"/>
      <c r="FH88" s="970"/>
      <c r="FI88" s="970"/>
      <c r="FJ88" s="970"/>
      <c r="FK88" s="970"/>
      <c r="FL88" s="970"/>
      <c r="FM88" s="970"/>
      <c r="FN88" s="970"/>
      <c r="FO88" s="970"/>
      <c r="FP88" s="970"/>
      <c r="FQ88" s="970"/>
      <c r="FR88" s="970"/>
      <c r="FS88" s="970"/>
      <c r="FT88" s="970"/>
      <c r="FU88" s="970"/>
      <c r="FV88" s="970"/>
      <c r="FW88" s="970"/>
      <c r="FX88" s="970"/>
      <c r="FY88" s="970"/>
      <c r="FZ88" s="970"/>
      <c r="GA88" s="970"/>
      <c r="GB88" s="970"/>
      <c r="GC88" s="970"/>
      <c r="GD88" s="970"/>
      <c r="GE88" s="970"/>
      <c r="GF88" s="970"/>
      <c r="GG88" s="970"/>
      <c r="GH88" s="970"/>
      <c r="GI88" s="970"/>
      <c r="GJ88" s="970"/>
      <c r="GK88" s="970"/>
      <c r="GL88" s="970"/>
      <c r="GM88" s="970"/>
      <c r="GN88" s="970"/>
      <c r="GO88" s="970"/>
      <c r="GP88" s="970"/>
      <c r="GQ88" s="970"/>
      <c r="GR88" s="970"/>
      <c r="GS88" s="970"/>
      <c r="GT88" s="970"/>
      <c r="GU88" s="970"/>
      <c r="GV88" s="970"/>
      <c r="GW88" s="970"/>
      <c r="GX88" s="970"/>
      <c r="GY88" s="970"/>
      <c r="GZ88" s="970"/>
      <c r="HA88" s="970"/>
      <c r="HB88" s="970"/>
      <c r="HC88" s="970"/>
      <c r="HD88" s="970"/>
      <c r="HE88" s="970"/>
      <c r="HF88" s="970"/>
      <c r="HG88" s="970"/>
      <c r="HH88" s="970"/>
      <c r="HI88" s="970"/>
      <c r="HJ88" s="970"/>
      <c r="HK88" s="970"/>
      <c r="HL88" s="970"/>
      <c r="HM88" s="970"/>
      <c r="HN88" s="970"/>
      <c r="HO88" s="970"/>
      <c r="HP88" s="970"/>
      <c r="HQ88" s="970"/>
      <c r="HR88" s="970"/>
      <c r="HS88" s="970"/>
      <c r="HT88" s="970"/>
      <c r="HU88" s="970"/>
      <c r="HV88" s="970"/>
      <c r="HW88" s="970"/>
      <c r="HX88" s="970"/>
      <c r="HY88" s="970"/>
      <c r="HZ88" s="970"/>
      <c r="IA88" s="970"/>
      <c r="IB88" s="970"/>
      <c r="IC88" s="970"/>
      <c r="ID88" s="970"/>
      <c r="IE88" s="970"/>
      <c r="IF88" s="970"/>
      <c r="IG88" s="970"/>
      <c r="IH88" s="970"/>
      <c r="II88" s="970"/>
      <c r="IJ88" s="970"/>
      <c r="IK88" s="970"/>
      <c r="IL88" s="970"/>
      <c r="IM88" s="970"/>
      <c r="IN88" s="970"/>
      <c r="IO88" s="970"/>
      <c r="IP88" s="970"/>
      <c r="IQ88" s="970"/>
      <c r="IR88" s="970"/>
      <c r="IS88" s="970"/>
      <c r="IT88" s="970"/>
      <c r="IU88" s="970"/>
      <c r="IV88" s="970"/>
      <c r="IW88" s="970"/>
      <c r="IX88" s="970"/>
      <c r="IY88" s="970"/>
      <c r="IZ88" s="970"/>
      <c r="JA88" s="970"/>
      <c r="JB88" s="970"/>
      <c r="JC88" s="970"/>
      <c r="JD88" s="970"/>
      <c r="JE88" s="970"/>
      <c r="JF88" s="970"/>
      <c r="JG88" s="970"/>
      <c r="JH88" s="970"/>
      <c r="JI88" s="970"/>
      <c r="JJ88" s="970"/>
      <c r="JK88" s="970"/>
      <c r="JL88" s="970"/>
      <c r="JM88" s="970"/>
      <c r="JN88" s="970"/>
      <c r="JO88" s="970"/>
      <c r="JP88" s="970"/>
      <c r="JQ88" s="970"/>
      <c r="JR88" s="970"/>
      <c r="JS88" s="970"/>
      <c r="JT88" s="970"/>
      <c r="JU88" s="970"/>
      <c r="JV88" s="970"/>
      <c r="JW88" s="970"/>
      <c r="JX88" s="970"/>
      <c r="JY88" s="970"/>
      <c r="JZ88" s="970"/>
      <c r="KA88" s="970"/>
      <c r="KB88" s="970"/>
      <c r="KC88" s="970"/>
      <c r="KD88" s="970"/>
      <c r="KE88" s="970"/>
      <c r="KF88" s="970"/>
      <c r="KG88" s="970"/>
      <c r="KH88" s="970"/>
      <c r="KI88" s="970"/>
      <c r="KJ88" s="970"/>
      <c r="KK88" s="970"/>
      <c r="KL88" s="970"/>
      <c r="KM88" s="970"/>
      <c r="KN88" s="970"/>
      <c r="KO88" s="970"/>
      <c r="KP88" s="970"/>
      <c r="KQ88" s="970"/>
      <c r="KR88" s="970"/>
      <c r="KS88" s="970"/>
      <c r="KT88" s="970"/>
      <c r="KU88" s="970"/>
      <c r="KV88" s="970"/>
      <c r="KW88" s="970"/>
      <c r="KX88" s="970"/>
      <c r="KY88" s="970"/>
      <c r="KZ88" s="970"/>
      <c r="LA88" s="970"/>
      <c r="LB88" s="970"/>
      <c r="LC88" s="970"/>
      <c r="LD88" s="970"/>
      <c r="LE88" s="970"/>
      <c r="LF88" s="970"/>
      <c r="LG88" s="970"/>
      <c r="LH88" s="970"/>
      <c r="LI88" s="970"/>
      <c r="LJ88" s="970"/>
      <c r="LK88" s="970"/>
      <c r="LL88" s="970"/>
      <c r="LM88" s="970"/>
      <c r="LN88" s="970"/>
      <c r="LO88" s="970"/>
      <c r="LP88" s="970"/>
      <c r="LQ88" s="970"/>
      <c r="LR88" s="970"/>
      <c r="LS88" s="970"/>
      <c r="LT88" s="970"/>
      <c r="LU88" s="970"/>
      <c r="LV88" s="970"/>
      <c r="LW88" s="970"/>
      <c r="LX88" s="970"/>
      <c r="LY88" s="970"/>
      <c r="LZ88" s="970"/>
      <c r="MA88" s="970"/>
      <c r="MB88" s="970"/>
      <c r="MC88" s="970"/>
      <c r="MD88" s="970"/>
      <c r="ME88" s="970"/>
      <c r="MF88" s="970"/>
      <c r="MG88" s="970"/>
      <c r="MH88" s="970"/>
      <c r="MI88" s="970"/>
      <c r="MJ88" s="970"/>
      <c r="MK88" s="970"/>
      <c r="ML88" s="970"/>
      <c r="MM88" s="970"/>
      <c r="MN88" s="970"/>
      <c r="MO88" s="970"/>
      <c r="MP88" s="970"/>
      <c r="MQ88" s="970"/>
      <c r="MR88" s="970"/>
      <c r="MS88" s="970"/>
      <c r="MT88" s="970"/>
      <c r="MU88" s="970"/>
      <c r="MV88" s="970"/>
      <c r="MW88" s="970"/>
      <c r="MX88" s="970"/>
      <c r="MY88" s="970"/>
      <c r="MZ88" s="970"/>
      <c r="NA88" s="970"/>
      <c r="NB88" s="970"/>
      <c r="NC88" s="970"/>
      <c r="ND88" s="970"/>
      <c r="NE88" s="970"/>
      <c r="NF88" s="970"/>
      <c r="NG88" s="970"/>
      <c r="NH88" s="970"/>
      <c r="NI88" s="970"/>
      <c r="NJ88" s="970"/>
      <c r="NK88" s="970"/>
      <c r="NL88" s="970"/>
      <c r="NM88" s="970"/>
      <c r="NN88" s="970"/>
      <c r="NO88" s="970"/>
      <c r="NP88" s="970"/>
      <c r="NQ88" s="970"/>
      <c r="NR88" s="970"/>
      <c r="NS88" s="970"/>
      <c r="NT88" s="970"/>
      <c r="NU88" s="970"/>
      <c r="NV88" s="970"/>
      <c r="NW88" s="970"/>
      <c r="NX88" s="970"/>
      <c r="NY88" s="970"/>
      <c r="NZ88" s="970"/>
      <c r="OA88" s="970"/>
      <c r="OB88" s="970"/>
      <c r="OC88" s="970"/>
      <c r="OD88" s="970"/>
      <c r="OE88" s="970"/>
      <c r="OF88" s="970"/>
      <c r="OG88" s="970"/>
      <c r="OH88" s="970"/>
      <c r="OI88" s="970"/>
      <c r="OJ88" s="970"/>
      <c r="OK88" s="970"/>
      <c r="OL88" s="970"/>
      <c r="OM88" s="970"/>
      <c r="ON88" s="970"/>
      <c r="OO88" s="970"/>
      <c r="OP88" s="970"/>
      <c r="OQ88" s="970"/>
      <c r="OR88" s="970"/>
      <c r="OS88" s="970"/>
      <c r="OT88" s="970"/>
      <c r="OU88" s="970"/>
      <c r="OV88" s="970"/>
      <c r="OW88" s="970"/>
      <c r="OX88" s="970"/>
      <c r="OY88" s="970"/>
      <c r="OZ88" s="970"/>
      <c r="PA88" s="970"/>
      <c r="PB88" s="970"/>
      <c r="PC88" s="970"/>
      <c r="PD88" s="970"/>
      <c r="PE88" s="970"/>
      <c r="PF88" s="970"/>
      <c r="PG88" s="970"/>
      <c r="PH88" s="970"/>
      <c r="PI88" s="970"/>
      <c r="PJ88" s="970"/>
      <c r="PK88" s="970"/>
      <c r="PL88" s="970"/>
      <c r="PM88" s="970"/>
      <c r="PN88" s="970"/>
      <c r="PO88" s="970"/>
      <c r="PP88" s="970"/>
      <c r="PQ88" s="970"/>
      <c r="PR88" s="970"/>
      <c r="PS88" s="970"/>
      <c r="PT88" s="970"/>
      <c r="PU88" s="970"/>
      <c r="PV88" s="970"/>
      <c r="PW88" s="970"/>
      <c r="PX88" s="970"/>
      <c r="PY88" s="970"/>
      <c r="PZ88" s="970"/>
      <c r="QA88" s="970"/>
      <c r="QB88" s="970"/>
      <c r="QC88" s="970"/>
      <c r="QD88" s="970"/>
      <c r="QE88" s="970"/>
      <c r="QF88" s="970"/>
      <c r="QG88" s="970"/>
      <c r="QH88" s="970"/>
      <c r="QI88" s="970"/>
      <c r="QJ88" s="970"/>
      <c r="QK88" s="970"/>
      <c r="QL88" s="970"/>
      <c r="QM88" s="970"/>
      <c r="QN88" s="970"/>
      <c r="QO88" s="970"/>
      <c r="QP88" s="970"/>
      <c r="QQ88" s="970"/>
      <c r="QR88" s="970"/>
      <c r="QS88" s="970"/>
      <c r="QT88" s="970"/>
      <c r="QU88" s="970"/>
      <c r="QV88" s="970"/>
      <c r="QW88" s="970"/>
      <c r="QX88" s="970"/>
      <c r="QY88" s="970"/>
      <c r="QZ88" s="970"/>
      <c r="RA88" s="970"/>
      <c r="RB88" s="970"/>
      <c r="RC88" s="970"/>
      <c r="RD88" s="970"/>
      <c r="RE88" s="970"/>
      <c r="RF88" s="970"/>
      <c r="RG88" s="970"/>
      <c r="RH88" s="970"/>
      <c r="RI88" s="970"/>
      <c r="RJ88" s="970"/>
      <c r="RK88" s="970"/>
      <c r="RL88" s="970"/>
      <c r="RM88" s="970"/>
      <c r="RN88" s="970"/>
      <c r="RO88" s="970"/>
      <c r="RP88" s="970"/>
      <c r="RQ88" s="970"/>
      <c r="RR88" s="970"/>
      <c r="RS88" s="970"/>
      <c r="RT88" s="970"/>
      <c r="RU88" s="970"/>
      <c r="RV88" s="970"/>
      <c r="RW88" s="970"/>
      <c r="RX88" s="970"/>
      <c r="RY88" s="970"/>
      <c r="RZ88" s="970"/>
      <c r="SA88" s="970"/>
      <c r="SB88" s="970"/>
      <c r="SC88" s="970"/>
      <c r="SD88" s="970"/>
      <c r="SE88" s="970"/>
      <c r="SF88" s="970"/>
      <c r="SG88" s="970"/>
      <c r="SH88" s="970"/>
      <c r="SI88" s="970"/>
      <c r="SJ88" s="970"/>
      <c r="SK88" s="970"/>
      <c r="SL88" s="970"/>
      <c r="SM88" s="970"/>
      <c r="SN88" s="970"/>
      <c r="SO88" s="970"/>
      <c r="SP88" s="970"/>
      <c r="SQ88" s="970"/>
      <c r="SR88" s="970"/>
    </row>
    <row r="89" spans="1:512" ht="12.75" customHeight="1">
      <c r="A89" s="755"/>
      <c r="B89" s="120"/>
      <c r="C89" s="755"/>
      <c r="D89" s="755"/>
      <c r="E89" s="755"/>
      <c r="F89"/>
      <c r="G89" s="645"/>
      <c r="H89" s="645"/>
      <c r="I89" s="645"/>
      <c r="J89" s="645"/>
      <c r="K89" s="645"/>
      <c r="L89" s="645"/>
      <c r="M89" s="645"/>
      <c r="N89" s="645"/>
      <c r="O89" s="645"/>
      <c r="P89" s="645"/>
      <c r="Q89" s="645"/>
      <c r="R89" s="645"/>
      <c r="S89" s="645"/>
      <c r="T89" s="645"/>
    </row>
    <row r="90" spans="1:512" ht="12.75" customHeight="1">
      <c r="A90" s="755"/>
      <c r="B90" s="120"/>
      <c r="C90" s="755"/>
      <c r="D90" s="755"/>
      <c r="E90" s="755"/>
      <c r="F90" s="645"/>
      <c r="G90" s="645"/>
      <c r="H90" s="645"/>
      <c r="I90" s="645"/>
      <c r="J90" s="645"/>
      <c r="K90" s="645"/>
      <c r="L90" s="645"/>
      <c r="M90" s="645"/>
      <c r="N90" s="645"/>
      <c r="O90" s="645"/>
      <c r="P90" s="645"/>
      <c r="Q90" s="645"/>
      <c r="R90" s="645"/>
      <c r="S90" s="645"/>
      <c r="T90" s="645"/>
    </row>
    <row r="91" spans="1:512" ht="12.75" customHeight="1">
      <c r="B91" s="120"/>
      <c r="C91" s="755"/>
      <c r="D91" s="755"/>
      <c r="E91" s="755"/>
      <c r="F91" s="645"/>
      <c r="G91" s="645"/>
      <c r="H91" s="645"/>
      <c r="I91" s="645"/>
      <c r="J91" s="645"/>
      <c r="K91" s="645"/>
      <c r="L91" s="645"/>
      <c r="M91" s="645"/>
      <c r="N91" s="645"/>
      <c r="O91" s="645"/>
      <c r="P91" s="645"/>
      <c r="Q91" s="645"/>
      <c r="R91" s="645"/>
      <c r="S91" s="645"/>
      <c r="T91" s="645"/>
    </row>
    <row r="92" spans="1:512" ht="12.75" customHeight="1">
      <c r="A92" s="755"/>
      <c r="B92" s="120"/>
      <c r="C92" s="755"/>
      <c r="D92" s="755"/>
      <c r="E92" s="755"/>
      <c r="F92" s="645"/>
      <c r="G92" s="645"/>
      <c r="H92" s="645"/>
      <c r="I92" s="645"/>
      <c r="J92" s="645"/>
      <c r="K92" s="645"/>
      <c r="L92" s="645"/>
      <c r="M92" s="645"/>
      <c r="N92" s="645"/>
      <c r="O92" s="645"/>
      <c r="P92" s="645"/>
      <c r="Q92" s="645"/>
      <c r="R92" s="645"/>
      <c r="S92" s="645"/>
      <c r="T92" s="645"/>
    </row>
    <row r="93" spans="1:512" ht="12.75" customHeight="1">
      <c r="A93" s="755"/>
      <c r="B93" s="120"/>
      <c r="C93" s="121"/>
      <c r="D93" s="755"/>
      <c r="E93" s="755"/>
      <c r="F93" s="645"/>
      <c r="G93" s="645"/>
      <c r="H93" s="645"/>
      <c r="I93" s="645"/>
      <c r="J93" s="645"/>
      <c r="K93" s="645"/>
      <c r="L93" s="645"/>
      <c r="M93" s="645"/>
      <c r="N93" s="645"/>
      <c r="O93" s="645"/>
      <c r="P93" s="645"/>
      <c r="Q93" s="645"/>
      <c r="R93" s="645"/>
      <c r="S93" s="645"/>
      <c r="T93" s="645"/>
    </row>
    <row r="94" spans="1:512" ht="12.75" customHeight="1"/>
    <row r="95" spans="1:512" s="338" customFormat="1" ht="15" customHeight="1">
      <c r="A95" s="338" t="s">
        <v>2219</v>
      </c>
    </row>
    <row r="96" spans="1:512" s="776" customFormat="1" ht="12.75" customHeight="1">
      <c r="G96" s="776" t="s">
        <v>208</v>
      </c>
      <c r="U96" s="776" t="s">
        <v>208</v>
      </c>
      <c r="V96" s="776" t="s">
        <v>208</v>
      </c>
      <c r="W96" s="776" t="s">
        <v>208</v>
      </c>
      <c r="X96" s="776" t="s">
        <v>208</v>
      </c>
      <c r="Y96" s="776" t="s">
        <v>208</v>
      </c>
      <c r="Z96" s="776" t="s">
        <v>208</v>
      </c>
    </row>
    <row r="97" spans="1:512" s="776" customFormat="1" ht="12.75" customHeight="1"/>
    <row r="98" spans="1:512" ht="12.75" customHeight="1">
      <c r="A98" s="1040" t="s">
        <v>2151</v>
      </c>
      <c r="B98" s="1040"/>
      <c r="C98" s="1040"/>
      <c r="D98" s="1040"/>
      <c r="E98" s="116" t="s">
        <v>239</v>
      </c>
      <c r="G98" s="753" t="s">
        <v>221</v>
      </c>
      <c r="H98" s="780" t="s">
        <v>3783</v>
      </c>
      <c r="I98" s="780" t="s">
        <v>2152</v>
      </c>
      <c r="J98" s="780" t="s">
        <v>2153</v>
      </c>
      <c r="K98" s="780" t="s">
        <v>2154</v>
      </c>
      <c r="L98" s="780" t="s">
        <v>2155</v>
      </c>
      <c r="M98" s="780" t="s">
        <v>2156</v>
      </c>
      <c r="N98" s="780" t="s">
        <v>2157</v>
      </c>
      <c r="O98" s="780" t="s">
        <v>2158</v>
      </c>
      <c r="P98" s="780" t="s">
        <v>2159</v>
      </c>
      <c r="Q98" s="780" t="s">
        <v>2160</v>
      </c>
      <c r="R98" s="780" t="s">
        <v>2161</v>
      </c>
      <c r="S98" s="780" t="s">
        <v>2162</v>
      </c>
      <c r="T98" s="780" t="s">
        <v>2163</v>
      </c>
      <c r="U98" s="753" t="s">
        <v>2164</v>
      </c>
      <c r="V98" s="753" t="s">
        <v>2165</v>
      </c>
      <c r="W98" s="753" t="s">
        <v>2166</v>
      </c>
      <c r="X98" s="753" t="s">
        <v>2167</v>
      </c>
      <c r="Y98" s="753" t="s">
        <v>2168</v>
      </c>
      <c r="Z98" s="753" t="s">
        <v>2169</v>
      </c>
      <c r="AA98" s="753" t="s">
        <v>2170</v>
      </c>
      <c r="AB98" s="753" t="s">
        <v>2171</v>
      </c>
      <c r="AC98" s="753" t="s">
        <v>2172</v>
      </c>
      <c r="AD98" s="753" t="s">
        <v>2173</v>
      </c>
      <c r="AE98" s="753" t="s">
        <v>2174</v>
      </c>
      <c r="AF98" s="753" t="s">
        <v>2175</v>
      </c>
      <c r="AG98" s="753" t="s">
        <v>2176</v>
      </c>
      <c r="AH98" s="753" t="s">
        <v>2177</v>
      </c>
      <c r="AI98" s="753" t="s">
        <v>2178</v>
      </c>
      <c r="AJ98" s="753" t="s">
        <v>2179</v>
      </c>
      <c r="AK98" s="753" t="s">
        <v>2180</v>
      </c>
      <c r="AL98" s="753" t="s">
        <v>2181</v>
      </c>
      <c r="AM98" s="753" t="s">
        <v>2182</v>
      </c>
      <c r="AN98" s="753" t="s">
        <v>2183</v>
      </c>
      <c r="AO98" s="753" t="s">
        <v>2184</v>
      </c>
      <c r="AP98" s="753" t="s">
        <v>2185</v>
      </c>
      <c r="AQ98" s="753" t="s">
        <v>2186</v>
      </c>
      <c r="AR98" s="753" t="s">
        <v>2187</v>
      </c>
      <c r="AS98" s="753" t="s">
        <v>2188</v>
      </c>
      <c r="AT98" s="753" t="s">
        <v>2189</v>
      </c>
      <c r="AU98" s="753" t="s">
        <v>2190</v>
      </c>
      <c r="AV98" s="753" t="s">
        <v>2191</v>
      </c>
      <c r="AW98" s="753" t="s">
        <v>2192</v>
      </c>
      <c r="AX98" s="753" t="s">
        <v>2193</v>
      </c>
      <c r="AY98" s="753" t="s">
        <v>2194</v>
      </c>
      <c r="AZ98" s="753" t="s">
        <v>2195</v>
      </c>
      <c r="BA98" s="753" t="s">
        <v>2196</v>
      </c>
      <c r="BB98" s="753" t="s">
        <v>2197</v>
      </c>
      <c r="BC98" s="753" t="s">
        <v>2198</v>
      </c>
      <c r="BD98" s="753" t="s">
        <v>2199</v>
      </c>
      <c r="BE98" s="753" t="s">
        <v>2200</v>
      </c>
      <c r="BF98" s="753" t="s">
        <v>2790</v>
      </c>
      <c r="BG98" s="753" t="s">
        <v>2791</v>
      </c>
      <c r="BH98" s="753" t="s">
        <v>2792</v>
      </c>
      <c r="BI98" s="753" t="s">
        <v>2793</v>
      </c>
      <c r="BJ98" s="753" t="s">
        <v>2794</v>
      </c>
      <c r="BK98" s="753" t="s">
        <v>2795</v>
      </c>
      <c r="BL98" s="753" t="s">
        <v>2796</v>
      </c>
      <c r="BM98" s="753" t="s">
        <v>2797</v>
      </c>
      <c r="BN98" s="753" t="s">
        <v>2798</v>
      </c>
      <c r="BO98" s="753" t="s">
        <v>2799</v>
      </c>
      <c r="BP98" s="753" t="s">
        <v>2800</v>
      </c>
      <c r="BQ98" s="753" t="s">
        <v>2801</v>
      </c>
      <c r="BR98" s="753" t="s">
        <v>2802</v>
      </c>
      <c r="BS98" s="753" t="s">
        <v>2803</v>
      </c>
      <c r="BT98" s="753" t="s">
        <v>2804</v>
      </c>
      <c r="BU98" s="753" t="s">
        <v>2805</v>
      </c>
      <c r="BV98" s="753" t="s">
        <v>2806</v>
      </c>
      <c r="BW98" s="753" t="s">
        <v>2807</v>
      </c>
      <c r="BX98" s="753" t="s">
        <v>2808</v>
      </c>
      <c r="BY98" s="753" t="s">
        <v>2809</v>
      </c>
      <c r="BZ98" s="753" t="s">
        <v>2810</v>
      </c>
      <c r="CA98" s="753" t="s">
        <v>2811</v>
      </c>
      <c r="CB98" s="753" t="s">
        <v>2812</v>
      </c>
      <c r="CC98" s="753" t="s">
        <v>2813</v>
      </c>
      <c r="CD98" s="753" t="s">
        <v>2814</v>
      </c>
      <c r="CE98" s="753" t="s">
        <v>2815</v>
      </c>
      <c r="CF98" s="753" t="s">
        <v>2816</v>
      </c>
      <c r="CG98" s="753" t="s">
        <v>2817</v>
      </c>
      <c r="CH98" s="753" t="s">
        <v>2818</v>
      </c>
      <c r="CI98" s="753" t="s">
        <v>2819</v>
      </c>
      <c r="CJ98" s="753" t="s">
        <v>2820</v>
      </c>
      <c r="CK98" s="753" t="s">
        <v>2821</v>
      </c>
      <c r="CL98" s="753" t="s">
        <v>2822</v>
      </c>
      <c r="CM98" s="753" t="s">
        <v>2823</v>
      </c>
      <c r="CN98" s="753" t="s">
        <v>2824</v>
      </c>
      <c r="CO98" s="753" t="s">
        <v>2825</v>
      </c>
      <c r="CP98" s="753" t="s">
        <v>2826</v>
      </c>
      <c r="CQ98" s="753" t="s">
        <v>2827</v>
      </c>
      <c r="CR98" s="753" t="s">
        <v>2828</v>
      </c>
      <c r="CS98" s="753" t="s">
        <v>2829</v>
      </c>
      <c r="CT98" s="753" t="s">
        <v>2830</v>
      </c>
      <c r="CU98" s="753" t="s">
        <v>2831</v>
      </c>
      <c r="CV98" s="753" t="s">
        <v>2832</v>
      </c>
      <c r="CW98" s="753" t="s">
        <v>2833</v>
      </c>
      <c r="CX98" s="753" t="s">
        <v>2834</v>
      </c>
      <c r="CY98" s="753" t="s">
        <v>2835</v>
      </c>
      <c r="CZ98" s="753" t="s">
        <v>2836</v>
      </c>
      <c r="DA98" s="753" t="s">
        <v>2837</v>
      </c>
      <c r="DB98" s="753" t="s">
        <v>2838</v>
      </c>
      <c r="DC98" s="753" t="s">
        <v>2839</v>
      </c>
      <c r="DD98" s="753" t="s">
        <v>2840</v>
      </c>
      <c r="DE98" s="753" t="s">
        <v>2841</v>
      </c>
      <c r="DF98" s="753" t="s">
        <v>2842</v>
      </c>
      <c r="DG98" s="753" t="s">
        <v>2843</v>
      </c>
      <c r="DH98" s="753" t="s">
        <v>2844</v>
      </c>
      <c r="DI98" s="753" t="s">
        <v>2845</v>
      </c>
      <c r="DJ98" s="753" t="s">
        <v>2846</v>
      </c>
      <c r="DK98" s="753" t="s">
        <v>2847</v>
      </c>
      <c r="DL98" s="753" t="s">
        <v>2848</v>
      </c>
      <c r="DM98" s="753" t="s">
        <v>2849</v>
      </c>
      <c r="DN98" s="753" t="s">
        <v>2850</v>
      </c>
      <c r="DO98" s="753" t="s">
        <v>2851</v>
      </c>
      <c r="DP98" s="753" t="s">
        <v>2852</v>
      </c>
      <c r="DQ98" s="753" t="s">
        <v>2853</v>
      </c>
      <c r="DR98" s="753" t="s">
        <v>2854</v>
      </c>
      <c r="DS98" s="753" t="s">
        <v>2855</v>
      </c>
      <c r="DT98" s="753" t="s">
        <v>2856</v>
      </c>
      <c r="DU98" s="753" t="s">
        <v>2857</v>
      </c>
      <c r="DV98" s="753" t="s">
        <v>2858</v>
      </c>
      <c r="DW98" s="753" t="s">
        <v>2859</v>
      </c>
      <c r="DX98" s="753" t="s">
        <v>2860</v>
      </c>
      <c r="DY98" s="753" t="s">
        <v>2861</v>
      </c>
      <c r="DZ98" s="753" t="s">
        <v>2862</v>
      </c>
      <c r="EA98" s="753" t="s">
        <v>2863</v>
      </c>
      <c r="EB98" s="753" t="s">
        <v>2864</v>
      </c>
      <c r="EC98" s="753" t="s">
        <v>2865</v>
      </c>
      <c r="ED98" s="753" t="s">
        <v>2866</v>
      </c>
      <c r="EE98" s="753" t="s">
        <v>2867</v>
      </c>
      <c r="EF98" s="753" t="s">
        <v>2868</v>
      </c>
      <c r="EG98" s="753" t="s">
        <v>2869</v>
      </c>
      <c r="EH98" s="753" t="s">
        <v>2870</v>
      </c>
      <c r="EI98" s="753" t="s">
        <v>2871</v>
      </c>
      <c r="EJ98" s="753" t="s">
        <v>2872</v>
      </c>
      <c r="EK98" s="753" t="s">
        <v>2873</v>
      </c>
      <c r="EL98" s="753" t="s">
        <v>2874</v>
      </c>
      <c r="EM98" s="753" t="s">
        <v>2875</v>
      </c>
      <c r="EN98" s="753" t="s">
        <v>2876</v>
      </c>
      <c r="EO98" s="753" t="s">
        <v>2877</v>
      </c>
      <c r="EP98" s="753" t="s">
        <v>2878</v>
      </c>
      <c r="EQ98" s="753" t="s">
        <v>2879</v>
      </c>
      <c r="ER98" s="753" t="s">
        <v>2880</v>
      </c>
      <c r="ES98" s="753" t="s">
        <v>2881</v>
      </c>
      <c r="ET98" s="753" t="s">
        <v>2882</v>
      </c>
      <c r="EU98" s="753" t="s">
        <v>2883</v>
      </c>
      <c r="EV98" s="753" t="s">
        <v>2884</v>
      </c>
      <c r="EW98" s="753" t="s">
        <v>2885</v>
      </c>
      <c r="EX98" s="753" t="s">
        <v>2886</v>
      </c>
      <c r="EY98" s="753" t="s">
        <v>2887</v>
      </c>
      <c r="EZ98" s="753" t="s">
        <v>2888</v>
      </c>
      <c r="FA98" s="753" t="s">
        <v>2889</v>
      </c>
      <c r="FB98" s="753" t="s">
        <v>2890</v>
      </c>
      <c r="FC98" s="753" t="s">
        <v>2891</v>
      </c>
      <c r="FD98" s="753" t="s">
        <v>2892</v>
      </c>
      <c r="FE98" s="753" t="s">
        <v>2893</v>
      </c>
      <c r="FF98" s="753" t="s">
        <v>2894</v>
      </c>
      <c r="FG98" s="753" t="s">
        <v>2895</v>
      </c>
      <c r="FH98" s="753" t="s">
        <v>2896</v>
      </c>
      <c r="FI98" s="753" t="s">
        <v>2897</v>
      </c>
      <c r="FJ98" s="753" t="s">
        <v>2898</v>
      </c>
      <c r="FK98" s="753" t="s">
        <v>2899</v>
      </c>
      <c r="FL98" s="753" t="s">
        <v>2900</v>
      </c>
      <c r="FM98" s="753" t="s">
        <v>2901</v>
      </c>
      <c r="FN98" s="753" t="s">
        <v>2902</v>
      </c>
      <c r="FO98" s="753" t="s">
        <v>2903</v>
      </c>
      <c r="FP98" s="753" t="s">
        <v>2904</v>
      </c>
      <c r="FQ98" s="753" t="s">
        <v>2905</v>
      </c>
      <c r="FR98" s="753" t="s">
        <v>2906</v>
      </c>
      <c r="FS98" s="753" t="s">
        <v>2907</v>
      </c>
      <c r="FT98" s="753" t="s">
        <v>2908</v>
      </c>
      <c r="FU98" s="753" t="s">
        <v>2909</v>
      </c>
      <c r="FV98" s="753" t="s">
        <v>2910</v>
      </c>
      <c r="FW98" s="753" t="s">
        <v>2911</v>
      </c>
      <c r="FX98" s="753" t="s">
        <v>2912</v>
      </c>
      <c r="FY98" s="753" t="s">
        <v>2913</v>
      </c>
      <c r="FZ98" s="753" t="s">
        <v>2914</v>
      </c>
      <c r="GA98" s="753" t="s">
        <v>2915</v>
      </c>
      <c r="GB98" s="753" t="s">
        <v>2916</v>
      </c>
      <c r="GC98" s="753" t="s">
        <v>2917</v>
      </c>
      <c r="GD98" s="753" t="s">
        <v>2918</v>
      </c>
      <c r="GE98" s="753" t="s">
        <v>2919</v>
      </c>
      <c r="GF98" s="753" t="s">
        <v>2920</v>
      </c>
      <c r="GG98" s="753" t="s">
        <v>2921</v>
      </c>
      <c r="GH98" s="753" t="s">
        <v>2922</v>
      </c>
      <c r="GI98" s="753" t="s">
        <v>2923</v>
      </c>
      <c r="GJ98" s="753" t="s">
        <v>2924</v>
      </c>
      <c r="GK98" s="753" t="s">
        <v>2925</v>
      </c>
      <c r="GL98" s="753" t="s">
        <v>2926</v>
      </c>
      <c r="GM98" s="753" t="s">
        <v>2927</v>
      </c>
      <c r="GN98" s="753" t="s">
        <v>2928</v>
      </c>
      <c r="GO98" s="753" t="s">
        <v>2929</v>
      </c>
      <c r="GP98" s="753" t="s">
        <v>2930</v>
      </c>
      <c r="GQ98" s="753" t="s">
        <v>2931</v>
      </c>
      <c r="GR98" s="753" t="s">
        <v>2932</v>
      </c>
      <c r="GS98" s="753" t="s">
        <v>2933</v>
      </c>
      <c r="GT98" s="753" t="s">
        <v>2934</v>
      </c>
      <c r="GU98" s="753" t="s">
        <v>2935</v>
      </c>
      <c r="GV98" s="753" t="s">
        <v>2936</v>
      </c>
      <c r="GW98" s="753" t="s">
        <v>2937</v>
      </c>
      <c r="GX98" s="753" t="s">
        <v>2938</v>
      </c>
      <c r="GY98" s="753" t="s">
        <v>2939</v>
      </c>
      <c r="GZ98" s="753" t="s">
        <v>2940</v>
      </c>
      <c r="HA98" s="753" t="s">
        <v>2941</v>
      </c>
      <c r="HB98" s="753" t="s">
        <v>2942</v>
      </c>
      <c r="HC98" s="753" t="s">
        <v>2943</v>
      </c>
      <c r="HD98" s="753" t="s">
        <v>2944</v>
      </c>
      <c r="HE98" s="753" t="s">
        <v>2945</v>
      </c>
      <c r="HF98" s="753" t="s">
        <v>2946</v>
      </c>
      <c r="HG98" s="753" t="s">
        <v>2947</v>
      </c>
      <c r="HH98" s="753" t="s">
        <v>2948</v>
      </c>
      <c r="HI98" s="753" t="s">
        <v>2949</v>
      </c>
      <c r="HJ98" s="753" t="s">
        <v>2950</v>
      </c>
      <c r="HK98" s="753" t="s">
        <v>2951</v>
      </c>
      <c r="HL98" s="753" t="s">
        <v>2952</v>
      </c>
      <c r="HM98" s="753" t="s">
        <v>2953</v>
      </c>
      <c r="HN98" s="753" t="s">
        <v>2954</v>
      </c>
      <c r="HO98" s="753" t="s">
        <v>2955</v>
      </c>
      <c r="HP98" s="753" t="s">
        <v>2956</v>
      </c>
      <c r="HQ98" s="753" t="s">
        <v>2957</v>
      </c>
      <c r="HR98" s="753" t="s">
        <v>2958</v>
      </c>
      <c r="HS98" s="753" t="s">
        <v>2959</v>
      </c>
      <c r="HT98" s="753" t="s">
        <v>2960</v>
      </c>
      <c r="HU98" s="753" t="s">
        <v>2961</v>
      </c>
      <c r="HV98" s="753" t="s">
        <v>2962</v>
      </c>
      <c r="HW98" s="753" t="s">
        <v>2963</v>
      </c>
      <c r="HX98" s="753" t="s">
        <v>2964</v>
      </c>
      <c r="HY98" s="753" t="s">
        <v>2965</v>
      </c>
      <c r="HZ98" s="753" t="s">
        <v>2966</v>
      </c>
      <c r="IA98" s="753" t="s">
        <v>2967</v>
      </c>
      <c r="IB98" s="753" t="s">
        <v>2968</v>
      </c>
      <c r="IC98" s="753" t="s">
        <v>2969</v>
      </c>
      <c r="ID98" s="753" t="s">
        <v>2970</v>
      </c>
      <c r="IE98" s="753" t="s">
        <v>2971</v>
      </c>
      <c r="IF98" s="753" t="s">
        <v>2972</v>
      </c>
      <c r="IG98" s="753" t="s">
        <v>2973</v>
      </c>
      <c r="IH98" s="753" t="s">
        <v>2974</v>
      </c>
      <c r="II98" s="753" t="s">
        <v>2975</v>
      </c>
      <c r="IJ98" s="753" t="s">
        <v>2976</v>
      </c>
      <c r="IK98" s="753" t="s">
        <v>2977</v>
      </c>
      <c r="IL98" s="753" t="s">
        <v>2978</v>
      </c>
      <c r="IM98" s="753" t="s">
        <v>2979</v>
      </c>
      <c r="IN98" s="753" t="s">
        <v>2980</v>
      </c>
      <c r="IO98" s="753" t="s">
        <v>2981</v>
      </c>
      <c r="IP98" s="753" t="s">
        <v>2982</v>
      </c>
      <c r="IQ98" s="753" t="s">
        <v>2983</v>
      </c>
      <c r="IR98" s="753" t="s">
        <v>2984</v>
      </c>
      <c r="IS98" s="753" t="s">
        <v>2985</v>
      </c>
      <c r="IT98" s="753" t="s">
        <v>2986</v>
      </c>
      <c r="IU98" s="753" t="s">
        <v>2987</v>
      </c>
      <c r="IV98" s="753" t="s">
        <v>2988</v>
      </c>
      <c r="IW98" s="753" t="s">
        <v>2989</v>
      </c>
      <c r="IX98" s="753" t="s">
        <v>2990</v>
      </c>
      <c r="IY98" s="753" t="s">
        <v>2991</v>
      </c>
      <c r="IZ98" s="753" t="s">
        <v>2992</v>
      </c>
      <c r="JA98" s="753" t="s">
        <v>2993</v>
      </c>
      <c r="JB98" s="753" t="s">
        <v>2994</v>
      </c>
      <c r="JC98" s="753" t="s">
        <v>2995</v>
      </c>
      <c r="JD98" s="753" t="s">
        <v>2996</v>
      </c>
      <c r="JE98" s="753" t="s">
        <v>2997</v>
      </c>
      <c r="JF98" s="753" t="s">
        <v>2998</v>
      </c>
      <c r="JG98" s="753" t="s">
        <v>2999</v>
      </c>
      <c r="JH98" s="753" t="s">
        <v>3000</v>
      </c>
      <c r="JI98" s="753" t="s">
        <v>3001</v>
      </c>
      <c r="JJ98" s="753" t="s">
        <v>3002</v>
      </c>
      <c r="JK98" s="753" t="s">
        <v>3003</v>
      </c>
      <c r="JL98" s="753" t="s">
        <v>3004</v>
      </c>
      <c r="JM98" s="753" t="s">
        <v>3005</v>
      </c>
      <c r="JN98" s="753" t="s">
        <v>3006</v>
      </c>
      <c r="JO98" s="753" t="s">
        <v>3007</v>
      </c>
      <c r="JP98" s="753" t="s">
        <v>3008</v>
      </c>
      <c r="JQ98" s="753" t="s">
        <v>3009</v>
      </c>
      <c r="JR98" s="753" t="s">
        <v>3010</v>
      </c>
      <c r="JS98" s="753" t="s">
        <v>3011</v>
      </c>
      <c r="JT98" s="753" t="s">
        <v>3012</v>
      </c>
      <c r="JU98" s="753" t="s">
        <v>3013</v>
      </c>
      <c r="JV98" s="753" t="s">
        <v>3014</v>
      </c>
      <c r="JW98" s="753" t="s">
        <v>3015</v>
      </c>
      <c r="JX98" s="753" t="s">
        <v>3016</v>
      </c>
      <c r="JY98" s="753" t="s">
        <v>3017</v>
      </c>
      <c r="JZ98" s="753" t="s">
        <v>3018</v>
      </c>
      <c r="KA98" s="753" t="s">
        <v>3019</v>
      </c>
      <c r="KB98" s="753" t="s">
        <v>3020</v>
      </c>
      <c r="KC98" s="753" t="s">
        <v>3021</v>
      </c>
      <c r="KD98" s="753" t="s">
        <v>3022</v>
      </c>
      <c r="KE98" s="753" t="s">
        <v>3023</v>
      </c>
      <c r="KF98" s="753" t="s">
        <v>3024</v>
      </c>
      <c r="KG98" s="753" t="s">
        <v>3025</v>
      </c>
      <c r="KH98" s="753" t="s">
        <v>3026</v>
      </c>
      <c r="KI98" s="753" t="s">
        <v>3027</v>
      </c>
      <c r="KJ98" s="753" t="s">
        <v>3028</v>
      </c>
      <c r="KK98" s="753" t="s">
        <v>3029</v>
      </c>
      <c r="KL98" s="753" t="s">
        <v>3030</v>
      </c>
      <c r="KM98" s="753" t="s">
        <v>3031</v>
      </c>
      <c r="KN98" s="753" t="s">
        <v>3032</v>
      </c>
      <c r="KO98" s="753" t="s">
        <v>3033</v>
      </c>
      <c r="KP98" s="753" t="s">
        <v>3034</v>
      </c>
      <c r="KQ98" s="753" t="s">
        <v>3035</v>
      </c>
      <c r="KR98" s="753" t="s">
        <v>3036</v>
      </c>
      <c r="KS98" s="753" t="s">
        <v>3037</v>
      </c>
      <c r="KT98" s="753" t="s">
        <v>3038</v>
      </c>
      <c r="KU98" s="753" t="s">
        <v>3039</v>
      </c>
      <c r="KV98" s="753" t="s">
        <v>3040</v>
      </c>
      <c r="KW98" s="753" t="s">
        <v>3041</v>
      </c>
      <c r="KX98" s="753" t="s">
        <v>3042</v>
      </c>
      <c r="KY98" s="753" t="s">
        <v>3043</v>
      </c>
      <c r="KZ98" s="753" t="s">
        <v>3044</v>
      </c>
      <c r="LA98" s="753" t="s">
        <v>3045</v>
      </c>
      <c r="LB98" s="753" t="s">
        <v>3046</v>
      </c>
      <c r="LC98" s="753" t="s">
        <v>3047</v>
      </c>
      <c r="LD98" s="753" t="s">
        <v>3048</v>
      </c>
      <c r="LE98" s="753" t="s">
        <v>3049</v>
      </c>
      <c r="LF98" s="753" t="s">
        <v>3050</v>
      </c>
      <c r="LG98" s="753" t="s">
        <v>3051</v>
      </c>
      <c r="LH98" s="753" t="s">
        <v>3052</v>
      </c>
      <c r="LI98" s="753" t="s">
        <v>3053</v>
      </c>
      <c r="LJ98" s="753" t="s">
        <v>3054</v>
      </c>
      <c r="LK98" s="753" t="s">
        <v>3055</v>
      </c>
      <c r="LL98" s="753" t="s">
        <v>3056</v>
      </c>
      <c r="LM98" s="753" t="s">
        <v>3057</v>
      </c>
      <c r="LN98" s="753" t="s">
        <v>3058</v>
      </c>
      <c r="LO98" s="753" t="s">
        <v>3059</v>
      </c>
      <c r="LP98" s="753" t="s">
        <v>3060</v>
      </c>
      <c r="LQ98" s="753" t="s">
        <v>3061</v>
      </c>
      <c r="LR98" s="753" t="s">
        <v>3062</v>
      </c>
      <c r="LS98" s="753" t="s">
        <v>3063</v>
      </c>
      <c r="LT98" s="753" t="s">
        <v>3064</v>
      </c>
      <c r="LU98" s="753" t="s">
        <v>3065</v>
      </c>
      <c r="LV98" s="753" t="s">
        <v>3066</v>
      </c>
      <c r="LW98" s="753" t="s">
        <v>3067</v>
      </c>
      <c r="LX98" s="753" t="s">
        <v>3068</v>
      </c>
      <c r="LY98" s="753" t="s">
        <v>3069</v>
      </c>
      <c r="LZ98" s="753" t="s">
        <v>3070</v>
      </c>
      <c r="MA98" s="753" t="s">
        <v>3071</v>
      </c>
      <c r="MB98" s="753" t="s">
        <v>3072</v>
      </c>
      <c r="MC98" s="753" t="s">
        <v>3073</v>
      </c>
      <c r="MD98" s="753" t="s">
        <v>3074</v>
      </c>
      <c r="ME98" s="753" t="s">
        <v>3075</v>
      </c>
      <c r="MF98" s="753" t="s">
        <v>3076</v>
      </c>
      <c r="MG98" s="753" t="s">
        <v>3077</v>
      </c>
      <c r="MH98" s="753" t="s">
        <v>3078</v>
      </c>
      <c r="MI98" s="753" t="s">
        <v>3079</v>
      </c>
      <c r="MJ98" s="753" t="s">
        <v>3080</v>
      </c>
      <c r="MK98" s="753" t="s">
        <v>3081</v>
      </c>
      <c r="ML98" s="753" t="s">
        <v>3082</v>
      </c>
      <c r="MM98" s="753" t="s">
        <v>3083</v>
      </c>
      <c r="MN98" s="753" t="s">
        <v>3084</v>
      </c>
      <c r="MO98" s="753" t="s">
        <v>3085</v>
      </c>
      <c r="MP98" s="753" t="s">
        <v>3086</v>
      </c>
      <c r="MQ98" s="753" t="s">
        <v>3087</v>
      </c>
      <c r="MR98" s="753" t="s">
        <v>3088</v>
      </c>
      <c r="MS98" s="753" t="s">
        <v>3089</v>
      </c>
      <c r="MT98" s="753" t="s">
        <v>3090</v>
      </c>
      <c r="MU98" s="753" t="s">
        <v>3091</v>
      </c>
      <c r="MV98" s="753" t="s">
        <v>3092</v>
      </c>
      <c r="MW98" s="753" t="s">
        <v>3093</v>
      </c>
      <c r="MX98" s="753" t="s">
        <v>3094</v>
      </c>
      <c r="MY98" s="753" t="s">
        <v>3095</v>
      </c>
      <c r="MZ98" s="753" t="s">
        <v>3096</v>
      </c>
      <c r="NA98" s="753" t="s">
        <v>3097</v>
      </c>
      <c r="NB98" s="753" t="s">
        <v>3098</v>
      </c>
      <c r="NC98" s="753" t="s">
        <v>3099</v>
      </c>
      <c r="ND98" s="753" t="s">
        <v>3100</v>
      </c>
      <c r="NE98" s="753" t="s">
        <v>3101</v>
      </c>
      <c r="NF98" s="753" t="s">
        <v>3102</v>
      </c>
      <c r="NG98" s="753" t="s">
        <v>3103</v>
      </c>
      <c r="NH98" s="753" t="s">
        <v>3104</v>
      </c>
      <c r="NI98" s="753" t="s">
        <v>3105</v>
      </c>
      <c r="NJ98" s="753" t="s">
        <v>3106</v>
      </c>
      <c r="NK98" s="753" t="s">
        <v>3107</v>
      </c>
      <c r="NL98" s="753" t="s">
        <v>3108</v>
      </c>
      <c r="NM98" s="753" t="s">
        <v>3109</v>
      </c>
      <c r="NN98" s="753" t="s">
        <v>3110</v>
      </c>
      <c r="NO98" s="753" t="s">
        <v>3111</v>
      </c>
      <c r="NP98" s="753" t="s">
        <v>3112</v>
      </c>
      <c r="NQ98" s="753" t="s">
        <v>3113</v>
      </c>
      <c r="NR98" s="753" t="s">
        <v>3114</v>
      </c>
      <c r="NS98" s="753" t="s">
        <v>3115</v>
      </c>
      <c r="NT98" s="753" t="s">
        <v>3116</v>
      </c>
      <c r="NU98" s="753" t="s">
        <v>3117</v>
      </c>
      <c r="NV98" s="753" t="s">
        <v>3118</v>
      </c>
      <c r="NW98" s="753" t="s">
        <v>3119</v>
      </c>
      <c r="NX98" s="753" t="s">
        <v>3120</v>
      </c>
      <c r="NY98" s="753" t="s">
        <v>3121</v>
      </c>
      <c r="NZ98" s="753" t="s">
        <v>3122</v>
      </c>
      <c r="OA98" s="753" t="s">
        <v>3123</v>
      </c>
      <c r="OB98" s="753" t="s">
        <v>3124</v>
      </c>
      <c r="OC98" s="753" t="s">
        <v>3125</v>
      </c>
      <c r="OD98" s="753" t="s">
        <v>3126</v>
      </c>
      <c r="OE98" s="753" t="s">
        <v>3127</v>
      </c>
      <c r="OF98" s="753" t="s">
        <v>3128</v>
      </c>
      <c r="OG98" s="753" t="s">
        <v>3129</v>
      </c>
      <c r="OH98" s="753" t="s">
        <v>3130</v>
      </c>
      <c r="OI98" s="753" t="s">
        <v>3131</v>
      </c>
      <c r="OJ98" s="753" t="s">
        <v>3132</v>
      </c>
      <c r="OK98" s="753" t="s">
        <v>3133</v>
      </c>
      <c r="OL98" s="753" t="s">
        <v>3134</v>
      </c>
      <c r="OM98" s="753" t="s">
        <v>3135</v>
      </c>
      <c r="ON98" s="753" t="s">
        <v>3136</v>
      </c>
      <c r="OO98" s="753" t="s">
        <v>3137</v>
      </c>
      <c r="OP98" s="753" t="s">
        <v>3138</v>
      </c>
      <c r="OQ98" s="753" t="s">
        <v>3139</v>
      </c>
      <c r="OR98" s="753" t="s">
        <v>3140</v>
      </c>
      <c r="OS98" s="753" t="s">
        <v>3141</v>
      </c>
      <c r="OT98" s="753" t="s">
        <v>3142</v>
      </c>
      <c r="OU98" s="753" t="s">
        <v>3143</v>
      </c>
      <c r="OV98" s="753" t="s">
        <v>3144</v>
      </c>
      <c r="OW98" s="753" t="s">
        <v>3145</v>
      </c>
      <c r="OX98" s="753" t="s">
        <v>3146</v>
      </c>
      <c r="OY98" s="753" t="s">
        <v>3147</v>
      </c>
      <c r="OZ98" s="753" t="s">
        <v>3148</v>
      </c>
      <c r="PA98" s="753" t="s">
        <v>3149</v>
      </c>
      <c r="PB98" s="753" t="s">
        <v>3150</v>
      </c>
      <c r="PC98" s="753" t="s">
        <v>3151</v>
      </c>
      <c r="PD98" s="753" t="s">
        <v>3152</v>
      </c>
      <c r="PE98" s="753" t="s">
        <v>3153</v>
      </c>
      <c r="PF98" s="753" t="s">
        <v>3154</v>
      </c>
      <c r="PG98" s="753" t="s">
        <v>3155</v>
      </c>
      <c r="PH98" s="753" t="s">
        <v>3156</v>
      </c>
      <c r="PI98" s="753" t="s">
        <v>3157</v>
      </c>
      <c r="PJ98" s="753" t="s">
        <v>3158</v>
      </c>
      <c r="PK98" s="753" t="s">
        <v>3159</v>
      </c>
      <c r="PL98" s="753" t="s">
        <v>3160</v>
      </c>
      <c r="PM98" s="753" t="s">
        <v>3161</v>
      </c>
      <c r="PN98" s="753" t="s">
        <v>3162</v>
      </c>
      <c r="PO98" s="753" t="s">
        <v>3163</v>
      </c>
      <c r="PP98" s="753" t="s">
        <v>3164</v>
      </c>
      <c r="PQ98" s="753" t="s">
        <v>3165</v>
      </c>
      <c r="PR98" s="753" t="s">
        <v>3166</v>
      </c>
      <c r="PS98" s="753" t="s">
        <v>3167</v>
      </c>
      <c r="PT98" s="753" t="s">
        <v>3168</v>
      </c>
      <c r="PU98" s="753" t="s">
        <v>3169</v>
      </c>
      <c r="PV98" s="753" t="s">
        <v>3170</v>
      </c>
      <c r="PW98" s="753" t="s">
        <v>3171</v>
      </c>
      <c r="PX98" s="753" t="s">
        <v>3172</v>
      </c>
      <c r="PY98" s="753" t="s">
        <v>3173</v>
      </c>
      <c r="PZ98" s="753" t="s">
        <v>3174</v>
      </c>
      <c r="QA98" s="753" t="s">
        <v>3175</v>
      </c>
      <c r="QB98" s="753" t="s">
        <v>3176</v>
      </c>
      <c r="QC98" s="753" t="s">
        <v>3177</v>
      </c>
      <c r="QD98" s="753" t="s">
        <v>3178</v>
      </c>
      <c r="QE98" s="753" t="s">
        <v>3179</v>
      </c>
      <c r="QF98" s="753" t="s">
        <v>3180</v>
      </c>
      <c r="QG98" s="753" t="s">
        <v>3181</v>
      </c>
      <c r="QH98" s="753" t="s">
        <v>3182</v>
      </c>
      <c r="QI98" s="753" t="s">
        <v>3183</v>
      </c>
      <c r="QJ98" s="753" t="s">
        <v>3184</v>
      </c>
      <c r="QK98" s="753" t="s">
        <v>3185</v>
      </c>
      <c r="QL98" s="753" t="s">
        <v>3186</v>
      </c>
      <c r="QM98" s="753" t="s">
        <v>3187</v>
      </c>
      <c r="QN98" s="753" t="s">
        <v>3188</v>
      </c>
      <c r="QO98" s="753" t="s">
        <v>3189</v>
      </c>
      <c r="QP98" s="753" t="s">
        <v>3190</v>
      </c>
      <c r="QQ98" s="753" t="s">
        <v>3191</v>
      </c>
      <c r="QR98" s="753" t="s">
        <v>3192</v>
      </c>
      <c r="QS98" s="753" t="s">
        <v>3193</v>
      </c>
      <c r="QT98" s="753" t="s">
        <v>3194</v>
      </c>
      <c r="QU98" s="753" t="s">
        <v>3195</v>
      </c>
      <c r="QV98" s="753" t="s">
        <v>3196</v>
      </c>
      <c r="QW98" s="753" t="s">
        <v>3197</v>
      </c>
      <c r="QX98" s="753" t="s">
        <v>3198</v>
      </c>
      <c r="QY98" s="753" t="s">
        <v>3199</v>
      </c>
      <c r="QZ98" s="753" t="s">
        <v>3200</v>
      </c>
      <c r="RA98" s="753" t="s">
        <v>3201</v>
      </c>
      <c r="RB98" s="753" t="s">
        <v>3202</v>
      </c>
      <c r="RC98" s="753" t="s">
        <v>3203</v>
      </c>
      <c r="RD98" s="753" t="s">
        <v>3204</v>
      </c>
      <c r="RE98" s="753" t="s">
        <v>3205</v>
      </c>
      <c r="RF98" s="753" t="s">
        <v>3206</v>
      </c>
      <c r="RG98" s="753" t="s">
        <v>3207</v>
      </c>
      <c r="RH98" s="753" t="s">
        <v>3208</v>
      </c>
      <c r="RI98" s="753" t="s">
        <v>3209</v>
      </c>
      <c r="RJ98" s="753" t="s">
        <v>3210</v>
      </c>
      <c r="RK98" s="753" t="s">
        <v>3211</v>
      </c>
      <c r="RL98" s="753" t="s">
        <v>3212</v>
      </c>
      <c r="RM98" s="753" t="s">
        <v>3213</v>
      </c>
      <c r="RN98" s="753" t="s">
        <v>3214</v>
      </c>
      <c r="RO98" s="753" t="s">
        <v>3215</v>
      </c>
      <c r="RP98" s="753" t="s">
        <v>3216</v>
      </c>
      <c r="RQ98" s="753" t="s">
        <v>3217</v>
      </c>
      <c r="RR98" s="753" t="s">
        <v>3218</v>
      </c>
      <c r="RS98" s="753" t="s">
        <v>3219</v>
      </c>
      <c r="RT98" s="753" t="s">
        <v>3220</v>
      </c>
      <c r="RU98" s="753" t="s">
        <v>3221</v>
      </c>
      <c r="RV98" s="753" t="s">
        <v>3222</v>
      </c>
      <c r="RW98" s="753" t="s">
        <v>3223</v>
      </c>
      <c r="RX98" s="753" t="s">
        <v>3224</v>
      </c>
      <c r="RY98" s="753" t="s">
        <v>3225</v>
      </c>
      <c r="RZ98" s="753" t="s">
        <v>3226</v>
      </c>
      <c r="SA98" s="753" t="s">
        <v>3227</v>
      </c>
      <c r="SB98" s="753" t="s">
        <v>3228</v>
      </c>
      <c r="SC98" s="753" t="s">
        <v>3229</v>
      </c>
      <c r="SD98" s="753" t="s">
        <v>3230</v>
      </c>
      <c r="SE98" s="753" t="s">
        <v>3231</v>
      </c>
      <c r="SF98" s="753" t="s">
        <v>3232</v>
      </c>
      <c r="SG98" s="753" t="s">
        <v>3233</v>
      </c>
      <c r="SH98" s="753" t="s">
        <v>3234</v>
      </c>
      <c r="SI98" s="753" t="s">
        <v>3235</v>
      </c>
      <c r="SJ98" s="753" t="s">
        <v>3236</v>
      </c>
      <c r="SK98" s="753" t="s">
        <v>3237</v>
      </c>
      <c r="SL98" s="753" t="s">
        <v>3238</v>
      </c>
      <c r="SM98" s="753" t="s">
        <v>3239</v>
      </c>
      <c r="SN98" s="753" t="s">
        <v>3240</v>
      </c>
      <c r="SO98" s="753" t="s">
        <v>3241</v>
      </c>
      <c r="SP98" s="753" t="s">
        <v>3242</v>
      </c>
      <c r="SQ98" s="753" t="s">
        <v>3243</v>
      </c>
      <c r="SR98" s="753" t="s">
        <v>3244</v>
      </c>
    </row>
    <row r="99" spans="1:512" ht="15" customHeight="1"/>
    <row r="100" spans="1:512" ht="15" customHeight="1">
      <c r="A100" t="s">
        <v>2220</v>
      </c>
      <c r="B100"/>
      <c r="C100"/>
      <c r="D100"/>
      <c r="E100"/>
      <c r="F100"/>
      <c r="G100" s="1021" t="s">
        <v>208</v>
      </c>
      <c r="H100" s="1021" t="s">
        <v>4142</v>
      </c>
      <c r="I100" s="1021"/>
      <c r="J100" s="1021"/>
      <c r="K100" s="1021"/>
      <c r="L100" s="1021"/>
      <c r="M100" s="1021"/>
      <c r="N100" s="1021"/>
      <c r="O100" s="1021"/>
      <c r="P100" s="1021"/>
      <c r="Q100" s="1021"/>
      <c r="R100" s="1021"/>
      <c r="S100" s="1021"/>
      <c r="T100" s="1021"/>
      <c r="U100" s="1021"/>
      <c r="V100" s="1021"/>
      <c r="W100" s="1021"/>
      <c r="X100" s="1021"/>
      <c r="Y100" s="1021"/>
      <c r="Z100" s="1021"/>
      <c r="AA100" s="1021"/>
      <c r="AB100" s="1021"/>
      <c r="AC100" s="1021"/>
      <c r="AD100" s="1021"/>
      <c r="AE100" s="1021"/>
      <c r="AF100" s="1021"/>
      <c r="AG100" s="1021"/>
      <c r="AH100" s="1021"/>
      <c r="AI100" s="1021"/>
      <c r="AJ100" s="1021"/>
      <c r="AK100" s="1021"/>
      <c r="AL100" s="1021"/>
      <c r="AM100" s="1021"/>
      <c r="AN100" s="1021"/>
      <c r="AO100" s="1021"/>
      <c r="AP100" s="1021"/>
      <c r="AQ100" s="1021"/>
      <c r="AR100" s="1021"/>
      <c r="AS100" s="1021"/>
      <c r="AT100" s="1021"/>
      <c r="AU100" s="1021"/>
      <c r="AV100" s="1021"/>
      <c r="AW100" s="1021"/>
      <c r="AX100" s="1021"/>
      <c r="AY100" s="1021"/>
      <c r="AZ100" s="1021"/>
      <c r="BA100" s="1021"/>
      <c r="BB100" s="1021"/>
      <c r="BC100" s="1021"/>
      <c r="BD100" s="1021"/>
      <c r="BE100" s="1021"/>
      <c r="BF100" s="1021"/>
      <c r="BG100" s="1021"/>
      <c r="BH100" s="1021"/>
      <c r="BI100" s="1021"/>
      <c r="BJ100" s="1021"/>
      <c r="BK100" s="1021"/>
      <c r="BL100" s="1021"/>
      <c r="BM100" s="1021"/>
      <c r="BN100" s="1021"/>
      <c r="BO100" s="1021"/>
      <c r="BP100" s="1021"/>
      <c r="BQ100" s="1021"/>
      <c r="BR100" s="1021"/>
      <c r="BS100" s="1021"/>
      <c r="BT100" s="1021"/>
      <c r="BU100" s="1021"/>
      <c r="BV100" s="1021"/>
      <c r="BW100" s="1021"/>
      <c r="BX100" s="1021"/>
      <c r="BY100" s="1021"/>
      <c r="BZ100" s="1021"/>
      <c r="CA100" s="1021"/>
      <c r="CB100" s="1021"/>
      <c r="CC100" s="1021"/>
      <c r="CD100" s="1021"/>
      <c r="CE100" s="1021"/>
      <c r="CF100" s="1021"/>
      <c r="CG100" s="1021"/>
      <c r="CH100" s="1021"/>
      <c r="CI100" s="1021"/>
      <c r="CJ100" s="1021"/>
      <c r="CK100" s="1021"/>
      <c r="CL100" s="1021"/>
      <c r="CM100" s="1021"/>
      <c r="CN100" s="1021"/>
      <c r="CO100" s="1021"/>
      <c r="CP100" s="1021"/>
      <c r="CQ100" s="1021"/>
      <c r="CR100" s="1021"/>
      <c r="CS100" s="1021"/>
      <c r="CT100" s="1021"/>
      <c r="CU100" s="1021"/>
      <c r="CV100" s="1021"/>
      <c r="CW100" s="1021"/>
      <c r="CX100" s="1021"/>
      <c r="CY100" s="1021"/>
      <c r="CZ100" s="1021"/>
      <c r="DA100" s="1021"/>
      <c r="DB100" s="1021"/>
      <c r="DC100" s="1021"/>
      <c r="DD100" s="1021"/>
      <c r="DE100" s="1021"/>
      <c r="DF100" s="1021"/>
      <c r="DG100" s="1021"/>
      <c r="DH100" s="1021"/>
      <c r="DI100" s="1021"/>
      <c r="DJ100" s="1021"/>
      <c r="DK100" s="1021"/>
      <c r="DL100" s="1021"/>
      <c r="DM100" s="1021"/>
      <c r="DN100" s="1021"/>
      <c r="DO100" s="1021"/>
      <c r="DP100" s="1021"/>
      <c r="DQ100" s="1021"/>
      <c r="DR100" s="1021"/>
      <c r="DS100" s="1021"/>
      <c r="DT100" s="1021"/>
      <c r="DU100" s="1021"/>
      <c r="DV100" s="1021"/>
      <c r="DW100" s="1021"/>
      <c r="DX100" s="1021"/>
      <c r="DY100" s="1021"/>
      <c r="DZ100" s="1021"/>
      <c r="EA100" s="1021"/>
      <c r="EB100" s="1021"/>
      <c r="EC100" s="1021"/>
      <c r="ED100" s="1021"/>
      <c r="EE100" s="1021"/>
      <c r="EF100" s="1021"/>
      <c r="EG100" s="1021"/>
      <c r="EH100" s="1021"/>
      <c r="EI100" s="1021"/>
      <c r="EJ100" s="1021"/>
      <c r="EK100" s="1021"/>
      <c r="EL100" s="1021"/>
      <c r="EM100" s="1021"/>
      <c r="EN100" s="1021"/>
      <c r="EO100" s="1021"/>
      <c r="EP100" s="1021"/>
      <c r="EQ100" s="1021"/>
      <c r="ER100" s="1021"/>
      <c r="ES100" s="1021"/>
      <c r="ET100" s="1021"/>
      <c r="EU100" s="1021"/>
      <c r="EV100" s="1021"/>
      <c r="EW100" s="1021"/>
      <c r="EX100" s="1021"/>
      <c r="EY100" s="1021"/>
      <c r="EZ100" s="1021"/>
      <c r="FA100" s="1021"/>
      <c r="FB100" s="1021"/>
      <c r="FC100" s="1021"/>
      <c r="FD100" s="1021"/>
      <c r="FE100" s="1021"/>
      <c r="FF100" s="1021"/>
      <c r="FG100" s="1021"/>
      <c r="FH100" s="1021"/>
      <c r="FI100" s="1021"/>
      <c r="FJ100" s="1021"/>
      <c r="FK100" s="1021"/>
      <c r="FL100" s="1021"/>
      <c r="FM100" s="1021"/>
      <c r="FN100" s="1021"/>
      <c r="FO100" s="1021"/>
      <c r="FP100" s="1021"/>
      <c r="FQ100" s="1021"/>
      <c r="FR100" s="1021"/>
      <c r="FS100" s="1021"/>
      <c r="FT100" s="1021"/>
      <c r="FU100" s="1021"/>
      <c r="FV100" s="1021"/>
      <c r="FW100" s="1021"/>
      <c r="FX100" s="1021"/>
      <c r="FY100" s="1021"/>
      <c r="FZ100" s="1021"/>
      <c r="GA100" s="1021"/>
      <c r="GB100" s="1021"/>
      <c r="GC100" s="1021"/>
      <c r="GD100" s="1021"/>
      <c r="GE100" s="1021"/>
      <c r="GF100" s="1021"/>
      <c r="GG100" s="1021"/>
      <c r="GH100" s="1021"/>
      <c r="GI100" s="1021"/>
      <c r="GJ100" s="1021"/>
      <c r="GK100" s="1021"/>
      <c r="GL100" s="1021"/>
      <c r="GM100" s="1021"/>
      <c r="GN100" s="1021"/>
      <c r="GO100" s="1021"/>
      <c r="GP100" s="1021"/>
      <c r="GQ100" s="1021"/>
      <c r="GR100" s="1021"/>
      <c r="GS100" s="1021"/>
      <c r="GT100" s="1021"/>
      <c r="GU100" s="1021"/>
      <c r="GV100" s="1021"/>
      <c r="GW100" s="1021"/>
      <c r="GX100" s="1021"/>
      <c r="GY100" s="1021"/>
      <c r="GZ100" s="1021"/>
      <c r="HA100" s="1021"/>
      <c r="HB100" s="1021"/>
      <c r="HC100" s="1021"/>
      <c r="HD100" s="1021"/>
      <c r="HE100" s="1021"/>
      <c r="HF100" s="1021"/>
      <c r="HG100" s="1021"/>
      <c r="HH100" s="1021"/>
      <c r="HI100" s="1021"/>
      <c r="HJ100" s="1021"/>
      <c r="HK100" s="1021"/>
      <c r="HL100" s="1021"/>
      <c r="HM100" s="1021"/>
      <c r="HN100" s="1021"/>
      <c r="HO100" s="1021"/>
      <c r="HP100" s="1021"/>
      <c r="HQ100" s="1021"/>
      <c r="HR100" s="1021"/>
      <c r="HS100" s="1021"/>
      <c r="HT100" s="1021"/>
      <c r="HU100" s="1021"/>
      <c r="HV100" s="1021"/>
      <c r="HW100" s="1021"/>
      <c r="HX100" s="1021"/>
      <c r="HY100" s="1021"/>
      <c r="HZ100" s="1021"/>
      <c r="IA100" s="1021"/>
      <c r="IB100" s="1021"/>
      <c r="IC100" s="1021"/>
      <c r="ID100" s="1021"/>
      <c r="IE100" s="1021"/>
      <c r="IF100" s="1021"/>
      <c r="IG100" s="1021"/>
      <c r="IH100" s="1021"/>
      <c r="II100" s="1021"/>
      <c r="IJ100" s="1021"/>
      <c r="IK100" s="1021"/>
      <c r="IL100" s="1021"/>
      <c r="IM100" s="1021"/>
      <c r="IN100" s="1021"/>
      <c r="IO100" s="1021"/>
      <c r="IP100" s="1021"/>
      <c r="IQ100" s="1021"/>
      <c r="IR100" s="1021"/>
      <c r="IS100" s="1021"/>
      <c r="IT100" s="1021"/>
      <c r="IU100" s="1021"/>
      <c r="IV100" s="1021"/>
      <c r="IW100" s="1021"/>
      <c r="IX100" s="1021"/>
      <c r="IY100" s="1021"/>
      <c r="IZ100" s="1021"/>
      <c r="JA100" s="1021"/>
      <c r="JB100" s="1021"/>
      <c r="JC100" s="1021"/>
      <c r="JD100" s="1021"/>
      <c r="JE100" s="1021"/>
      <c r="JF100" s="1021"/>
      <c r="JG100" s="1021"/>
      <c r="JH100" s="1021"/>
      <c r="JI100" s="1021"/>
      <c r="JJ100" s="1021"/>
      <c r="JK100" s="1021"/>
      <c r="JL100" s="1021"/>
      <c r="JM100" s="1021"/>
      <c r="JN100" s="1021"/>
      <c r="JO100" s="1021"/>
      <c r="JP100" s="1021"/>
      <c r="JQ100" s="1021"/>
      <c r="JR100" s="1021"/>
      <c r="JS100" s="1021"/>
      <c r="JT100" s="1021"/>
      <c r="JU100" s="1021"/>
      <c r="JV100" s="1021"/>
      <c r="JW100" s="1021"/>
      <c r="JX100" s="1021"/>
      <c r="JY100" s="1021"/>
      <c r="JZ100" s="1021"/>
      <c r="KA100" s="1021"/>
      <c r="KB100" s="1021"/>
      <c r="KC100" s="1021"/>
      <c r="KD100" s="1021"/>
      <c r="KE100" s="1021"/>
      <c r="KF100" s="1021"/>
      <c r="KG100" s="1021"/>
      <c r="KH100" s="1021"/>
      <c r="KI100" s="1021"/>
      <c r="KJ100" s="1021"/>
      <c r="KK100" s="1021"/>
      <c r="KL100" s="1021"/>
      <c r="KM100" s="1021"/>
      <c r="KN100" s="1021"/>
      <c r="KO100" s="1021"/>
      <c r="KP100" s="1021"/>
      <c r="KQ100" s="1021"/>
      <c r="KR100" s="1021"/>
      <c r="KS100" s="1021"/>
      <c r="KT100" s="1021"/>
      <c r="KU100" s="1021"/>
      <c r="KV100" s="1021"/>
      <c r="KW100" s="1021"/>
      <c r="KX100" s="1021"/>
      <c r="KY100" s="1021"/>
      <c r="KZ100" s="1021"/>
      <c r="LA100" s="1021"/>
      <c r="LB100" s="1021"/>
      <c r="LC100" s="1021"/>
      <c r="LD100" s="1021"/>
      <c r="LE100" s="1021"/>
      <c r="LF100" s="1021"/>
      <c r="LG100" s="1021"/>
      <c r="LH100" s="1021"/>
      <c r="LI100" s="1021"/>
      <c r="LJ100" s="1021"/>
      <c r="LK100" s="1021"/>
      <c r="LL100" s="1021"/>
      <c r="LM100" s="1021"/>
      <c r="LN100" s="1021"/>
      <c r="LO100" s="1021"/>
      <c r="LP100" s="1021"/>
      <c r="LQ100" s="1021"/>
      <c r="LR100" s="1021"/>
      <c r="LS100" s="1021"/>
      <c r="LT100" s="1021"/>
      <c r="LU100" s="1021"/>
      <c r="LV100" s="1021"/>
      <c r="LW100" s="1021"/>
      <c r="LX100" s="1021"/>
      <c r="LY100" s="1021"/>
      <c r="LZ100" s="1021"/>
      <c r="MA100" s="1021"/>
      <c r="MB100" s="1021"/>
      <c r="MC100" s="1021"/>
      <c r="MD100" s="1021"/>
      <c r="ME100" s="1021"/>
      <c r="MF100" s="1021"/>
      <c r="MG100" s="1021"/>
      <c r="MH100" s="1021"/>
      <c r="MI100" s="1021"/>
      <c r="MJ100" s="1021"/>
      <c r="MK100" s="1021"/>
      <c r="ML100" s="1021"/>
      <c r="MM100" s="1021"/>
      <c r="MN100" s="1021"/>
      <c r="MO100" s="1021"/>
      <c r="MP100" s="1021"/>
      <c r="MQ100" s="1021"/>
      <c r="MR100" s="1021"/>
      <c r="MS100" s="1021"/>
      <c r="MT100" s="1021"/>
      <c r="MU100" s="1021"/>
      <c r="MV100" s="1021"/>
      <c r="MW100" s="1021"/>
      <c r="MX100" s="1021"/>
      <c r="MY100" s="1021"/>
      <c r="MZ100" s="1021"/>
      <c r="NA100" s="1021"/>
      <c r="NB100" s="1021"/>
      <c r="NC100" s="1021"/>
      <c r="ND100" s="1021"/>
      <c r="NE100" s="1021"/>
      <c r="NF100" s="1021"/>
      <c r="NG100" s="1021"/>
      <c r="NH100" s="1021"/>
      <c r="NI100" s="1021"/>
      <c r="NJ100" s="1021"/>
      <c r="NK100" s="1021"/>
      <c r="NL100" s="1021"/>
      <c r="NM100" s="1021"/>
      <c r="NN100" s="1021"/>
      <c r="NO100" s="1021"/>
      <c r="NP100" s="1021"/>
      <c r="NQ100" s="1021"/>
      <c r="NR100" s="1021"/>
      <c r="NS100" s="1021"/>
      <c r="NT100" s="1021"/>
      <c r="NU100" s="1021"/>
      <c r="NV100" s="1021"/>
      <c r="NW100" s="1021"/>
      <c r="NX100" s="1021"/>
      <c r="NY100" s="1021"/>
      <c r="NZ100" s="1021"/>
      <c r="OA100" s="1021"/>
      <c r="OB100" s="1021"/>
      <c r="OC100" s="1021"/>
      <c r="OD100" s="1021"/>
      <c r="OE100" s="1021"/>
      <c r="OF100" s="1021"/>
      <c r="OG100" s="1021"/>
      <c r="OH100" s="1021"/>
      <c r="OI100" s="1021"/>
      <c r="OJ100" s="1021"/>
      <c r="OK100" s="1021"/>
      <c r="OL100" s="1021"/>
      <c r="OM100" s="1021"/>
      <c r="ON100" s="1021"/>
      <c r="OO100" s="1021"/>
      <c r="OP100" s="1021"/>
      <c r="OQ100" s="1021"/>
      <c r="OR100" s="1021"/>
      <c r="OS100" s="1021"/>
      <c r="OT100" s="1021"/>
      <c r="OU100" s="1021"/>
      <c r="OV100" s="1021"/>
      <c r="OW100" s="1021"/>
      <c r="OX100" s="1021"/>
      <c r="OY100" s="1021"/>
      <c r="OZ100" s="1021"/>
      <c r="PA100" s="1021"/>
      <c r="PB100" s="1021"/>
      <c r="PC100" s="1021"/>
      <c r="PD100" s="1021"/>
      <c r="PE100" s="1021"/>
      <c r="PF100" s="1021"/>
      <c r="PG100" s="1021"/>
      <c r="PH100" s="1021"/>
      <c r="PI100" s="1021"/>
      <c r="PJ100" s="1021"/>
      <c r="PK100" s="1021"/>
      <c r="PL100" s="1021"/>
      <c r="PM100" s="1021"/>
      <c r="PN100" s="1021"/>
      <c r="PO100" s="1021"/>
      <c r="PP100" s="1021"/>
      <c r="PQ100" s="1021"/>
      <c r="PR100" s="1021"/>
      <c r="PS100" s="1021"/>
      <c r="PT100" s="1021"/>
      <c r="PU100" s="1021"/>
      <c r="PV100" s="1021"/>
      <c r="PW100" s="1021"/>
      <c r="PX100" s="1021"/>
      <c r="PY100" s="1021"/>
      <c r="PZ100" s="1021"/>
      <c r="QA100" s="1021"/>
      <c r="QB100" s="1021"/>
      <c r="QC100" s="1021"/>
      <c r="QD100" s="1021"/>
      <c r="QE100" s="1021"/>
      <c r="QF100" s="1021"/>
      <c r="QG100" s="1021"/>
      <c r="QH100" s="1021"/>
      <c r="QI100" s="1021"/>
      <c r="QJ100" s="1021"/>
      <c r="QK100" s="1021"/>
      <c r="QL100" s="1021"/>
      <c r="QM100" s="1021"/>
      <c r="QN100" s="1021"/>
      <c r="QO100" s="1021"/>
      <c r="QP100" s="1021"/>
      <c r="QQ100" s="1021"/>
      <c r="QR100" s="1021"/>
      <c r="QS100" s="1021"/>
      <c r="QT100" s="1021"/>
      <c r="QU100" s="1021"/>
      <c r="QV100" s="1021"/>
      <c r="QW100" s="1021"/>
      <c r="QX100" s="1021"/>
      <c r="QY100" s="1021"/>
      <c r="QZ100" s="1021"/>
      <c r="RA100" s="1021"/>
      <c r="RB100" s="1021"/>
      <c r="RC100" s="1021"/>
      <c r="RD100" s="1021"/>
      <c r="RE100" s="1021"/>
      <c r="RF100" s="1021"/>
      <c r="RG100" s="1021"/>
      <c r="RH100" s="1021"/>
      <c r="RI100" s="1021"/>
      <c r="RJ100" s="1021"/>
      <c r="RK100" s="1021"/>
      <c r="RL100" s="1021"/>
      <c r="RM100" s="1021"/>
      <c r="RN100" s="1021"/>
      <c r="RO100" s="1021"/>
      <c r="RP100" s="1021"/>
      <c r="RQ100" s="1021"/>
      <c r="RR100" s="1021"/>
      <c r="RS100" s="1021"/>
      <c r="RT100" s="1021"/>
      <c r="RU100" s="1021"/>
      <c r="RV100" s="1021"/>
      <c r="RW100" s="1021"/>
      <c r="RX100" s="1021"/>
      <c r="RY100" s="1021"/>
      <c r="RZ100" s="1021"/>
      <c r="SA100" s="1021"/>
      <c r="SB100" s="1021"/>
      <c r="SC100" s="1021"/>
      <c r="SD100" s="1021"/>
      <c r="SE100" s="1021"/>
      <c r="SF100" s="1021"/>
      <c r="SG100" s="1021"/>
      <c r="SH100" s="1021"/>
      <c r="SI100" s="1021"/>
      <c r="SJ100" s="1021"/>
      <c r="SK100" s="1021"/>
      <c r="SL100" s="1021"/>
      <c r="SM100" s="1021"/>
      <c r="SN100" s="1021"/>
      <c r="SO100" s="1021"/>
      <c r="SP100" s="1021"/>
      <c r="SQ100" s="1021"/>
      <c r="SR100" s="1021"/>
    </row>
    <row r="101" spans="1:512" s="1011" customFormat="1" ht="15" customHeight="1">
      <c r="A101"/>
      <c r="G101" s="1024"/>
      <c r="H101" s="1024"/>
      <c r="I101" s="1024"/>
      <c r="J101" s="1024"/>
      <c r="K101" s="1024"/>
      <c r="L101" s="1024"/>
      <c r="M101" s="1024"/>
      <c r="N101" s="1024"/>
      <c r="O101" s="1024"/>
      <c r="P101" s="1024"/>
      <c r="Q101" s="1024"/>
      <c r="R101" s="1024"/>
      <c r="S101" s="1024"/>
      <c r="T101" s="1024"/>
      <c r="U101" s="1024"/>
      <c r="V101" s="1024"/>
      <c r="W101" s="1024"/>
      <c r="X101" s="1024"/>
      <c r="Y101" s="1024"/>
      <c r="Z101" s="1024"/>
      <c r="AA101" s="1024"/>
      <c r="AB101" s="1024"/>
      <c r="AC101" s="1024"/>
      <c r="AD101" s="1024"/>
      <c r="AE101" s="1024"/>
      <c r="AF101" s="1024"/>
      <c r="AG101" s="1024"/>
      <c r="AH101" s="1024"/>
      <c r="AI101" s="1024"/>
      <c r="AJ101" s="1024"/>
      <c r="AK101" s="1024"/>
      <c r="AL101" s="1024"/>
      <c r="AM101" s="1024"/>
      <c r="AN101" s="1024"/>
      <c r="AO101" s="1024"/>
      <c r="AP101" s="1024"/>
      <c r="AQ101" s="1024"/>
      <c r="AR101" s="1024"/>
      <c r="AS101" s="1024"/>
      <c r="AT101" s="1024"/>
      <c r="AU101" s="1024"/>
      <c r="AV101" s="1024"/>
      <c r="AW101" s="1024"/>
      <c r="AX101" s="1024"/>
      <c r="AY101" s="1024"/>
      <c r="AZ101" s="1024"/>
      <c r="BA101" s="1024"/>
      <c r="BB101" s="1024"/>
      <c r="BC101" s="1024"/>
      <c r="BD101" s="1024"/>
      <c r="BE101" s="1024"/>
      <c r="BF101" s="1024"/>
      <c r="BG101" s="1024"/>
      <c r="BH101" s="1024"/>
      <c r="BI101" s="1024"/>
      <c r="BJ101" s="1024"/>
      <c r="BK101" s="1024"/>
      <c r="BL101" s="1024"/>
      <c r="BM101" s="1024"/>
      <c r="BN101" s="1024"/>
      <c r="BO101" s="1024"/>
      <c r="BP101" s="1024"/>
      <c r="BQ101" s="1024"/>
      <c r="BR101" s="1024"/>
      <c r="BS101" s="1024"/>
      <c r="BT101" s="1024"/>
      <c r="BU101" s="1024"/>
      <c r="BV101" s="1024"/>
      <c r="BW101" s="1024"/>
      <c r="BX101" s="1024"/>
      <c r="BY101" s="1024"/>
      <c r="BZ101" s="1024"/>
      <c r="CA101" s="1024"/>
      <c r="CB101" s="1024"/>
      <c r="CC101" s="1024"/>
      <c r="CD101" s="1024"/>
      <c r="CE101" s="1024"/>
      <c r="CF101" s="1024"/>
      <c r="CG101" s="1024"/>
      <c r="CH101" s="1024"/>
      <c r="CI101" s="1024"/>
      <c r="CJ101" s="1024"/>
      <c r="CK101" s="1024"/>
      <c r="CL101" s="1024"/>
      <c r="CM101" s="1024"/>
      <c r="CN101" s="1024"/>
      <c r="CO101" s="1024"/>
      <c r="CP101" s="1024"/>
      <c r="CQ101" s="1024"/>
      <c r="CR101" s="1024"/>
      <c r="CS101" s="1024"/>
      <c r="CT101" s="1024"/>
      <c r="CU101" s="1024"/>
      <c r="CV101" s="1024"/>
      <c r="CW101" s="1024"/>
      <c r="CX101" s="1024"/>
      <c r="CY101" s="1024"/>
      <c r="CZ101" s="1024"/>
      <c r="DA101" s="1024"/>
      <c r="DB101" s="1024"/>
      <c r="DC101" s="1024"/>
      <c r="DD101" s="1024"/>
      <c r="DE101" s="1024"/>
      <c r="DF101" s="1024"/>
      <c r="DG101" s="1024"/>
      <c r="DH101" s="1024"/>
      <c r="DI101" s="1024"/>
      <c r="DJ101" s="1024"/>
      <c r="DK101" s="1024"/>
      <c r="DL101" s="1024"/>
      <c r="DM101" s="1024"/>
      <c r="DN101" s="1024"/>
      <c r="DO101" s="1024"/>
      <c r="DP101" s="1024"/>
      <c r="DQ101" s="1024"/>
      <c r="DR101" s="1024"/>
      <c r="DS101" s="1024"/>
      <c r="DT101" s="1024"/>
      <c r="DU101" s="1024"/>
      <c r="DV101" s="1024"/>
      <c r="DW101" s="1024"/>
      <c r="DX101" s="1024"/>
      <c r="DY101" s="1024"/>
      <c r="DZ101" s="1024"/>
      <c r="EA101" s="1024"/>
      <c r="EB101" s="1024"/>
      <c r="EC101" s="1024"/>
      <c r="ED101" s="1024"/>
      <c r="EE101" s="1024"/>
      <c r="EF101" s="1024"/>
      <c r="EG101" s="1024"/>
      <c r="EH101" s="1024"/>
      <c r="EI101" s="1024"/>
      <c r="EJ101" s="1024"/>
      <c r="EK101" s="1024"/>
      <c r="EL101" s="1024"/>
      <c r="EM101" s="1024"/>
      <c r="EN101" s="1024"/>
      <c r="EO101" s="1024"/>
      <c r="EP101" s="1024"/>
      <c r="EQ101" s="1024"/>
      <c r="ER101" s="1024"/>
      <c r="ES101" s="1024"/>
      <c r="ET101" s="1024"/>
      <c r="EU101" s="1024"/>
      <c r="EV101" s="1024"/>
      <c r="EW101" s="1024"/>
      <c r="EX101" s="1024"/>
      <c r="EY101" s="1024"/>
      <c r="EZ101" s="1024"/>
      <c r="FA101" s="1024"/>
      <c r="FB101" s="1024"/>
      <c r="FC101" s="1024"/>
      <c r="FD101" s="1024"/>
      <c r="FE101" s="1024"/>
      <c r="FF101" s="1024"/>
      <c r="FG101" s="1024"/>
      <c r="FH101" s="1024"/>
      <c r="FI101" s="1024"/>
      <c r="FJ101" s="1024"/>
      <c r="FK101" s="1024"/>
      <c r="FL101" s="1024"/>
      <c r="FM101" s="1024"/>
      <c r="FN101" s="1024"/>
      <c r="FO101" s="1024"/>
      <c r="FP101" s="1024"/>
      <c r="FQ101" s="1024"/>
      <c r="FR101" s="1024"/>
      <c r="FS101" s="1024"/>
      <c r="FT101" s="1024"/>
      <c r="FU101" s="1024"/>
      <c r="FV101" s="1024"/>
      <c r="FW101" s="1024"/>
      <c r="FX101" s="1024"/>
      <c r="FY101" s="1024"/>
      <c r="FZ101" s="1024"/>
      <c r="GA101" s="1024"/>
      <c r="GB101" s="1024"/>
      <c r="GC101" s="1024"/>
      <c r="GD101" s="1024"/>
      <c r="GE101" s="1024"/>
      <c r="GF101" s="1024"/>
      <c r="GG101" s="1024"/>
      <c r="GH101" s="1024"/>
      <c r="GI101" s="1024"/>
      <c r="GJ101" s="1024"/>
      <c r="GK101" s="1024"/>
      <c r="GL101" s="1024"/>
      <c r="GM101" s="1024"/>
      <c r="GN101" s="1024"/>
      <c r="GO101" s="1024"/>
      <c r="GP101" s="1024"/>
      <c r="GQ101" s="1024"/>
      <c r="GR101" s="1024"/>
      <c r="GS101" s="1024"/>
      <c r="GT101" s="1024"/>
      <c r="GU101" s="1024"/>
      <c r="GV101" s="1024"/>
      <c r="GW101" s="1024"/>
      <c r="GX101" s="1024"/>
      <c r="GY101" s="1024"/>
      <c r="GZ101" s="1024"/>
      <c r="HA101" s="1024"/>
      <c r="HB101" s="1024"/>
      <c r="HC101" s="1024"/>
      <c r="HD101" s="1024"/>
      <c r="HE101" s="1024"/>
      <c r="HF101" s="1024"/>
      <c r="HG101" s="1024"/>
      <c r="HH101" s="1024"/>
      <c r="HI101" s="1024"/>
      <c r="HJ101" s="1024"/>
      <c r="HK101" s="1024"/>
      <c r="HL101" s="1024"/>
      <c r="HM101" s="1024"/>
      <c r="HN101" s="1024"/>
      <c r="HO101" s="1024"/>
      <c r="HP101" s="1024"/>
      <c r="HQ101" s="1024"/>
      <c r="HR101" s="1024"/>
      <c r="HS101" s="1024"/>
      <c r="HT101" s="1024"/>
      <c r="HU101" s="1024"/>
      <c r="HV101" s="1024"/>
      <c r="HW101" s="1024"/>
      <c r="HX101" s="1024"/>
      <c r="HY101" s="1024"/>
      <c r="HZ101" s="1024"/>
      <c r="IA101" s="1024"/>
      <c r="IB101" s="1024"/>
      <c r="IC101" s="1024"/>
      <c r="ID101" s="1024"/>
      <c r="IE101" s="1024"/>
      <c r="IF101" s="1024"/>
      <c r="IG101" s="1024"/>
      <c r="IH101" s="1024"/>
      <c r="II101" s="1024"/>
      <c r="IJ101" s="1024"/>
      <c r="IK101" s="1024"/>
      <c r="IL101" s="1024"/>
      <c r="IM101" s="1024"/>
      <c r="IN101" s="1024"/>
      <c r="IO101" s="1024"/>
      <c r="IP101" s="1024"/>
      <c r="IQ101" s="1024"/>
      <c r="IR101" s="1024"/>
      <c r="IS101" s="1024"/>
      <c r="IT101" s="1024"/>
      <c r="IU101" s="1024"/>
      <c r="IV101" s="1024"/>
      <c r="IW101" s="1024"/>
      <c r="IX101" s="1024"/>
      <c r="IY101" s="1024"/>
      <c r="IZ101" s="1024"/>
      <c r="JA101" s="1024"/>
      <c r="JB101" s="1024"/>
      <c r="JC101" s="1024"/>
      <c r="JD101" s="1024"/>
      <c r="JE101" s="1024"/>
      <c r="JF101" s="1024"/>
      <c r="JG101" s="1024"/>
      <c r="JH101" s="1024"/>
      <c r="JI101" s="1024"/>
      <c r="JJ101" s="1024"/>
      <c r="JK101" s="1024"/>
      <c r="JL101" s="1024"/>
      <c r="JM101" s="1024"/>
      <c r="JN101" s="1024"/>
      <c r="JO101" s="1024"/>
      <c r="JP101" s="1024"/>
      <c r="JQ101" s="1024"/>
      <c r="JR101" s="1024"/>
      <c r="JS101" s="1024"/>
      <c r="JT101" s="1024"/>
      <c r="JU101" s="1024"/>
      <c r="JV101" s="1024"/>
      <c r="JW101" s="1024"/>
      <c r="JX101" s="1024"/>
      <c r="JY101" s="1024"/>
      <c r="JZ101" s="1024"/>
      <c r="KA101" s="1024"/>
      <c r="KB101" s="1024"/>
      <c r="KC101" s="1024"/>
      <c r="KD101" s="1024"/>
      <c r="KE101" s="1024"/>
      <c r="KF101" s="1024"/>
      <c r="KG101" s="1024"/>
      <c r="KH101" s="1024"/>
      <c r="KI101" s="1024"/>
      <c r="KJ101" s="1024"/>
      <c r="KK101" s="1024"/>
      <c r="KL101" s="1024"/>
      <c r="KM101" s="1024"/>
      <c r="KN101" s="1024"/>
      <c r="KO101" s="1024"/>
      <c r="KP101" s="1024"/>
      <c r="KQ101" s="1024"/>
      <c r="KR101" s="1024"/>
      <c r="KS101" s="1024"/>
      <c r="KT101" s="1024"/>
      <c r="KU101" s="1024"/>
      <c r="KV101" s="1024"/>
      <c r="KW101" s="1024"/>
      <c r="KX101" s="1024"/>
      <c r="KY101" s="1024"/>
      <c r="KZ101" s="1024"/>
      <c r="LA101" s="1024"/>
      <c r="LB101" s="1024"/>
      <c r="LC101" s="1024"/>
      <c r="LD101" s="1024"/>
      <c r="LE101" s="1024"/>
      <c r="LF101" s="1024"/>
      <c r="LG101" s="1024"/>
      <c r="LH101" s="1024"/>
      <c r="LI101" s="1024"/>
      <c r="LJ101" s="1024"/>
      <c r="LK101" s="1024"/>
      <c r="LL101" s="1024"/>
      <c r="LM101" s="1024"/>
      <c r="LN101" s="1024"/>
      <c r="LO101" s="1024"/>
      <c r="LP101" s="1024"/>
      <c r="LQ101" s="1024"/>
      <c r="LR101" s="1024"/>
      <c r="LS101" s="1024"/>
      <c r="LT101" s="1024"/>
      <c r="LU101" s="1024"/>
      <c r="LV101" s="1024"/>
      <c r="LW101" s="1024"/>
      <c r="LX101" s="1024"/>
      <c r="LY101" s="1024"/>
      <c r="LZ101" s="1024"/>
      <c r="MA101" s="1024"/>
      <c r="MB101" s="1024"/>
      <c r="MC101" s="1024"/>
      <c r="MD101" s="1024"/>
      <c r="ME101" s="1024"/>
      <c r="MF101" s="1024"/>
      <c r="MG101" s="1024"/>
      <c r="MH101" s="1024"/>
      <c r="MI101" s="1024"/>
      <c r="MJ101" s="1024"/>
      <c r="MK101" s="1024"/>
      <c r="ML101" s="1024"/>
      <c r="MM101" s="1024"/>
      <c r="MN101" s="1024"/>
      <c r="MO101" s="1024"/>
      <c r="MP101" s="1024"/>
      <c r="MQ101" s="1024"/>
      <c r="MR101" s="1024"/>
      <c r="MS101" s="1024"/>
      <c r="MT101" s="1024"/>
      <c r="MU101" s="1024"/>
      <c r="MV101" s="1024"/>
      <c r="MW101" s="1024"/>
      <c r="MX101" s="1024"/>
      <c r="MY101" s="1024"/>
      <c r="MZ101" s="1024"/>
      <c r="NA101" s="1024"/>
      <c r="NB101" s="1024"/>
      <c r="NC101" s="1024"/>
      <c r="ND101" s="1024"/>
      <c r="NE101" s="1024"/>
      <c r="NF101" s="1024"/>
      <c r="NG101" s="1024"/>
      <c r="NH101" s="1024"/>
      <c r="NI101" s="1024"/>
      <c r="NJ101" s="1024"/>
      <c r="NK101" s="1024"/>
      <c r="NL101" s="1024"/>
      <c r="NM101" s="1024"/>
      <c r="NN101" s="1024"/>
      <c r="NO101" s="1024"/>
      <c r="NP101" s="1024"/>
      <c r="NQ101" s="1024"/>
      <c r="NR101" s="1024"/>
      <c r="NS101" s="1024"/>
      <c r="NT101" s="1024"/>
      <c r="NU101" s="1024"/>
      <c r="NV101" s="1024"/>
      <c r="NW101" s="1024"/>
      <c r="NX101" s="1024"/>
      <c r="NY101" s="1024"/>
      <c r="NZ101" s="1024"/>
      <c r="OA101" s="1024"/>
      <c r="OB101" s="1024"/>
      <c r="OC101" s="1024"/>
      <c r="OD101" s="1024"/>
      <c r="OE101" s="1024"/>
      <c r="OF101" s="1024"/>
      <c r="OG101" s="1024"/>
      <c r="OH101" s="1024"/>
      <c r="OI101" s="1024"/>
      <c r="OJ101" s="1024"/>
      <c r="OK101" s="1024"/>
      <c r="OL101" s="1024"/>
      <c r="OM101" s="1024"/>
      <c r="ON101" s="1024"/>
      <c r="OO101" s="1024"/>
      <c r="OP101" s="1024"/>
      <c r="OQ101" s="1024"/>
      <c r="OR101" s="1024"/>
      <c r="OS101" s="1024"/>
      <c r="OT101" s="1024"/>
      <c r="OU101" s="1024"/>
      <c r="OV101" s="1024"/>
      <c r="OW101" s="1024"/>
      <c r="OX101" s="1024"/>
      <c r="OY101" s="1024"/>
      <c r="OZ101" s="1024"/>
      <c r="PA101" s="1024"/>
      <c r="PB101" s="1024"/>
      <c r="PC101" s="1024"/>
      <c r="PD101" s="1024"/>
      <c r="PE101" s="1024"/>
      <c r="PF101" s="1024"/>
      <c r="PG101" s="1024"/>
      <c r="PH101" s="1024"/>
      <c r="PI101" s="1024"/>
      <c r="PJ101" s="1024"/>
      <c r="PK101" s="1024"/>
      <c r="PL101" s="1024"/>
      <c r="PM101" s="1024"/>
      <c r="PN101" s="1024"/>
      <c r="PO101" s="1024"/>
      <c r="PP101" s="1024"/>
      <c r="PQ101" s="1024"/>
      <c r="PR101" s="1024"/>
      <c r="PS101" s="1024"/>
      <c r="PT101" s="1024"/>
      <c r="PU101" s="1024"/>
      <c r="PV101" s="1024"/>
      <c r="PW101" s="1024"/>
      <c r="PX101" s="1024"/>
      <c r="PY101" s="1024"/>
      <c r="PZ101" s="1024"/>
      <c r="QA101" s="1024"/>
      <c r="QB101" s="1024"/>
      <c r="QC101" s="1024"/>
      <c r="QD101" s="1024"/>
      <c r="QE101" s="1024"/>
      <c r="QF101" s="1024"/>
      <c r="QG101" s="1024"/>
      <c r="QH101" s="1024"/>
      <c r="QI101" s="1024"/>
      <c r="QJ101" s="1024"/>
      <c r="QK101" s="1024"/>
      <c r="QL101" s="1024"/>
      <c r="QM101" s="1024"/>
      <c r="QN101" s="1024"/>
      <c r="QO101" s="1024"/>
      <c r="QP101" s="1024"/>
      <c r="QQ101" s="1024"/>
      <c r="QR101" s="1024"/>
      <c r="QS101" s="1024"/>
      <c r="QT101" s="1024"/>
      <c r="QU101" s="1024"/>
      <c r="QV101" s="1024"/>
      <c r="QW101" s="1024"/>
      <c r="QX101" s="1024"/>
      <c r="QY101" s="1024"/>
      <c r="QZ101" s="1024"/>
      <c r="RA101" s="1024"/>
      <c r="RB101" s="1024"/>
      <c r="RC101" s="1024"/>
      <c r="RD101" s="1024"/>
      <c r="RE101" s="1024"/>
      <c r="RF101" s="1024"/>
      <c r="RG101" s="1024"/>
      <c r="RH101" s="1024"/>
      <c r="RI101" s="1024"/>
      <c r="RJ101" s="1024"/>
      <c r="RK101" s="1024"/>
      <c r="RL101" s="1024"/>
      <c r="RM101" s="1024"/>
      <c r="RN101" s="1024"/>
      <c r="RO101" s="1024"/>
      <c r="RP101" s="1024"/>
      <c r="RQ101" s="1024"/>
      <c r="RR101" s="1024"/>
      <c r="RS101" s="1024"/>
      <c r="RT101" s="1024"/>
      <c r="RU101" s="1024"/>
      <c r="RV101" s="1024"/>
      <c r="RW101" s="1024"/>
      <c r="RX101" s="1024"/>
      <c r="RY101" s="1024"/>
      <c r="RZ101" s="1024"/>
      <c r="SA101" s="1024"/>
      <c r="SB101" s="1024"/>
      <c r="SC101" s="1024"/>
      <c r="SD101" s="1024"/>
      <c r="SE101" s="1024"/>
      <c r="SF101" s="1024"/>
      <c r="SG101" s="1024"/>
      <c r="SH101" s="1024"/>
      <c r="SI101" s="1024"/>
      <c r="SJ101" s="1024"/>
      <c r="SK101" s="1024"/>
      <c r="SL101" s="1024"/>
      <c r="SM101" s="1024"/>
      <c r="SN101" s="1024"/>
      <c r="SO101" s="1024"/>
      <c r="SP101" s="1024"/>
      <c r="SQ101" s="1024"/>
      <c r="SR101" s="1024"/>
    </row>
    <row r="102" spans="1:512" s="1011" customFormat="1" ht="15" customHeight="1">
      <c r="A102" s="1011" t="s">
        <v>2221</v>
      </c>
      <c r="C102"/>
      <c r="G102" s="1024"/>
      <c r="H102" s="1024"/>
      <c r="I102" s="1024"/>
      <c r="J102" s="1024"/>
      <c r="K102" s="1024"/>
      <c r="L102" s="1024"/>
      <c r="M102" s="1024"/>
      <c r="N102" s="1024"/>
      <c r="O102" s="1024"/>
      <c r="P102" s="1024"/>
      <c r="Q102" s="1024"/>
      <c r="R102" s="1024"/>
      <c r="S102" s="1024"/>
      <c r="T102" s="1024"/>
      <c r="U102" s="1024"/>
      <c r="V102" s="1024"/>
      <c r="W102" s="1024"/>
      <c r="X102" s="1024"/>
      <c r="Y102" s="1024"/>
      <c r="Z102" s="1024"/>
      <c r="AA102" s="1024"/>
      <c r="AB102" s="1024"/>
      <c r="AC102" s="1024"/>
      <c r="AD102" s="1024"/>
      <c r="AE102" s="1024"/>
      <c r="AF102" s="1024"/>
      <c r="AG102" s="1024"/>
      <c r="AH102" s="1024"/>
      <c r="AI102" s="1024"/>
      <c r="AJ102" s="1024"/>
      <c r="AK102" s="1024"/>
      <c r="AL102" s="1024"/>
      <c r="AM102" s="1024"/>
      <c r="AN102" s="1024"/>
      <c r="AO102" s="1024"/>
      <c r="AP102" s="1024"/>
      <c r="AQ102" s="1024"/>
      <c r="AR102" s="1024"/>
      <c r="AS102" s="1024"/>
      <c r="AT102" s="1024"/>
      <c r="AU102" s="1024"/>
      <c r="AV102" s="1024"/>
      <c r="AW102" s="1024"/>
      <c r="AX102" s="1024"/>
      <c r="AY102" s="1024"/>
      <c r="AZ102" s="1024"/>
      <c r="BA102" s="1024"/>
      <c r="BB102" s="1024"/>
      <c r="BC102" s="1024"/>
      <c r="BD102" s="1024"/>
      <c r="BE102" s="1024"/>
      <c r="BF102" s="1024"/>
      <c r="BG102" s="1024"/>
      <c r="BH102" s="1024"/>
      <c r="BI102" s="1024"/>
      <c r="BJ102" s="1024"/>
      <c r="BK102" s="1024"/>
      <c r="BL102" s="1024"/>
      <c r="BM102" s="1024"/>
      <c r="BN102" s="1024"/>
      <c r="BO102" s="1024"/>
      <c r="BP102" s="1024"/>
      <c r="BQ102" s="1024"/>
      <c r="BR102" s="1024"/>
      <c r="BS102" s="1024"/>
      <c r="BT102" s="1024"/>
      <c r="BU102" s="1024"/>
      <c r="BV102" s="1024"/>
      <c r="BW102" s="1024"/>
      <c r="BX102" s="1024"/>
      <c r="BY102" s="1024"/>
      <c r="BZ102" s="1024"/>
      <c r="CA102" s="1024"/>
      <c r="CB102" s="1024"/>
      <c r="CC102" s="1024"/>
      <c r="CD102" s="1024"/>
      <c r="CE102" s="1024"/>
      <c r="CF102" s="1024"/>
      <c r="CG102" s="1024"/>
      <c r="CH102" s="1024"/>
      <c r="CI102" s="1024"/>
      <c r="CJ102" s="1024"/>
      <c r="CK102" s="1024"/>
      <c r="CL102" s="1024"/>
      <c r="CM102" s="1024"/>
      <c r="CN102" s="1024"/>
      <c r="CO102" s="1024"/>
      <c r="CP102" s="1024"/>
      <c r="CQ102" s="1024"/>
      <c r="CR102" s="1024"/>
      <c r="CS102" s="1024"/>
      <c r="CT102" s="1024"/>
      <c r="CU102" s="1024"/>
      <c r="CV102" s="1024"/>
      <c r="CW102" s="1024"/>
      <c r="CX102" s="1024"/>
      <c r="CY102" s="1024"/>
      <c r="CZ102" s="1024"/>
      <c r="DA102" s="1024"/>
      <c r="DB102" s="1024"/>
      <c r="DC102" s="1024"/>
      <c r="DD102" s="1024"/>
      <c r="DE102" s="1024"/>
      <c r="DF102" s="1024"/>
      <c r="DG102" s="1024"/>
      <c r="DH102" s="1024"/>
      <c r="DI102" s="1024"/>
      <c r="DJ102" s="1024"/>
      <c r="DK102" s="1024"/>
      <c r="DL102" s="1024"/>
      <c r="DM102" s="1024"/>
      <c r="DN102" s="1024"/>
      <c r="DO102" s="1024"/>
      <c r="DP102" s="1024"/>
      <c r="DQ102" s="1024"/>
      <c r="DR102" s="1024"/>
      <c r="DS102" s="1024"/>
      <c r="DT102" s="1024"/>
      <c r="DU102" s="1024"/>
      <c r="DV102" s="1024"/>
      <c r="DW102" s="1024"/>
      <c r="DX102" s="1024"/>
      <c r="DY102" s="1024"/>
      <c r="DZ102" s="1024"/>
      <c r="EA102" s="1024"/>
      <c r="EB102" s="1024"/>
      <c r="EC102" s="1024"/>
      <c r="ED102" s="1024"/>
      <c r="EE102" s="1024"/>
      <c r="EF102" s="1024"/>
      <c r="EG102" s="1024"/>
      <c r="EH102" s="1024"/>
      <c r="EI102" s="1024"/>
      <c r="EJ102" s="1024"/>
      <c r="EK102" s="1024"/>
      <c r="EL102" s="1024"/>
      <c r="EM102" s="1024"/>
      <c r="EN102" s="1024"/>
      <c r="EO102" s="1024"/>
      <c r="EP102" s="1024"/>
      <c r="EQ102" s="1024"/>
      <c r="ER102" s="1024"/>
      <c r="ES102" s="1024"/>
      <c r="ET102" s="1024"/>
      <c r="EU102" s="1024"/>
      <c r="EV102" s="1024"/>
      <c r="EW102" s="1024"/>
      <c r="EX102" s="1024"/>
      <c r="EY102" s="1024"/>
      <c r="EZ102" s="1024"/>
      <c r="FA102" s="1024"/>
      <c r="FB102" s="1024"/>
      <c r="FC102" s="1024"/>
      <c r="FD102" s="1024"/>
      <c r="FE102" s="1024"/>
      <c r="FF102" s="1024"/>
      <c r="FG102" s="1024"/>
      <c r="FH102" s="1024"/>
      <c r="FI102" s="1024"/>
      <c r="FJ102" s="1024"/>
      <c r="FK102" s="1024"/>
      <c r="FL102" s="1024"/>
      <c r="FM102" s="1024"/>
      <c r="FN102" s="1024"/>
      <c r="FO102" s="1024"/>
      <c r="FP102" s="1024"/>
      <c r="FQ102" s="1024"/>
      <c r="FR102" s="1024"/>
      <c r="FS102" s="1024"/>
      <c r="FT102" s="1024"/>
      <c r="FU102" s="1024"/>
      <c r="FV102" s="1024"/>
      <c r="FW102" s="1024"/>
      <c r="FX102" s="1024"/>
      <c r="FY102" s="1024"/>
      <c r="FZ102" s="1024"/>
      <c r="GA102" s="1024"/>
      <c r="GB102" s="1024"/>
      <c r="GC102" s="1024"/>
      <c r="GD102" s="1024"/>
      <c r="GE102" s="1024"/>
      <c r="GF102" s="1024"/>
      <c r="GG102" s="1024"/>
      <c r="GH102" s="1024"/>
      <c r="GI102" s="1024"/>
      <c r="GJ102" s="1024"/>
      <c r="GK102" s="1024"/>
      <c r="GL102" s="1024"/>
      <c r="GM102" s="1024"/>
      <c r="GN102" s="1024"/>
      <c r="GO102" s="1024"/>
      <c r="GP102" s="1024"/>
      <c r="GQ102" s="1024"/>
      <c r="GR102" s="1024"/>
      <c r="GS102" s="1024"/>
      <c r="GT102" s="1024"/>
      <c r="GU102" s="1024"/>
      <c r="GV102" s="1024"/>
      <c r="GW102" s="1024"/>
      <c r="GX102" s="1024"/>
      <c r="GY102" s="1024"/>
      <c r="GZ102" s="1024"/>
      <c r="HA102" s="1024"/>
      <c r="HB102" s="1024"/>
      <c r="HC102" s="1024"/>
      <c r="HD102" s="1024"/>
      <c r="HE102" s="1024"/>
      <c r="HF102" s="1024"/>
      <c r="HG102" s="1024"/>
      <c r="HH102" s="1024"/>
      <c r="HI102" s="1024"/>
      <c r="HJ102" s="1024"/>
      <c r="HK102" s="1024"/>
      <c r="HL102" s="1024"/>
      <c r="HM102" s="1024"/>
      <c r="HN102" s="1024"/>
      <c r="HO102" s="1024"/>
      <c r="HP102" s="1024"/>
      <c r="HQ102" s="1024"/>
      <c r="HR102" s="1024"/>
      <c r="HS102" s="1024"/>
      <c r="HT102" s="1024"/>
      <c r="HU102" s="1024"/>
      <c r="HV102" s="1024"/>
      <c r="HW102" s="1024"/>
      <c r="HX102" s="1024"/>
      <c r="HY102" s="1024"/>
      <c r="HZ102" s="1024"/>
      <c r="IA102" s="1024"/>
      <c r="IB102" s="1024"/>
      <c r="IC102" s="1024"/>
      <c r="ID102" s="1024"/>
      <c r="IE102" s="1024"/>
      <c r="IF102" s="1024"/>
      <c r="IG102" s="1024"/>
      <c r="IH102" s="1024"/>
      <c r="II102" s="1024"/>
      <c r="IJ102" s="1024"/>
      <c r="IK102" s="1024"/>
      <c r="IL102" s="1024"/>
      <c r="IM102" s="1024"/>
      <c r="IN102" s="1024"/>
      <c r="IO102" s="1024"/>
      <c r="IP102" s="1024"/>
      <c r="IQ102" s="1024"/>
      <c r="IR102" s="1024"/>
      <c r="IS102" s="1024"/>
      <c r="IT102" s="1024"/>
      <c r="IU102" s="1024"/>
      <c r="IV102" s="1024"/>
      <c r="IW102" s="1024"/>
      <c r="IX102" s="1024"/>
      <c r="IY102" s="1024"/>
      <c r="IZ102" s="1024"/>
      <c r="JA102" s="1024"/>
      <c r="JB102" s="1024"/>
      <c r="JC102" s="1024"/>
      <c r="JD102" s="1024"/>
      <c r="JE102" s="1024"/>
      <c r="JF102" s="1024"/>
      <c r="JG102" s="1024"/>
      <c r="JH102" s="1024"/>
      <c r="JI102" s="1024"/>
      <c r="JJ102" s="1024"/>
      <c r="JK102" s="1024"/>
      <c r="JL102" s="1024"/>
      <c r="JM102" s="1024"/>
      <c r="JN102" s="1024"/>
      <c r="JO102" s="1024"/>
      <c r="JP102" s="1024"/>
      <c r="JQ102" s="1024"/>
      <c r="JR102" s="1024"/>
      <c r="JS102" s="1024"/>
      <c r="JT102" s="1024"/>
      <c r="JU102" s="1024"/>
      <c r="JV102" s="1024"/>
      <c r="JW102" s="1024"/>
      <c r="JX102" s="1024"/>
      <c r="JY102" s="1024"/>
      <c r="JZ102" s="1024"/>
      <c r="KA102" s="1024"/>
      <c r="KB102" s="1024"/>
      <c r="KC102" s="1024"/>
      <c r="KD102" s="1024"/>
      <c r="KE102" s="1024"/>
      <c r="KF102" s="1024"/>
      <c r="KG102" s="1024"/>
      <c r="KH102" s="1024"/>
      <c r="KI102" s="1024"/>
      <c r="KJ102" s="1024"/>
      <c r="KK102" s="1024"/>
      <c r="KL102" s="1024"/>
      <c r="KM102" s="1024"/>
      <c r="KN102" s="1024"/>
      <c r="KO102" s="1024"/>
      <c r="KP102" s="1024"/>
      <c r="KQ102" s="1024"/>
      <c r="KR102" s="1024"/>
      <c r="KS102" s="1024"/>
      <c r="KT102" s="1024"/>
      <c r="KU102" s="1024"/>
      <c r="KV102" s="1024"/>
      <c r="KW102" s="1024"/>
      <c r="KX102" s="1024"/>
      <c r="KY102" s="1024"/>
      <c r="KZ102" s="1024"/>
      <c r="LA102" s="1024"/>
      <c r="LB102" s="1024"/>
      <c r="LC102" s="1024"/>
      <c r="LD102" s="1024"/>
      <c r="LE102" s="1024"/>
      <c r="LF102" s="1024"/>
      <c r="LG102" s="1024"/>
      <c r="LH102" s="1024"/>
      <c r="LI102" s="1024"/>
      <c r="LJ102" s="1024"/>
      <c r="LK102" s="1024"/>
      <c r="LL102" s="1024"/>
      <c r="LM102" s="1024"/>
      <c r="LN102" s="1024"/>
      <c r="LO102" s="1024"/>
      <c r="LP102" s="1024"/>
      <c r="LQ102" s="1024"/>
      <c r="LR102" s="1024"/>
      <c r="LS102" s="1024"/>
      <c r="LT102" s="1024"/>
      <c r="LU102" s="1024"/>
      <c r="LV102" s="1024"/>
      <c r="LW102" s="1024"/>
      <c r="LX102" s="1024"/>
      <c r="LY102" s="1024"/>
      <c r="LZ102" s="1024"/>
      <c r="MA102" s="1024"/>
      <c r="MB102" s="1024"/>
      <c r="MC102" s="1024"/>
      <c r="MD102" s="1024"/>
      <c r="ME102" s="1024"/>
      <c r="MF102" s="1024"/>
      <c r="MG102" s="1024"/>
      <c r="MH102" s="1024"/>
      <c r="MI102" s="1024"/>
      <c r="MJ102" s="1024"/>
      <c r="MK102" s="1024"/>
      <c r="ML102" s="1024"/>
      <c r="MM102" s="1024"/>
      <c r="MN102" s="1024"/>
      <c r="MO102" s="1024"/>
      <c r="MP102" s="1024"/>
      <c r="MQ102" s="1024"/>
      <c r="MR102" s="1024"/>
      <c r="MS102" s="1024"/>
      <c r="MT102" s="1024"/>
      <c r="MU102" s="1024"/>
      <c r="MV102" s="1024"/>
      <c r="MW102" s="1024"/>
      <c r="MX102" s="1024"/>
      <c r="MY102" s="1024"/>
      <c r="MZ102" s="1024"/>
      <c r="NA102" s="1024"/>
      <c r="NB102" s="1024"/>
      <c r="NC102" s="1024"/>
      <c r="ND102" s="1024"/>
      <c r="NE102" s="1024"/>
      <c r="NF102" s="1024"/>
      <c r="NG102" s="1024"/>
      <c r="NH102" s="1024"/>
      <c r="NI102" s="1024"/>
      <c r="NJ102" s="1024"/>
      <c r="NK102" s="1024"/>
      <c r="NL102" s="1024"/>
      <c r="NM102" s="1024"/>
      <c r="NN102" s="1024"/>
      <c r="NO102" s="1024"/>
      <c r="NP102" s="1024"/>
      <c r="NQ102" s="1024"/>
      <c r="NR102" s="1024"/>
      <c r="NS102" s="1024"/>
      <c r="NT102" s="1024"/>
      <c r="NU102" s="1024"/>
      <c r="NV102" s="1024"/>
      <c r="NW102" s="1024"/>
      <c r="NX102" s="1024"/>
      <c r="NY102" s="1024"/>
      <c r="NZ102" s="1024"/>
      <c r="OA102" s="1024"/>
      <c r="OB102" s="1024"/>
      <c r="OC102" s="1024"/>
      <c r="OD102" s="1024"/>
      <c r="OE102" s="1024"/>
      <c r="OF102" s="1024"/>
      <c r="OG102" s="1024"/>
      <c r="OH102" s="1024"/>
      <c r="OI102" s="1024"/>
      <c r="OJ102" s="1024"/>
      <c r="OK102" s="1024"/>
      <c r="OL102" s="1024"/>
      <c r="OM102" s="1024"/>
      <c r="ON102" s="1024"/>
      <c r="OO102" s="1024"/>
      <c r="OP102" s="1024"/>
      <c r="OQ102" s="1024"/>
      <c r="OR102" s="1024"/>
      <c r="OS102" s="1024"/>
      <c r="OT102" s="1024"/>
      <c r="OU102" s="1024"/>
      <c r="OV102" s="1024"/>
      <c r="OW102" s="1024"/>
      <c r="OX102" s="1024"/>
      <c r="OY102" s="1024"/>
      <c r="OZ102" s="1024"/>
      <c r="PA102" s="1024"/>
      <c r="PB102" s="1024"/>
      <c r="PC102" s="1024"/>
      <c r="PD102" s="1024"/>
      <c r="PE102" s="1024"/>
      <c r="PF102" s="1024"/>
      <c r="PG102" s="1024"/>
      <c r="PH102" s="1024"/>
      <c r="PI102" s="1024"/>
      <c r="PJ102" s="1024"/>
      <c r="PK102" s="1024"/>
      <c r="PL102" s="1024"/>
      <c r="PM102" s="1024"/>
      <c r="PN102" s="1024"/>
      <c r="PO102" s="1024"/>
      <c r="PP102" s="1024"/>
      <c r="PQ102" s="1024"/>
      <c r="PR102" s="1024"/>
      <c r="PS102" s="1024"/>
      <c r="PT102" s="1024"/>
      <c r="PU102" s="1024"/>
      <c r="PV102" s="1024"/>
      <c r="PW102" s="1024"/>
      <c r="PX102" s="1024"/>
      <c r="PY102" s="1024"/>
      <c r="PZ102" s="1024"/>
      <c r="QA102" s="1024"/>
      <c r="QB102" s="1024"/>
      <c r="QC102" s="1024"/>
      <c r="QD102" s="1024"/>
      <c r="QE102" s="1024"/>
      <c r="QF102" s="1024"/>
      <c r="QG102" s="1024"/>
      <c r="QH102" s="1024"/>
      <c r="QI102" s="1024"/>
      <c r="QJ102" s="1024"/>
      <c r="QK102" s="1024"/>
      <c r="QL102" s="1024"/>
      <c r="QM102" s="1024"/>
      <c r="QN102" s="1024"/>
      <c r="QO102" s="1024"/>
      <c r="QP102" s="1024"/>
      <c r="QQ102" s="1024"/>
      <c r="QR102" s="1024"/>
      <c r="QS102" s="1024"/>
      <c r="QT102" s="1024"/>
      <c r="QU102" s="1024"/>
      <c r="QV102" s="1024"/>
      <c r="QW102" s="1024"/>
      <c r="QX102" s="1024"/>
      <c r="QY102" s="1024"/>
      <c r="QZ102" s="1024"/>
      <c r="RA102" s="1024"/>
      <c r="RB102" s="1024"/>
      <c r="RC102" s="1024"/>
      <c r="RD102" s="1024"/>
      <c r="RE102" s="1024"/>
      <c r="RF102" s="1024"/>
      <c r="RG102" s="1024"/>
      <c r="RH102" s="1024"/>
      <c r="RI102" s="1024"/>
      <c r="RJ102" s="1024"/>
      <c r="RK102" s="1024"/>
      <c r="RL102" s="1024"/>
      <c r="RM102" s="1024"/>
      <c r="RN102" s="1024"/>
      <c r="RO102" s="1024"/>
      <c r="RP102" s="1024"/>
      <c r="RQ102" s="1024"/>
      <c r="RR102" s="1024"/>
      <c r="RS102" s="1024"/>
      <c r="RT102" s="1024"/>
      <c r="RU102" s="1024"/>
      <c r="RV102" s="1024"/>
      <c r="RW102" s="1024"/>
      <c r="RX102" s="1024"/>
      <c r="RY102" s="1024"/>
      <c r="RZ102" s="1024"/>
      <c r="SA102" s="1024"/>
      <c r="SB102" s="1024"/>
      <c r="SC102" s="1024"/>
      <c r="SD102" s="1024"/>
      <c r="SE102" s="1024"/>
      <c r="SF102" s="1024"/>
      <c r="SG102" s="1024"/>
      <c r="SH102" s="1024"/>
      <c r="SI102" s="1024"/>
      <c r="SJ102" s="1024"/>
      <c r="SK102" s="1024"/>
      <c r="SL102" s="1024"/>
      <c r="SM102" s="1024"/>
      <c r="SN102" s="1024"/>
      <c r="SO102" s="1024"/>
      <c r="SP102" s="1024"/>
      <c r="SQ102" s="1024"/>
      <c r="SR102" s="1024"/>
    </row>
    <row r="103" spans="1:512" ht="15" customHeight="1">
      <c r="A103"/>
      <c r="B103" t="s">
        <v>2222</v>
      </c>
      <c r="C103"/>
      <c r="D103"/>
      <c r="E103" t="s">
        <v>169</v>
      </c>
      <c r="F103"/>
      <c r="G103" s="1022">
        <v>0</v>
      </c>
      <c r="H103" s="1022">
        <v>0</v>
      </c>
      <c r="I103" s="1022"/>
      <c r="J103" s="1022"/>
      <c r="K103" s="1022"/>
      <c r="L103" s="1022"/>
      <c r="M103" s="1022"/>
      <c r="N103" s="1022"/>
      <c r="O103" s="1022"/>
      <c r="P103" s="1022"/>
      <c r="Q103" s="1022"/>
      <c r="R103" s="1022"/>
      <c r="S103" s="1022"/>
      <c r="T103" s="1022"/>
      <c r="U103" s="1021"/>
      <c r="V103" s="1021"/>
      <c r="W103" s="1021"/>
      <c r="X103" s="1021"/>
      <c r="Y103" s="1021"/>
      <c r="Z103" s="1021"/>
      <c r="AA103" s="1021"/>
      <c r="AB103" s="1021"/>
      <c r="AC103" s="1021"/>
      <c r="AD103" s="1021"/>
      <c r="AE103" s="1021"/>
      <c r="AF103" s="1021"/>
      <c r="AG103" s="1021"/>
      <c r="AH103" s="1021"/>
      <c r="AI103" s="1021"/>
      <c r="AJ103" s="1021"/>
      <c r="AK103" s="1021"/>
      <c r="AL103" s="1021"/>
      <c r="AM103" s="1021"/>
      <c r="AN103" s="1021"/>
      <c r="AO103" s="1021"/>
      <c r="AP103" s="1021"/>
      <c r="AQ103" s="1021"/>
      <c r="AR103" s="1021"/>
      <c r="AS103" s="1021"/>
      <c r="AT103" s="1021"/>
      <c r="AU103" s="1021"/>
      <c r="AV103" s="1021"/>
      <c r="AW103" s="1021"/>
      <c r="AX103" s="1021"/>
      <c r="AY103" s="1021"/>
      <c r="AZ103" s="1021"/>
      <c r="BA103" s="1021"/>
      <c r="BB103" s="1021"/>
      <c r="BC103" s="1021"/>
      <c r="BD103" s="1021"/>
      <c r="BE103" s="1021"/>
      <c r="BF103" s="1021"/>
      <c r="BG103" s="1021"/>
      <c r="BH103" s="1021"/>
      <c r="BI103" s="1021"/>
      <c r="BJ103" s="1021"/>
      <c r="BK103" s="1021"/>
      <c r="BL103" s="1021"/>
      <c r="BM103" s="1021"/>
      <c r="BN103" s="1021"/>
      <c r="BO103" s="1021"/>
      <c r="BP103" s="1021"/>
      <c r="BQ103" s="1021"/>
      <c r="BR103" s="1021"/>
      <c r="BS103" s="1021"/>
      <c r="BT103" s="1021"/>
      <c r="BU103" s="1021"/>
      <c r="BV103" s="1021"/>
      <c r="BW103" s="1021"/>
      <c r="BX103" s="1021"/>
      <c r="BY103" s="1021"/>
      <c r="BZ103" s="1021"/>
      <c r="CA103" s="1021"/>
      <c r="CB103" s="1021"/>
      <c r="CC103" s="1021"/>
      <c r="CD103" s="1021"/>
      <c r="CE103" s="1021"/>
      <c r="CF103" s="1021"/>
      <c r="CG103" s="1021"/>
      <c r="CH103" s="1021"/>
      <c r="CI103" s="1021"/>
      <c r="CJ103" s="1021"/>
      <c r="CK103" s="1021"/>
      <c r="CL103" s="1021"/>
      <c r="CM103" s="1021"/>
      <c r="CN103" s="1021"/>
      <c r="CO103" s="1021"/>
      <c r="CP103" s="1021"/>
      <c r="CQ103" s="1021"/>
      <c r="CR103" s="1021"/>
      <c r="CS103" s="1021"/>
      <c r="CT103" s="1021"/>
      <c r="CU103" s="1021"/>
      <c r="CV103" s="1021"/>
      <c r="CW103" s="1021"/>
      <c r="CX103" s="1021"/>
      <c r="CY103" s="1021"/>
      <c r="CZ103" s="1021"/>
      <c r="DA103" s="1021"/>
      <c r="DB103" s="1021"/>
      <c r="DC103" s="1021"/>
      <c r="DD103" s="1021"/>
      <c r="DE103" s="1021"/>
      <c r="DF103" s="1021"/>
      <c r="DG103" s="1021"/>
      <c r="DH103" s="1021"/>
      <c r="DI103" s="1021"/>
      <c r="DJ103" s="1021"/>
      <c r="DK103" s="1021"/>
      <c r="DL103" s="1021"/>
      <c r="DM103" s="1021"/>
      <c r="DN103" s="1021"/>
      <c r="DO103" s="1021"/>
      <c r="DP103" s="1021"/>
      <c r="DQ103" s="1021"/>
      <c r="DR103" s="1021"/>
      <c r="DS103" s="1021"/>
      <c r="DT103" s="1021"/>
      <c r="DU103" s="1021"/>
      <c r="DV103" s="1021"/>
      <c r="DW103" s="1021"/>
      <c r="DX103" s="1021"/>
      <c r="DY103" s="1021"/>
      <c r="DZ103" s="1021"/>
      <c r="EA103" s="1021"/>
      <c r="EB103" s="1021"/>
      <c r="EC103" s="1021"/>
      <c r="ED103" s="1021"/>
      <c r="EE103" s="1021"/>
      <c r="EF103" s="1021"/>
      <c r="EG103" s="1021"/>
      <c r="EH103" s="1021"/>
      <c r="EI103" s="1021"/>
      <c r="EJ103" s="1021"/>
      <c r="EK103" s="1021"/>
      <c r="EL103" s="1021"/>
      <c r="EM103" s="1021"/>
      <c r="EN103" s="1021"/>
      <c r="EO103" s="1021"/>
      <c r="EP103" s="1021"/>
      <c r="EQ103" s="1021"/>
      <c r="ER103" s="1021"/>
      <c r="ES103" s="1021"/>
      <c r="ET103" s="1021"/>
      <c r="EU103" s="1021"/>
      <c r="EV103" s="1021"/>
      <c r="EW103" s="1021"/>
      <c r="EX103" s="1021"/>
      <c r="EY103" s="1021"/>
      <c r="EZ103" s="1021"/>
      <c r="FA103" s="1021"/>
      <c r="FB103" s="1021"/>
      <c r="FC103" s="1021"/>
      <c r="FD103" s="1021"/>
      <c r="FE103" s="1021"/>
      <c r="FF103" s="1021"/>
      <c r="FG103" s="1021"/>
      <c r="FH103" s="1021"/>
      <c r="FI103" s="1021"/>
      <c r="FJ103" s="1021"/>
      <c r="FK103" s="1021"/>
      <c r="FL103" s="1021"/>
      <c r="FM103" s="1021"/>
      <c r="FN103" s="1021"/>
      <c r="FO103" s="1021"/>
      <c r="FP103" s="1021"/>
      <c r="FQ103" s="1021"/>
      <c r="FR103" s="1021"/>
      <c r="FS103" s="1021"/>
      <c r="FT103" s="1021"/>
      <c r="FU103" s="1021"/>
      <c r="FV103" s="1021"/>
      <c r="FW103" s="1021"/>
      <c r="FX103" s="1021"/>
      <c r="FY103" s="1021"/>
      <c r="FZ103" s="1021"/>
      <c r="GA103" s="1021"/>
      <c r="GB103" s="1021"/>
      <c r="GC103" s="1021"/>
      <c r="GD103" s="1021"/>
      <c r="GE103" s="1021"/>
      <c r="GF103" s="1021"/>
      <c r="GG103" s="1021"/>
      <c r="GH103" s="1021"/>
      <c r="GI103" s="1021"/>
      <c r="GJ103" s="1021"/>
      <c r="GK103" s="1021"/>
      <c r="GL103" s="1021"/>
      <c r="GM103" s="1021"/>
      <c r="GN103" s="1021"/>
      <c r="GO103" s="1021"/>
      <c r="GP103" s="1021"/>
      <c r="GQ103" s="1021"/>
      <c r="GR103" s="1021"/>
      <c r="GS103" s="1021"/>
      <c r="GT103" s="1021"/>
      <c r="GU103" s="1021"/>
      <c r="GV103" s="1021"/>
      <c r="GW103" s="1021"/>
      <c r="GX103" s="1021"/>
      <c r="GY103" s="1021"/>
      <c r="GZ103" s="1021"/>
      <c r="HA103" s="1021"/>
      <c r="HB103" s="1021"/>
      <c r="HC103" s="1021"/>
      <c r="HD103" s="1021"/>
      <c r="HE103" s="1021"/>
      <c r="HF103" s="1021"/>
      <c r="HG103" s="1021"/>
      <c r="HH103" s="1021"/>
      <c r="HI103" s="1021"/>
      <c r="HJ103" s="1021"/>
      <c r="HK103" s="1021"/>
      <c r="HL103" s="1021"/>
      <c r="HM103" s="1021"/>
      <c r="HN103" s="1021"/>
      <c r="HO103" s="1021"/>
      <c r="HP103" s="1021"/>
      <c r="HQ103" s="1021"/>
      <c r="HR103" s="1021"/>
      <c r="HS103" s="1021"/>
      <c r="HT103" s="1021"/>
      <c r="HU103" s="1021"/>
      <c r="HV103" s="1021"/>
      <c r="HW103" s="1021"/>
      <c r="HX103" s="1021"/>
      <c r="HY103" s="1021"/>
      <c r="HZ103" s="1021"/>
      <c r="IA103" s="1021"/>
      <c r="IB103" s="1021"/>
      <c r="IC103" s="1021"/>
      <c r="ID103" s="1021"/>
      <c r="IE103" s="1021"/>
      <c r="IF103" s="1021"/>
      <c r="IG103" s="1021"/>
      <c r="IH103" s="1021"/>
      <c r="II103" s="1021"/>
      <c r="IJ103" s="1021"/>
      <c r="IK103" s="1021"/>
      <c r="IL103" s="1021"/>
      <c r="IM103" s="1021"/>
      <c r="IN103" s="1021"/>
      <c r="IO103" s="1021"/>
      <c r="IP103" s="1021"/>
      <c r="IQ103" s="1021"/>
      <c r="IR103" s="1021"/>
      <c r="IS103" s="1021"/>
      <c r="IT103" s="1021"/>
      <c r="IU103" s="1021"/>
      <c r="IV103" s="1021"/>
      <c r="IW103" s="1021"/>
      <c r="IX103" s="1021"/>
      <c r="IY103" s="1021"/>
      <c r="IZ103" s="1021"/>
      <c r="JA103" s="1021"/>
      <c r="JB103" s="1021"/>
      <c r="JC103" s="1021"/>
      <c r="JD103" s="1021"/>
      <c r="JE103" s="1021"/>
      <c r="JF103" s="1021"/>
      <c r="JG103" s="1021"/>
      <c r="JH103" s="1021"/>
      <c r="JI103" s="1021"/>
      <c r="JJ103" s="1021"/>
      <c r="JK103" s="1021"/>
      <c r="JL103" s="1021"/>
      <c r="JM103" s="1021"/>
      <c r="JN103" s="1021"/>
      <c r="JO103" s="1021"/>
      <c r="JP103" s="1021"/>
      <c r="JQ103" s="1021"/>
      <c r="JR103" s="1021"/>
      <c r="JS103" s="1021"/>
      <c r="JT103" s="1021"/>
      <c r="JU103" s="1021"/>
      <c r="JV103" s="1021"/>
      <c r="JW103" s="1021"/>
      <c r="JX103" s="1021"/>
      <c r="JY103" s="1021"/>
      <c r="JZ103" s="1021"/>
      <c r="KA103" s="1021"/>
      <c r="KB103" s="1021"/>
      <c r="KC103" s="1021"/>
      <c r="KD103" s="1021"/>
      <c r="KE103" s="1021"/>
      <c r="KF103" s="1021"/>
      <c r="KG103" s="1021"/>
      <c r="KH103" s="1021"/>
      <c r="KI103" s="1021"/>
      <c r="KJ103" s="1021"/>
      <c r="KK103" s="1021"/>
      <c r="KL103" s="1021"/>
      <c r="KM103" s="1021"/>
      <c r="KN103" s="1021"/>
      <c r="KO103" s="1021"/>
      <c r="KP103" s="1021"/>
      <c r="KQ103" s="1021"/>
      <c r="KR103" s="1021"/>
      <c r="KS103" s="1021"/>
      <c r="KT103" s="1021"/>
      <c r="KU103" s="1021"/>
      <c r="KV103" s="1021"/>
      <c r="KW103" s="1021"/>
      <c r="KX103" s="1021"/>
      <c r="KY103" s="1021"/>
      <c r="KZ103" s="1021"/>
      <c r="LA103" s="1021"/>
      <c r="LB103" s="1021"/>
      <c r="LC103" s="1021"/>
      <c r="LD103" s="1021"/>
      <c r="LE103" s="1021"/>
      <c r="LF103" s="1021"/>
      <c r="LG103" s="1021"/>
      <c r="LH103" s="1021"/>
      <c r="LI103" s="1021"/>
      <c r="LJ103" s="1021"/>
      <c r="LK103" s="1021"/>
      <c r="LL103" s="1021"/>
      <c r="LM103" s="1021"/>
      <c r="LN103" s="1021"/>
      <c r="LO103" s="1021"/>
      <c r="LP103" s="1021"/>
      <c r="LQ103" s="1021"/>
      <c r="LR103" s="1021"/>
      <c r="LS103" s="1021"/>
      <c r="LT103" s="1021"/>
      <c r="LU103" s="1021"/>
      <c r="LV103" s="1021"/>
      <c r="LW103" s="1021"/>
      <c r="LX103" s="1021"/>
      <c r="LY103" s="1021"/>
      <c r="LZ103" s="1021"/>
      <c r="MA103" s="1021"/>
      <c r="MB103" s="1021"/>
      <c r="MC103" s="1021"/>
      <c r="MD103" s="1021"/>
      <c r="ME103" s="1021"/>
      <c r="MF103" s="1021"/>
      <c r="MG103" s="1021"/>
      <c r="MH103" s="1021"/>
      <c r="MI103" s="1021"/>
      <c r="MJ103" s="1021"/>
      <c r="MK103" s="1021"/>
      <c r="ML103" s="1021"/>
      <c r="MM103" s="1021"/>
      <c r="MN103" s="1021"/>
      <c r="MO103" s="1021"/>
      <c r="MP103" s="1021"/>
      <c r="MQ103" s="1021"/>
      <c r="MR103" s="1021"/>
      <c r="MS103" s="1021"/>
      <c r="MT103" s="1021"/>
      <c r="MU103" s="1021"/>
      <c r="MV103" s="1021"/>
      <c r="MW103" s="1021"/>
      <c r="MX103" s="1021"/>
      <c r="MY103" s="1021"/>
      <c r="MZ103" s="1021"/>
      <c r="NA103" s="1021"/>
      <c r="NB103" s="1021"/>
      <c r="NC103" s="1021"/>
      <c r="ND103" s="1021"/>
      <c r="NE103" s="1021"/>
      <c r="NF103" s="1021"/>
      <c r="NG103" s="1021"/>
      <c r="NH103" s="1021"/>
      <c r="NI103" s="1021"/>
      <c r="NJ103" s="1021"/>
      <c r="NK103" s="1021"/>
      <c r="NL103" s="1021"/>
      <c r="NM103" s="1021"/>
      <c r="NN103" s="1021"/>
      <c r="NO103" s="1021"/>
      <c r="NP103" s="1021"/>
      <c r="NQ103" s="1021"/>
      <c r="NR103" s="1021"/>
      <c r="NS103" s="1021"/>
      <c r="NT103" s="1021"/>
      <c r="NU103" s="1021"/>
      <c r="NV103" s="1021"/>
      <c r="NW103" s="1021"/>
      <c r="NX103" s="1021"/>
      <c r="NY103" s="1021"/>
      <c r="NZ103" s="1021"/>
      <c r="OA103" s="1021"/>
      <c r="OB103" s="1021"/>
      <c r="OC103" s="1021"/>
      <c r="OD103" s="1021"/>
      <c r="OE103" s="1021"/>
      <c r="OF103" s="1021"/>
      <c r="OG103" s="1021"/>
      <c r="OH103" s="1021"/>
      <c r="OI103" s="1021"/>
      <c r="OJ103" s="1021"/>
      <c r="OK103" s="1021"/>
      <c r="OL103" s="1021"/>
      <c r="OM103" s="1021"/>
      <c r="ON103" s="1021"/>
      <c r="OO103" s="1021"/>
      <c r="OP103" s="1021"/>
      <c r="OQ103" s="1021"/>
      <c r="OR103" s="1021"/>
      <c r="OS103" s="1021"/>
      <c r="OT103" s="1021"/>
      <c r="OU103" s="1021"/>
      <c r="OV103" s="1021"/>
      <c r="OW103" s="1021"/>
      <c r="OX103" s="1021"/>
      <c r="OY103" s="1021"/>
      <c r="OZ103" s="1021"/>
      <c r="PA103" s="1021"/>
      <c r="PB103" s="1021"/>
      <c r="PC103" s="1021"/>
      <c r="PD103" s="1021"/>
      <c r="PE103" s="1021"/>
      <c r="PF103" s="1021"/>
      <c r="PG103" s="1021"/>
      <c r="PH103" s="1021"/>
      <c r="PI103" s="1021"/>
      <c r="PJ103" s="1021"/>
      <c r="PK103" s="1021"/>
      <c r="PL103" s="1021"/>
      <c r="PM103" s="1021"/>
      <c r="PN103" s="1021"/>
      <c r="PO103" s="1021"/>
      <c r="PP103" s="1021"/>
      <c r="PQ103" s="1021"/>
      <c r="PR103" s="1021"/>
      <c r="PS103" s="1021"/>
      <c r="PT103" s="1021"/>
      <c r="PU103" s="1021"/>
      <c r="PV103" s="1021"/>
      <c r="PW103" s="1021"/>
      <c r="PX103" s="1021"/>
      <c r="PY103" s="1021"/>
      <c r="PZ103" s="1021"/>
      <c r="QA103" s="1021"/>
      <c r="QB103" s="1021"/>
      <c r="QC103" s="1021"/>
      <c r="QD103" s="1021"/>
      <c r="QE103" s="1021"/>
      <c r="QF103" s="1021"/>
      <c r="QG103" s="1021"/>
      <c r="QH103" s="1021"/>
      <c r="QI103" s="1021"/>
      <c r="QJ103" s="1021"/>
      <c r="QK103" s="1021"/>
      <c r="QL103" s="1021"/>
      <c r="QM103" s="1021"/>
      <c r="QN103" s="1021"/>
      <c r="QO103" s="1021"/>
      <c r="QP103" s="1021"/>
      <c r="QQ103" s="1021"/>
      <c r="QR103" s="1021"/>
      <c r="QS103" s="1021"/>
      <c r="QT103" s="1021"/>
      <c r="QU103" s="1021"/>
      <c r="QV103" s="1021"/>
      <c r="QW103" s="1021"/>
      <c r="QX103" s="1021"/>
      <c r="QY103" s="1021"/>
      <c r="QZ103" s="1021"/>
      <c r="RA103" s="1021"/>
      <c r="RB103" s="1021"/>
      <c r="RC103" s="1021"/>
      <c r="RD103" s="1021"/>
      <c r="RE103" s="1021"/>
      <c r="RF103" s="1021"/>
      <c r="RG103" s="1021"/>
      <c r="RH103" s="1021"/>
      <c r="RI103" s="1021"/>
      <c r="RJ103" s="1021"/>
      <c r="RK103" s="1021"/>
      <c r="RL103" s="1021"/>
      <c r="RM103" s="1021"/>
      <c r="RN103" s="1021"/>
      <c r="RO103" s="1021"/>
      <c r="RP103" s="1021"/>
      <c r="RQ103" s="1021"/>
      <c r="RR103" s="1021"/>
      <c r="RS103" s="1021"/>
      <c r="RT103" s="1021"/>
      <c r="RU103" s="1021"/>
      <c r="RV103" s="1021"/>
      <c r="RW103" s="1021"/>
      <c r="RX103" s="1021"/>
      <c r="RY103" s="1021"/>
      <c r="RZ103" s="1021"/>
      <c r="SA103" s="1021"/>
      <c r="SB103" s="1021"/>
      <c r="SC103" s="1021"/>
      <c r="SD103" s="1021"/>
      <c r="SE103" s="1021"/>
      <c r="SF103" s="1021"/>
      <c r="SG103" s="1021"/>
      <c r="SH103" s="1021"/>
      <c r="SI103" s="1021"/>
      <c r="SJ103" s="1021"/>
      <c r="SK103" s="1021"/>
      <c r="SL103" s="1021"/>
      <c r="SM103" s="1021"/>
      <c r="SN103" s="1021"/>
      <c r="SO103" s="1021"/>
      <c r="SP103" s="1021"/>
      <c r="SQ103" s="1021"/>
      <c r="SR103" s="1021"/>
    </row>
    <row r="104" spans="1:512" ht="15" customHeight="1">
      <c r="A104"/>
      <c r="B104" t="s">
        <v>2223</v>
      </c>
      <c r="C104"/>
      <c r="D104"/>
      <c r="E104" t="s">
        <v>3848</v>
      </c>
      <c r="F104"/>
      <c r="G104" s="1023">
        <v>0</v>
      </c>
      <c r="H104" s="1023">
        <v>0</v>
      </c>
      <c r="I104" s="1023"/>
      <c r="J104" s="1023"/>
      <c r="K104" s="1023"/>
      <c r="L104" s="1023"/>
      <c r="M104" s="1023"/>
      <c r="N104" s="1023"/>
      <c r="O104" s="1023"/>
      <c r="P104" s="1023"/>
      <c r="Q104" s="1023"/>
      <c r="R104" s="1023"/>
      <c r="S104" s="1023"/>
      <c r="T104" s="1023"/>
      <c r="U104" s="1021"/>
      <c r="V104" s="1021"/>
      <c r="W104" s="1021"/>
      <c r="X104" s="1021"/>
      <c r="Y104" s="1021"/>
      <c r="Z104" s="1021"/>
      <c r="AA104" s="1021"/>
      <c r="AB104" s="1021"/>
      <c r="AC104" s="1021"/>
      <c r="AD104" s="1021"/>
      <c r="AE104" s="1021"/>
      <c r="AF104" s="1021"/>
      <c r="AG104" s="1021"/>
      <c r="AH104" s="1021"/>
      <c r="AI104" s="1021"/>
      <c r="AJ104" s="1021"/>
      <c r="AK104" s="1021"/>
      <c r="AL104" s="1021"/>
      <c r="AM104" s="1021"/>
      <c r="AN104" s="1021"/>
      <c r="AO104" s="1021"/>
      <c r="AP104" s="1021"/>
      <c r="AQ104" s="1021"/>
      <c r="AR104" s="1021"/>
      <c r="AS104" s="1021"/>
      <c r="AT104" s="1021"/>
      <c r="AU104" s="1021"/>
      <c r="AV104" s="1021"/>
      <c r="AW104" s="1021"/>
      <c r="AX104" s="1021"/>
      <c r="AY104" s="1021"/>
      <c r="AZ104" s="1021"/>
      <c r="BA104" s="1021"/>
      <c r="BB104" s="1021"/>
      <c r="BC104" s="1021"/>
      <c r="BD104" s="1021"/>
      <c r="BE104" s="1021"/>
      <c r="BF104" s="1021"/>
      <c r="BG104" s="1021"/>
      <c r="BH104" s="1021"/>
      <c r="BI104" s="1021"/>
      <c r="BJ104" s="1021"/>
      <c r="BK104" s="1021"/>
      <c r="BL104" s="1021"/>
      <c r="BM104" s="1021"/>
      <c r="BN104" s="1021"/>
      <c r="BO104" s="1021"/>
      <c r="BP104" s="1021"/>
      <c r="BQ104" s="1021"/>
      <c r="BR104" s="1021"/>
      <c r="BS104" s="1021"/>
      <c r="BT104" s="1021"/>
      <c r="BU104" s="1021"/>
      <c r="BV104" s="1021"/>
      <c r="BW104" s="1021"/>
      <c r="BX104" s="1021"/>
      <c r="BY104" s="1021"/>
      <c r="BZ104" s="1021"/>
      <c r="CA104" s="1021"/>
      <c r="CB104" s="1021"/>
      <c r="CC104" s="1021"/>
      <c r="CD104" s="1021"/>
      <c r="CE104" s="1021"/>
      <c r="CF104" s="1021"/>
      <c r="CG104" s="1021"/>
      <c r="CH104" s="1021"/>
      <c r="CI104" s="1021"/>
      <c r="CJ104" s="1021"/>
      <c r="CK104" s="1021"/>
      <c r="CL104" s="1021"/>
      <c r="CM104" s="1021"/>
      <c r="CN104" s="1021"/>
      <c r="CO104" s="1021"/>
      <c r="CP104" s="1021"/>
      <c r="CQ104" s="1021"/>
      <c r="CR104" s="1021"/>
      <c r="CS104" s="1021"/>
      <c r="CT104" s="1021"/>
      <c r="CU104" s="1021"/>
      <c r="CV104" s="1021"/>
      <c r="CW104" s="1021"/>
      <c r="CX104" s="1021"/>
      <c r="CY104" s="1021"/>
      <c r="CZ104" s="1021"/>
      <c r="DA104" s="1021"/>
      <c r="DB104" s="1021"/>
      <c r="DC104" s="1021"/>
      <c r="DD104" s="1021"/>
      <c r="DE104" s="1021"/>
      <c r="DF104" s="1021"/>
      <c r="DG104" s="1021"/>
      <c r="DH104" s="1021"/>
      <c r="DI104" s="1021"/>
      <c r="DJ104" s="1021"/>
      <c r="DK104" s="1021"/>
      <c r="DL104" s="1021"/>
      <c r="DM104" s="1021"/>
      <c r="DN104" s="1021"/>
      <c r="DO104" s="1021"/>
      <c r="DP104" s="1021"/>
      <c r="DQ104" s="1021"/>
      <c r="DR104" s="1021"/>
      <c r="DS104" s="1021"/>
      <c r="DT104" s="1021"/>
      <c r="DU104" s="1021"/>
      <c r="DV104" s="1021"/>
      <c r="DW104" s="1021"/>
      <c r="DX104" s="1021"/>
      <c r="DY104" s="1021"/>
      <c r="DZ104" s="1021"/>
      <c r="EA104" s="1021"/>
      <c r="EB104" s="1021"/>
      <c r="EC104" s="1021"/>
      <c r="ED104" s="1021"/>
      <c r="EE104" s="1021"/>
      <c r="EF104" s="1021"/>
      <c r="EG104" s="1021"/>
      <c r="EH104" s="1021"/>
      <c r="EI104" s="1021"/>
      <c r="EJ104" s="1021"/>
      <c r="EK104" s="1021"/>
      <c r="EL104" s="1021"/>
      <c r="EM104" s="1021"/>
      <c r="EN104" s="1021"/>
      <c r="EO104" s="1021"/>
      <c r="EP104" s="1021"/>
      <c r="EQ104" s="1021"/>
      <c r="ER104" s="1021"/>
      <c r="ES104" s="1021"/>
      <c r="ET104" s="1021"/>
      <c r="EU104" s="1021"/>
      <c r="EV104" s="1021"/>
      <c r="EW104" s="1021"/>
      <c r="EX104" s="1021"/>
      <c r="EY104" s="1021"/>
      <c r="EZ104" s="1021"/>
      <c r="FA104" s="1021"/>
      <c r="FB104" s="1021"/>
      <c r="FC104" s="1021"/>
      <c r="FD104" s="1021"/>
      <c r="FE104" s="1021"/>
      <c r="FF104" s="1021"/>
      <c r="FG104" s="1021"/>
      <c r="FH104" s="1021"/>
      <c r="FI104" s="1021"/>
      <c r="FJ104" s="1021"/>
      <c r="FK104" s="1021"/>
      <c r="FL104" s="1021"/>
      <c r="FM104" s="1021"/>
      <c r="FN104" s="1021"/>
      <c r="FO104" s="1021"/>
      <c r="FP104" s="1021"/>
      <c r="FQ104" s="1021"/>
      <c r="FR104" s="1021"/>
      <c r="FS104" s="1021"/>
      <c r="FT104" s="1021"/>
      <c r="FU104" s="1021"/>
      <c r="FV104" s="1021"/>
      <c r="FW104" s="1021"/>
      <c r="FX104" s="1021"/>
      <c r="FY104" s="1021"/>
      <c r="FZ104" s="1021"/>
      <c r="GA104" s="1021"/>
      <c r="GB104" s="1021"/>
      <c r="GC104" s="1021"/>
      <c r="GD104" s="1021"/>
      <c r="GE104" s="1021"/>
      <c r="GF104" s="1021"/>
      <c r="GG104" s="1021"/>
      <c r="GH104" s="1021"/>
      <c r="GI104" s="1021"/>
      <c r="GJ104" s="1021"/>
      <c r="GK104" s="1021"/>
      <c r="GL104" s="1021"/>
      <c r="GM104" s="1021"/>
      <c r="GN104" s="1021"/>
      <c r="GO104" s="1021"/>
      <c r="GP104" s="1021"/>
      <c r="GQ104" s="1021"/>
      <c r="GR104" s="1021"/>
      <c r="GS104" s="1021"/>
      <c r="GT104" s="1021"/>
      <c r="GU104" s="1021"/>
      <c r="GV104" s="1021"/>
      <c r="GW104" s="1021"/>
      <c r="GX104" s="1021"/>
      <c r="GY104" s="1021"/>
      <c r="GZ104" s="1021"/>
      <c r="HA104" s="1021"/>
      <c r="HB104" s="1021"/>
      <c r="HC104" s="1021"/>
      <c r="HD104" s="1021"/>
      <c r="HE104" s="1021"/>
      <c r="HF104" s="1021"/>
      <c r="HG104" s="1021"/>
      <c r="HH104" s="1021"/>
      <c r="HI104" s="1021"/>
      <c r="HJ104" s="1021"/>
      <c r="HK104" s="1021"/>
      <c r="HL104" s="1021"/>
      <c r="HM104" s="1021"/>
      <c r="HN104" s="1021"/>
      <c r="HO104" s="1021"/>
      <c r="HP104" s="1021"/>
      <c r="HQ104" s="1021"/>
      <c r="HR104" s="1021"/>
      <c r="HS104" s="1021"/>
      <c r="HT104" s="1021"/>
      <c r="HU104" s="1021"/>
      <c r="HV104" s="1021"/>
      <c r="HW104" s="1021"/>
      <c r="HX104" s="1021"/>
      <c r="HY104" s="1021"/>
      <c r="HZ104" s="1021"/>
      <c r="IA104" s="1021"/>
      <c r="IB104" s="1021"/>
      <c r="IC104" s="1021"/>
      <c r="ID104" s="1021"/>
      <c r="IE104" s="1021"/>
      <c r="IF104" s="1021"/>
      <c r="IG104" s="1021"/>
      <c r="IH104" s="1021"/>
      <c r="II104" s="1021"/>
      <c r="IJ104" s="1021"/>
      <c r="IK104" s="1021"/>
      <c r="IL104" s="1021"/>
      <c r="IM104" s="1021"/>
      <c r="IN104" s="1021"/>
      <c r="IO104" s="1021"/>
      <c r="IP104" s="1021"/>
      <c r="IQ104" s="1021"/>
      <c r="IR104" s="1021"/>
      <c r="IS104" s="1021"/>
      <c r="IT104" s="1021"/>
      <c r="IU104" s="1021"/>
      <c r="IV104" s="1021"/>
      <c r="IW104" s="1021"/>
      <c r="IX104" s="1021"/>
      <c r="IY104" s="1021"/>
      <c r="IZ104" s="1021"/>
      <c r="JA104" s="1021"/>
      <c r="JB104" s="1021"/>
      <c r="JC104" s="1021"/>
      <c r="JD104" s="1021"/>
      <c r="JE104" s="1021"/>
      <c r="JF104" s="1021"/>
      <c r="JG104" s="1021"/>
      <c r="JH104" s="1021"/>
      <c r="JI104" s="1021"/>
      <c r="JJ104" s="1021"/>
      <c r="JK104" s="1021"/>
      <c r="JL104" s="1021"/>
      <c r="JM104" s="1021"/>
      <c r="JN104" s="1021"/>
      <c r="JO104" s="1021"/>
      <c r="JP104" s="1021"/>
      <c r="JQ104" s="1021"/>
      <c r="JR104" s="1021"/>
      <c r="JS104" s="1021"/>
      <c r="JT104" s="1021"/>
      <c r="JU104" s="1021"/>
      <c r="JV104" s="1021"/>
      <c r="JW104" s="1021"/>
      <c r="JX104" s="1021"/>
      <c r="JY104" s="1021"/>
      <c r="JZ104" s="1021"/>
      <c r="KA104" s="1021"/>
      <c r="KB104" s="1021"/>
      <c r="KC104" s="1021"/>
      <c r="KD104" s="1021"/>
      <c r="KE104" s="1021"/>
      <c r="KF104" s="1021"/>
      <c r="KG104" s="1021"/>
      <c r="KH104" s="1021"/>
      <c r="KI104" s="1021"/>
      <c r="KJ104" s="1021"/>
      <c r="KK104" s="1021"/>
      <c r="KL104" s="1021"/>
      <c r="KM104" s="1021"/>
      <c r="KN104" s="1021"/>
      <c r="KO104" s="1021"/>
      <c r="KP104" s="1021"/>
      <c r="KQ104" s="1021"/>
      <c r="KR104" s="1021"/>
      <c r="KS104" s="1021"/>
      <c r="KT104" s="1021"/>
      <c r="KU104" s="1021"/>
      <c r="KV104" s="1021"/>
      <c r="KW104" s="1021"/>
      <c r="KX104" s="1021"/>
      <c r="KY104" s="1021"/>
      <c r="KZ104" s="1021"/>
      <c r="LA104" s="1021"/>
      <c r="LB104" s="1021"/>
      <c r="LC104" s="1021"/>
      <c r="LD104" s="1021"/>
      <c r="LE104" s="1021"/>
      <c r="LF104" s="1021"/>
      <c r="LG104" s="1021"/>
      <c r="LH104" s="1021"/>
      <c r="LI104" s="1021"/>
      <c r="LJ104" s="1021"/>
      <c r="LK104" s="1021"/>
      <c r="LL104" s="1021"/>
      <c r="LM104" s="1021"/>
      <c r="LN104" s="1021"/>
      <c r="LO104" s="1021"/>
      <c r="LP104" s="1021"/>
      <c r="LQ104" s="1021"/>
      <c r="LR104" s="1021"/>
      <c r="LS104" s="1021"/>
      <c r="LT104" s="1021"/>
      <c r="LU104" s="1021"/>
      <c r="LV104" s="1021"/>
      <c r="LW104" s="1021"/>
      <c r="LX104" s="1021"/>
      <c r="LY104" s="1021"/>
      <c r="LZ104" s="1021"/>
      <c r="MA104" s="1021"/>
      <c r="MB104" s="1021"/>
      <c r="MC104" s="1021"/>
      <c r="MD104" s="1021"/>
      <c r="ME104" s="1021"/>
      <c r="MF104" s="1021"/>
      <c r="MG104" s="1021"/>
      <c r="MH104" s="1021"/>
      <c r="MI104" s="1021"/>
      <c r="MJ104" s="1021"/>
      <c r="MK104" s="1021"/>
      <c r="ML104" s="1021"/>
      <c r="MM104" s="1021"/>
      <c r="MN104" s="1021"/>
      <c r="MO104" s="1021"/>
      <c r="MP104" s="1021"/>
      <c r="MQ104" s="1021"/>
      <c r="MR104" s="1021"/>
      <c r="MS104" s="1021"/>
      <c r="MT104" s="1021"/>
      <c r="MU104" s="1021"/>
      <c r="MV104" s="1021"/>
      <c r="MW104" s="1021"/>
      <c r="MX104" s="1021"/>
      <c r="MY104" s="1021"/>
      <c r="MZ104" s="1021"/>
      <c r="NA104" s="1021"/>
      <c r="NB104" s="1021"/>
      <c r="NC104" s="1021"/>
      <c r="ND104" s="1021"/>
      <c r="NE104" s="1021"/>
      <c r="NF104" s="1021"/>
      <c r="NG104" s="1021"/>
      <c r="NH104" s="1021"/>
      <c r="NI104" s="1021"/>
      <c r="NJ104" s="1021"/>
      <c r="NK104" s="1021"/>
      <c r="NL104" s="1021"/>
      <c r="NM104" s="1021"/>
      <c r="NN104" s="1021"/>
      <c r="NO104" s="1021"/>
      <c r="NP104" s="1021"/>
      <c r="NQ104" s="1021"/>
      <c r="NR104" s="1021"/>
      <c r="NS104" s="1021"/>
      <c r="NT104" s="1021"/>
      <c r="NU104" s="1021"/>
      <c r="NV104" s="1021"/>
      <c r="NW104" s="1021"/>
      <c r="NX104" s="1021"/>
      <c r="NY104" s="1021"/>
      <c r="NZ104" s="1021"/>
      <c r="OA104" s="1021"/>
      <c r="OB104" s="1021"/>
      <c r="OC104" s="1021"/>
      <c r="OD104" s="1021"/>
      <c r="OE104" s="1021"/>
      <c r="OF104" s="1021"/>
      <c r="OG104" s="1021"/>
      <c r="OH104" s="1021"/>
      <c r="OI104" s="1021"/>
      <c r="OJ104" s="1021"/>
      <c r="OK104" s="1021"/>
      <c r="OL104" s="1021"/>
      <c r="OM104" s="1021"/>
      <c r="ON104" s="1021"/>
      <c r="OO104" s="1021"/>
      <c r="OP104" s="1021"/>
      <c r="OQ104" s="1021"/>
      <c r="OR104" s="1021"/>
      <c r="OS104" s="1021"/>
      <c r="OT104" s="1021"/>
      <c r="OU104" s="1021"/>
      <c r="OV104" s="1021"/>
      <c r="OW104" s="1021"/>
      <c r="OX104" s="1021"/>
      <c r="OY104" s="1021"/>
      <c r="OZ104" s="1021"/>
      <c r="PA104" s="1021"/>
      <c r="PB104" s="1021"/>
      <c r="PC104" s="1021"/>
      <c r="PD104" s="1021"/>
      <c r="PE104" s="1021"/>
      <c r="PF104" s="1021"/>
      <c r="PG104" s="1021"/>
      <c r="PH104" s="1021"/>
      <c r="PI104" s="1021"/>
      <c r="PJ104" s="1021"/>
      <c r="PK104" s="1021"/>
      <c r="PL104" s="1021"/>
      <c r="PM104" s="1021"/>
      <c r="PN104" s="1021"/>
      <c r="PO104" s="1021"/>
      <c r="PP104" s="1021"/>
      <c r="PQ104" s="1021"/>
      <c r="PR104" s="1021"/>
      <c r="PS104" s="1021"/>
      <c r="PT104" s="1021"/>
      <c r="PU104" s="1021"/>
      <c r="PV104" s="1021"/>
      <c r="PW104" s="1021"/>
      <c r="PX104" s="1021"/>
      <c r="PY104" s="1021"/>
      <c r="PZ104" s="1021"/>
      <c r="QA104" s="1021"/>
      <c r="QB104" s="1021"/>
      <c r="QC104" s="1021"/>
      <c r="QD104" s="1021"/>
      <c r="QE104" s="1021"/>
      <c r="QF104" s="1021"/>
      <c r="QG104" s="1021"/>
      <c r="QH104" s="1021"/>
      <c r="QI104" s="1021"/>
      <c r="QJ104" s="1021"/>
      <c r="QK104" s="1021"/>
      <c r="QL104" s="1021"/>
      <c r="QM104" s="1021"/>
      <c r="QN104" s="1021"/>
      <c r="QO104" s="1021"/>
      <c r="QP104" s="1021"/>
      <c r="QQ104" s="1021"/>
      <c r="QR104" s="1021"/>
      <c r="QS104" s="1021"/>
      <c r="QT104" s="1021"/>
      <c r="QU104" s="1021"/>
      <c r="QV104" s="1021"/>
      <c r="QW104" s="1021"/>
      <c r="QX104" s="1021"/>
      <c r="QY104" s="1021"/>
      <c r="QZ104" s="1021"/>
      <c r="RA104" s="1021"/>
      <c r="RB104" s="1021"/>
      <c r="RC104" s="1021"/>
      <c r="RD104" s="1021"/>
      <c r="RE104" s="1021"/>
      <c r="RF104" s="1021"/>
      <c r="RG104" s="1021"/>
      <c r="RH104" s="1021"/>
      <c r="RI104" s="1021"/>
      <c r="RJ104" s="1021"/>
      <c r="RK104" s="1021"/>
      <c r="RL104" s="1021"/>
      <c r="RM104" s="1021"/>
      <c r="RN104" s="1021"/>
      <c r="RO104" s="1021"/>
      <c r="RP104" s="1021"/>
      <c r="RQ104" s="1021"/>
      <c r="RR104" s="1021"/>
      <c r="RS104" s="1021"/>
      <c r="RT104" s="1021"/>
      <c r="RU104" s="1021"/>
      <c r="RV104" s="1021"/>
      <c r="RW104" s="1021"/>
      <c r="RX104" s="1021"/>
      <c r="RY104" s="1021"/>
      <c r="RZ104" s="1021"/>
      <c r="SA104" s="1021"/>
      <c r="SB104" s="1021"/>
      <c r="SC104" s="1021"/>
      <c r="SD104" s="1021"/>
      <c r="SE104" s="1021"/>
      <c r="SF104" s="1021"/>
      <c r="SG104" s="1021"/>
      <c r="SH104" s="1021"/>
      <c r="SI104" s="1021"/>
      <c r="SJ104" s="1021"/>
      <c r="SK104" s="1021"/>
      <c r="SL104" s="1021"/>
      <c r="SM104" s="1021"/>
      <c r="SN104" s="1021"/>
      <c r="SO104" s="1021"/>
      <c r="SP104" s="1021"/>
      <c r="SQ104" s="1021"/>
      <c r="SR104" s="1021"/>
    </row>
    <row r="105" spans="1:512" ht="15" customHeight="1">
      <c r="A105"/>
      <c r="B105"/>
      <c r="C105" t="s">
        <v>2224</v>
      </c>
      <c r="D105"/>
      <c r="E105" t="s">
        <v>3848</v>
      </c>
      <c r="F105"/>
      <c r="G105" s="1023">
        <v>0</v>
      </c>
      <c r="H105" s="1023">
        <v>0</v>
      </c>
      <c r="I105" s="1023"/>
      <c r="J105" s="1023"/>
      <c r="K105" s="1023"/>
      <c r="L105" s="1023"/>
      <c r="M105" s="1023"/>
      <c r="N105" s="1023"/>
      <c r="O105" s="1023"/>
      <c r="P105" s="1023"/>
      <c r="Q105" s="1023"/>
      <c r="R105" s="1023"/>
      <c r="S105" s="1023"/>
      <c r="T105" s="1023"/>
      <c r="U105" s="1021"/>
      <c r="V105" s="1021"/>
      <c r="W105" s="1021"/>
      <c r="X105" s="1021"/>
      <c r="Y105" s="1021"/>
      <c r="Z105" s="1021"/>
      <c r="AA105" s="1021"/>
      <c r="AB105" s="1021"/>
      <c r="AC105" s="1021"/>
      <c r="AD105" s="1021"/>
      <c r="AE105" s="1021"/>
      <c r="AF105" s="1021"/>
      <c r="AG105" s="1021"/>
      <c r="AH105" s="1021"/>
      <c r="AI105" s="1021"/>
      <c r="AJ105" s="1021"/>
      <c r="AK105" s="1021"/>
      <c r="AL105" s="1021"/>
      <c r="AM105" s="1021"/>
      <c r="AN105" s="1021"/>
      <c r="AO105" s="1021"/>
      <c r="AP105" s="1021"/>
      <c r="AQ105" s="1021"/>
      <c r="AR105" s="1021"/>
      <c r="AS105" s="1021"/>
      <c r="AT105" s="1021"/>
      <c r="AU105" s="1021"/>
      <c r="AV105" s="1021"/>
      <c r="AW105" s="1021"/>
      <c r="AX105" s="1021"/>
      <c r="AY105" s="1021"/>
      <c r="AZ105" s="1021"/>
      <c r="BA105" s="1021"/>
      <c r="BB105" s="1021"/>
      <c r="BC105" s="1021"/>
      <c r="BD105" s="1021"/>
      <c r="BE105" s="1021"/>
      <c r="BF105" s="1021"/>
      <c r="BG105" s="1021"/>
      <c r="BH105" s="1021"/>
      <c r="BI105" s="1021"/>
      <c r="BJ105" s="1021"/>
      <c r="BK105" s="1021"/>
      <c r="BL105" s="1021"/>
      <c r="BM105" s="1021"/>
      <c r="BN105" s="1021"/>
      <c r="BO105" s="1021"/>
      <c r="BP105" s="1021"/>
      <c r="BQ105" s="1021"/>
      <c r="BR105" s="1021"/>
      <c r="BS105" s="1021"/>
      <c r="BT105" s="1021"/>
      <c r="BU105" s="1021"/>
      <c r="BV105" s="1021"/>
      <c r="BW105" s="1021"/>
      <c r="BX105" s="1021"/>
      <c r="BY105" s="1021"/>
      <c r="BZ105" s="1021"/>
      <c r="CA105" s="1021"/>
      <c r="CB105" s="1021"/>
      <c r="CC105" s="1021"/>
      <c r="CD105" s="1021"/>
      <c r="CE105" s="1021"/>
      <c r="CF105" s="1021"/>
      <c r="CG105" s="1021"/>
      <c r="CH105" s="1021"/>
      <c r="CI105" s="1021"/>
      <c r="CJ105" s="1021"/>
      <c r="CK105" s="1021"/>
      <c r="CL105" s="1021"/>
      <c r="CM105" s="1021"/>
      <c r="CN105" s="1021"/>
      <c r="CO105" s="1021"/>
      <c r="CP105" s="1021"/>
      <c r="CQ105" s="1021"/>
      <c r="CR105" s="1021"/>
      <c r="CS105" s="1021"/>
      <c r="CT105" s="1021"/>
      <c r="CU105" s="1021"/>
      <c r="CV105" s="1021"/>
      <c r="CW105" s="1021"/>
      <c r="CX105" s="1021"/>
      <c r="CY105" s="1021"/>
      <c r="CZ105" s="1021"/>
      <c r="DA105" s="1021"/>
      <c r="DB105" s="1021"/>
      <c r="DC105" s="1021"/>
      <c r="DD105" s="1021"/>
      <c r="DE105" s="1021"/>
      <c r="DF105" s="1021"/>
      <c r="DG105" s="1021"/>
      <c r="DH105" s="1021"/>
      <c r="DI105" s="1021"/>
      <c r="DJ105" s="1021"/>
      <c r="DK105" s="1021"/>
      <c r="DL105" s="1021"/>
      <c r="DM105" s="1021"/>
      <c r="DN105" s="1021"/>
      <c r="DO105" s="1021"/>
      <c r="DP105" s="1021"/>
      <c r="DQ105" s="1021"/>
      <c r="DR105" s="1021"/>
      <c r="DS105" s="1021"/>
      <c r="DT105" s="1021"/>
      <c r="DU105" s="1021"/>
      <c r="DV105" s="1021"/>
      <c r="DW105" s="1021"/>
      <c r="DX105" s="1021"/>
      <c r="DY105" s="1021"/>
      <c r="DZ105" s="1021"/>
      <c r="EA105" s="1021"/>
      <c r="EB105" s="1021"/>
      <c r="EC105" s="1021"/>
      <c r="ED105" s="1021"/>
      <c r="EE105" s="1021"/>
      <c r="EF105" s="1021"/>
      <c r="EG105" s="1021"/>
      <c r="EH105" s="1021"/>
      <c r="EI105" s="1021"/>
      <c r="EJ105" s="1021"/>
      <c r="EK105" s="1021"/>
      <c r="EL105" s="1021"/>
      <c r="EM105" s="1021"/>
      <c r="EN105" s="1021"/>
      <c r="EO105" s="1021"/>
      <c r="EP105" s="1021"/>
      <c r="EQ105" s="1021"/>
      <c r="ER105" s="1021"/>
      <c r="ES105" s="1021"/>
      <c r="ET105" s="1021"/>
      <c r="EU105" s="1021"/>
      <c r="EV105" s="1021"/>
      <c r="EW105" s="1021"/>
      <c r="EX105" s="1021"/>
      <c r="EY105" s="1021"/>
      <c r="EZ105" s="1021"/>
      <c r="FA105" s="1021"/>
      <c r="FB105" s="1021"/>
      <c r="FC105" s="1021"/>
      <c r="FD105" s="1021"/>
      <c r="FE105" s="1021"/>
      <c r="FF105" s="1021"/>
      <c r="FG105" s="1021"/>
      <c r="FH105" s="1021"/>
      <c r="FI105" s="1021"/>
      <c r="FJ105" s="1021"/>
      <c r="FK105" s="1021"/>
      <c r="FL105" s="1021"/>
      <c r="FM105" s="1021"/>
      <c r="FN105" s="1021"/>
      <c r="FO105" s="1021"/>
      <c r="FP105" s="1021"/>
      <c r="FQ105" s="1021"/>
      <c r="FR105" s="1021"/>
      <c r="FS105" s="1021"/>
      <c r="FT105" s="1021"/>
      <c r="FU105" s="1021"/>
      <c r="FV105" s="1021"/>
      <c r="FW105" s="1021"/>
      <c r="FX105" s="1021"/>
      <c r="FY105" s="1021"/>
      <c r="FZ105" s="1021"/>
      <c r="GA105" s="1021"/>
      <c r="GB105" s="1021"/>
      <c r="GC105" s="1021"/>
      <c r="GD105" s="1021"/>
      <c r="GE105" s="1021"/>
      <c r="GF105" s="1021"/>
      <c r="GG105" s="1021"/>
      <c r="GH105" s="1021"/>
      <c r="GI105" s="1021"/>
      <c r="GJ105" s="1021"/>
      <c r="GK105" s="1021"/>
      <c r="GL105" s="1021"/>
      <c r="GM105" s="1021"/>
      <c r="GN105" s="1021"/>
      <c r="GO105" s="1021"/>
      <c r="GP105" s="1021"/>
      <c r="GQ105" s="1021"/>
      <c r="GR105" s="1021"/>
      <c r="GS105" s="1021"/>
      <c r="GT105" s="1021"/>
      <c r="GU105" s="1021"/>
      <c r="GV105" s="1021"/>
      <c r="GW105" s="1021"/>
      <c r="GX105" s="1021"/>
      <c r="GY105" s="1021"/>
      <c r="GZ105" s="1021"/>
      <c r="HA105" s="1021"/>
      <c r="HB105" s="1021"/>
      <c r="HC105" s="1021"/>
      <c r="HD105" s="1021"/>
      <c r="HE105" s="1021"/>
      <c r="HF105" s="1021"/>
      <c r="HG105" s="1021"/>
      <c r="HH105" s="1021"/>
      <c r="HI105" s="1021"/>
      <c r="HJ105" s="1021"/>
      <c r="HK105" s="1021"/>
      <c r="HL105" s="1021"/>
      <c r="HM105" s="1021"/>
      <c r="HN105" s="1021"/>
      <c r="HO105" s="1021"/>
      <c r="HP105" s="1021"/>
      <c r="HQ105" s="1021"/>
      <c r="HR105" s="1021"/>
      <c r="HS105" s="1021"/>
      <c r="HT105" s="1021"/>
      <c r="HU105" s="1021"/>
      <c r="HV105" s="1021"/>
      <c r="HW105" s="1021"/>
      <c r="HX105" s="1021"/>
      <c r="HY105" s="1021"/>
      <c r="HZ105" s="1021"/>
      <c r="IA105" s="1021"/>
      <c r="IB105" s="1021"/>
      <c r="IC105" s="1021"/>
      <c r="ID105" s="1021"/>
      <c r="IE105" s="1021"/>
      <c r="IF105" s="1021"/>
      <c r="IG105" s="1021"/>
      <c r="IH105" s="1021"/>
      <c r="II105" s="1021"/>
      <c r="IJ105" s="1021"/>
      <c r="IK105" s="1021"/>
      <c r="IL105" s="1021"/>
      <c r="IM105" s="1021"/>
      <c r="IN105" s="1021"/>
      <c r="IO105" s="1021"/>
      <c r="IP105" s="1021"/>
      <c r="IQ105" s="1021"/>
      <c r="IR105" s="1021"/>
      <c r="IS105" s="1021"/>
      <c r="IT105" s="1021"/>
      <c r="IU105" s="1021"/>
      <c r="IV105" s="1021"/>
      <c r="IW105" s="1021"/>
      <c r="IX105" s="1021"/>
      <c r="IY105" s="1021"/>
      <c r="IZ105" s="1021"/>
      <c r="JA105" s="1021"/>
      <c r="JB105" s="1021"/>
      <c r="JC105" s="1021"/>
      <c r="JD105" s="1021"/>
      <c r="JE105" s="1021"/>
      <c r="JF105" s="1021"/>
      <c r="JG105" s="1021"/>
      <c r="JH105" s="1021"/>
      <c r="JI105" s="1021"/>
      <c r="JJ105" s="1021"/>
      <c r="JK105" s="1021"/>
      <c r="JL105" s="1021"/>
      <c r="JM105" s="1021"/>
      <c r="JN105" s="1021"/>
      <c r="JO105" s="1021"/>
      <c r="JP105" s="1021"/>
      <c r="JQ105" s="1021"/>
      <c r="JR105" s="1021"/>
      <c r="JS105" s="1021"/>
      <c r="JT105" s="1021"/>
      <c r="JU105" s="1021"/>
      <c r="JV105" s="1021"/>
      <c r="JW105" s="1021"/>
      <c r="JX105" s="1021"/>
      <c r="JY105" s="1021"/>
      <c r="JZ105" s="1021"/>
      <c r="KA105" s="1021"/>
      <c r="KB105" s="1021"/>
      <c r="KC105" s="1021"/>
      <c r="KD105" s="1021"/>
      <c r="KE105" s="1021"/>
      <c r="KF105" s="1021"/>
      <c r="KG105" s="1021"/>
      <c r="KH105" s="1021"/>
      <c r="KI105" s="1021"/>
      <c r="KJ105" s="1021"/>
      <c r="KK105" s="1021"/>
      <c r="KL105" s="1021"/>
      <c r="KM105" s="1021"/>
      <c r="KN105" s="1021"/>
      <c r="KO105" s="1021"/>
      <c r="KP105" s="1021"/>
      <c r="KQ105" s="1021"/>
      <c r="KR105" s="1021"/>
      <c r="KS105" s="1021"/>
      <c r="KT105" s="1021"/>
      <c r="KU105" s="1021"/>
      <c r="KV105" s="1021"/>
      <c r="KW105" s="1021"/>
      <c r="KX105" s="1021"/>
      <c r="KY105" s="1021"/>
      <c r="KZ105" s="1021"/>
      <c r="LA105" s="1021"/>
      <c r="LB105" s="1021"/>
      <c r="LC105" s="1021"/>
      <c r="LD105" s="1021"/>
      <c r="LE105" s="1021"/>
      <c r="LF105" s="1021"/>
      <c r="LG105" s="1021"/>
      <c r="LH105" s="1021"/>
      <c r="LI105" s="1021"/>
      <c r="LJ105" s="1021"/>
      <c r="LK105" s="1021"/>
      <c r="LL105" s="1021"/>
      <c r="LM105" s="1021"/>
      <c r="LN105" s="1021"/>
      <c r="LO105" s="1021"/>
      <c r="LP105" s="1021"/>
      <c r="LQ105" s="1021"/>
      <c r="LR105" s="1021"/>
      <c r="LS105" s="1021"/>
      <c r="LT105" s="1021"/>
      <c r="LU105" s="1021"/>
      <c r="LV105" s="1021"/>
      <c r="LW105" s="1021"/>
      <c r="LX105" s="1021"/>
      <c r="LY105" s="1021"/>
      <c r="LZ105" s="1021"/>
      <c r="MA105" s="1021"/>
      <c r="MB105" s="1021"/>
      <c r="MC105" s="1021"/>
      <c r="MD105" s="1021"/>
      <c r="ME105" s="1021"/>
      <c r="MF105" s="1021"/>
      <c r="MG105" s="1021"/>
      <c r="MH105" s="1021"/>
      <c r="MI105" s="1021"/>
      <c r="MJ105" s="1021"/>
      <c r="MK105" s="1021"/>
      <c r="ML105" s="1021"/>
      <c r="MM105" s="1021"/>
      <c r="MN105" s="1021"/>
      <c r="MO105" s="1021"/>
      <c r="MP105" s="1021"/>
      <c r="MQ105" s="1021"/>
      <c r="MR105" s="1021"/>
      <c r="MS105" s="1021"/>
      <c r="MT105" s="1021"/>
      <c r="MU105" s="1021"/>
      <c r="MV105" s="1021"/>
      <c r="MW105" s="1021"/>
      <c r="MX105" s="1021"/>
      <c r="MY105" s="1021"/>
      <c r="MZ105" s="1021"/>
      <c r="NA105" s="1021"/>
      <c r="NB105" s="1021"/>
      <c r="NC105" s="1021"/>
      <c r="ND105" s="1021"/>
      <c r="NE105" s="1021"/>
      <c r="NF105" s="1021"/>
      <c r="NG105" s="1021"/>
      <c r="NH105" s="1021"/>
      <c r="NI105" s="1021"/>
      <c r="NJ105" s="1021"/>
      <c r="NK105" s="1021"/>
      <c r="NL105" s="1021"/>
      <c r="NM105" s="1021"/>
      <c r="NN105" s="1021"/>
      <c r="NO105" s="1021"/>
      <c r="NP105" s="1021"/>
      <c r="NQ105" s="1021"/>
      <c r="NR105" s="1021"/>
      <c r="NS105" s="1021"/>
      <c r="NT105" s="1021"/>
      <c r="NU105" s="1021"/>
      <c r="NV105" s="1021"/>
      <c r="NW105" s="1021"/>
      <c r="NX105" s="1021"/>
      <c r="NY105" s="1021"/>
      <c r="NZ105" s="1021"/>
      <c r="OA105" s="1021"/>
      <c r="OB105" s="1021"/>
      <c r="OC105" s="1021"/>
      <c r="OD105" s="1021"/>
      <c r="OE105" s="1021"/>
      <c r="OF105" s="1021"/>
      <c r="OG105" s="1021"/>
      <c r="OH105" s="1021"/>
      <c r="OI105" s="1021"/>
      <c r="OJ105" s="1021"/>
      <c r="OK105" s="1021"/>
      <c r="OL105" s="1021"/>
      <c r="OM105" s="1021"/>
      <c r="ON105" s="1021"/>
      <c r="OO105" s="1021"/>
      <c r="OP105" s="1021"/>
      <c r="OQ105" s="1021"/>
      <c r="OR105" s="1021"/>
      <c r="OS105" s="1021"/>
      <c r="OT105" s="1021"/>
      <c r="OU105" s="1021"/>
      <c r="OV105" s="1021"/>
      <c r="OW105" s="1021"/>
      <c r="OX105" s="1021"/>
      <c r="OY105" s="1021"/>
      <c r="OZ105" s="1021"/>
      <c r="PA105" s="1021"/>
      <c r="PB105" s="1021"/>
      <c r="PC105" s="1021"/>
      <c r="PD105" s="1021"/>
      <c r="PE105" s="1021"/>
      <c r="PF105" s="1021"/>
      <c r="PG105" s="1021"/>
      <c r="PH105" s="1021"/>
      <c r="PI105" s="1021"/>
      <c r="PJ105" s="1021"/>
      <c r="PK105" s="1021"/>
      <c r="PL105" s="1021"/>
      <c r="PM105" s="1021"/>
      <c r="PN105" s="1021"/>
      <c r="PO105" s="1021"/>
      <c r="PP105" s="1021"/>
      <c r="PQ105" s="1021"/>
      <c r="PR105" s="1021"/>
      <c r="PS105" s="1021"/>
      <c r="PT105" s="1021"/>
      <c r="PU105" s="1021"/>
      <c r="PV105" s="1021"/>
      <c r="PW105" s="1021"/>
      <c r="PX105" s="1021"/>
      <c r="PY105" s="1021"/>
      <c r="PZ105" s="1021"/>
      <c r="QA105" s="1021"/>
      <c r="QB105" s="1021"/>
      <c r="QC105" s="1021"/>
      <c r="QD105" s="1021"/>
      <c r="QE105" s="1021"/>
      <c r="QF105" s="1021"/>
      <c r="QG105" s="1021"/>
      <c r="QH105" s="1021"/>
      <c r="QI105" s="1021"/>
      <c r="QJ105" s="1021"/>
      <c r="QK105" s="1021"/>
      <c r="QL105" s="1021"/>
      <c r="QM105" s="1021"/>
      <c r="QN105" s="1021"/>
      <c r="QO105" s="1021"/>
      <c r="QP105" s="1021"/>
      <c r="QQ105" s="1021"/>
      <c r="QR105" s="1021"/>
      <c r="QS105" s="1021"/>
      <c r="QT105" s="1021"/>
      <c r="QU105" s="1021"/>
      <c r="QV105" s="1021"/>
      <c r="QW105" s="1021"/>
      <c r="QX105" s="1021"/>
      <c r="QY105" s="1021"/>
      <c r="QZ105" s="1021"/>
      <c r="RA105" s="1021"/>
      <c r="RB105" s="1021"/>
      <c r="RC105" s="1021"/>
      <c r="RD105" s="1021"/>
      <c r="RE105" s="1021"/>
      <c r="RF105" s="1021"/>
      <c r="RG105" s="1021"/>
      <c r="RH105" s="1021"/>
      <c r="RI105" s="1021"/>
      <c r="RJ105" s="1021"/>
      <c r="RK105" s="1021"/>
      <c r="RL105" s="1021"/>
      <c r="RM105" s="1021"/>
      <c r="RN105" s="1021"/>
      <c r="RO105" s="1021"/>
      <c r="RP105" s="1021"/>
      <c r="RQ105" s="1021"/>
      <c r="RR105" s="1021"/>
      <c r="RS105" s="1021"/>
      <c r="RT105" s="1021"/>
      <c r="RU105" s="1021"/>
      <c r="RV105" s="1021"/>
      <c r="RW105" s="1021"/>
      <c r="RX105" s="1021"/>
      <c r="RY105" s="1021"/>
      <c r="RZ105" s="1021"/>
      <c r="SA105" s="1021"/>
      <c r="SB105" s="1021"/>
      <c r="SC105" s="1021"/>
      <c r="SD105" s="1021"/>
      <c r="SE105" s="1021"/>
      <c r="SF105" s="1021"/>
      <c r="SG105" s="1021"/>
      <c r="SH105" s="1021"/>
      <c r="SI105" s="1021"/>
      <c r="SJ105" s="1021"/>
      <c r="SK105" s="1021"/>
      <c r="SL105" s="1021"/>
      <c r="SM105" s="1021"/>
      <c r="SN105" s="1021"/>
      <c r="SO105" s="1021"/>
      <c r="SP105" s="1021"/>
      <c r="SQ105" s="1021"/>
      <c r="SR105" s="1021"/>
    </row>
    <row r="106" spans="1:512" ht="15" customHeight="1">
      <c r="A106"/>
      <c r="B106"/>
      <c r="C106" t="s">
        <v>2225</v>
      </c>
      <c r="D106"/>
      <c r="E106" t="s">
        <v>3848</v>
      </c>
      <c r="F106"/>
      <c r="G106" s="1023">
        <v>0</v>
      </c>
      <c r="H106" s="1023">
        <v>0</v>
      </c>
      <c r="I106" s="1023"/>
      <c r="J106" s="1023"/>
      <c r="K106" s="1023"/>
      <c r="L106" s="1023"/>
      <c r="M106" s="1023"/>
      <c r="N106" s="1023"/>
      <c r="O106" s="1023"/>
      <c r="P106" s="1023"/>
      <c r="Q106" s="1023"/>
      <c r="R106" s="1023"/>
      <c r="S106" s="1023"/>
      <c r="T106" s="1023"/>
      <c r="U106" s="1021"/>
      <c r="V106" s="1021"/>
      <c r="W106" s="1021"/>
      <c r="X106" s="1021"/>
      <c r="Y106" s="1021"/>
      <c r="Z106" s="1021"/>
      <c r="AA106" s="1021"/>
      <c r="AB106" s="1021"/>
      <c r="AC106" s="1021"/>
      <c r="AD106" s="1021"/>
      <c r="AE106" s="1021"/>
      <c r="AF106" s="1021"/>
      <c r="AG106" s="1021"/>
      <c r="AH106" s="1021"/>
      <c r="AI106" s="1021"/>
      <c r="AJ106" s="1021"/>
      <c r="AK106" s="1021"/>
      <c r="AL106" s="1021"/>
      <c r="AM106" s="1021"/>
      <c r="AN106" s="1021"/>
      <c r="AO106" s="1021"/>
      <c r="AP106" s="1021"/>
      <c r="AQ106" s="1021"/>
      <c r="AR106" s="1021"/>
      <c r="AS106" s="1021"/>
      <c r="AT106" s="1021"/>
      <c r="AU106" s="1021"/>
      <c r="AV106" s="1021"/>
      <c r="AW106" s="1021"/>
      <c r="AX106" s="1021"/>
      <c r="AY106" s="1021"/>
      <c r="AZ106" s="1021"/>
      <c r="BA106" s="1021"/>
      <c r="BB106" s="1021"/>
      <c r="BC106" s="1021"/>
      <c r="BD106" s="1021"/>
      <c r="BE106" s="1021"/>
      <c r="BF106" s="1021"/>
      <c r="BG106" s="1021"/>
      <c r="BH106" s="1021"/>
      <c r="BI106" s="1021"/>
      <c r="BJ106" s="1021"/>
      <c r="BK106" s="1021"/>
      <c r="BL106" s="1021"/>
      <c r="BM106" s="1021"/>
      <c r="BN106" s="1021"/>
      <c r="BO106" s="1021"/>
      <c r="BP106" s="1021"/>
      <c r="BQ106" s="1021"/>
      <c r="BR106" s="1021"/>
      <c r="BS106" s="1021"/>
      <c r="BT106" s="1021"/>
      <c r="BU106" s="1021"/>
      <c r="BV106" s="1021"/>
      <c r="BW106" s="1021"/>
      <c r="BX106" s="1021"/>
      <c r="BY106" s="1021"/>
      <c r="BZ106" s="1021"/>
      <c r="CA106" s="1021"/>
      <c r="CB106" s="1021"/>
      <c r="CC106" s="1021"/>
      <c r="CD106" s="1021"/>
      <c r="CE106" s="1021"/>
      <c r="CF106" s="1021"/>
      <c r="CG106" s="1021"/>
      <c r="CH106" s="1021"/>
      <c r="CI106" s="1021"/>
      <c r="CJ106" s="1021"/>
      <c r="CK106" s="1021"/>
      <c r="CL106" s="1021"/>
      <c r="CM106" s="1021"/>
      <c r="CN106" s="1021"/>
      <c r="CO106" s="1021"/>
      <c r="CP106" s="1021"/>
      <c r="CQ106" s="1021"/>
      <c r="CR106" s="1021"/>
      <c r="CS106" s="1021"/>
      <c r="CT106" s="1021"/>
      <c r="CU106" s="1021"/>
      <c r="CV106" s="1021"/>
      <c r="CW106" s="1021"/>
      <c r="CX106" s="1021"/>
      <c r="CY106" s="1021"/>
      <c r="CZ106" s="1021"/>
      <c r="DA106" s="1021"/>
      <c r="DB106" s="1021"/>
      <c r="DC106" s="1021"/>
      <c r="DD106" s="1021"/>
      <c r="DE106" s="1021"/>
      <c r="DF106" s="1021"/>
      <c r="DG106" s="1021"/>
      <c r="DH106" s="1021"/>
      <c r="DI106" s="1021"/>
      <c r="DJ106" s="1021"/>
      <c r="DK106" s="1021"/>
      <c r="DL106" s="1021"/>
      <c r="DM106" s="1021"/>
      <c r="DN106" s="1021"/>
      <c r="DO106" s="1021"/>
      <c r="DP106" s="1021"/>
      <c r="DQ106" s="1021"/>
      <c r="DR106" s="1021"/>
      <c r="DS106" s="1021"/>
      <c r="DT106" s="1021"/>
      <c r="DU106" s="1021"/>
      <c r="DV106" s="1021"/>
      <c r="DW106" s="1021"/>
      <c r="DX106" s="1021"/>
      <c r="DY106" s="1021"/>
      <c r="DZ106" s="1021"/>
      <c r="EA106" s="1021"/>
      <c r="EB106" s="1021"/>
      <c r="EC106" s="1021"/>
      <c r="ED106" s="1021"/>
      <c r="EE106" s="1021"/>
      <c r="EF106" s="1021"/>
      <c r="EG106" s="1021"/>
      <c r="EH106" s="1021"/>
      <c r="EI106" s="1021"/>
      <c r="EJ106" s="1021"/>
      <c r="EK106" s="1021"/>
      <c r="EL106" s="1021"/>
      <c r="EM106" s="1021"/>
      <c r="EN106" s="1021"/>
      <c r="EO106" s="1021"/>
      <c r="EP106" s="1021"/>
      <c r="EQ106" s="1021"/>
      <c r="ER106" s="1021"/>
      <c r="ES106" s="1021"/>
      <c r="ET106" s="1021"/>
      <c r="EU106" s="1021"/>
      <c r="EV106" s="1021"/>
      <c r="EW106" s="1021"/>
      <c r="EX106" s="1021"/>
      <c r="EY106" s="1021"/>
      <c r="EZ106" s="1021"/>
      <c r="FA106" s="1021"/>
      <c r="FB106" s="1021"/>
      <c r="FC106" s="1021"/>
      <c r="FD106" s="1021"/>
      <c r="FE106" s="1021"/>
      <c r="FF106" s="1021"/>
      <c r="FG106" s="1021"/>
      <c r="FH106" s="1021"/>
      <c r="FI106" s="1021"/>
      <c r="FJ106" s="1021"/>
      <c r="FK106" s="1021"/>
      <c r="FL106" s="1021"/>
      <c r="FM106" s="1021"/>
      <c r="FN106" s="1021"/>
      <c r="FO106" s="1021"/>
      <c r="FP106" s="1021"/>
      <c r="FQ106" s="1021"/>
      <c r="FR106" s="1021"/>
      <c r="FS106" s="1021"/>
      <c r="FT106" s="1021"/>
      <c r="FU106" s="1021"/>
      <c r="FV106" s="1021"/>
      <c r="FW106" s="1021"/>
      <c r="FX106" s="1021"/>
      <c r="FY106" s="1021"/>
      <c r="FZ106" s="1021"/>
      <c r="GA106" s="1021"/>
      <c r="GB106" s="1021"/>
      <c r="GC106" s="1021"/>
      <c r="GD106" s="1021"/>
      <c r="GE106" s="1021"/>
      <c r="GF106" s="1021"/>
      <c r="GG106" s="1021"/>
      <c r="GH106" s="1021"/>
      <c r="GI106" s="1021"/>
      <c r="GJ106" s="1021"/>
      <c r="GK106" s="1021"/>
      <c r="GL106" s="1021"/>
      <c r="GM106" s="1021"/>
      <c r="GN106" s="1021"/>
      <c r="GO106" s="1021"/>
      <c r="GP106" s="1021"/>
      <c r="GQ106" s="1021"/>
      <c r="GR106" s="1021"/>
      <c r="GS106" s="1021"/>
      <c r="GT106" s="1021"/>
      <c r="GU106" s="1021"/>
      <c r="GV106" s="1021"/>
      <c r="GW106" s="1021"/>
      <c r="GX106" s="1021"/>
      <c r="GY106" s="1021"/>
      <c r="GZ106" s="1021"/>
      <c r="HA106" s="1021"/>
      <c r="HB106" s="1021"/>
      <c r="HC106" s="1021"/>
      <c r="HD106" s="1021"/>
      <c r="HE106" s="1021"/>
      <c r="HF106" s="1021"/>
      <c r="HG106" s="1021"/>
      <c r="HH106" s="1021"/>
      <c r="HI106" s="1021"/>
      <c r="HJ106" s="1021"/>
      <c r="HK106" s="1021"/>
      <c r="HL106" s="1021"/>
      <c r="HM106" s="1021"/>
      <c r="HN106" s="1021"/>
      <c r="HO106" s="1021"/>
      <c r="HP106" s="1021"/>
      <c r="HQ106" s="1021"/>
      <c r="HR106" s="1021"/>
      <c r="HS106" s="1021"/>
      <c r="HT106" s="1021"/>
      <c r="HU106" s="1021"/>
      <c r="HV106" s="1021"/>
      <c r="HW106" s="1021"/>
      <c r="HX106" s="1021"/>
      <c r="HY106" s="1021"/>
      <c r="HZ106" s="1021"/>
      <c r="IA106" s="1021"/>
      <c r="IB106" s="1021"/>
      <c r="IC106" s="1021"/>
      <c r="ID106" s="1021"/>
      <c r="IE106" s="1021"/>
      <c r="IF106" s="1021"/>
      <c r="IG106" s="1021"/>
      <c r="IH106" s="1021"/>
      <c r="II106" s="1021"/>
      <c r="IJ106" s="1021"/>
      <c r="IK106" s="1021"/>
      <c r="IL106" s="1021"/>
      <c r="IM106" s="1021"/>
      <c r="IN106" s="1021"/>
      <c r="IO106" s="1021"/>
      <c r="IP106" s="1021"/>
      <c r="IQ106" s="1021"/>
      <c r="IR106" s="1021"/>
      <c r="IS106" s="1021"/>
      <c r="IT106" s="1021"/>
      <c r="IU106" s="1021"/>
      <c r="IV106" s="1021"/>
      <c r="IW106" s="1021"/>
      <c r="IX106" s="1021"/>
      <c r="IY106" s="1021"/>
      <c r="IZ106" s="1021"/>
      <c r="JA106" s="1021"/>
      <c r="JB106" s="1021"/>
      <c r="JC106" s="1021"/>
      <c r="JD106" s="1021"/>
      <c r="JE106" s="1021"/>
      <c r="JF106" s="1021"/>
      <c r="JG106" s="1021"/>
      <c r="JH106" s="1021"/>
      <c r="JI106" s="1021"/>
      <c r="JJ106" s="1021"/>
      <c r="JK106" s="1021"/>
      <c r="JL106" s="1021"/>
      <c r="JM106" s="1021"/>
      <c r="JN106" s="1021"/>
      <c r="JO106" s="1021"/>
      <c r="JP106" s="1021"/>
      <c r="JQ106" s="1021"/>
      <c r="JR106" s="1021"/>
      <c r="JS106" s="1021"/>
      <c r="JT106" s="1021"/>
      <c r="JU106" s="1021"/>
      <c r="JV106" s="1021"/>
      <c r="JW106" s="1021"/>
      <c r="JX106" s="1021"/>
      <c r="JY106" s="1021"/>
      <c r="JZ106" s="1021"/>
      <c r="KA106" s="1021"/>
      <c r="KB106" s="1021"/>
      <c r="KC106" s="1021"/>
      <c r="KD106" s="1021"/>
      <c r="KE106" s="1021"/>
      <c r="KF106" s="1021"/>
      <c r="KG106" s="1021"/>
      <c r="KH106" s="1021"/>
      <c r="KI106" s="1021"/>
      <c r="KJ106" s="1021"/>
      <c r="KK106" s="1021"/>
      <c r="KL106" s="1021"/>
      <c r="KM106" s="1021"/>
      <c r="KN106" s="1021"/>
      <c r="KO106" s="1021"/>
      <c r="KP106" s="1021"/>
      <c r="KQ106" s="1021"/>
      <c r="KR106" s="1021"/>
      <c r="KS106" s="1021"/>
      <c r="KT106" s="1021"/>
      <c r="KU106" s="1021"/>
      <c r="KV106" s="1021"/>
      <c r="KW106" s="1021"/>
      <c r="KX106" s="1021"/>
      <c r="KY106" s="1021"/>
      <c r="KZ106" s="1021"/>
      <c r="LA106" s="1021"/>
      <c r="LB106" s="1021"/>
      <c r="LC106" s="1021"/>
      <c r="LD106" s="1021"/>
      <c r="LE106" s="1021"/>
      <c r="LF106" s="1021"/>
      <c r="LG106" s="1021"/>
      <c r="LH106" s="1021"/>
      <c r="LI106" s="1021"/>
      <c r="LJ106" s="1021"/>
      <c r="LK106" s="1021"/>
      <c r="LL106" s="1021"/>
      <c r="LM106" s="1021"/>
      <c r="LN106" s="1021"/>
      <c r="LO106" s="1021"/>
      <c r="LP106" s="1021"/>
      <c r="LQ106" s="1021"/>
      <c r="LR106" s="1021"/>
      <c r="LS106" s="1021"/>
      <c r="LT106" s="1021"/>
      <c r="LU106" s="1021"/>
      <c r="LV106" s="1021"/>
      <c r="LW106" s="1021"/>
      <c r="LX106" s="1021"/>
      <c r="LY106" s="1021"/>
      <c r="LZ106" s="1021"/>
      <c r="MA106" s="1021"/>
      <c r="MB106" s="1021"/>
      <c r="MC106" s="1021"/>
      <c r="MD106" s="1021"/>
      <c r="ME106" s="1021"/>
      <c r="MF106" s="1021"/>
      <c r="MG106" s="1021"/>
      <c r="MH106" s="1021"/>
      <c r="MI106" s="1021"/>
      <c r="MJ106" s="1021"/>
      <c r="MK106" s="1021"/>
      <c r="ML106" s="1021"/>
      <c r="MM106" s="1021"/>
      <c r="MN106" s="1021"/>
      <c r="MO106" s="1021"/>
      <c r="MP106" s="1021"/>
      <c r="MQ106" s="1021"/>
      <c r="MR106" s="1021"/>
      <c r="MS106" s="1021"/>
      <c r="MT106" s="1021"/>
      <c r="MU106" s="1021"/>
      <c r="MV106" s="1021"/>
      <c r="MW106" s="1021"/>
      <c r="MX106" s="1021"/>
      <c r="MY106" s="1021"/>
      <c r="MZ106" s="1021"/>
      <c r="NA106" s="1021"/>
      <c r="NB106" s="1021"/>
      <c r="NC106" s="1021"/>
      <c r="ND106" s="1021"/>
      <c r="NE106" s="1021"/>
      <c r="NF106" s="1021"/>
      <c r="NG106" s="1021"/>
      <c r="NH106" s="1021"/>
      <c r="NI106" s="1021"/>
      <c r="NJ106" s="1021"/>
      <c r="NK106" s="1021"/>
      <c r="NL106" s="1021"/>
      <c r="NM106" s="1021"/>
      <c r="NN106" s="1021"/>
      <c r="NO106" s="1021"/>
      <c r="NP106" s="1021"/>
      <c r="NQ106" s="1021"/>
      <c r="NR106" s="1021"/>
      <c r="NS106" s="1021"/>
      <c r="NT106" s="1021"/>
      <c r="NU106" s="1021"/>
      <c r="NV106" s="1021"/>
      <c r="NW106" s="1021"/>
      <c r="NX106" s="1021"/>
      <c r="NY106" s="1021"/>
      <c r="NZ106" s="1021"/>
      <c r="OA106" s="1021"/>
      <c r="OB106" s="1021"/>
      <c r="OC106" s="1021"/>
      <c r="OD106" s="1021"/>
      <c r="OE106" s="1021"/>
      <c r="OF106" s="1021"/>
      <c r="OG106" s="1021"/>
      <c r="OH106" s="1021"/>
      <c r="OI106" s="1021"/>
      <c r="OJ106" s="1021"/>
      <c r="OK106" s="1021"/>
      <c r="OL106" s="1021"/>
      <c r="OM106" s="1021"/>
      <c r="ON106" s="1021"/>
      <c r="OO106" s="1021"/>
      <c r="OP106" s="1021"/>
      <c r="OQ106" s="1021"/>
      <c r="OR106" s="1021"/>
      <c r="OS106" s="1021"/>
      <c r="OT106" s="1021"/>
      <c r="OU106" s="1021"/>
      <c r="OV106" s="1021"/>
      <c r="OW106" s="1021"/>
      <c r="OX106" s="1021"/>
      <c r="OY106" s="1021"/>
      <c r="OZ106" s="1021"/>
      <c r="PA106" s="1021"/>
      <c r="PB106" s="1021"/>
      <c r="PC106" s="1021"/>
      <c r="PD106" s="1021"/>
      <c r="PE106" s="1021"/>
      <c r="PF106" s="1021"/>
      <c r="PG106" s="1021"/>
      <c r="PH106" s="1021"/>
      <c r="PI106" s="1021"/>
      <c r="PJ106" s="1021"/>
      <c r="PK106" s="1021"/>
      <c r="PL106" s="1021"/>
      <c r="PM106" s="1021"/>
      <c r="PN106" s="1021"/>
      <c r="PO106" s="1021"/>
      <c r="PP106" s="1021"/>
      <c r="PQ106" s="1021"/>
      <c r="PR106" s="1021"/>
      <c r="PS106" s="1021"/>
      <c r="PT106" s="1021"/>
      <c r="PU106" s="1021"/>
      <c r="PV106" s="1021"/>
      <c r="PW106" s="1021"/>
      <c r="PX106" s="1021"/>
      <c r="PY106" s="1021"/>
      <c r="PZ106" s="1021"/>
      <c r="QA106" s="1021"/>
      <c r="QB106" s="1021"/>
      <c r="QC106" s="1021"/>
      <c r="QD106" s="1021"/>
      <c r="QE106" s="1021"/>
      <c r="QF106" s="1021"/>
      <c r="QG106" s="1021"/>
      <c r="QH106" s="1021"/>
      <c r="QI106" s="1021"/>
      <c r="QJ106" s="1021"/>
      <c r="QK106" s="1021"/>
      <c r="QL106" s="1021"/>
      <c r="QM106" s="1021"/>
      <c r="QN106" s="1021"/>
      <c r="QO106" s="1021"/>
      <c r="QP106" s="1021"/>
      <c r="QQ106" s="1021"/>
      <c r="QR106" s="1021"/>
      <c r="QS106" s="1021"/>
      <c r="QT106" s="1021"/>
      <c r="QU106" s="1021"/>
      <c r="QV106" s="1021"/>
      <c r="QW106" s="1021"/>
      <c r="QX106" s="1021"/>
      <c r="QY106" s="1021"/>
      <c r="QZ106" s="1021"/>
      <c r="RA106" s="1021"/>
      <c r="RB106" s="1021"/>
      <c r="RC106" s="1021"/>
      <c r="RD106" s="1021"/>
      <c r="RE106" s="1021"/>
      <c r="RF106" s="1021"/>
      <c r="RG106" s="1021"/>
      <c r="RH106" s="1021"/>
      <c r="RI106" s="1021"/>
      <c r="RJ106" s="1021"/>
      <c r="RK106" s="1021"/>
      <c r="RL106" s="1021"/>
      <c r="RM106" s="1021"/>
      <c r="RN106" s="1021"/>
      <c r="RO106" s="1021"/>
      <c r="RP106" s="1021"/>
      <c r="RQ106" s="1021"/>
      <c r="RR106" s="1021"/>
      <c r="RS106" s="1021"/>
      <c r="RT106" s="1021"/>
      <c r="RU106" s="1021"/>
      <c r="RV106" s="1021"/>
      <c r="RW106" s="1021"/>
      <c r="RX106" s="1021"/>
      <c r="RY106" s="1021"/>
      <c r="RZ106" s="1021"/>
      <c r="SA106" s="1021"/>
      <c r="SB106" s="1021"/>
      <c r="SC106" s="1021"/>
      <c r="SD106" s="1021"/>
      <c r="SE106" s="1021"/>
      <c r="SF106" s="1021"/>
      <c r="SG106" s="1021"/>
      <c r="SH106" s="1021"/>
      <c r="SI106" s="1021"/>
      <c r="SJ106" s="1021"/>
      <c r="SK106" s="1021"/>
      <c r="SL106" s="1021"/>
      <c r="SM106" s="1021"/>
      <c r="SN106" s="1021"/>
      <c r="SO106" s="1021"/>
      <c r="SP106" s="1021"/>
      <c r="SQ106" s="1021"/>
      <c r="SR106" s="1021"/>
    </row>
    <row r="107" spans="1:512" s="1011" customFormat="1" ht="15" customHeight="1">
      <c r="A107"/>
      <c r="G107" s="1024"/>
      <c r="H107" s="1024"/>
      <c r="I107" s="1024"/>
      <c r="J107" s="1024"/>
      <c r="K107" s="1024"/>
      <c r="L107" s="1024"/>
      <c r="M107" s="1024"/>
      <c r="N107" s="1024"/>
      <c r="O107" s="1024"/>
      <c r="P107" s="1024"/>
      <c r="Q107" s="1024"/>
      <c r="R107" s="1024"/>
      <c r="S107" s="1024"/>
      <c r="T107" s="1024"/>
      <c r="U107" s="1024"/>
      <c r="V107" s="1024"/>
      <c r="W107" s="1024"/>
      <c r="X107" s="1024"/>
      <c r="Y107" s="1024"/>
      <c r="Z107" s="1024"/>
      <c r="AA107" s="1024"/>
      <c r="AB107" s="1024"/>
      <c r="AC107" s="1024"/>
      <c r="AD107" s="1024"/>
      <c r="AE107" s="1024"/>
      <c r="AF107" s="1024"/>
      <c r="AG107" s="1024"/>
      <c r="AH107" s="1024"/>
      <c r="AI107" s="1024"/>
      <c r="AJ107" s="1024"/>
      <c r="AK107" s="1024"/>
      <c r="AL107" s="1024"/>
      <c r="AM107" s="1024"/>
      <c r="AN107" s="1024"/>
      <c r="AO107" s="1024"/>
      <c r="AP107" s="1024"/>
      <c r="AQ107" s="1024"/>
      <c r="AR107" s="1024"/>
      <c r="AS107" s="1024"/>
      <c r="AT107" s="1024"/>
      <c r="AU107" s="1024"/>
      <c r="AV107" s="1024"/>
      <c r="AW107" s="1024"/>
      <c r="AX107" s="1024"/>
      <c r="AY107" s="1024"/>
      <c r="AZ107" s="1024"/>
      <c r="BA107" s="1024"/>
      <c r="BB107" s="1024"/>
      <c r="BC107" s="1024"/>
      <c r="BD107" s="1024"/>
      <c r="BE107" s="1024"/>
      <c r="BF107" s="1024"/>
      <c r="BG107" s="1024"/>
      <c r="BH107" s="1024"/>
      <c r="BI107" s="1024"/>
      <c r="BJ107" s="1024"/>
      <c r="BK107" s="1024"/>
      <c r="BL107" s="1024"/>
      <c r="BM107" s="1024"/>
      <c r="BN107" s="1024"/>
      <c r="BO107" s="1024"/>
      <c r="BP107" s="1024"/>
      <c r="BQ107" s="1024"/>
      <c r="BR107" s="1024"/>
      <c r="BS107" s="1024"/>
      <c r="BT107" s="1024"/>
      <c r="BU107" s="1024"/>
      <c r="BV107" s="1024"/>
      <c r="BW107" s="1024"/>
      <c r="BX107" s="1024"/>
      <c r="BY107" s="1024"/>
      <c r="BZ107" s="1024"/>
      <c r="CA107" s="1024"/>
      <c r="CB107" s="1024"/>
      <c r="CC107" s="1024"/>
      <c r="CD107" s="1024"/>
      <c r="CE107" s="1024"/>
      <c r="CF107" s="1024"/>
      <c r="CG107" s="1024"/>
      <c r="CH107" s="1024"/>
      <c r="CI107" s="1024"/>
      <c r="CJ107" s="1024"/>
      <c r="CK107" s="1024"/>
      <c r="CL107" s="1024"/>
      <c r="CM107" s="1024"/>
      <c r="CN107" s="1024"/>
      <c r="CO107" s="1024"/>
      <c r="CP107" s="1024"/>
      <c r="CQ107" s="1024"/>
      <c r="CR107" s="1024"/>
      <c r="CS107" s="1024"/>
      <c r="CT107" s="1024"/>
      <c r="CU107" s="1024"/>
      <c r="CV107" s="1024"/>
      <c r="CW107" s="1024"/>
      <c r="CX107" s="1024"/>
      <c r="CY107" s="1024"/>
      <c r="CZ107" s="1024"/>
      <c r="DA107" s="1024"/>
      <c r="DB107" s="1024"/>
      <c r="DC107" s="1024"/>
      <c r="DD107" s="1024"/>
      <c r="DE107" s="1024"/>
      <c r="DF107" s="1024"/>
      <c r="DG107" s="1024"/>
      <c r="DH107" s="1024"/>
      <c r="DI107" s="1024"/>
      <c r="DJ107" s="1024"/>
      <c r="DK107" s="1024"/>
      <c r="DL107" s="1024"/>
      <c r="DM107" s="1024"/>
      <c r="DN107" s="1024"/>
      <c r="DO107" s="1024"/>
      <c r="DP107" s="1024"/>
      <c r="DQ107" s="1024"/>
      <c r="DR107" s="1024"/>
      <c r="DS107" s="1024"/>
      <c r="DT107" s="1024"/>
      <c r="DU107" s="1024"/>
      <c r="DV107" s="1024"/>
      <c r="DW107" s="1024"/>
      <c r="DX107" s="1024"/>
      <c r="DY107" s="1024"/>
      <c r="DZ107" s="1024"/>
      <c r="EA107" s="1024"/>
      <c r="EB107" s="1024"/>
      <c r="EC107" s="1024"/>
      <c r="ED107" s="1024"/>
      <c r="EE107" s="1024"/>
      <c r="EF107" s="1024"/>
      <c r="EG107" s="1024"/>
      <c r="EH107" s="1024"/>
      <c r="EI107" s="1024"/>
      <c r="EJ107" s="1024"/>
      <c r="EK107" s="1024"/>
      <c r="EL107" s="1024"/>
      <c r="EM107" s="1024"/>
      <c r="EN107" s="1024"/>
      <c r="EO107" s="1024"/>
      <c r="EP107" s="1024"/>
      <c r="EQ107" s="1024"/>
      <c r="ER107" s="1024"/>
      <c r="ES107" s="1024"/>
      <c r="ET107" s="1024"/>
      <c r="EU107" s="1024"/>
      <c r="EV107" s="1024"/>
      <c r="EW107" s="1024"/>
      <c r="EX107" s="1024"/>
      <c r="EY107" s="1024"/>
      <c r="EZ107" s="1024"/>
      <c r="FA107" s="1024"/>
      <c r="FB107" s="1024"/>
      <c r="FC107" s="1024"/>
      <c r="FD107" s="1024"/>
      <c r="FE107" s="1024"/>
      <c r="FF107" s="1024"/>
      <c r="FG107" s="1024"/>
      <c r="FH107" s="1024"/>
      <c r="FI107" s="1024"/>
      <c r="FJ107" s="1024"/>
      <c r="FK107" s="1024"/>
      <c r="FL107" s="1024"/>
      <c r="FM107" s="1024"/>
      <c r="FN107" s="1024"/>
      <c r="FO107" s="1024"/>
      <c r="FP107" s="1024"/>
      <c r="FQ107" s="1024"/>
      <c r="FR107" s="1024"/>
      <c r="FS107" s="1024"/>
      <c r="FT107" s="1024"/>
      <c r="FU107" s="1024"/>
      <c r="FV107" s="1024"/>
      <c r="FW107" s="1024"/>
      <c r="FX107" s="1024"/>
      <c r="FY107" s="1024"/>
      <c r="FZ107" s="1024"/>
      <c r="GA107" s="1024"/>
      <c r="GB107" s="1024"/>
      <c r="GC107" s="1024"/>
      <c r="GD107" s="1024"/>
      <c r="GE107" s="1024"/>
      <c r="GF107" s="1024"/>
      <c r="GG107" s="1024"/>
      <c r="GH107" s="1024"/>
      <c r="GI107" s="1024"/>
      <c r="GJ107" s="1024"/>
      <c r="GK107" s="1024"/>
      <c r="GL107" s="1024"/>
      <c r="GM107" s="1024"/>
      <c r="GN107" s="1024"/>
      <c r="GO107" s="1024"/>
      <c r="GP107" s="1024"/>
      <c r="GQ107" s="1024"/>
      <c r="GR107" s="1024"/>
      <c r="GS107" s="1024"/>
      <c r="GT107" s="1024"/>
      <c r="GU107" s="1024"/>
      <c r="GV107" s="1024"/>
      <c r="GW107" s="1024"/>
      <c r="GX107" s="1024"/>
      <c r="GY107" s="1024"/>
      <c r="GZ107" s="1024"/>
      <c r="HA107" s="1024"/>
      <c r="HB107" s="1024"/>
      <c r="HC107" s="1024"/>
      <c r="HD107" s="1024"/>
      <c r="HE107" s="1024"/>
      <c r="HF107" s="1024"/>
      <c r="HG107" s="1024"/>
      <c r="HH107" s="1024"/>
      <c r="HI107" s="1024"/>
      <c r="HJ107" s="1024"/>
      <c r="HK107" s="1024"/>
      <c r="HL107" s="1024"/>
      <c r="HM107" s="1024"/>
      <c r="HN107" s="1024"/>
      <c r="HO107" s="1024"/>
      <c r="HP107" s="1024"/>
      <c r="HQ107" s="1024"/>
      <c r="HR107" s="1024"/>
      <c r="HS107" s="1024"/>
      <c r="HT107" s="1024"/>
      <c r="HU107" s="1024"/>
      <c r="HV107" s="1024"/>
      <c r="HW107" s="1024"/>
      <c r="HX107" s="1024"/>
      <c r="HY107" s="1024"/>
      <c r="HZ107" s="1024"/>
      <c r="IA107" s="1024"/>
      <c r="IB107" s="1024"/>
      <c r="IC107" s="1024"/>
      <c r="ID107" s="1024"/>
      <c r="IE107" s="1024"/>
      <c r="IF107" s="1024"/>
      <c r="IG107" s="1024"/>
      <c r="IH107" s="1024"/>
      <c r="II107" s="1024"/>
      <c r="IJ107" s="1024"/>
      <c r="IK107" s="1024"/>
      <c r="IL107" s="1024"/>
      <c r="IM107" s="1024"/>
      <c r="IN107" s="1024"/>
      <c r="IO107" s="1024"/>
      <c r="IP107" s="1024"/>
      <c r="IQ107" s="1024"/>
      <c r="IR107" s="1024"/>
      <c r="IS107" s="1024"/>
      <c r="IT107" s="1024"/>
      <c r="IU107" s="1024"/>
      <c r="IV107" s="1024"/>
      <c r="IW107" s="1024"/>
      <c r="IX107" s="1024"/>
      <c r="IY107" s="1024"/>
      <c r="IZ107" s="1024"/>
      <c r="JA107" s="1024"/>
      <c r="JB107" s="1024"/>
      <c r="JC107" s="1024"/>
      <c r="JD107" s="1024"/>
      <c r="JE107" s="1024"/>
      <c r="JF107" s="1024"/>
      <c r="JG107" s="1024"/>
      <c r="JH107" s="1024"/>
      <c r="JI107" s="1024"/>
      <c r="JJ107" s="1024"/>
      <c r="JK107" s="1024"/>
      <c r="JL107" s="1024"/>
      <c r="JM107" s="1024"/>
      <c r="JN107" s="1024"/>
      <c r="JO107" s="1024"/>
      <c r="JP107" s="1024"/>
      <c r="JQ107" s="1024"/>
      <c r="JR107" s="1024"/>
      <c r="JS107" s="1024"/>
      <c r="JT107" s="1024"/>
      <c r="JU107" s="1024"/>
      <c r="JV107" s="1024"/>
      <c r="JW107" s="1024"/>
      <c r="JX107" s="1024"/>
      <c r="JY107" s="1024"/>
      <c r="JZ107" s="1024"/>
      <c r="KA107" s="1024"/>
      <c r="KB107" s="1024"/>
      <c r="KC107" s="1024"/>
      <c r="KD107" s="1024"/>
      <c r="KE107" s="1024"/>
      <c r="KF107" s="1024"/>
      <c r="KG107" s="1024"/>
      <c r="KH107" s="1024"/>
      <c r="KI107" s="1024"/>
      <c r="KJ107" s="1024"/>
      <c r="KK107" s="1024"/>
      <c r="KL107" s="1024"/>
      <c r="KM107" s="1024"/>
      <c r="KN107" s="1024"/>
      <c r="KO107" s="1024"/>
      <c r="KP107" s="1024"/>
      <c r="KQ107" s="1024"/>
      <c r="KR107" s="1024"/>
      <c r="KS107" s="1024"/>
      <c r="KT107" s="1024"/>
      <c r="KU107" s="1024"/>
      <c r="KV107" s="1024"/>
      <c r="KW107" s="1024"/>
      <c r="KX107" s="1024"/>
      <c r="KY107" s="1024"/>
      <c r="KZ107" s="1024"/>
      <c r="LA107" s="1024"/>
      <c r="LB107" s="1024"/>
      <c r="LC107" s="1024"/>
      <c r="LD107" s="1024"/>
      <c r="LE107" s="1024"/>
      <c r="LF107" s="1024"/>
      <c r="LG107" s="1024"/>
      <c r="LH107" s="1024"/>
      <c r="LI107" s="1024"/>
      <c r="LJ107" s="1024"/>
      <c r="LK107" s="1024"/>
      <c r="LL107" s="1024"/>
      <c r="LM107" s="1024"/>
      <c r="LN107" s="1024"/>
      <c r="LO107" s="1024"/>
      <c r="LP107" s="1024"/>
      <c r="LQ107" s="1024"/>
      <c r="LR107" s="1024"/>
      <c r="LS107" s="1024"/>
      <c r="LT107" s="1024"/>
      <c r="LU107" s="1024"/>
      <c r="LV107" s="1024"/>
      <c r="LW107" s="1024"/>
      <c r="LX107" s="1024"/>
      <c r="LY107" s="1024"/>
      <c r="LZ107" s="1024"/>
      <c r="MA107" s="1024"/>
      <c r="MB107" s="1024"/>
      <c r="MC107" s="1024"/>
      <c r="MD107" s="1024"/>
      <c r="ME107" s="1024"/>
      <c r="MF107" s="1024"/>
      <c r="MG107" s="1024"/>
      <c r="MH107" s="1024"/>
      <c r="MI107" s="1024"/>
      <c r="MJ107" s="1024"/>
      <c r="MK107" s="1024"/>
      <c r="ML107" s="1024"/>
      <c r="MM107" s="1024"/>
      <c r="MN107" s="1024"/>
      <c r="MO107" s="1024"/>
      <c r="MP107" s="1024"/>
      <c r="MQ107" s="1024"/>
      <c r="MR107" s="1024"/>
      <c r="MS107" s="1024"/>
      <c r="MT107" s="1024"/>
      <c r="MU107" s="1024"/>
      <c r="MV107" s="1024"/>
      <c r="MW107" s="1024"/>
      <c r="MX107" s="1024"/>
      <c r="MY107" s="1024"/>
      <c r="MZ107" s="1024"/>
      <c r="NA107" s="1024"/>
      <c r="NB107" s="1024"/>
      <c r="NC107" s="1024"/>
      <c r="ND107" s="1024"/>
      <c r="NE107" s="1024"/>
      <c r="NF107" s="1024"/>
      <c r="NG107" s="1024"/>
      <c r="NH107" s="1024"/>
      <c r="NI107" s="1024"/>
      <c r="NJ107" s="1024"/>
      <c r="NK107" s="1024"/>
      <c r="NL107" s="1024"/>
      <c r="NM107" s="1024"/>
      <c r="NN107" s="1024"/>
      <c r="NO107" s="1024"/>
      <c r="NP107" s="1024"/>
      <c r="NQ107" s="1024"/>
      <c r="NR107" s="1024"/>
      <c r="NS107" s="1024"/>
      <c r="NT107" s="1024"/>
      <c r="NU107" s="1024"/>
      <c r="NV107" s="1024"/>
      <c r="NW107" s="1024"/>
      <c r="NX107" s="1024"/>
      <c r="NY107" s="1024"/>
      <c r="NZ107" s="1024"/>
      <c r="OA107" s="1024"/>
      <c r="OB107" s="1024"/>
      <c r="OC107" s="1024"/>
      <c r="OD107" s="1024"/>
      <c r="OE107" s="1024"/>
      <c r="OF107" s="1024"/>
      <c r="OG107" s="1024"/>
      <c r="OH107" s="1024"/>
      <c r="OI107" s="1024"/>
      <c r="OJ107" s="1024"/>
      <c r="OK107" s="1024"/>
      <c r="OL107" s="1024"/>
      <c r="OM107" s="1024"/>
      <c r="ON107" s="1024"/>
      <c r="OO107" s="1024"/>
      <c r="OP107" s="1024"/>
      <c r="OQ107" s="1024"/>
      <c r="OR107" s="1024"/>
      <c r="OS107" s="1024"/>
      <c r="OT107" s="1024"/>
      <c r="OU107" s="1024"/>
      <c r="OV107" s="1024"/>
      <c r="OW107" s="1024"/>
      <c r="OX107" s="1024"/>
      <c r="OY107" s="1024"/>
      <c r="OZ107" s="1024"/>
      <c r="PA107" s="1024"/>
      <c r="PB107" s="1024"/>
      <c r="PC107" s="1024"/>
      <c r="PD107" s="1024"/>
      <c r="PE107" s="1024"/>
      <c r="PF107" s="1024"/>
      <c r="PG107" s="1024"/>
      <c r="PH107" s="1024"/>
      <c r="PI107" s="1024"/>
      <c r="PJ107" s="1024"/>
      <c r="PK107" s="1024"/>
      <c r="PL107" s="1024"/>
      <c r="PM107" s="1024"/>
      <c r="PN107" s="1024"/>
      <c r="PO107" s="1024"/>
      <c r="PP107" s="1024"/>
      <c r="PQ107" s="1024"/>
      <c r="PR107" s="1024"/>
      <c r="PS107" s="1024"/>
      <c r="PT107" s="1024"/>
      <c r="PU107" s="1024"/>
      <c r="PV107" s="1024"/>
      <c r="PW107" s="1024"/>
      <c r="PX107" s="1024"/>
      <c r="PY107" s="1024"/>
      <c r="PZ107" s="1024"/>
      <c r="QA107" s="1024"/>
      <c r="QB107" s="1024"/>
      <c r="QC107" s="1024"/>
      <c r="QD107" s="1024"/>
      <c r="QE107" s="1024"/>
      <c r="QF107" s="1024"/>
      <c r="QG107" s="1024"/>
      <c r="QH107" s="1024"/>
      <c r="QI107" s="1024"/>
      <c r="QJ107" s="1024"/>
      <c r="QK107" s="1024"/>
      <c r="QL107" s="1024"/>
      <c r="QM107" s="1024"/>
      <c r="QN107" s="1024"/>
      <c r="QO107" s="1024"/>
      <c r="QP107" s="1024"/>
      <c r="QQ107" s="1024"/>
      <c r="QR107" s="1024"/>
      <c r="QS107" s="1024"/>
      <c r="QT107" s="1024"/>
      <c r="QU107" s="1024"/>
      <c r="QV107" s="1024"/>
      <c r="QW107" s="1024"/>
      <c r="QX107" s="1024"/>
      <c r="QY107" s="1024"/>
      <c r="QZ107" s="1024"/>
      <c r="RA107" s="1024"/>
      <c r="RB107" s="1024"/>
      <c r="RC107" s="1024"/>
      <c r="RD107" s="1024"/>
      <c r="RE107" s="1024"/>
      <c r="RF107" s="1024"/>
      <c r="RG107" s="1024"/>
      <c r="RH107" s="1024"/>
      <c r="RI107" s="1024"/>
      <c r="RJ107" s="1024"/>
      <c r="RK107" s="1024"/>
      <c r="RL107" s="1024"/>
      <c r="RM107" s="1024"/>
      <c r="RN107" s="1024"/>
      <c r="RO107" s="1024"/>
      <c r="RP107" s="1024"/>
      <c r="RQ107" s="1024"/>
      <c r="RR107" s="1024"/>
      <c r="RS107" s="1024"/>
      <c r="RT107" s="1024"/>
      <c r="RU107" s="1024"/>
      <c r="RV107" s="1024"/>
      <c r="RW107" s="1024"/>
      <c r="RX107" s="1024"/>
      <c r="RY107" s="1024"/>
      <c r="RZ107" s="1024"/>
      <c r="SA107" s="1024"/>
      <c r="SB107" s="1024"/>
      <c r="SC107" s="1024"/>
      <c r="SD107" s="1024"/>
      <c r="SE107" s="1024"/>
      <c r="SF107" s="1024"/>
      <c r="SG107" s="1024"/>
      <c r="SH107" s="1024"/>
      <c r="SI107" s="1024"/>
      <c r="SJ107" s="1024"/>
      <c r="SK107" s="1024"/>
      <c r="SL107" s="1024"/>
      <c r="SM107" s="1024"/>
      <c r="SN107" s="1024"/>
      <c r="SO107" s="1024"/>
      <c r="SP107" s="1024"/>
      <c r="SQ107" s="1024"/>
      <c r="SR107" s="1024"/>
    </row>
    <row r="108" spans="1:512" s="1011" customFormat="1" ht="15" customHeight="1">
      <c r="A108" s="1011" t="s">
        <v>2226</v>
      </c>
      <c r="G108" s="1024"/>
      <c r="H108" s="1024"/>
      <c r="I108" s="1024"/>
      <c r="J108" s="1024"/>
      <c r="K108" s="1024"/>
      <c r="L108" s="1024"/>
      <c r="M108" s="1024"/>
      <c r="N108" s="1024"/>
      <c r="O108" s="1024"/>
      <c r="P108" s="1024"/>
      <c r="Q108" s="1024"/>
      <c r="R108" s="1024"/>
      <c r="S108" s="1024"/>
      <c r="T108" s="1024"/>
      <c r="U108" s="1024"/>
      <c r="V108" s="1024"/>
      <c r="W108" s="1024"/>
      <c r="X108" s="1024"/>
      <c r="Y108" s="1024"/>
      <c r="Z108" s="1024"/>
      <c r="AA108" s="1024"/>
      <c r="AB108" s="1024"/>
      <c r="AC108" s="1024"/>
      <c r="AD108" s="1024"/>
      <c r="AE108" s="1024"/>
      <c r="AF108" s="1024"/>
      <c r="AG108" s="1024"/>
      <c r="AH108" s="1024"/>
      <c r="AI108" s="1024"/>
      <c r="AJ108" s="1024"/>
      <c r="AK108" s="1024"/>
      <c r="AL108" s="1024"/>
      <c r="AM108" s="1024"/>
      <c r="AN108" s="1024"/>
      <c r="AO108" s="1024"/>
      <c r="AP108" s="1024"/>
      <c r="AQ108" s="1024"/>
      <c r="AR108" s="1024"/>
      <c r="AS108" s="1024"/>
      <c r="AT108" s="1024"/>
      <c r="AU108" s="1024"/>
      <c r="AV108" s="1024"/>
      <c r="AW108" s="1024"/>
      <c r="AX108" s="1024"/>
      <c r="AY108" s="1024"/>
      <c r="AZ108" s="1024"/>
      <c r="BA108" s="1024"/>
      <c r="BB108" s="1024"/>
      <c r="BC108" s="1024"/>
      <c r="BD108" s="1024"/>
      <c r="BE108" s="1024"/>
      <c r="BF108" s="1024"/>
      <c r="BG108" s="1024"/>
      <c r="BH108" s="1024"/>
      <c r="BI108" s="1024"/>
      <c r="BJ108" s="1024"/>
      <c r="BK108" s="1024"/>
      <c r="BL108" s="1024"/>
      <c r="BM108" s="1024"/>
      <c r="BN108" s="1024"/>
      <c r="BO108" s="1024"/>
      <c r="BP108" s="1024"/>
      <c r="BQ108" s="1024"/>
      <c r="BR108" s="1024"/>
      <c r="BS108" s="1024"/>
      <c r="BT108" s="1024"/>
      <c r="BU108" s="1024"/>
      <c r="BV108" s="1024"/>
      <c r="BW108" s="1024"/>
      <c r="BX108" s="1024"/>
      <c r="BY108" s="1024"/>
      <c r="BZ108" s="1024"/>
      <c r="CA108" s="1024"/>
      <c r="CB108" s="1024"/>
      <c r="CC108" s="1024"/>
      <c r="CD108" s="1024"/>
      <c r="CE108" s="1024"/>
      <c r="CF108" s="1024"/>
      <c r="CG108" s="1024"/>
      <c r="CH108" s="1024"/>
      <c r="CI108" s="1024"/>
      <c r="CJ108" s="1024"/>
      <c r="CK108" s="1024"/>
      <c r="CL108" s="1024"/>
      <c r="CM108" s="1024"/>
      <c r="CN108" s="1024"/>
      <c r="CO108" s="1024"/>
      <c r="CP108" s="1024"/>
      <c r="CQ108" s="1024"/>
      <c r="CR108" s="1024"/>
      <c r="CS108" s="1024"/>
      <c r="CT108" s="1024"/>
      <c r="CU108" s="1024"/>
      <c r="CV108" s="1024"/>
      <c r="CW108" s="1024"/>
      <c r="CX108" s="1024"/>
      <c r="CY108" s="1024"/>
      <c r="CZ108" s="1024"/>
      <c r="DA108" s="1024"/>
      <c r="DB108" s="1024"/>
      <c r="DC108" s="1024"/>
      <c r="DD108" s="1024"/>
      <c r="DE108" s="1024"/>
      <c r="DF108" s="1024"/>
      <c r="DG108" s="1024"/>
      <c r="DH108" s="1024"/>
      <c r="DI108" s="1024"/>
      <c r="DJ108" s="1024"/>
      <c r="DK108" s="1024"/>
      <c r="DL108" s="1024"/>
      <c r="DM108" s="1024"/>
      <c r="DN108" s="1024"/>
      <c r="DO108" s="1024"/>
      <c r="DP108" s="1024"/>
      <c r="DQ108" s="1024"/>
      <c r="DR108" s="1024"/>
      <c r="DS108" s="1024"/>
      <c r="DT108" s="1024"/>
      <c r="DU108" s="1024"/>
      <c r="DV108" s="1024"/>
      <c r="DW108" s="1024"/>
      <c r="DX108" s="1024"/>
      <c r="DY108" s="1024"/>
      <c r="DZ108" s="1024"/>
      <c r="EA108" s="1024"/>
      <c r="EB108" s="1024"/>
      <c r="EC108" s="1024"/>
      <c r="ED108" s="1024"/>
      <c r="EE108" s="1024"/>
      <c r="EF108" s="1024"/>
      <c r="EG108" s="1024"/>
      <c r="EH108" s="1024"/>
      <c r="EI108" s="1024"/>
      <c r="EJ108" s="1024"/>
      <c r="EK108" s="1024"/>
      <c r="EL108" s="1024"/>
      <c r="EM108" s="1024"/>
      <c r="EN108" s="1024"/>
      <c r="EO108" s="1024"/>
      <c r="EP108" s="1024"/>
      <c r="EQ108" s="1024"/>
      <c r="ER108" s="1024"/>
      <c r="ES108" s="1024"/>
      <c r="ET108" s="1024"/>
      <c r="EU108" s="1024"/>
      <c r="EV108" s="1024"/>
      <c r="EW108" s="1024"/>
      <c r="EX108" s="1024"/>
      <c r="EY108" s="1024"/>
      <c r="EZ108" s="1024"/>
      <c r="FA108" s="1024"/>
      <c r="FB108" s="1024"/>
      <c r="FC108" s="1024"/>
      <c r="FD108" s="1024"/>
      <c r="FE108" s="1024"/>
      <c r="FF108" s="1024"/>
      <c r="FG108" s="1024"/>
      <c r="FH108" s="1024"/>
      <c r="FI108" s="1024"/>
      <c r="FJ108" s="1024"/>
      <c r="FK108" s="1024"/>
      <c r="FL108" s="1024"/>
      <c r="FM108" s="1024"/>
      <c r="FN108" s="1024"/>
      <c r="FO108" s="1024"/>
      <c r="FP108" s="1024"/>
      <c r="FQ108" s="1024"/>
      <c r="FR108" s="1024"/>
      <c r="FS108" s="1024"/>
      <c r="FT108" s="1024"/>
      <c r="FU108" s="1024"/>
      <c r="FV108" s="1024"/>
      <c r="FW108" s="1024"/>
      <c r="FX108" s="1024"/>
      <c r="FY108" s="1024"/>
      <c r="FZ108" s="1024"/>
      <c r="GA108" s="1024"/>
      <c r="GB108" s="1024"/>
      <c r="GC108" s="1024"/>
      <c r="GD108" s="1024"/>
      <c r="GE108" s="1024"/>
      <c r="GF108" s="1024"/>
      <c r="GG108" s="1024"/>
      <c r="GH108" s="1024"/>
      <c r="GI108" s="1024"/>
      <c r="GJ108" s="1024"/>
      <c r="GK108" s="1024"/>
      <c r="GL108" s="1024"/>
      <c r="GM108" s="1024"/>
      <c r="GN108" s="1024"/>
      <c r="GO108" s="1024"/>
      <c r="GP108" s="1024"/>
      <c r="GQ108" s="1024"/>
      <c r="GR108" s="1024"/>
      <c r="GS108" s="1024"/>
      <c r="GT108" s="1024"/>
      <c r="GU108" s="1024"/>
      <c r="GV108" s="1024"/>
      <c r="GW108" s="1024"/>
      <c r="GX108" s="1024"/>
      <c r="GY108" s="1024"/>
      <c r="GZ108" s="1024"/>
      <c r="HA108" s="1024"/>
      <c r="HB108" s="1024"/>
      <c r="HC108" s="1024"/>
      <c r="HD108" s="1024"/>
      <c r="HE108" s="1024"/>
      <c r="HF108" s="1024"/>
      <c r="HG108" s="1024"/>
      <c r="HH108" s="1024"/>
      <c r="HI108" s="1024"/>
      <c r="HJ108" s="1024"/>
      <c r="HK108" s="1024"/>
      <c r="HL108" s="1024"/>
      <c r="HM108" s="1024"/>
      <c r="HN108" s="1024"/>
      <c r="HO108" s="1024"/>
      <c r="HP108" s="1024"/>
      <c r="HQ108" s="1024"/>
      <c r="HR108" s="1024"/>
      <c r="HS108" s="1024"/>
      <c r="HT108" s="1024"/>
      <c r="HU108" s="1024"/>
      <c r="HV108" s="1024"/>
      <c r="HW108" s="1024"/>
      <c r="HX108" s="1024"/>
      <c r="HY108" s="1024"/>
      <c r="HZ108" s="1024"/>
      <c r="IA108" s="1024"/>
      <c r="IB108" s="1024"/>
      <c r="IC108" s="1024"/>
      <c r="ID108" s="1024"/>
      <c r="IE108" s="1024"/>
      <c r="IF108" s="1024"/>
      <c r="IG108" s="1024"/>
      <c r="IH108" s="1024"/>
      <c r="II108" s="1024"/>
      <c r="IJ108" s="1024"/>
      <c r="IK108" s="1024"/>
      <c r="IL108" s="1024"/>
      <c r="IM108" s="1024"/>
      <c r="IN108" s="1024"/>
      <c r="IO108" s="1024"/>
      <c r="IP108" s="1024"/>
      <c r="IQ108" s="1024"/>
      <c r="IR108" s="1024"/>
      <c r="IS108" s="1024"/>
      <c r="IT108" s="1024"/>
      <c r="IU108" s="1024"/>
      <c r="IV108" s="1024"/>
      <c r="IW108" s="1024"/>
      <c r="IX108" s="1024"/>
      <c r="IY108" s="1024"/>
      <c r="IZ108" s="1024"/>
      <c r="JA108" s="1024"/>
      <c r="JB108" s="1024"/>
      <c r="JC108" s="1024"/>
      <c r="JD108" s="1024"/>
      <c r="JE108" s="1024"/>
      <c r="JF108" s="1024"/>
      <c r="JG108" s="1024"/>
      <c r="JH108" s="1024"/>
      <c r="JI108" s="1024"/>
      <c r="JJ108" s="1024"/>
      <c r="JK108" s="1024"/>
      <c r="JL108" s="1024"/>
      <c r="JM108" s="1024"/>
      <c r="JN108" s="1024"/>
      <c r="JO108" s="1024"/>
      <c r="JP108" s="1024"/>
      <c r="JQ108" s="1024"/>
      <c r="JR108" s="1024"/>
      <c r="JS108" s="1024"/>
      <c r="JT108" s="1024"/>
      <c r="JU108" s="1024"/>
      <c r="JV108" s="1024"/>
      <c r="JW108" s="1024"/>
      <c r="JX108" s="1024"/>
      <c r="JY108" s="1024"/>
      <c r="JZ108" s="1024"/>
      <c r="KA108" s="1024"/>
      <c r="KB108" s="1024"/>
      <c r="KC108" s="1024"/>
      <c r="KD108" s="1024"/>
      <c r="KE108" s="1024"/>
      <c r="KF108" s="1024"/>
      <c r="KG108" s="1024"/>
      <c r="KH108" s="1024"/>
      <c r="KI108" s="1024"/>
      <c r="KJ108" s="1024"/>
      <c r="KK108" s="1024"/>
      <c r="KL108" s="1024"/>
      <c r="KM108" s="1024"/>
      <c r="KN108" s="1024"/>
      <c r="KO108" s="1024"/>
      <c r="KP108" s="1024"/>
      <c r="KQ108" s="1024"/>
      <c r="KR108" s="1024"/>
      <c r="KS108" s="1024"/>
      <c r="KT108" s="1024"/>
      <c r="KU108" s="1024"/>
      <c r="KV108" s="1024"/>
      <c r="KW108" s="1024"/>
      <c r="KX108" s="1024"/>
      <c r="KY108" s="1024"/>
      <c r="KZ108" s="1024"/>
      <c r="LA108" s="1024"/>
      <c r="LB108" s="1024"/>
      <c r="LC108" s="1024"/>
      <c r="LD108" s="1024"/>
      <c r="LE108" s="1024"/>
      <c r="LF108" s="1024"/>
      <c r="LG108" s="1024"/>
      <c r="LH108" s="1024"/>
      <c r="LI108" s="1024"/>
      <c r="LJ108" s="1024"/>
      <c r="LK108" s="1024"/>
      <c r="LL108" s="1024"/>
      <c r="LM108" s="1024"/>
      <c r="LN108" s="1024"/>
      <c r="LO108" s="1024"/>
      <c r="LP108" s="1024"/>
      <c r="LQ108" s="1024"/>
      <c r="LR108" s="1024"/>
      <c r="LS108" s="1024"/>
      <c r="LT108" s="1024"/>
      <c r="LU108" s="1024"/>
      <c r="LV108" s="1024"/>
      <c r="LW108" s="1024"/>
      <c r="LX108" s="1024"/>
      <c r="LY108" s="1024"/>
      <c r="LZ108" s="1024"/>
      <c r="MA108" s="1024"/>
      <c r="MB108" s="1024"/>
      <c r="MC108" s="1024"/>
      <c r="MD108" s="1024"/>
      <c r="ME108" s="1024"/>
      <c r="MF108" s="1024"/>
      <c r="MG108" s="1024"/>
      <c r="MH108" s="1024"/>
      <c r="MI108" s="1024"/>
      <c r="MJ108" s="1024"/>
      <c r="MK108" s="1024"/>
      <c r="ML108" s="1024"/>
      <c r="MM108" s="1024"/>
      <c r="MN108" s="1024"/>
      <c r="MO108" s="1024"/>
      <c r="MP108" s="1024"/>
      <c r="MQ108" s="1024"/>
      <c r="MR108" s="1024"/>
      <c r="MS108" s="1024"/>
      <c r="MT108" s="1024"/>
      <c r="MU108" s="1024"/>
      <c r="MV108" s="1024"/>
      <c r="MW108" s="1024"/>
      <c r="MX108" s="1024"/>
      <c r="MY108" s="1024"/>
      <c r="MZ108" s="1024"/>
      <c r="NA108" s="1024"/>
      <c r="NB108" s="1024"/>
      <c r="NC108" s="1024"/>
      <c r="ND108" s="1024"/>
      <c r="NE108" s="1024"/>
      <c r="NF108" s="1024"/>
      <c r="NG108" s="1024"/>
      <c r="NH108" s="1024"/>
      <c r="NI108" s="1024"/>
      <c r="NJ108" s="1024"/>
      <c r="NK108" s="1024"/>
      <c r="NL108" s="1024"/>
      <c r="NM108" s="1024"/>
      <c r="NN108" s="1024"/>
      <c r="NO108" s="1024"/>
      <c r="NP108" s="1024"/>
      <c r="NQ108" s="1024"/>
      <c r="NR108" s="1024"/>
      <c r="NS108" s="1024"/>
      <c r="NT108" s="1024"/>
      <c r="NU108" s="1024"/>
      <c r="NV108" s="1024"/>
      <c r="NW108" s="1024"/>
      <c r="NX108" s="1024"/>
      <c r="NY108" s="1024"/>
      <c r="NZ108" s="1024"/>
      <c r="OA108" s="1024"/>
      <c r="OB108" s="1024"/>
      <c r="OC108" s="1024"/>
      <c r="OD108" s="1024"/>
      <c r="OE108" s="1024"/>
      <c r="OF108" s="1024"/>
      <c r="OG108" s="1024"/>
      <c r="OH108" s="1024"/>
      <c r="OI108" s="1024"/>
      <c r="OJ108" s="1024"/>
      <c r="OK108" s="1024"/>
      <c r="OL108" s="1024"/>
      <c r="OM108" s="1024"/>
      <c r="ON108" s="1024"/>
      <c r="OO108" s="1024"/>
      <c r="OP108" s="1024"/>
      <c r="OQ108" s="1024"/>
      <c r="OR108" s="1024"/>
      <c r="OS108" s="1024"/>
      <c r="OT108" s="1024"/>
      <c r="OU108" s="1024"/>
      <c r="OV108" s="1024"/>
      <c r="OW108" s="1024"/>
      <c r="OX108" s="1024"/>
      <c r="OY108" s="1024"/>
      <c r="OZ108" s="1024"/>
      <c r="PA108" s="1024"/>
      <c r="PB108" s="1024"/>
      <c r="PC108" s="1024"/>
      <c r="PD108" s="1024"/>
      <c r="PE108" s="1024"/>
      <c r="PF108" s="1024"/>
      <c r="PG108" s="1024"/>
      <c r="PH108" s="1024"/>
      <c r="PI108" s="1024"/>
      <c r="PJ108" s="1024"/>
      <c r="PK108" s="1024"/>
      <c r="PL108" s="1024"/>
      <c r="PM108" s="1024"/>
      <c r="PN108" s="1024"/>
      <c r="PO108" s="1024"/>
      <c r="PP108" s="1024"/>
      <c r="PQ108" s="1024"/>
      <c r="PR108" s="1024"/>
      <c r="PS108" s="1024"/>
      <c r="PT108" s="1024"/>
      <c r="PU108" s="1024"/>
      <c r="PV108" s="1024"/>
      <c r="PW108" s="1024"/>
      <c r="PX108" s="1024"/>
      <c r="PY108" s="1024"/>
      <c r="PZ108" s="1024"/>
      <c r="QA108" s="1024"/>
      <c r="QB108" s="1024"/>
      <c r="QC108" s="1024"/>
      <c r="QD108" s="1024"/>
      <c r="QE108" s="1024"/>
      <c r="QF108" s="1024"/>
      <c r="QG108" s="1024"/>
      <c r="QH108" s="1024"/>
      <c r="QI108" s="1024"/>
      <c r="QJ108" s="1024"/>
      <c r="QK108" s="1024"/>
      <c r="QL108" s="1024"/>
      <c r="QM108" s="1024"/>
      <c r="QN108" s="1024"/>
      <c r="QO108" s="1024"/>
      <c r="QP108" s="1024"/>
      <c r="QQ108" s="1024"/>
      <c r="QR108" s="1024"/>
      <c r="QS108" s="1024"/>
      <c r="QT108" s="1024"/>
      <c r="QU108" s="1024"/>
      <c r="QV108" s="1024"/>
      <c r="QW108" s="1024"/>
      <c r="QX108" s="1024"/>
      <c r="QY108" s="1024"/>
      <c r="QZ108" s="1024"/>
      <c r="RA108" s="1024"/>
      <c r="RB108" s="1024"/>
      <c r="RC108" s="1024"/>
      <c r="RD108" s="1024"/>
      <c r="RE108" s="1024"/>
      <c r="RF108" s="1024"/>
      <c r="RG108" s="1024"/>
      <c r="RH108" s="1024"/>
      <c r="RI108" s="1024"/>
      <c r="RJ108" s="1024"/>
      <c r="RK108" s="1024"/>
      <c r="RL108" s="1024"/>
      <c r="RM108" s="1024"/>
      <c r="RN108" s="1024"/>
      <c r="RO108" s="1024"/>
      <c r="RP108" s="1024"/>
      <c r="RQ108" s="1024"/>
      <c r="RR108" s="1024"/>
      <c r="RS108" s="1024"/>
      <c r="RT108" s="1024"/>
      <c r="RU108" s="1024"/>
      <c r="RV108" s="1024"/>
      <c r="RW108" s="1024"/>
      <c r="RX108" s="1024"/>
      <c r="RY108" s="1024"/>
      <c r="RZ108" s="1024"/>
      <c r="SA108" s="1024"/>
      <c r="SB108" s="1024"/>
      <c r="SC108" s="1024"/>
      <c r="SD108" s="1024"/>
      <c r="SE108" s="1024"/>
      <c r="SF108" s="1024"/>
      <c r="SG108" s="1024"/>
      <c r="SH108" s="1024"/>
      <c r="SI108" s="1024"/>
      <c r="SJ108" s="1024"/>
      <c r="SK108" s="1024"/>
      <c r="SL108" s="1024"/>
      <c r="SM108" s="1024"/>
      <c r="SN108" s="1024"/>
      <c r="SO108" s="1024"/>
      <c r="SP108" s="1024"/>
      <c r="SQ108" s="1024"/>
      <c r="SR108" s="1024"/>
    </row>
    <row r="109" spans="1:512" ht="15" customHeight="1">
      <c r="A109"/>
      <c r="B109" t="s">
        <v>2227</v>
      </c>
      <c r="C109"/>
      <c r="D109"/>
      <c r="E109" t="s">
        <v>169</v>
      </c>
      <c r="F109"/>
      <c r="G109" s="1022">
        <v>8.6975765578904695E-4</v>
      </c>
      <c r="H109" s="1022">
        <v>1.6642574448508551E-3</v>
      </c>
      <c r="I109" s="1022"/>
      <c r="J109" s="1022"/>
      <c r="K109" s="1022"/>
      <c r="L109" s="1022"/>
      <c r="M109" s="1022"/>
      <c r="N109" s="1022"/>
      <c r="O109" s="1022"/>
      <c r="P109" s="1022"/>
      <c r="Q109" s="1022"/>
      <c r="R109" s="1022"/>
      <c r="S109" s="1022"/>
      <c r="T109" s="1022"/>
      <c r="U109" s="1021"/>
      <c r="V109" s="1021"/>
      <c r="W109" s="1021"/>
      <c r="X109" s="1021"/>
      <c r="Y109" s="1021"/>
      <c r="Z109" s="1021"/>
      <c r="AA109" s="1021"/>
      <c r="AB109" s="1021"/>
      <c r="AC109" s="1021"/>
      <c r="AD109" s="1021"/>
      <c r="AE109" s="1021"/>
      <c r="AF109" s="1021"/>
      <c r="AG109" s="1021"/>
      <c r="AH109" s="1021"/>
      <c r="AI109" s="1021"/>
      <c r="AJ109" s="1021"/>
      <c r="AK109" s="1021"/>
      <c r="AL109" s="1021"/>
      <c r="AM109" s="1021"/>
      <c r="AN109" s="1021"/>
      <c r="AO109" s="1021"/>
      <c r="AP109" s="1021"/>
      <c r="AQ109" s="1021"/>
      <c r="AR109" s="1021"/>
      <c r="AS109" s="1021"/>
      <c r="AT109" s="1021"/>
      <c r="AU109" s="1021"/>
      <c r="AV109" s="1021"/>
      <c r="AW109" s="1021"/>
      <c r="AX109" s="1021"/>
      <c r="AY109" s="1021"/>
      <c r="AZ109" s="1021"/>
      <c r="BA109" s="1021"/>
      <c r="BB109" s="1021"/>
      <c r="BC109" s="1021"/>
      <c r="BD109" s="1021"/>
      <c r="BE109" s="1021"/>
      <c r="BF109" s="1021"/>
      <c r="BG109" s="1021"/>
      <c r="BH109" s="1021"/>
      <c r="BI109" s="1021"/>
      <c r="BJ109" s="1021"/>
      <c r="BK109" s="1021"/>
      <c r="BL109" s="1021"/>
      <c r="BM109" s="1021"/>
      <c r="BN109" s="1021"/>
      <c r="BO109" s="1021"/>
      <c r="BP109" s="1021"/>
      <c r="BQ109" s="1021"/>
      <c r="BR109" s="1021"/>
      <c r="BS109" s="1021"/>
      <c r="BT109" s="1021"/>
      <c r="BU109" s="1021"/>
      <c r="BV109" s="1021"/>
      <c r="BW109" s="1021"/>
      <c r="BX109" s="1021"/>
      <c r="BY109" s="1021"/>
      <c r="BZ109" s="1021"/>
      <c r="CA109" s="1021"/>
      <c r="CB109" s="1021"/>
      <c r="CC109" s="1021"/>
      <c r="CD109" s="1021"/>
      <c r="CE109" s="1021"/>
      <c r="CF109" s="1021"/>
      <c r="CG109" s="1021"/>
      <c r="CH109" s="1021"/>
      <c r="CI109" s="1021"/>
      <c r="CJ109" s="1021"/>
      <c r="CK109" s="1021"/>
      <c r="CL109" s="1021"/>
      <c r="CM109" s="1021"/>
      <c r="CN109" s="1021"/>
      <c r="CO109" s="1021"/>
      <c r="CP109" s="1021"/>
      <c r="CQ109" s="1021"/>
      <c r="CR109" s="1021"/>
      <c r="CS109" s="1021"/>
      <c r="CT109" s="1021"/>
      <c r="CU109" s="1021"/>
      <c r="CV109" s="1021"/>
      <c r="CW109" s="1021"/>
      <c r="CX109" s="1021"/>
      <c r="CY109" s="1021"/>
      <c r="CZ109" s="1021"/>
      <c r="DA109" s="1021"/>
      <c r="DB109" s="1021"/>
      <c r="DC109" s="1021"/>
      <c r="DD109" s="1021"/>
      <c r="DE109" s="1021"/>
      <c r="DF109" s="1021"/>
      <c r="DG109" s="1021"/>
      <c r="DH109" s="1021"/>
      <c r="DI109" s="1021"/>
      <c r="DJ109" s="1021"/>
      <c r="DK109" s="1021"/>
      <c r="DL109" s="1021"/>
      <c r="DM109" s="1021"/>
      <c r="DN109" s="1021"/>
      <c r="DO109" s="1021"/>
      <c r="DP109" s="1021"/>
      <c r="DQ109" s="1021"/>
      <c r="DR109" s="1021"/>
      <c r="DS109" s="1021"/>
      <c r="DT109" s="1021"/>
      <c r="DU109" s="1021"/>
      <c r="DV109" s="1021"/>
      <c r="DW109" s="1021"/>
      <c r="DX109" s="1021"/>
      <c r="DY109" s="1021"/>
      <c r="DZ109" s="1021"/>
      <c r="EA109" s="1021"/>
      <c r="EB109" s="1021"/>
      <c r="EC109" s="1021"/>
      <c r="ED109" s="1021"/>
      <c r="EE109" s="1021"/>
      <c r="EF109" s="1021"/>
      <c r="EG109" s="1021"/>
      <c r="EH109" s="1021"/>
      <c r="EI109" s="1021"/>
      <c r="EJ109" s="1021"/>
      <c r="EK109" s="1021"/>
      <c r="EL109" s="1021"/>
      <c r="EM109" s="1021"/>
      <c r="EN109" s="1021"/>
      <c r="EO109" s="1021"/>
      <c r="EP109" s="1021"/>
      <c r="EQ109" s="1021"/>
      <c r="ER109" s="1021"/>
      <c r="ES109" s="1021"/>
      <c r="ET109" s="1021"/>
      <c r="EU109" s="1021"/>
      <c r="EV109" s="1021"/>
      <c r="EW109" s="1021"/>
      <c r="EX109" s="1021"/>
      <c r="EY109" s="1021"/>
      <c r="EZ109" s="1021"/>
      <c r="FA109" s="1021"/>
      <c r="FB109" s="1021"/>
      <c r="FC109" s="1021"/>
      <c r="FD109" s="1021"/>
      <c r="FE109" s="1021"/>
      <c r="FF109" s="1021"/>
      <c r="FG109" s="1021"/>
      <c r="FH109" s="1021"/>
      <c r="FI109" s="1021"/>
      <c r="FJ109" s="1021"/>
      <c r="FK109" s="1021"/>
      <c r="FL109" s="1021"/>
      <c r="FM109" s="1021"/>
      <c r="FN109" s="1021"/>
      <c r="FO109" s="1021"/>
      <c r="FP109" s="1021"/>
      <c r="FQ109" s="1021"/>
      <c r="FR109" s="1021"/>
      <c r="FS109" s="1021"/>
      <c r="FT109" s="1021"/>
      <c r="FU109" s="1021"/>
      <c r="FV109" s="1021"/>
      <c r="FW109" s="1021"/>
      <c r="FX109" s="1021"/>
      <c r="FY109" s="1021"/>
      <c r="FZ109" s="1021"/>
      <c r="GA109" s="1021"/>
      <c r="GB109" s="1021"/>
      <c r="GC109" s="1021"/>
      <c r="GD109" s="1021"/>
      <c r="GE109" s="1021"/>
      <c r="GF109" s="1021"/>
      <c r="GG109" s="1021"/>
      <c r="GH109" s="1021"/>
      <c r="GI109" s="1021"/>
      <c r="GJ109" s="1021"/>
      <c r="GK109" s="1021"/>
      <c r="GL109" s="1021"/>
      <c r="GM109" s="1021"/>
      <c r="GN109" s="1021"/>
      <c r="GO109" s="1021"/>
      <c r="GP109" s="1021"/>
      <c r="GQ109" s="1021"/>
      <c r="GR109" s="1021"/>
      <c r="GS109" s="1021"/>
      <c r="GT109" s="1021"/>
      <c r="GU109" s="1021"/>
      <c r="GV109" s="1021"/>
      <c r="GW109" s="1021"/>
      <c r="GX109" s="1021"/>
      <c r="GY109" s="1021"/>
      <c r="GZ109" s="1021"/>
      <c r="HA109" s="1021"/>
      <c r="HB109" s="1021"/>
      <c r="HC109" s="1021"/>
      <c r="HD109" s="1021"/>
      <c r="HE109" s="1021"/>
      <c r="HF109" s="1021"/>
      <c r="HG109" s="1021"/>
      <c r="HH109" s="1021"/>
      <c r="HI109" s="1021"/>
      <c r="HJ109" s="1021"/>
      <c r="HK109" s="1021"/>
      <c r="HL109" s="1021"/>
      <c r="HM109" s="1021"/>
      <c r="HN109" s="1021"/>
      <c r="HO109" s="1021"/>
      <c r="HP109" s="1021"/>
      <c r="HQ109" s="1021"/>
      <c r="HR109" s="1021"/>
      <c r="HS109" s="1021"/>
      <c r="HT109" s="1021"/>
      <c r="HU109" s="1021"/>
      <c r="HV109" s="1021"/>
      <c r="HW109" s="1021"/>
      <c r="HX109" s="1021"/>
      <c r="HY109" s="1021"/>
      <c r="HZ109" s="1021"/>
      <c r="IA109" s="1021"/>
      <c r="IB109" s="1021"/>
      <c r="IC109" s="1021"/>
      <c r="ID109" s="1021"/>
      <c r="IE109" s="1021"/>
      <c r="IF109" s="1021"/>
      <c r="IG109" s="1021"/>
      <c r="IH109" s="1021"/>
      <c r="II109" s="1021"/>
      <c r="IJ109" s="1021"/>
      <c r="IK109" s="1021"/>
      <c r="IL109" s="1021"/>
      <c r="IM109" s="1021"/>
      <c r="IN109" s="1021"/>
      <c r="IO109" s="1021"/>
      <c r="IP109" s="1021"/>
      <c r="IQ109" s="1021"/>
      <c r="IR109" s="1021"/>
      <c r="IS109" s="1021"/>
      <c r="IT109" s="1021"/>
      <c r="IU109" s="1021"/>
      <c r="IV109" s="1021"/>
      <c r="IW109" s="1021"/>
      <c r="IX109" s="1021"/>
      <c r="IY109" s="1021"/>
      <c r="IZ109" s="1021"/>
      <c r="JA109" s="1021"/>
      <c r="JB109" s="1021"/>
      <c r="JC109" s="1021"/>
      <c r="JD109" s="1021"/>
      <c r="JE109" s="1021"/>
      <c r="JF109" s="1021"/>
      <c r="JG109" s="1021"/>
      <c r="JH109" s="1021"/>
      <c r="JI109" s="1021"/>
      <c r="JJ109" s="1021"/>
      <c r="JK109" s="1021"/>
      <c r="JL109" s="1021"/>
      <c r="JM109" s="1021"/>
      <c r="JN109" s="1021"/>
      <c r="JO109" s="1021"/>
      <c r="JP109" s="1021"/>
      <c r="JQ109" s="1021"/>
      <c r="JR109" s="1021"/>
      <c r="JS109" s="1021"/>
      <c r="JT109" s="1021"/>
      <c r="JU109" s="1021"/>
      <c r="JV109" s="1021"/>
      <c r="JW109" s="1021"/>
      <c r="JX109" s="1021"/>
      <c r="JY109" s="1021"/>
      <c r="JZ109" s="1021"/>
      <c r="KA109" s="1021"/>
      <c r="KB109" s="1021"/>
      <c r="KC109" s="1021"/>
      <c r="KD109" s="1021"/>
      <c r="KE109" s="1021"/>
      <c r="KF109" s="1021"/>
      <c r="KG109" s="1021"/>
      <c r="KH109" s="1021"/>
      <c r="KI109" s="1021"/>
      <c r="KJ109" s="1021"/>
      <c r="KK109" s="1021"/>
      <c r="KL109" s="1021"/>
      <c r="KM109" s="1021"/>
      <c r="KN109" s="1021"/>
      <c r="KO109" s="1021"/>
      <c r="KP109" s="1021"/>
      <c r="KQ109" s="1021"/>
      <c r="KR109" s="1021"/>
      <c r="KS109" s="1021"/>
      <c r="KT109" s="1021"/>
      <c r="KU109" s="1021"/>
      <c r="KV109" s="1021"/>
      <c r="KW109" s="1021"/>
      <c r="KX109" s="1021"/>
      <c r="KY109" s="1021"/>
      <c r="KZ109" s="1021"/>
      <c r="LA109" s="1021"/>
      <c r="LB109" s="1021"/>
      <c r="LC109" s="1021"/>
      <c r="LD109" s="1021"/>
      <c r="LE109" s="1021"/>
      <c r="LF109" s="1021"/>
      <c r="LG109" s="1021"/>
      <c r="LH109" s="1021"/>
      <c r="LI109" s="1021"/>
      <c r="LJ109" s="1021"/>
      <c r="LK109" s="1021"/>
      <c r="LL109" s="1021"/>
      <c r="LM109" s="1021"/>
      <c r="LN109" s="1021"/>
      <c r="LO109" s="1021"/>
      <c r="LP109" s="1021"/>
      <c r="LQ109" s="1021"/>
      <c r="LR109" s="1021"/>
      <c r="LS109" s="1021"/>
      <c r="LT109" s="1021"/>
      <c r="LU109" s="1021"/>
      <c r="LV109" s="1021"/>
      <c r="LW109" s="1021"/>
      <c r="LX109" s="1021"/>
      <c r="LY109" s="1021"/>
      <c r="LZ109" s="1021"/>
      <c r="MA109" s="1021"/>
      <c r="MB109" s="1021"/>
      <c r="MC109" s="1021"/>
      <c r="MD109" s="1021"/>
      <c r="ME109" s="1021"/>
      <c r="MF109" s="1021"/>
      <c r="MG109" s="1021"/>
      <c r="MH109" s="1021"/>
      <c r="MI109" s="1021"/>
      <c r="MJ109" s="1021"/>
      <c r="MK109" s="1021"/>
      <c r="ML109" s="1021"/>
      <c r="MM109" s="1021"/>
      <c r="MN109" s="1021"/>
      <c r="MO109" s="1021"/>
      <c r="MP109" s="1021"/>
      <c r="MQ109" s="1021"/>
      <c r="MR109" s="1021"/>
      <c r="MS109" s="1021"/>
      <c r="MT109" s="1021"/>
      <c r="MU109" s="1021"/>
      <c r="MV109" s="1021"/>
      <c r="MW109" s="1021"/>
      <c r="MX109" s="1021"/>
      <c r="MY109" s="1021"/>
      <c r="MZ109" s="1021"/>
      <c r="NA109" s="1021"/>
      <c r="NB109" s="1021"/>
      <c r="NC109" s="1021"/>
      <c r="ND109" s="1021"/>
      <c r="NE109" s="1021"/>
      <c r="NF109" s="1021"/>
      <c r="NG109" s="1021"/>
      <c r="NH109" s="1021"/>
      <c r="NI109" s="1021"/>
      <c r="NJ109" s="1021"/>
      <c r="NK109" s="1021"/>
      <c r="NL109" s="1021"/>
      <c r="NM109" s="1021"/>
      <c r="NN109" s="1021"/>
      <c r="NO109" s="1021"/>
      <c r="NP109" s="1021"/>
      <c r="NQ109" s="1021"/>
      <c r="NR109" s="1021"/>
      <c r="NS109" s="1021"/>
      <c r="NT109" s="1021"/>
      <c r="NU109" s="1021"/>
      <c r="NV109" s="1021"/>
      <c r="NW109" s="1021"/>
      <c r="NX109" s="1021"/>
      <c r="NY109" s="1021"/>
      <c r="NZ109" s="1021"/>
      <c r="OA109" s="1021"/>
      <c r="OB109" s="1021"/>
      <c r="OC109" s="1021"/>
      <c r="OD109" s="1021"/>
      <c r="OE109" s="1021"/>
      <c r="OF109" s="1021"/>
      <c r="OG109" s="1021"/>
      <c r="OH109" s="1021"/>
      <c r="OI109" s="1021"/>
      <c r="OJ109" s="1021"/>
      <c r="OK109" s="1021"/>
      <c r="OL109" s="1021"/>
      <c r="OM109" s="1021"/>
      <c r="ON109" s="1021"/>
      <c r="OO109" s="1021"/>
      <c r="OP109" s="1021"/>
      <c r="OQ109" s="1021"/>
      <c r="OR109" s="1021"/>
      <c r="OS109" s="1021"/>
      <c r="OT109" s="1021"/>
      <c r="OU109" s="1021"/>
      <c r="OV109" s="1021"/>
      <c r="OW109" s="1021"/>
      <c r="OX109" s="1021"/>
      <c r="OY109" s="1021"/>
      <c r="OZ109" s="1021"/>
      <c r="PA109" s="1021"/>
      <c r="PB109" s="1021"/>
      <c r="PC109" s="1021"/>
      <c r="PD109" s="1021"/>
      <c r="PE109" s="1021"/>
      <c r="PF109" s="1021"/>
      <c r="PG109" s="1021"/>
      <c r="PH109" s="1021"/>
      <c r="PI109" s="1021"/>
      <c r="PJ109" s="1021"/>
      <c r="PK109" s="1021"/>
      <c r="PL109" s="1021"/>
      <c r="PM109" s="1021"/>
      <c r="PN109" s="1021"/>
      <c r="PO109" s="1021"/>
      <c r="PP109" s="1021"/>
      <c r="PQ109" s="1021"/>
      <c r="PR109" s="1021"/>
      <c r="PS109" s="1021"/>
      <c r="PT109" s="1021"/>
      <c r="PU109" s="1021"/>
      <c r="PV109" s="1021"/>
      <c r="PW109" s="1021"/>
      <c r="PX109" s="1021"/>
      <c r="PY109" s="1021"/>
      <c r="PZ109" s="1021"/>
      <c r="QA109" s="1021"/>
      <c r="QB109" s="1021"/>
      <c r="QC109" s="1021"/>
      <c r="QD109" s="1021"/>
      <c r="QE109" s="1021"/>
      <c r="QF109" s="1021"/>
      <c r="QG109" s="1021"/>
      <c r="QH109" s="1021"/>
      <c r="QI109" s="1021"/>
      <c r="QJ109" s="1021"/>
      <c r="QK109" s="1021"/>
      <c r="QL109" s="1021"/>
      <c r="QM109" s="1021"/>
      <c r="QN109" s="1021"/>
      <c r="QO109" s="1021"/>
      <c r="QP109" s="1021"/>
      <c r="QQ109" s="1021"/>
      <c r="QR109" s="1021"/>
      <c r="QS109" s="1021"/>
      <c r="QT109" s="1021"/>
      <c r="QU109" s="1021"/>
      <c r="QV109" s="1021"/>
      <c r="QW109" s="1021"/>
      <c r="QX109" s="1021"/>
      <c r="QY109" s="1021"/>
      <c r="QZ109" s="1021"/>
      <c r="RA109" s="1021"/>
      <c r="RB109" s="1021"/>
      <c r="RC109" s="1021"/>
      <c r="RD109" s="1021"/>
      <c r="RE109" s="1021"/>
      <c r="RF109" s="1021"/>
      <c r="RG109" s="1021"/>
      <c r="RH109" s="1021"/>
      <c r="RI109" s="1021"/>
      <c r="RJ109" s="1021"/>
      <c r="RK109" s="1021"/>
      <c r="RL109" s="1021"/>
      <c r="RM109" s="1021"/>
      <c r="RN109" s="1021"/>
      <c r="RO109" s="1021"/>
      <c r="RP109" s="1021"/>
      <c r="RQ109" s="1021"/>
      <c r="RR109" s="1021"/>
      <c r="RS109" s="1021"/>
      <c r="RT109" s="1021"/>
      <c r="RU109" s="1021"/>
      <c r="RV109" s="1021"/>
      <c r="RW109" s="1021"/>
      <c r="RX109" s="1021"/>
      <c r="RY109" s="1021"/>
      <c r="RZ109" s="1021"/>
      <c r="SA109" s="1021"/>
      <c r="SB109" s="1021"/>
      <c r="SC109" s="1021"/>
      <c r="SD109" s="1021"/>
      <c r="SE109" s="1021"/>
      <c r="SF109" s="1021"/>
      <c r="SG109" s="1021"/>
      <c r="SH109" s="1021"/>
      <c r="SI109" s="1021"/>
      <c r="SJ109" s="1021"/>
      <c r="SK109" s="1021"/>
      <c r="SL109" s="1021"/>
      <c r="SM109" s="1021"/>
      <c r="SN109" s="1021"/>
      <c r="SO109" s="1021"/>
      <c r="SP109" s="1021"/>
      <c r="SQ109" s="1021"/>
      <c r="SR109" s="1021"/>
    </row>
    <row r="110" spans="1:512" ht="15" customHeight="1">
      <c r="A110"/>
      <c r="B110" t="s">
        <v>2228</v>
      </c>
      <c r="C110"/>
      <c r="D110"/>
      <c r="E110" t="s">
        <v>3848</v>
      </c>
      <c r="F110"/>
      <c r="G110" s="1023">
        <v>1.333165857694411</v>
      </c>
      <c r="H110" s="1023">
        <v>0.12529944173336144</v>
      </c>
      <c r="I110" s="1023"/>
      <c r="J110" s="1023"/>
      <c r="K110" s="1023"/>
      <c r="L110" s="1023"/>
      <c r="M110" s="1023"/>
      <c r="N110" s="1023"/>
      <c r="O110" s="1023"/>
      <c r="P110" s="1023"/>
      <c r="Q110" s="1023"/>
      <c r="R110" s="1023"/>
      <c r="S110" s="1023"/>
      <c r="T110" s="1023"/>
      <c r="U110" s="1021"/>
      <c r="V110" s="1021"/>
      <c r="W110" s="1021"/>
      <c r="X110" s="1021"/>
      <c r="Y110" s="1021"/>
      <c r="Z110" s="1021"/>
      <c r="AA110" s="1021"/>
      <c r="AB110" s="1021"/>
      <c r="AC110" s="1021"/>
      <c r="AD110" s="1021"/>
      <c r="AE110" s="1021"/>
      <c r="AF110" s="1021"/>
      <c r="AG110" s="1021"/>
      <c r="AH110" s="1021"/>
      <c r="AI110" s="1021"/>
      <c r="AJ110" s="1021"/>
      <c r="AK110" s="1021"/>
      <c r="AL110" s="1021"/>
      <c r="AM110" s="1021"/>
      <c r="AN110" s="1021"/>
      <c r="AO110" s="1021"/>
      <c r="AP110" s="1021"/>
      <c r="AQ110" s="1021"/>
      <c r="AR110" s="1021"/>
      <c r="AS110" s="1021"/>
      <c r="AT110" s="1021"/>
      <c r="AU110" s="1021"/>
      <c r="AV110" s="1021"/>
      <c r="AW110" s="1021"/>
      <c r="AX110" s="1021"/>
      <c r="AY110" s="1021"/>
      <c r="AZ110" s="1021"/>
      <c r="BA110" s="1021"/>
      <c r="BB110" s="1021"/>
      <c r="BC110" s="1021"/>
      <c r="BD110" s="1021"/>
      <c r="BE110" s="1021"/>
      <c r="BF110" s="1021"/>
      <c r="BG110" s="1021"/>
      <c r="BH110" s="1021"/>
      <c r="BI110" s="1021"/>
      <c r="BJ110" s="1021"/>
      <c r="BK110" s="1021"/>
      <c r="BL110" s="1021"/>
      <c r="BM110" s="1021"/>
      <c r="BN110" s="1021"/>
      <c r="BO110" s="1021"/>
      <c r="BP110" s="1021"/>
      <c r="BQ110" s="1021"/>
      <c r="BR110" s="1021"/>
      <c r="BS110" s="1021"/>
      <c r="BT110" s="1021"/>
      <c r="BU110" s="1021"/>
      <c r="BV110" s="1021"/>
      <c r="BW110" s="1021"/>
      <c r="BX110" s="1021"/>
      <c r="BY110" s="1021"/>
      <c r="BZ110" s="1021"/>
      <c r="CA110" s="1021"/>
      <c r="CB110" s="1021"/>
      <c r="CC110" s="1021"/>
      <c r="CD110" s="1021"/>
      <c r="CE110" s="1021"/>
      <c r="CF110" s="1021"/>
      <c r="CG110" s="1021"/>
      <c r="CH110" s="1021"/>
      <c r="CI110" s="1021"/>
      <c r="CJ110" s="1021"/>
      <c r="CK110" s="1021"/>
      <c r="CL110" s="1021"/>
      <c r="CM110" s="1021"/>
      <c r="CN110" s="1021"/>
      <c r="CO110" s="1021"/>
      <c r="CP110" s="1021"/>
      <c r="CQ110" s="1021"/>
      <c r="CR110" s="1021"/>
      <c r="CS110" s="1021"/>
      <c r="CT110" s="1021"/>
      <c r="CU110" s="1021"/>
      <c r="CV110" s="1021"/>
      <c r="CW110" s="1021"/>
      <c r="CX110" s="1021"/>
      <c r="CY110" s="1021"/>
      <c r="CZ110" s="1021"/>
      <c r="DA110" s="1021"/>
      <c r="DB110" s="1021"/>
      <c r="DC110" s="1021"/>
      <c r="DD110" s="1021"/>
      <c r="DE110" s="1021"/>
      <c r="DF110" s="1021"/>
      <c r="DG110" s="1021"/>
      <c r="DH110" s="1021"/>
      <c r="DI110" s="1021"/>
      <c r="DJ110" s="1021"/>
      <c r="DK110" s="1021"/>
      <c r="DL110" s="1021"/>
      <c r="DM110" s="1021"/>
      <c r="DN110" s="1021"/>
      <c r="DO110" s="1021"/>
      <c r="DP110" s="1021"/>
      <c r="DQ110" s="1021"/>
      <c r="DR110" s="1021"/>
      <c r="DS110" s="1021"/>
      <c r="DT110" s="1021"/>
      <c r="DU110" s="1021"/>
      <c r="DV110" s="1021"/>
      <c r="DW110" s="1021"/>
      <c r="DX110" s="1021"/>
      <c r="DY110" s="1021"/>
      <c r="DZ110" s="1021"/>
      <c r="EA110" s="1021"/>
      <c r="EB110" s="1021"/>
      <c r="EC110" s="1021"/>
      <c r="ED110" s="1021"/>
      <c r="EE110" s="1021"/>
      <c r="EF110" s="1021"/>
      <c r="EG110" s="1021"/>
      <c r="EH110" s="1021"/>
      <c r="EI110" s="1021"/>
      <c r="EJ110" s="1021"/>
      <c r="EK110" s="1021"/>
      <c r="EL110" s="1021"/>
      <c r="EM110" s="1021"/>
      <c r="EN110" s="1021"/>
      <c r="EO110" s="1021"/>
      <c r="EP110" s="1021"/>
      <c r="EQ110" s="1021"/>
      <c r="ER110" s="1021"/>
      <c r="ES110" s="1021"/>
      <c r="ET110" s="1021"/>
      <c r="EU110" s="1021"/>
      <c r="EV110" s="1021"/>
      <c r="EW110" s="1021"/>
      <c r="EX110" s="1021"/>
      <c r="EY110" s="1021"/>
      <c r="EZ110" s="1021"/>
      <c r="FA110" s="1021"/>
      <c r="FB110" s="1021"/>
      <c r="FC110" s="1021"/>
      <c r="FD110" s="1021"/>
      <c r="FE110" s="1021"/>
      <c r="FF110" s="1021"/>
      <c r="FG110" s="1021"/>
      <c r="FH110" s="1021"/>
      <c r="FI110" s="1021"/>
      <c r="FJ110" s="1021"/>
      <c r="FK110" s="1021"/>
      <c r="FL110" s="1021"/>
      <c r="FM110" s="1021"/>
      <c r="FN110" s="1021"/>
      <c r="FO110" s="1021"/>
      <c r="FP110" s="1021"/>
      <c r="FQ110" s="1021"/>
      <c r="FR110" s="1021"/>
      <c r="FS110" s="1021"/>
      <c r="FT110" s="1021"/>
      <c r="FU110" s="1021"/>
      <c r="FV110" s="1021"/>
      <c r="FW110" s="1021"/>
      <c r="FX110" s="1021"/>
      <c r="FY110" s="1021"/>
      <c r="FZ110" s="1021"/>
      <c r="GA110" s="1021"/>
      <c r="GB110" s="1021"/>
      <c r="GC110" s="1021"/>
      <c r="GD110" s="1021"/>
      <c r="GE110" s="1021"/>
      <c r="GF110" s="1021"/>
      <c r="GG110" s="1021"/>
      <c r="GH110" s="1021"/>
      <c r="GI110" s="1021"/>
      <c r="GJ110" s="1021"/>
      <c r="GK110" s="1021"/>
      <c r="GL110" s="1021"/>
      <c r="GM110" s="1021"/>
      <c r="GN110" s="1021"/>
      <c r="GO110" s="1021"/>
      <c r="GP110" s="1021"/>
      <c r="GQ110" s="1021"/>
      <c r="GR110" s="1021"/>
      <c r="GS110" s="1021"/>
      <c r="GT110" s="1021"/>
      <c r="GU110" s="1021"/>
      <c r="GV110" s="1021"/>
      <c r="GW110" s="1021"/>
      <c r="GX110" s="1021"/>
      <c r="GY110" s="1021"/>
      <c r="GZ110" s="1021"/>
      <c r="HA110" s="1021"/>
      <c r="HB110" s="1021"/>
      <c r="HC110" s="1021"/>
      <c r="HD110" s="1021"/>
      <c r="HE110" s="1021"/>
      <c r="HF110" s="1021"/>
      <c r="HG110" s="1021"/>
      <c r="HH110" s="1021"/>
      <c r="HI110" s="1021"/>
      <c r="HJ110" s="1021"/>
      <c r="HK110" s="1021"/>
      <c r="HL110" s="1021"/>
      <c r="HM110" s="1021"/>
      <c r="HN110" s="1021"/>
      <c r="HO110" s="1021"/>
      <c r="HP110" s="1021"/>
      <c r="HQ110" s="1021"/>
      <c r="HR110" s="1021"/>
      <c r="HS110" s="1021"/>
      <c r="HT110" s="1021"/>
      <c r="HU110" s="1021"/>
      <c r="HV110" s="1021"/>
      <c r="HW110" s="1021"/>
      <c r="HX110" s="1021"/>
      <c r="HY110" s="1021"/>
      <c r="HZ110" s="1021"/>
      <c r="IA110" s="1021"/>
      <c r="IB110" s="1021"/>
      <c r="IC110" s="1021"/>
      <c r="ID110" s="1021"/>
      <c r="IE110" s="1021"/>
      <c r="IF110" s="1021"/>
      <c r="IG110" s="1021"/>
      <c r="IH110" s="1021"/>
      <c r="II110" s="1021"/>
      <c r="IJ110" s="1021"/>
      <c r="IK110" s="1021"/>
      <c r="IL110" s="1021"/>
      <c r="IM110" s="1021"/>
      <c r="IN110" s="1021"/>
      <c r="IO110" s="1021"/>
      <c r="IP110" s="1021"/>
      <c r="IQ110" s="1021"/>
      <c r="IR110" s="1021"/>
      <c r="IS110" s="1021"/>
      <c r="IT110" s="1021"/>
      <c r="IU110" s="1021"/>
      <c r="IV110" s="1021"/>
      <c r="IW110" s="1021"/>
      <c r="IX110" s="1021"/>
      <c r="IY110" s="1021"/>
      <c r="IZ110" s="1021"/>
      <c r="JA110" s="1021"/>
      <c r="JB110" s="1021"/>
      <c r="JC110" s="1021"/>
      <c r="JD110" s="1021"/>
      <c r="JE110" s="1021"/>
      <c r="JF110" s="1021"/>
      <c r="JG110" s="1021"/>
      <c r="JH110" s="1021"/>
      <c r="JI110" s="1021"/>
      <c r="JJ110" s="1021"/>
      <c r="JK110" s="1021"/>
      <c r="JL110" s="1021"/>
      <c r="JM110" s="1021"/>
      <c r="JN110" s="1021"/>
      <c r="JO110" s="1021"/>
      <c r="JP110" s="1021"/>
      <c r="JQ110" s="1021"/>
      <c r="JR110" s="1021"/>
      <c r="JS110" s="1021"/>
      <c r="JT110" s="1021"/>
      <c r="JU110" s="1021"/>
      <c r="JV110" s="1021"/>
      <c r="JW110" s="1021"/>
      <c r="JX110" s="1021"/>
      <c r="JY110" s="1021"/>
      <c r="JZ110" s="1021"/>
      <c r="KA110" s="1021"/>
      <c r="KB110" s="1021"/>
      <c r="KC110" s="1021"/>
      <c r="KD110" s="1021"/>
      <c r="KE110" s="1021"/>
      <c r="KF110" s="1021"/>
      <c r="KG110" s="1021"/>
      <c r="KH110" s="1021"/>
      <c r="KI110" s="1021"/>
      <c r="KJ110" s="1021"/>
      <c r="KK110" s="1021"/>
      <c r="KL110" s="1021"/>
      <c r="KM110" s="1021"/>
      <c r="KN110" s="1021"/>
      <c r="KO110" s="1021"/>
      <c r="KP110" s="1021"/>
      <c r="KQ110" s="1021"/>
      <c r="KR110" s="1021"/>
      <c r="KS110" s="1021"/>
      <c r="KT110" s="1021"/>
      <c r="KU110" s="1021"/>
      <c r="KV110" s="1021"/>
      <c r="KW110" s="1021"/>
      <c r="KX110" s="1021"/>
      <c r="KY110" s="1021"/>
      <c r="KZ110" s="1021"/>
      <c r="LA110" s="1021"/>
      <c r="LB110" s="1021"/>
      <c r="LC110" s="1021"/>
      <c r="LD110" s="1021"/>
      <c r="LE110" s="1021"/>
      <c r="LF110" s="1021"/>
      <c r="LG110" s="1021"/>
      <c r="LH110" s="1021"/>
      <c r="LI110" s="1021"/>
      <c r="LJ110" s="1021"/>
      <c r="LK110" s="1021"/>
      <c r="LL110" s="1021"/>
      <c r="LM110" s="1021"/>
      <c r="LN110" s="1021"/>
      <c r="LO110" s="1021"/>
      <c r="LP110" s="1021"/>
      <c r="LQ110" s="1021"/>
      <c r="LR110" s="1021"/>
      <c r="LS110" s="1021"/>
      <c r="LT110" s="1021"/>
      <c r="LU110" s="1021"/>
      <c r="LV110" s="1021"/>
      <c r="LW110" s="1021"/>
      <c r="LX110" s="1021"/>
      <c r="LY110" s="1021"/>
      <c r="LZ110" s="1021"/>
      <c r="MA110" s="1021"/>
      <c r="MB110" s="1021"/>
      <c r="MC110" s="1021"/>
      <c r="MD110" s="1021"/>
      <c r="ME110" s="1021"/>
      <c r="MF110" s="1021"/>
      <c r="MG110" s="1021"/>
      <c r="MH110" s="1021"/>
      <c r="MI110" s="1021"/>
      <c r="MJ110" s="1021"/>
      <c r="MK110" s="1021"/>
      <c r="ML110" s="1021"/>
      <c r="MM110" s="1021"/>
      <c r="MN110" s="1021"/>
      <c r="MO110" s="1021"/>
      <c r="MP110" s="1021"/>
      <c r="MQ110" s="1021"/>
      <c r="MR110" s="1021"/>
      <c r="MS110" s="1021"/>
      <c r="MT110" s="1021"/>
      <c r="MU110" s="1021"/>
      <c r="MV110" s="1021"/>
      <c r="MW110" s="1021"/>
      <c r="MX110" s="1021"/>
      <c r="MY110" s="1021"/>
      <c r="MZ110" s="1021"/>
      <c r="NA110" s="1021"/>
      <c r="NB110" s="1021"/>
      <c r="NC110" s="1021"/>
      <c r="ND110" s="1021"/>
      <c r="NE110" s="1021"/>
      <c r="NF110" s="1021"/>
      <c r="NG110" s="1021"/>
      <c r="NH110" s="1021"/>
      <c r="NI110" s="1021"/>
      <c r="NJ110" s="1021"/>
      <c r="NK110" s="1021"/>
      <c r="NL110" s="1021"/>
      <c r="NM110" s="1021"/>
      <c r="NN110" s="1021"/>
      <c r="NO110" s="1021"/>
      <c r="NP110" s="1021"/>
      <c r="NQ110" s="1021"/>
      <c r="NR110" s="1021"/>
      <c r="NS110" s="1021"/>
      <c r="NT110" s="1021"/>
      <c r="NU110" s="1021"/>
      <c r="NV110" s="1021"/>
      <c r="NW110" s="1021"/>
      <c r="NX110" s="1021"/>
      <c r="NY110" s="1021"/>
      <c r="NZ110" s="1021"/>
      <c r="OA110" s="1021"/>
      <c r="OB110" s="1021"/>
      <c r="OC110" s="1021"/>
      <c r="OD110" s="1021"/>
      <c r="OE110" s="1021"/>
      <c r="OF110" s="1021"/>
      <c r="OG110" s="1021"/>
      <c r="OH110" s="1021"/>
      <c r="OI110" s="1021"/>
      <c r="OJ110" s="1021"/>
      <c r="OK110" s="1021"/>
      <c r="OL110" s="1021"/>
      <c r="OM110" s="1021"/>
      <c r="ON110" s="1021"/>
      <c r="OO110" s="1021"/>
      <c r="OP110" s="1021"/>
      <c r="OQ110" s="1021"/>
      <c r="OR110" s="1021"/>
      <c r="OS110" s="1021"/>
      <c r="OT110" s="1021"/>
      <c r="OU110" s="1021"/>
      <c r="OV110" s="1021"/>
      <c r="OW110" s="1021"/>
      <c r="OX110" s="1021"/>
      <c r="OY110" s="1021"/>
      <c r="OZ110" s="1021"/>
      <c r="PA110" s="1021"/>
      <c r="PB110" s="1021"/>
      <c r="PC110" s="1021"/>
      <c r="PD110" s="1021"/>
      <c r="PE110" s="1021"/>
      <c r="PF110" s="1021"/>
      <c r="PG110" s="1021"/>
      <c r="PH110" s="1021"/>
      <c r="PI110" s="1021"/>
      <c r="PJ110" s="1021"/>
      <c r="PK110" s="1021"/>
      <c r="PL110" s="1021"/>
      <c r="PM110" s="1021"/>
      <c r="PN110" s="1021"/>
      <c r="PO110" s="1021"/>
      <c r="PP110" s="1021"/>
      <c r="PQ110" s="1021"/>
      <c r="PR110" s="1021"/>
      <c r="PS110" s="1021"/>
      <c r="PT110" s="1021"/>
      <c r="PU110" s="1021"/>
      <c r="PV110" s="1021"/>
      <c r="PW110" s="1021"/>
      <c r="PX110" s="1021"/>
      <c r="PY110" s="1021"/>
      <c r="PZ110" s="1021"/>
      <c r="QA110" s="1021"/>
      <c r="QB110" s="1021"/>
      <c r="QC110" s="1021"/>
      <c r="QD110" s="1021"/>
      <c r="QE110" s="1021"/>
      <c r="QF110" s="1021"/>
      <c r="QG110" s="1021"/>
      <c r="QH110" s="1021"/>
      <c r="QI110" s="1021"/>
      <c r="QJ110" s="1021"/>
      <c r="QK110" s="1021"/>
      <c r="QL110" s="1021"/>
      <c r="QM110" s="1021"/>
      <c r="QN110" s="1021"/>
      <c r="QO110" s="1021"/>
      <c r="QP110" s="1021"/>
      <c r="QQ110" s="1021"/>
      <c r="QR110" s="1021"/>
      <c r="QS110" s="1021"/>
      <c r="QT110" s="1021"/>
      <c r="QU110" s="1021"/>
      <c r="QV110" s="1021"/>
      <c r="QW110" s="1021"/>
      <c r="QX110" s="1021"/>
      <c r="QY110" s="1021"/>
      <c r="QZ110" s="1021"/>
      <c r="RA110" s="1021"/>
      <c r="RB110" s="1021"/>
      <c r="RC110" s="1021"/>
      <c r="RD110" s="1021"/>
      <c r="RE110" s="1021"/>
      <c r="RF110" s="1021"/>
      <c r="RG110" s="1021"/>
      <c r="RH110" s="1021"/>
      <c r="RI110" s="1021"/>
      <c r="RJ110" s="1021"/>
      <c r="RK110" s="1021"/>
      <c r="RL110" s="1021"/>
      <c r="RM110" s="1021"/>
      <c r="RN110" s="1021"/>
      <c r="RO110" s="1021"/>
      <c r="RP110" s="1021"/>
      <c r="RQ110" s="1021"/>
      <c r="RR110" s="1021"/>
      <c r="RS110" s="1021"/>
      <c r="RT110" s="1021"/>
      <c r="RU110" s="1021"/>
      <c r="RV110" s="1021"/>
      <c r="RW110" s="1021"/>
      <c r="RX110" s="1021"/>
      <c r="RY110" s="1021"/>
      <c r="RZ110" s="1021"/>
      <c r="SA110" s="1021"/>
      <c r="SB110" s="1021"/>
      <c r="SC110" s="1021"/>
      <c r="SD110" s="1021"/>
      <c r="SE110" s="1021"/>
      <c r="SF110" s="1021"/>
      <c r="SG110" s="1021"/>
      <c r="SH110" s="1021"/>
      <c r="SI110" s="1021"/>
      <c r="SJ110" s="1021"/>
      <c r="SK110" s="1021"/>
      <c r="SL110" s="1021"/>
      <c r="SM110" s="1021"/>
      <c r="SN110" s="1021"/>
      <c r="SO110" s="1021"/>
      <c r="SP110" s="1021"/>
      <c r="SQ110" s="1021"/>
      <c r="SR110" s="1021"/>
    </row>
    <row r="111" spans="1:512" ht="15" customHeight="1">
      <c r="A111"/>
      <c r="B111"/>
      <c r="C111" t="s">
        <v>2229</v>
      </c>
      <c r="D111"/>
      <c r="E111" t="s">
        <v>3848</v>
      </c>
      <c r="F111"/>
      <c r="G111" s="1023">
        <v>1.333165857694411</v>
      </c>
      <c r="H111" s="1023">
        <v>0.12529944173336144</v>
      </c>
      <c r="I111" s="1023"/>
      <c r="J111" s="1023"/>
      <c r="K111" s="1023"/>
      <c r="L111" s="1023"/>
      <c r="M111" s="1023"/>
      <c r="N111" s="1023"/>
      <c r="O111" s="1023"/>
      <c r="P111" s="1023"/>
      <c r="Q111" s="1023"/>
      <c r="R111" s="1023"/>
      <c r="S111" s="1023"/>
      <c r="T111" s="1023"/>
      <c r="U111" s="1021"/>
      <c r="V111" s="1021"/>
      <c r="W111" s="1021"/>
      <c r="X111" s="1021"/>
      <c r="Y111" s="1021"/>
      <c r="Z111" s="1021"/>
      <c r="AA111" s="1021"/>
      <c r="AB111" s="1021"/>
      <c r="AC111" s="1021"/>
      <c r="AD111" s="1021"/>
      <c r="AE111" s="1021"/>
      <c r="AF111" s="1021"/>
      <c r="AG111" s="1021"/>
      <c r="AH111" s="1021"/>
      <c r="AI111" s="1021"/>
      <c r="AJ111" s="1021"/>
      <c r="AK111" s="1021"/>
      <c r="AL111" s="1021"/>
      <c r="AM111" s="1021"/>
      <c r="AN111" s="1021"/>
      <c r="AO111" s="1021"/>
      <c r="AP111" s="1021"/>
      <c r="AQ111" s="1021"/>
      <c r="AR111" s="1021"/>
      <c r="AS111" s="1021"/>
      <c r="AT111" s="1021"/>
      <c r="AU111" s="1021"/>
      <c r="AV111" s="1021"/>
      <c r="AW111" s="1021"/>
      <c r="AX111" s="1021"/>
      <c r="AY111" s="1021"/>
      <c r="AZ111" s="1021"/>
      <c r="BA111" s="1021"/>
      <c r="BB111" s="1021"/>
      <c r="BC111" s="1021"/>
      <c r="BD111" s="1021"/>
      <c r="BE111" s="1021"/>
      <c r="BF111" s="1021"/>
      <c r="BG111" s="1021"/>
      <c r="BH111" s="1021"/>
      <c r="BI111" s="1021"/>
      <c r="BJ111" s="1021"/>
      <c r="BK111" s="1021"/>
      <c r="BL111" s="1021"/>
      <c r="BM111" s="1021"/>
      <c r="BN111" s="1021"/>
      <c r="BO111" s="1021"/>
      <c r="BP111" s="1021"/>
      <c r="BQ111" s="1021"/>
      <c r="BR111" s="1021"/>
      <c r="BS111" s="1021"/>
      <c r="BT111" s="1021"/>
      <c r="BU111" s="1021"/>
      <c r="BV111" s="1021"/>
      <c r="BW111" s="1021"/>
      <c r="BX111" s="1021"/>
      <c r="BY111" s="1021"/>
      <c r="BZ111" s="1021"/>
      <c r="CA111" s="1021"/>
      <c r="CB111" s="1021"/>
      <c r="CC111" s="1021"/>
      <c r="CD111" s="1021"/>
      <c r="CE111" s="1021"/>
      <c r="CF111" s="1021"/>
      <c r="CG111" s="1021"/>
      <c r="CH111" s="1021"/>
      <c r="CI111" s="1021"/>
      <c r="CJ111" s="1021"/>
      <c r="CK111" s="1021"/>
      <c r="CL111" s="1021"/>
      <c r="CM111" s="1021"/>
      <c r="CN111" s="1021"/>
      <c r="CO111" s="1021"/>
      <c r="CP111" s="1021"/>
      <c r="CQ111" s="1021"/>
      <c r="CR111" s="1021"/>
      <c r="CS111" s="1021"/>
      <c r="CT111" s="1021"/>
      <c r="CU111" s="1021"/>
      <c r="CV111" s="1021"/>
      <c r="CW111" s="1021"/>
      <c r="CX111" s="1021"/>
      <c r="CY111" s="1021"/>
      <c r="CZ111" s="1021"/>
      <c r="DA111" s="1021"/>
      <c r="DB111" s="1021"/>
      <c r="DC111" s="1021"/>
      <c r="DD111" s="1021"/>
      <c r="DE111" s="1021"/>
      <c r="DF111" s="1021"/>
      <c r="DG111" s="1021"/>
      <c r="DH111" s="1021"/>
      <c r="DI111" s="1021"/>
      <c r="DJ111" s="1021"/>
      <c r="DK111" s="1021"/>
      <c r="DL111" s="1021"/>
      <c r="DM111" s="1021"/>
      <c r="DN111" s="1021"/>
      <c r="DO111" s="1021"/>
      <c r="DP111" s="1021"/>
      <c r="DQ111" s="1021"/>
      <c r="DR111" s="1021"/>
      <c r="DS111" s="1021"/>
      <c r="DT111" s="1021"/>
      <c r="DU111" s="1021"/>
      <c r="DV111" s="1021"/>
      <c r="DW111" s="1021"/>
      <c r="DX111" s="1021"/>
      <c r="DY111" s="1021"/>
      <c r="DZ111" s="1021"/>
      <c r="EA111" s="1021"/>
      <c r="EB111" s="1021"/>
      <c r="EC111" s="1021"/>
      <c r="ED111" s="1021"/>
      <c r="EE111" s="1021"/>
      <c r="EF111" s="1021"/>
      <c r="EG111" s="1021"/>
      <c r="EH111" s="1021"/>
      <c r="EI111" s="1021"/>
      <c r="EJ111" s="1021"/>
      <c r="EK111" s="1021"/>
      <c r="EL111" s="1021"/>
      <c r="EM111" s="1021"/>
      <c r="EN111" s="1021"/>
      <c r="EO111" s="1021"/>
      <c r="EP111" s="1021"/>
      <c r="EQ111" s="1021"/>
      <c r="ER111" s="1021"/>
      <c r="ES111" s="1021"/>
      <c r="ET111" s="1021"/>
      <c r="EU111" s="1021"/>
      <c r="EV111" s="1021"/>
      <c r="EW111" s="1021"/>
      <c r="EX111" s="1021"/>
      <c r="EY111" s="1021"/>
      <c r="EZ111" s="1021"/>
      <c r="FA111" s="1021"/>
      <c r="FB111" s="1021"/>
      <c r="FC111" s="1021"/>
      <c r="FD111" s="1021"/>
      <c r="FE111" s="1021"/>
      <c r="FF111" s="1021"/>
      <c r="FG111" s="1021"/>
      <c r="FH111" s="1021"/>
      <c r="FI111" s="1021"/>
      <c r="FJ111" s="1021"/>
      <c r="FK111" s="1021"/>
      <c r="FL111" s="1021"/>
      <c r="FM111" s="1021"/>
      <c r="FN111" s="1021"/>
      <c r="FO111" s="1021"/>
      <c r="FP111" s="1021"/>
      <c r="FQ111" s="1021"/>
      <c r="FR111" s="1021"/>
      <c r="FS111" s="1021"/>
      <c r="FT111" s="1021"/>
      <c r="FU111" s="1021"/>
      <c r="FV111" s="1021"/>
      <c r="FW111" s="1021"/>
      <c r="FX111" s="1021"/>
      <c r="FY111" s="1021"/>
      <c r="FZ111" s="1021"/>
      <c r="GA111" s="1021"/>
      <c r="GB111" s="1021"/>
      <c r="GC111" s="1021"/>
      <c r="GD111" s="1021"/>
      <c r="GE111" s="1021"/>
      <c r="GF111" s="1021"/>
      <c r="GG111" s="1021"/>
      <c r="GH111" s="1021"/>
      <c r="GI111" s="1021"/>
      <c r="GJ111" s="1021"/>
      <c r="GK111" s="1021"/>
      <c r="GL111" s="1021"/>
      <c r="GM111" s="1021"/>
      <c r="GN111" s="1021"/>
      <c r="GO111" s="1021"/>
      <c r="GP111" s="1021"/>
      <c r="GQ111" s="1021"/>
      <c r="GR111" s="1021"/>
      <c r="GS111" s="1021"/>
      <c r="GT111" s="1021"/>
      <c r="GU111" s="1021"/>
      <c r="GV111" s="1021"/>
      <c r="GW111" s="1021"/>
      <c r="GX111" s="1021"/>
      <c r="GY111" s="1021"/>
      <c r="GZ111" s="1021"/>
      <c r="HA111" s="1021"/>
      <c r="HB111" s="1021"/>
      <c r="HC111" s="1021"/>
      <c r="HD111" s="1021"/>
      <c r="HE111" s="1021"/>
      <c r="HF111" s="1021"/>
      <c r="HG111" s="1021"/>
      <c r="HH111" s="1021"/>
      <c r="HI111" s="1021"/>
      <c r="HJ111" s="1021"/>
      <c r="HK111" s="1021"/>
      <c r="HL111" s="1021"/>
      <c r="HM111" s="1021"/>
      <c r="HN111" s="1021"/>
      <c r="HO111" s="1021"/>
      <c r="HP111" s="1021"/>
      <c r="HQ111" s="1021"/>
      <c r="HR111" s="1021"/>
      <c r="HS111" s="1021"/>
      <c r="HT111" s="1021"/>
      <c r="HU111" s="1021"/>
      <c r="HV111" s="1021"/>
      <c r="HW111" s="1021"/>
      <c r="HX111" s="1021"/>
      <c r="HY111" s="1021"/>
      <c r="HZ111" s="1021"/>
      <c r="IA111" s="1021"/>
      <c r="IB111" s="1021"/>
      <c r="IC111" s="1021"/>
      <c r="ID111" s="1021"/>
      <c r="IE111" s="1021"/>
      <c r="IF111" s="1021"/>
      <c r="IG111" s="1021"/>
      <c r="IH111" s="1021"/>
      <c r="II111" s="1021"/>
      <c r="IJ111" s="1021"/>
      <c r="IK111" s="1021"/>
      <c r="IL111" s="1021"/>
      <c r="IM111" s="1021"/>
      <c r="IN111" s="1021"/>
      <c r="IO111" s="1021"/>
      <c r="IP111" s="1021"/>
      <c r="IQ111" s="1021"/>
      <c r="IR111" s="1021"/>
      <c r="IS111" s="1021"/>
      <c r="IT111" s="1021"/>
      <c r="IU111" s="1021"/>
      <c r="IV111" s="1021"/>
      <c r="IW111" s="1021"/>
      <c r="IX111" s="1021"/>
      <c r="IY111" s="1021"/>
      <c r="IZ111" s="1021"/>
      <c r="JA111" s="1021"/>
      <c r="JB111" s="1021"/>
      <c r="JC111" s="1021"/>
      <c r="JD111" s="1021"/>
      <c r="JE111" s="1021"/>
      <c r="JF111" s="1021"/>
      <c r="JG111" s="1021"/>
      <c r="JH111" s="1021"/>
      <c r="JI111" s="1021"/>
      <c r="JJ111" s="1021"/>
      <c r="JK111" s="1021"/>
      <c r="JL111" s="1021"/>
      <c r="JM111" s="1021"/>
      <c r="JN111" s="1021"/>
      <c r="JO111" s="1021"/>
      <c r="JP111" s="1021"/>
      <c r="JQ111" s="1021"/>
      <c r="JR111" s="1021"/>
      <c r="JS111" s="1021"/>
      <c r="JT111" s="1021"/>
      <c r="JU111" s="1021"/>
      <c r="JV111" s="1021"/>
      <c r="JW111" s="1021"/>
      <c r="JX111" s="1021"/>
      <c r="JY111" s="1021"/>
      <c r="JZ111" s="1021"/>
      <c r="KA111" s="1021"/>
      <c r="KB111" s="1021"/>
      <c r="KC111" s="1021"/>
      <c r="KD111" s="1021"/>
      <c r="KE111" s="1021"/>
      <c r="KF111" s="1021"/>
      <c r="KG111" s="1021"/>
      <c r="KH111" s="1021"/>
      <c r="KI111" s="1021"/>
      <c r="KJ111" s="1021"/>
      <c r="KK111" s="1021"/>
      <c r="KL111" s="1021"/>
      <c r="KM111" s="1021"/>
      <c r="KN111" s="1021"/>
      <c r="KO111" s="1021"/>
      <c r="KP111" s="1021"/>
      <c r="KQ111" s="1021"/>
      <c r="KR111" s="1021"/>
      <c r="KS111" s="1021"/>
      <c r="KT111" s="1021"/>
      <c r="KU111" s="1021"/>
      <c r="KV111" s="1021"/>
      <c r="KW111" s="1021"/>
      <c r="KX111" s="1021"/>
      <c r="KY111" s="1021"/>
      <c r="KZ111" s="1021"/>
      <c r="LA111" s="1021"/>
      <c r="LB111" s="1021"/>
      <c r="LC111" s="1021"/>
      <c r="LD111" s="1021"/>
      <c r="LE111" s="1021"/>
      <c r="LF111" s="1021"/>
      <c r="LG111" s="1021"/>
      <c r="LH111" s="1021"/>
      <c r="LI111" s="1021"/>
      <c r="LJ111" s="1021"/>
      <c r="LK111" s="1021"/>
      <c r="LL111" s="1021"/>
      <c r="LM111" s="1021"/>
      <c r="LN111" s="1021"/>
      <c r="LO111" s="1021"/>
      <c r="LP111" s="1021"/>
      <c r="LQ111" s="1021"/>
      <c r="LR111" s="1021"/>
      <c r="LS111" s="1021"/>
      <c r="LT111" s="1021"/>
      <c r="LU111" s="1021"/>
      <c r="LV111" s="1021"/>
      <c r="LW111" s="1021"/>
      <c r="LX111" s="1021"/>
      <c r="LY111" s="1021"/>
      <c r="LZ111" s="1021"/>
      <c r="MA111" s="1021"/>
      <c r="MB111" s="1021"/>
      <c r="MC111" s="1021"/>
      <c r="MD111" s="1021"/>
      <c r="ME111" s="1021"/>
      <c r="MF111" s="1021"/>
      <c r="MG111" s="1021"/>
      <c r="MH111" s="1021"/>
      <c r="MI111" s="1021"/>
      <c r="MJ111" s="1021"/>
      <c r="MK111" s="1021"/>
      <c r="ML111" s="1021"/>
      <c r="MM111" s="1021"/>
      <c r="MN111" s="1021"/>
      <c r="MO111" s="1021"/>
      <c r="MP111" s="1021"/>
      <c r="MQ111" s="1021"/>
      <c r="MR111" s="1021"/>
      <c r="MS111" s="1021"/>
      <c r="MT111" s="1021"/>
      <c r="MU111" s="1021"/>
      <c r="MV111" s="1021"/>
      <c r="MW111" s="1021"/>
      <c r="MX111" s="1021"/>
      <c r="MY111" s="1021"/>
      <c r="MZ111" s="1021"/>
      <c r="NA111" s="1021"/>
      <c r="NB111" s="1021"/>
      <c r="NC111" s="1021"/>
      <c r="ND111" s="1021"/>
      <c r="NE111" s="1021"/>
      <c r="NF111" s="1021"/>
      <c r="NG111" s="1021"/>
      <c r="NH111" s="1021"/>
      <c r="NI111" s="1021"/>
      <c r="NJ111" s="1021"/>
      <c r="NK111" s="1021"/>
      <c r="NL111" s="1021"/>
      <c r="NM111" s="1021"/>
      <c r="NN111" s="1021"/>
      <c r="NO111" s="1021"/>
      <c r="NP111" s="1021"/>
      <c r="NQ111" s="1021"/>
      <c r="NR111" s="1021"/>
      <c r="NS111" s="1021"/>
      <c r="NT111" s="1021"/>
      <c r="NU111" s="1021"/>
      <c r="NV111" s="1021"/>
      <c r="NW111" s="1021"/>
      <c r="NX111" s="1021"/>
      <c r="NY111" s="1021"/>
      <c r="NZ111" s="1021"/>
      <c r="OA111" s="1021"/>
      <c r="OB111" s="1021"/>
      <c r="OC111" s="1021"/>
      <c r="OD111" s="1021"/>
      <c r="OE111" s="1021"/>
      <c r="OF111" s="1021"/>
      <c r="OG111" s="1021"/>
      <c r="OH111" s="1021"/>
      <c r="OI111" s="1021"/>
      <c r="OJ111" s="1021"/>
      <c r="OK111" s="1021"/>
      <c r="OL111" s="1021"/>
      <c r="OM111" s="1021"/>
      <c r="ON111" s="1021"/>
      <c r="OO111" s="1021"/>
      <c r="OP111" s="1021"/>
      <c r="OQ111" s="1021"/>
      <c r="OR111" s="1021"/>
      <c r="OS111" s="1021"/>
      <c r="OT111" s="1021"/>
      <c r="OU111" s="1021"/>
      <c r="OV111" s="1021"/>
      <c r="OW111" s="1021"/>
      <c r="OX111" s="1021"/>
      <c r="OY111" s="1021"/>
      <c r="OZ111" s="1021"/>
      <c r="PA111" s="1021"/>
      <c r="PB111" s="1021"/>
      <c r="PC111" s="1021"/>
      <c r="PD111" s="1021"/>
      <c r="PE111" s="1021"/>
      <c r="PF111" s="1021"/>
      <c r="PG111" s="1021"/>
      <c r="PH111" s="1021"/>
      <c r="PI111" s="1021"/>
      <c r="PJ111" s="1021"/>
      <c r="PK111" s="1021"/>
      <c r="PL111" s="1021"/>
      <c r="PM111" s="1021"/>
      <c r="PN111" s="1021"/>
      <c r="PO111" s="1021"/>
      <c r="PP111" s="1021"/>
      <c r="PQ111" s="1021"/>
      <c r="PR111" s="1021"/>
      <c r="PS111" s="1021"/>
      <c r="PT111" s="1021"/>
      <c r="PU111" s="1021"/>
      <c r="PV111" s="1021"/>
      <c r="PW111" s="1021"/>
      <c r="PX111" s="1021"/>
      <c r="PY111" s="1021"/>
      <c r="PZ111" s="1021"/>
      <c r="QA111" s="1021"/>
      <c r="QB111" s="1021"/>
      <c r="QC111" s="1021"/>
      <c r="QD111" s="1021"/>
      <c r="QE111" s="1021"/>
      <c r="QF111" s="1021"/>
      <c r="QG111" s="1021"/>
      <c r="QH111" s="1021"/>
      <c r="QI111" s="1021"/>
      <c r="QJ111" s="1021"/>
      <c r="QK111" s="1021"/>
      <c r="QL111" s="1021"/>
      <c r="QM111" s="1021"/>
      <c r="QN111" s="1021"/>
      <c r="QO111" s="1021"/>
      <c r="QP111" s="1021"/>
      <c r="QQ111" s="1021"/>
      <c r="QR111" s="1021"/>
      <c r="QS111" s="1021"/>
      <c r="QT111" s="1021"/>
      <c r="QU111" s="1021"/>
      <c r="QV111" s="1021"/>
      <c r="QW111" s="1021"/>
      <c r="QX111" s="1021"/>
      <c r="QY111" s="1021"/>
      <c r="QZ111" s="1021"/>
      <c r="RA111" s="1021"/>
      <c r="RB111" s="1021"/>
      <c r="RC111" s="1021"/>
      <c r="RD111" s="1021"/>
      <c r="RE111" s="1021"/>
      <c r="RF111" s="1021"/>
      <c r="RG111" s="1021"/>
      <c r="RH111" s="1021"/>
      <c r="RI111" s="1021"/>
      <c r="RJ111" s="1021"/>
      <c r="RK111" s="1021"/>
      <c r="RL111" s="1021"/>
      <c r="RM111" s="1021"/>
      <c r="RN111" s="1021"/>
      <c r="RO111" s="1021"/>
      <c r="RP111" s="1021"/>
      <c r="RQ111" s="1021"/>
      <c r="RR111" s="1021"/>
      <c r="RS111" s="1021"/>
      <c r="RT111" s="1021"/>
      <c r="RU111" s="1021"/>
      <c r="RV111" s="1021"/>
      <c r="RW111" s="1021"/>
      <c r="RX111" s="1021"/>
      <c r="RY111" s="1021"/>
      <c r="RZ111" s="1021"/>
      <c r="SA111" s="1021"/>
      <c r="SB111" s="1021"/>
      <c r="SC111" s="1021"/>
      <c r="SD111" s="1021"/>
      <c r="SE111" s="1021"/>
      <c r="SF111" s="1021"/>
      <c r="SG111" s="1021"/>
      <c r="SH111" s="1021"/>
      <c r="SI111" s="1021"/>
      <c r="SJ111" s="1021"/>
      <c r="SK111" s="1021"/>
      <c r="SL111" s="1021"/>
      <c r="SM111" s="1021"/>
      <c r="SN111" s="1021"/>
      <c r="SO111" s="1021"/>
      <c r="SP111" s="1021"/>
      <c r="SQ111" s="1021"/>
      <c r="SR111" s="1021"/>
    </row>
    <row r="112" spans="1:512" ht="15" customHeight="1">
      <c r="A112"/>
      <c r="B112"/>
      <c r="C112" t="s">
        <v>2230</v>
      </c>
      <c r="D112"/>
      <c r="E112" t="s">
        <v>3848</v>
      </c>
      <c r="F112"/>
      <c r="G112" s="1023">
        <v>0</v>
      </c>
      <c r="H112" s="1023">
        <v>0</v>
      </c>
      <c r="I112" s="1023"/>
      <c r="J112" s="1023"/>
      <c r="K112" s="1023"/>
      <c r="L112" s="1023"/>
      <c r="M112" s="1023"/>
      <c r="N112" s="1023"/>
      <c r="O112" s="1023"/>
      <c r="P112" s="1023"/>
      <c r="Q112" s="1023"/>
      <c r="R112" s="1023"/>
      <c r="S112" s="1023"/>
      <c r="T112" s="1023"/>
      <c r="U112" s="1021"/>
      <c r="V112" s="1021"/>
      <c r="W112" s="1021"/>
      <c r="X112" s="1021"/>
      <c r="Y112" s="1021"/>
      <c r="Z112" s="1021"/>
      <c r="AA112" s="1021"/>
      <c r="AB112" s="1021"/>
      <c r="AC112" s="1021"/>
      <c r="AD112" s="1021"/>
      <c r="AE112" s="1021"/>
      <c r="AF112" s="1021"/>
      <c r="AG112" s="1021"/>
      <c r="AH112" s="1021"/>
      <c r="AI112" s="1021"/>
      <c r="AJ112" s="1021"/>
      <c r="AK112" s="1021"/>
      <c r="AL112" s="1021"/>
      <c r="AM112" s="1021"/>
      <c r="AN112" s="1021"/>
      <c r="AO112" s="1021"/>
      <c r="AP112" s="1021"/>
      <c r="AQ112" s="1021"/>
      <c r="AR112" s="1021"/>
      <c r="AS112" s="1021"/>
      <c r="AT112" s="1021"/>
      <c r="AU112" s="1021"/>
      <c r="AV112" s="1021"/>
      <c r="AW112" s="1021"/>
      <c r="AX112" s="1021"/>
      <c r="AY112" s="1021"/>
      <c r="AZ112" s="1021"/>
      <c r="BA112" s="1021"/>
      <c r="BB112" s="1021"/>
      <c r="BC112" s="1021"/>
      <c r="BD112" s="1021"/>
      <c r="BE112" s="1021"/>
      <c r="BF112" s="1021"/>
      <c r="BG112" s="1021"/>
      <c r="BH112" s="1021"/>
      <c r="BI112" s="1021"/>
      <c r="BJ112" s="1021"/>
      <c r="BK112" s="1021"/>
      <c r="BL112" s="1021"/>
      <c r="BM112" s="1021"/>
      <c r="BN112" s="1021"/>
      <c r="BO112" s="1021"/>
      <c r="BP112" s="1021"/>
      <c r="BQ112" s="1021"/>
      <c r="BR112" s="1021"/>
      <c r="BS112" s="1021"/>
      <c r="BT112" s="1021"/>
      <c r="BU112" s="1021"/>
      <c r="BV112" s="1021"/>
      <c r="BW112" s="1021"/>
      <c r="BX112" s="1021"/>
      <c r="BY112" s="1021"/>
      <c r="BZ112" s="1021"/>
      <c r="CA112" s="1021"/>
      <c r="CB112" s="1021"/>
      <c r="CC112" s="1021"/>
      <c r="CD112" s="1021"/>
      <c r="CE112" s="1021"/>
      <c r="CF112" s="1021"/>
      <c r="CG112" s="1021"/>
      <c r="CH112" s="1021"/>
      <c r="CI112" s="1021"/>
      <c r="CJ112" s="1021"/>
      <c r="CK112" s="1021"/>
      <c r="CL112" s="1021"/>
      <c r="CM112" s="1021"/>
      <c r="CN112" s="1021"/>
      <c r="CO112" s="1021"/>
      <c r="CP112" s="1021"/>
      <c r="CQ112" s="1021"/>
      <c r="CR112" s="1021"/>
      <c r="CS112" s="1021"/>
      <c r="CT112" s="1021"/>
      <c r="CU112" s="1021"/>
      <c r="CV112" s="1021"/>
      <c r="CW112" s="1021"/>
      <c r="CX112" s="1021"/>
      <c r="CY112" s="1021"/>
      <c r="CZ112" s="1021"/>
      <c r="DA112" s="1021"/>
      <c r="DB112" s="1021"/>
      <c r="DC112" s="1021"/>
      <c r="DD112" s="1021"/>
      <c r="DE112" s="1021"/>
      <c r="DF112" s="1021"/>
      <c r="DG112" s="1021"/>
      <c r="DH112" s="1021"/>
      <c r="DI112" s="1021"/>
      <c r="DJ112" s="1021"/>
      <c r="DK112" s="1021"/>
      <c r="DL112" s="1021"/>
      <c r="DM112" s="1021"/>
      <c r="DN112" s="1021"/>
      <c r="DO112" s="1021"/>
      <c r="DP112" s="1021"/>
      <c r="DQ112" s="1021"/>
      <c r="DR112" s="1021"/>
      <c r="DS112" s="1021"/>
      <c r="DT112" s="1021"/>
      <c r="DU112" s="1021"/>
      <c r="DV112" s="1021"/>
      <c r="DW112" s="1021"/>
      <c r="DX112" s="1021"/>
      <c r="DY112" s="1021"/>
      <c r="DZ112" s="1021"/>
      <c r="EA112" s="1021"/>
      <c r="EB112" s="1021"/>
      <c r="EC112" s="1021"/>
      <c r="ED112" s="1021"/>
      <c r="EE112" s="1021"/>
      <c r="EF112" s="1021"/>
      <c r="EG112" s="1021"/>
      <c r="EH112" s="1021"/>
      <c r="EI112" s="1021"/>
      <c r="EJ112" s="1021"/>
      <c r="EK112" s="1021"/>
      <c r="EL112" s="1021"/>
      <c r="EM112" s="1021"/>
      <c r="EN112" s="1021"/>
      <c r="EO112" s="1021"/>
      <c r="EP112" s="1021"/>
      <c r="EQ112" s="1021"/>
      <c r="ER112" s="1021"/>
      <c r="ES112" s="1021"/>
      <c r="ET112" s="1021"/>
      <c r="EU112" s="1021"/>
      <c r="EV112" s="1021"/>
      <c r="EW112" s="1021"/>
      <c r="EX112" s="1021"/>
      <c r="EY112" s="1021"/>
      <c r="EZ112" s="1021"/>
      <c r="FA112" s="1021"/>
      <c r="FB112" s="1021"/>
      <c r="FC112" s="1021"/>
      <c r="FD112" s="1021"/>
      <c r="FE112" s="1021"/>
      <c r="FF112" s="1021"/>
      <c r="FG112" s="1021"/>
      <c r="FH112" s="1021"/>
      <c r="FI112" s="1021"/>
      <c r="FJ112" s="1021"/>
      <c r="FK112" s="1021"/>
      <c r="FL112" s="1021"/>
      <c r="FM112" s="1021"/>
      <c r="FN112" s="1021"/>
      <c r="FO112" s="1021"/>
      <c r="FP112" s="1021"/>
      <c r="FQ112" s="1021"/>
      <c r="FR112" s="1021"/>
      <c r="FS112" s="1021"/>
      <c r="FT112" s="1021"/>
      <c r="FU112" s="1021"/>
      <c r="FV112" s="1021"/>
      <c r="FW112" s="1021"/>
      <c r="FX112" s="1021"/>
      <c r="FY112" s="1021"/>
      <c r="FZ112" s="1021"/>
      <c r="GA112" s="1021"/>
      <c r="GB112" s="1021"/>
      <c r="GC112" s="1021"/>
      <c r="GD112" s="1021"/>
      <c r="GE112" s="1021"/>
      <c r="GF112" s="1021"/>
      <c r="GG112" s="1021"/>
      <c r="GH112" s="1021"/>
      <c r="GI112" s="1021"/>
      <c r="GJ112" s="1021"/>
      <c r="GK112" s="1021"/>
      <c r="GL112" s="1021"/>
      <c r="GM112" s="1021"/>
      <c r="GN112" s="1021"/>
      <c r="GO112" s="1021"/>
      <c r="GP112" s="1021"/>
      <c r="GQ112" s="1021"/>
      <c r="GR112" s="1021"/>
      <c r="GS112" s="1021"/>
      <c r="GT112" s="1021"/>
      <c r="GU112" s="1021"/>
      <c r="GV112" s="1021"/>
      <c r="GW112" s="1021"/>
      <c r="GX112" s="1021"/>
      <c r="GY112" s="1021"/>
      <c r="GZ112" s="1021"/>
      <c r="HA112" s="1021"/>
      <c r="HB112" s="1021"/>
      <c r="HC112" s="1021"/>
      <c r="HD112" s="1021"/>
      <c r="HE112" s="1021"/>
      <c r="HF112" s="1021"/>
      <c r="HG112" s="1021"/>
      <c r="HH112" s="1021"/>
      <c r="HI112" s="1021"/>
      <c r="HJ112" s="1021"/>
      <c r="HK112" s="1021"/>
      <c r="HL112" s="1021"/>
      <c r="HM112" s="1021"/>
      <c r="HN112" s="1021"/>
      <c r="HO112" s="1021"/>
      <c r="HP112" s="1021"/>
      <c r="HQ112" s="1021"/>
      <c r="HR112" s="1021"/>
      <c r="HS112" s="1021"/>
      <c r="HT112" s="1021"/>
      <c r="HU112" s="1021"/>
      <c r="HV112" s="1021"/>
      <c r="HW112" s="1021"/>
      <c r="HX112" s="1021"/>
      <c r="HY112" s="1021"/>
      <c r="HZ112" s="1021"/>
      <c r="IA112" s="1021"/>
      <c r="IB112" s="1021"/>
      <c r="IC112" s="1021"/>
      <c r="ID112" s="1021"/>
      <c r="IE112" s="1021"/>
      <c r="IF112" s="1021"/>
      <c r="IG112" s="1021"/>
      <c r="IH112" s="1021"/>
      <c r="II112" s="1021"/>
      <c r="IJ112" s="1021"/>
      <c r="IK112" s="1021"/>
      <c r="IL112" s="1021"/>
      <c r="IM112" s="1021"/>
      <c r="IN112" s="1021"/>
      <c r="IO112" s="1021"/>
      <c r="IP112" s="1021"/>
      <c r="IQ112" s="1021"/>
      <c r="IR112" s="1021"/>
      <c r="IS112" s="1021"/>
      <c r="IT112" s="1021"/>
      <c r="IU112" s="1021"/>
      <c r="IV112" s="1021"/>
      <c r="IW112" s="1021"/>
      <c r="IX112" s="1021"/>
      <c r="IY112" s="1021"/>
      <c r="IZ112" s="1021"/>
      <c r="JA112" s="1021"/>
      <c r="JB112" s="1021"/>
      <c r="JC112" s="1021"/>
      <c r="JD112" s="1021"/>
      <c r="JE112" s="1021"/>
      <c r="JF112" s="1021"/>
      <c r="JG112" s="1021"/>
      <c r="JH112" s="1021"/>
      <c r="JI112" s="1021"/>
      <c r="JJ112" s="1021"/>
      <c r="JK112" s="1021"/>
      <c r="JL112" s="1021"/>
      <c r="JM112" s="1021"/>
      <c r="JN112" s="1021"/>
      <c r="JO112" s="1021"/>
      <c r="JP112" s="1021"/>
      <c r="JQ112" s="1021"/>
      <c r="JR112" s="1021"/>
      <c r="JS112" s="1021"/>
      <c r="JT112" s="1021"/>
      <c r="JU112" s="1021"/>
      <c r="JV112" s="1021"/>
      <c r="JW112" s="1021"/>
      <c r="JX112" s="1021"/>
      <c r="JY112" s="1021"/>
      <c r="JZ112" s="1021"/>
      <c r="KA112" s="1021"/>
      <c r="KB112" s="1021"/>
      <c r="KC112" s="1021"/>
      <c r="KD112" s="1021"/>
      <c r="KE112" s="1021"/>
      <c r="KF112" s="1021"/>
      <c r="KG112" s="1021"/>
      <c r="KH112" s="1021"/>
      <c r="KI112" s="1021"/>
      <c r="KJ112" s="1021"/>
      <c r="KK112" s="1021"/>
      <c r="KL112" s="1021"/>
      <c r="KM112" s="1021"/>
      <c r="KN112" s="1021"/>
      <c r="KO112" s="1021"/>
      <c r="KP112" s="1021"/>
      <c r="KQ112" s="1021"/>
      <c r="KR112" s="1021"/>
      <c r="KS112" s="1021"/>
      <c r="KT112" s="1021"/>
      <c r="KU112" s="1021"/>
      <c r="KV112" s="1021"/>
      <c r="KW112" s="1021"/>
      <c r="KX112" s="1021"/>
      <c r="KY112" s="1021"/>
      <c r="KZ112" s="1021"/>
      <c r="LA112" s="1021"/>
      <c r="LB112" s="1021"/>
      <c r="LC112" s="1021"/>
      <c r="LD112" s="1021"/>
      <c r="LE112" s="1021"/>
      <c r="LF112" s="1021"/>
      <c r="LG112" s="1021"/>
      <c r="LH112" s="1021"/>
      <c r="LI112" s="1021"/>
      <c r="LJ112" s="1021"/>
      <c r="LK112" s="1021"/>
      <c r="LL112" s="1021"/>
      <c r="LM112" s="1021"/>
      <c r="LN112" s="1021"/>
      <c r="LO112" s="1021"/>
      <c r="LP112" s="1021"/>
      <c r="LQ112" s="1021"/>
      <c r="LR112" s="1021"/>
      <c r="LS112" s="1021"/>
      <c r="LT112" s="1021"/>
      <c r="LU112" s="1021"/>
      <c r="LV112" s="1021"/>
      <c r="LW112" s="1021"/>
      <c r="LX112" s="1021"/>
      <c r="LY112" s="1021"/>
      <c r="LZ112" s="1021"/>
      <c r="MA112" s="1021"/>
      <c r="MB112" s="1021"/>
      <c r="MC112" s="1021"/>
      <c r="MD112" s="1021"/>
      <c r="ME112" s="1021"/>
      <c r="MF112" s="1021"/>
      <c r="MG112" s="1021"/>
      <c r="MH112" s="1021"/>
      <c r="MI112" s="1021"/>
      <c r="MJ112" s="1021"/>
      <c r="MK112" s="1021"/>
      <c r="ML112" s="1021"/>
      <c r="MM112" s="1021"/>
      <c r="MN112" s="1021"/>
      <c r="MO112" s="1021"/>
      <c r="MP112" s="1021"/>
      <c r="MQ112" s="1021"/>
      <c r="MR112" s="1021"/>
      <c r="MS112" s="1021"/>
      <c r="MT112" s="1021"/>
      <c r="MU112" s="1021"/>
      <c r="MV112" s="1021"/>
      <c r="MW112" s="1021"/>
      <c r="MX112" s="1021"/>
      <c r="MY112" s="1021"/>
      <c r="MZ112" s="1021"/>
      <c r="NA112" s="1021"/>
      <c r="NB112" s="1021"/>
      <c r="NC112" s="1021"/>
      <c r="ND112" s="1021"/>
      <c r="NE112" s="1021"/>
      <c r="NF112" s="1021"/>
      <c r="NG112" s="1021"/>
      <c r="NH112" s="1021"/>
      <c r="NI112" s="1021"/>
      <c r="NJ112" s="1021"/>
      <c r="NK112" s="1021"/>
      <c r="NL112" s="1021"/>
      <c r="NM112" s="1021"/>
      <c r="NN112" s="1021"/>
      <c r="NO112" s="1021"/>
      <c r="NP112" s="1021"/>
      <c r="NQ112" s="1021"/>
      <c r="NR112" s="1021"/>
      <c r="NS112" s="1021"/>
      <c r="NT112" s="1021"/>
      <c r="NU112" s="1021"/>
      <c r="NV112" s="1021"/>
      <c r="NW112" s="1021"/>
      <c r="NX112" s="1021"/>
      <c r="NY112" s="1021"/>
      <c r="NZ112" s="1021"/>
      <c r="OA112" s="1021"/>
      <c r="OB112" s="1021"/>
      <c r="OC112" s="1021"/>
      <c r="OD112" s="1021"/>
      <c r="OE112" s="1021"/>
      <c r="OF112" s="1021"/>
      <c r="OG112" s="1021"/>
      <c r="OH112" s="1021"/>
      <c r="OI112" s="1021"/>
      <c r="OJ112" s="1021"/>
      <c r="OK112" s="1021"/>
      <c r="OL112" s="1021"/>
      <c r="OM112" s="1021"/>
      <c r="ON112" s="1021"/>
      <c r="OO112" s="1021"/>
      <c r="OP112" s="1021"/>
      <c r="OQ112" s="1021"/>
      <c r="OR112" s="1021"/>
      <c r="OS112" s="1021"/>
      <c r="OT112" s="1021"/>
      <c r="OU112" s="1021"/>
      <c r="OV112" s="1021"/>
      <c r="OW112" s="1021"/>
      <c r="OX112" s="1021"/>
      <c r="OY112" s="1021"/>
      <c r="OZ112" s="1021"/>
      <c r="PA112" s="1021"/>
      <c r="PB112" s="1021"/>
      <c r="PC112" s="1021"/>
      <c r="PD112" s="1021"/>
      <c r="PE112" s="1021"/>
      <c r="PF112" s="1021"/>
      <c r="PG112" s="1021"/>
      <c r="PH112" s="1021"/>
      <c r="PI112" s="1021"/>
      <c r="PJ112" s="1021"/>
      <c r="PK112" s="1021"/>
      <c r="PL112" s="1021"/>
      <c r="PM112" s="1021"/>
      <c r="PN112" s="1021"/>
      <c r="PO112" s="1021"/>
      <c r="PP112" s="1021"/>
      <c r="PQ112" s="1021"/>
      <c r="PR112" s="1021"/>
      <c r="PS112" s="1021"/>
      <c r="PT112" s="1021"/>
      <c r="PU112" s="1021"/>
      <c r="PV112" s="1021"/>
      <c r="PW112" s="1021"/>
      <c r="PX112" s="1021"/>
      <c r="PY112" s="1021"/>
      <c r="PZ112" s="1021"/>
      <c r="QA112" s="1021"/>
      <c r="QB112" s="1021"/>
      <c r="QC112" s="1021"/>
      <c r="QD112" s="1021"/>
      <c r="QE112" s="1021"/>
      <c r="QF112" s="1021"/>
      <c r="QG112" s="1021"/>
      <c r="QH112" s="1021"/>
      <c r="QI112" s="1021"/>
      <c r="QJ112" s="1021"/>
      <c r="QK112" s="1021"/>
      <c r="QL112" s="1021"/>
      <c r="QM112" s="1021"/>
      <c r="QN112" s="1021"/>
      <c r="QO112" s="1021"/>
      <c r="QP112" s="1021"/>
      <c r="QQ112" s="1021"/>
      <c r="QR112" s="1021"/>
      <c r="QS112" s="1021"/>
      <c r="QT112" s="1021"/>
      <c r="QU112" s="1021"/>
      <c r="QV112" s="1021"/>
      <c r="QW112" s="1021"/>
      <c r="QX112" s="1021"/>
      <c r="QY112" s="1021"/>
      <c r="QZ112" s="1021"/>
      <c r="RA112" s="1021"/>
      <c r="RB112" s="1021"/>
      <c r="RC112" s="1021"/>
      <c r="RD112" s="1021"/>
      <c r="RE112" s="1021"/>
      <c r="RF112" s="1021"/>
      <c r="RG112" s="1021"/>
      <c r="RH112" s="1021"/>
      <c r="RI112" s="1021"/>
      <c r="RJ112" s="1021"/>
      <c r="RK112" s="1021"/>
      <c r="RL112" s="1021"/>
      <c r="RM112" s="1021"/>
      <c r="RN112" s="1021"/>
      <c r="RO112" s="1021"/>
      <c r="RP112" s="1021"/>
      <c r="RQ112" s="1021"/>
      <c r="RR112" s="1021"/>
      <c r="RS112" s="1021"/>
      <c r="RT112" s="1021"/>
      <c r="RU112" s="1021"/>
      <c r="RV112" s="1021"/>
      <c r="RW112" s="1021"/>
      <c r="RX112" s="1021"/>
      <c r="RY112" s="1021"/>
      <c r="RZ112" s="1021"/>
      <c r="SA112" s="1021"/>
      <c r="SB112" s="1021"/>
      <c r="SC112" s="1021"/>
      <c r="SD112" s="1021"/>
      <c r="SE112" s="1021"/>
      <c r="SF112" s="1021"/>
      <c r="SG112" s="1021"/>
      <c r="SH112" s="1021"/>
      <c r="SI112" s="1021"/>
      <c r="SJ112" s="1021"/>
      <c r="SK112" s="1021"/>
      <c r="SL112" s="1021"/>
      <c r="SM112" s="1021"/>
      <c r="SN112" s="1021"/>
      <c r="SO112" s="1021"/>
      <c r="SP112" s="1021"/>
      <c r="SQ112" s="1021"/>
      <c r="SR112" s="1021"/>
    </row>
    <row r="113" spans="1:512" s="1011" customFormat="1" ht="15" customHeight="1">
      <c r="G113" s="1024"/>
      <c r="H113" s="1024"/>
      <c r="I113" s="1024"/>
      <c r="J113" s="1024"/>
      <c r="K113" s="1024"/>
      <c r="L113" s="1024"/>
      <c r="M113" s="1024"/>
      <c r="N113" s="1024"/>
      <c r="O113" s="1024"/>
      <c r="P113" s="1024"/>
      <c r="Q113" s="1024"/>
      <c r="R113" s="1024"/>
      <c r="S113" s="1024"/>
      <c r="T113" s="1024"/>
      <c r="U113" s="1024"/>
      <c r="V113" s="1024"/>
      <c r="W113" s="1024"/>
      <c r="X113" s="1024"/>
      <c r="Y113" s="1024"/>
      <c r="Z113" s="1024"/>
      <c r="AA113" s="1024"/>
      <c r="AB113" s="1024"/>
      <c r="AC113" s="1024"/>
      <c r="AD113" s="1024"/>
      <c r="AE113" s="1024"/>
      <c r="AF113" s="1024"/>
      <c r="AG113" s="1024"/>
      <c r="AH113" s="1024"/>
      <c r="AI113" s="1024"/>
      <c r="AJ113" s="1024"/>
      <c r="AK113" s="1024"/>
      <c r="AL113" s="1024"/>
      <c r="AM113" s="1024"/>
      <c r="AN113" s="1024"/>
      <c r="AO113" s="1024"/>
      <c r="AP113" s="1024"/>
      <c r="AQ113" s="1024"/>
      <c r="AR113" s="1024"/>
      <c r="AS113" s="1024"/>
      <c r="AT113" s="1024"/>
      <c r="AU113" s="1024"/>
      <c r="AV113" s="1024"/>
      <c r="AW113" s="1024"/>
      <c r="AX113" s="1024"/>
      <c r="AY113" s="1024"/>
      <c r="AZ113" s="1024"/>
      <c r="BA113" s="1024"/>
      <c r="BB113" s="1024"/>
      <c r="BC113" s="1024"/>
      <c r="BD113" s="1024"/>
      <c r="BE113" s="1024"/>
      <c r="BF113" s="1024"/>
      <c r="BG113" s="1024"/>
      <c r="BH113" s="1024"/>
      <c r="BI113" s="1024"/>
      <c r="BJ113" s="1024"/>
      <c r="BK113" s="1024"/>
      <c r="BL113" s="1024"/>
      <c r="BM113" s="1024"/>
      <c r="BN113" s="1024"/>
      <c r="BO113" s="1024"/>
      <c r="BP113" s="1024"/>
      <c r="BQ113" s="1024"/>
      <c r="BR113" s="1024"/>
      <c r="BS113" s="1024"/>
      <c r="BT113" s="1024"/>
      <c r="BU113" s="1024"/>
      <c r="BV113" s="1024"/>
      <c r="BW113" s="1024"/>
      <c r="BX113" s="1024"/>
      <c r="BY113" s="1024"/>
      <c r="BZ113" s="1024"/>
      <c r="CA113" s="1024"/>
      <c r="CB113" s="1024"/>
      <c r="CC113" s="1024"/>
      <c r="CD113" s="1024"/>
      <c r="CE113" s="1024"/>
      <c r="CF113" s="1024"/>
      <c r="CG113" s="1024"/>
      <c r="CH113" s="1024"/>
      <c r="CI113" s="1024"/>
      <c r="CJ113" s="1024"/>
      <c r="CK113" s="1024"/>
      <c r="CL113" s="1024"/>
      <c r="CM113" s="1024"/>
      <c r="CN113" s="1024"/>
      <c r="CO113" s="1024"/>
      <c r="CP113" s="1024"/>
      <c r="CQ113" s="1024"/>
      <c r="CR113" s="1024"/>
      <c r="CS113" s="1024"/>
      <c r="CT113" s="1024"/>
      <c r="CU113" s="1024"/>
      <c r="CV113" s="1024"/>
      <c r="CW113" s="1024"/>
      <c r="CX113" s="1024"/>
      <c r="CY113" s="1024"/>
      <c r="CZ113" s="1024"/>
      <c r="DA113" s="1024"/>
      <c r="DB113" s="1024"/>
      <c r="DC113" s="1024"/>
      <c r="DD113" s="1024"/>
      <c r="DE113" s="1024"/>
      <c r="DF113" s="1024"/>
      <c r="DG113" s="1024"/>
      <c r="DH113" s="1024"/>
      <c r="DI113" s="1024"/>
      <c r="DJ113" s="1024"/>
      <c r="DK113" s="1024"/>
      <c r="DL113" s="1024"/>
      <c r="DM113" s="1024"/>
      <c r="DN113" s="1024"/>
      <c r="DO113" s="1024"/>
      <c r="DP113" s="1024"/>
      <c r="DQ113" s="1024"/>
      <c r="DR113" s="1024"/>
      <c r="DS113" s="1024"/>
      <c r="DT113" s="1024"/>
      <c r="DU113" s="1024"/>
      <c r="DV113" s="1024"/>
      <c r="DW113" s="1024"/>
      <c r="DX113" s="1024"/>
      <c r="DY113" s="1024"/>
      <c r="DZ113" s="1024"/>
      <c r="EA113" s="1024"/>
      <c r="EB113" s="1024"/>
      <c r="EC113" s="1024"/>
      <c r="ED113" s="1024"/>
      <c r="EE113" s="1024"/>
      <c r="EF113" s="1024"/>
      <c r="EG113" s="1024"/>
      <c r="EH113" s="1024"/>
      <c r="EI113" s="1024"/>
      <c r="EJ113" s="1024"/>
      <c r="EK113" s="1024"/>
      <c r="EL113" s="1024"/>
      <c r="EM113" s="1024"/>
      <c r="EN113" s="1024"/>
      <c r="EO113" s="1024"/>
      <c r="EP113" s="1024"/>
      <c r="EQ113" s="1024"/>
      <c r="ER113" s="1024"/>
      <c r="ES113" s="1024"/>
      <c r="ET113" s="1024"/>
      <c r="EU113" s="1024"/>
      <c r="EV113" s="1024"/>
      <c r="EW113" s="1024"/>
      <c r="EX113" s="1024"/>
      <c r="EY113" s="1024"/>
      <c r="EZ113" s="1024"/>
      <c r="FA113" s="1024"/>
      <c r="FB113" s="1024"/>
      <c r="FC113" s="1024"/>
      <c r="FD113" s="1024"/>
      <c r="FE113" s="1024"/>
      <c r="FF113" s="1024"/>
      <c r="FG113" s="1024"/>
      <c r="FH113" s="1024"/>
      <c r="FI113" s="1024"/>
      <c r="FJ113" s="1024"/>
      <c r="FK113" s="1024"/>
      <c r="FL113" s="1024"/>
      <c r="FM113" s="1024"/>
      <c r="FN113" s="1024"/>
      <c r="FO113" s="1024"/>
      <c r="FP113" s="1024"/>
      <c r="FQ113" s="1024"/>
      <c r="FR113" s="1024"/>
      <c r="FS113" s="1024"/>
      <c r="FT113" s="1024"/>
      <c r="FU113" s="1024"/>
      <c r="FV113" s="1024"/>
      <c r="FW113" s="1024"/>
      <c r="FX113" s="1024"/>
      <c r="FY113" s="1024"/>
      <c r="FZ113" s="1024"/>
      <c r="GA113" s="1024"/>
      <c r="GB113" s="1024"/>
      <c r="GC113" s="1024"/>
      <c r="GD113" s="1024"/>
      <c r="GE113" s="1024"/>
      <c r="GF113" s="1024"/>
      <c r="GG113" s="1024"/>
      <c r="GH113" s="1024"/>
      <c r="GI113" s="1024"/>
      <c r="GJ113" s="1024"/>
      <c r="GK113" s="1024"/>
      <c r="GL113" s="1024"/>
      <c r="GM113" s="1024"/>
      <c r="GN113" s="1024"/>
      <c r="GO113" s="1024"/>
      <c r="GP113" s="1024"/>
      <c r="GQ113" s="1024"/>
      <c r="GR113" s="1024"/>
      <c r="GS113" s="1024"/>
      <c r="GT113" s="1024"/>
      <c r="GU113" s="1024"/>
      <c r="GV113" s="1024"/>
      <c r="GW113" s="1024"/>
      <c r="GX113" s="1024"/>
      <c r="GY113" s="1024"/>
      <c r="GZ113" s="1024"/>
      <c r="HA113" s="1024"/>
      <c r="HB113" s="1024"/>
      <c r="HC113" s="1024"/>
      <c r="HD113" s="1024"/>
      <c r="HE113" s="1024"/>
      <c r="HF113" s="1024"/>
      <c r="HG113" s="1024"/>
      <c r="HH113" s="1024"/>
      <c r="HI113" s="1024"/>
      <c r="HJ113" s="1024"/>
      <c r="HK113" s="1024"/>
      <c r="HL113" s="1024"/>
      <c r="HM113" s="1024"/>
      <c r="HN113" s="1024"/>
      <c r="HO113" s="1024"/>
      <c r="HP113" s="1024"/>
      <c r="HQ113" s="1024"/>
      <c r="HR113" s="1024"/>
      <c r="HS113" s="1024"/>
      <c r="HT113" s="1024"/>
      <c r="HU113" s="1024"/>
      <c r="HV113" s="1024"/>
      <c r="HW113" s="1024"/>
      <c r="HX113" s="1024"/>
      <c r="HY113" s="1024"/>
      <c r="HZ113" s="1024"/>
      <c r="IA113" s="1024"/>
      <c r="IB113" s="1024"/>
      <c r="IC113" s="1024"/>
      <c r="ID113" s="1024"/>
      <c r="IE113" s="1024"/>
      <c r="IF113" s="1024"/>
      <c r="IG113" s="1024"/>
      <c r="IH113" s="1024"/>
      <c r="II113" s="1024"/>
      <c r="IJ113" s="1024"/>
      <c r="IK113" s="1024"/>
      <c r="IL113" s="1024"/>
      <c r="IM113" s="1024"/>
      <c r="IN113" s="1024"/>
      <c r="IO113" s="1024"/>
      <c r="IP113" s="1024"/>
      <c r="IQ113" s="1024"/>
      <c r="IR113" s="1024"/>
      <c r="IS113" s="1024"/>
      <c r="IT113" s="1024"/>
      <c r="IU113" s="1024"/>
      <c r="IV113" s="1024"/>
      <c r="IW113" s="1024"/>
      <c r="IX113" s="1024"/>
      <c r="IY113" s="1024"/>
      <c r="IZ113" s="1024"/>
      <c r="JA113" s="1024"/>
      <c r="JB113" s="1024"/>
      <c r="JC113" s="1024"/>
      <c r="JD113" s="1024"/>
      <c r="JE113" s="1024"/>
      <c r="JF113" s="1024"/>
      <c r="JG113" s="1024"/>
      <c r="JH113" s="1024"/>
      <c r="JI113" s="1024"/>
      <c r="JJ113" s="1024"/>
      <c r="JK113" s="1024"/>
      <c r="JL113" s="1024"/>
      <c r="JM113" s="1024"/>
      <c r="JN113" s="1024"/>
      <c r="JO113" s="1024"/>
      <c r="JP113" s="1024"/>
      <c r="JQ113" s="1024"/>
      <c r="JR113" s="1024"/>
      <c r="JS113" s="1024"/>
      <c r="JT113" s="1024"/>
      <c r="JU113" s="1024"/>
      <c r="JV113" s="1024"/>
      <c r="JW113" s="1024"/>
      <c r="JX113" s="1024"/>
      <c r="JY113" s="1024"/>
      <c r="JZ113" s="1024"/>
      <c r="KA113" s="1024"/>
      <c r="KB113" s="1024"/>
      <c r="KC113" s="1024"/>
      <c r="KD113" s="1024"/>
      <c r="KE113" s="1024"/>
      <c r="KF113" s="1024"/>
      <c r="KG113" s="1024"/>
      <c r="KH113" s="1024"/>
      <c r="KI113" s="1024"/>
      <c r="KJ113" s="1024"/>
      <c r="KK113" s="1024"/>
      <c r="KL113" s="1024"/>
      <c r="KM113" s="1024"/>
      <c r="KN113" s="1024"/>
      <c r="KO113" s="1024"/>
      <c r="KP113" s="1024"/>
      <c r="KQ113" s="1024"/>
      <c r="KR113" s="1024"/>
      <c r="KS113" s="1024"/>
      <c r="KT113" s="1024"/>
      <c r="KU113" s="1024"/>
      <c r="KV113" s="1024"/>
      <c r="KW113" s="1024"/>
      <c r="KX113" s="1024"/>
      <c r="KY113" s="1024"/>
      <c r="KZ113" s="1024"/>
      <c r="LA113" s="1024"/>
      <c r="LB113" s="1024"/>
      <c r="LC113" s="1024"/>
      <c r="LD113" s="1024"/>
      <c r="LE113" s="1024"/>
      <c r="LF113" s="1024"/>
      <c r="LG113" s="1024"/>
      <c r="LH113" s="1024"/>
      <c r="LI113" s="1024"/>
      <c r="LJ113" s="1024"/>
      <c r="LK113" s="1024"/>
      <c r="LL113" s="1024"/>
      <c r="LM113" s="1024"/>
      <c r="LN113" s="1024"/>
      <c r="LO113" s="1024"/>
      <c r="LP113" s="1024"/>
      <c r="LQ113" s="1024"/>
      <c r="LR113" s="1024"/>
      <c r="LS113" s="1024"/>
      <c r="LT113" s="1024"/>
      <c r="LU113" s="1024"/>
      <c r="LV113" s="1024"/>
      <c r="LW113" s="1024"/>
      <c r="LX113" s="1024"/>
      <c r="LY113" s="1024"/>
      <c r="LZ113" s="1024"/>
      <c r="MA113" s="1024"/>
      <c r="MB113" s="1024"/>
      <c r="MC113" s="1024"/>
      <c r="MD113" s="1024"/>
      <c r="ME113" s="1024"/>
      <c r="MF113" s="1024"/>
      <c r="MG113" s="1024"/>
      <c r="MH113" s="1024"/>
      <c r="MI113" s="1024"/>
      <c r="MJ113" s="1024"/>
      <c r="MK113" s="1024"/>
      <c r="ML113" s="1024"/>
      <c r="MM113" s="1024"/>
      <c r="MN113" s="1024"/>
      <c r="MO113" s="1024"/>
      <c r="MP113" s="1024"/>
      <c r="MQ113" s="1024"/>
      <c r="MR113" s="1024"/>
      <c r="MS113" s="1024"/>
      <c r="MT113" s="1024"/>
      <c r="MU113" s="1024"/>
      <c r="MV113" s="1024"/>
      <c r="MW113" s="1024"/>
      <c r="MX113" s="1024"/>
      <c r="MY113" s="1024"/>
      <c r="MZ113" s="1024"/>
      <c r="NA113" s="1024"/>
      <c r="NB113" s="1024"/>
      <c r="NC113" s="1024"/>
      <c r="ND113" s="1024"/>
      <c r="NE113" s="1024"/>
      <c r="NF113" s="1024"/>
      <c r="NG113" s="1024"/>
      <c r="NH113" s="1024"/>
      <c r="NI113" s="1024"/>
      <c r="NJ113" s="1024"/>
      <c r="NK113" s="1024"/>
      <c r="NL113" s="1024"/>
      <c r="NM113" s="1024"/>
      <c r="NN113" s="1024"/>
      <c r="NO113" s="1024"/>
      <c r="NP113" s="1024"/>
      <c r="NQ113" s="1024"/>
      <c r="NR113" s="1024"/>
      <c r="NS113" s="1024"/>
      <c r="NT113" s="1024"/>
      <c r="NU113" s="1024"/>
      <c r="NV113" s="1024"/>
      <c r="NW113" s="1024"/>
      <c r="NX113" s="1024"/>
      <c r="NY113" s="1024"/>
      <c r="NZ113" s="1024"/>
      <c r="OA113" s="1024"/>
      <c r="OB113" s="1024"/>
      <c r="OC113" s="1024"/>
      <c r="OD113" s="1024"/>
      <c r="OE113" s="1024"/>
      <c r="OF113" s="1024"/>
      <c r="OG113" s="1024"/>
      <c r="OH113" s="1024"/>
      <c r="OI113" s="1024"/>
      <c r="OJ113" s="1024"/>
      <c r="OK113" s="1024"/>
      <c r="OL113" s="1024"/>
      <c r="OM113" s="1024"/>
      <c r="ON113" s="1024"/>
      <c r="OO113" s="1024"/>
      <c r="OP113" s="1024"/>
      <c r="OQ113" s="1024"/>
      <c r="OR113" s="1024"/>
      <c r="OS113" s="1024"/>
      <c r="OT113" s="1024"/>
      <c r="OU113" s="1024"/>
      <c r="OV113" s="1024"/>
      <c r="OW113" s="1024"/>
      <c r="OX113" s="1024"/>
      <c r="OY113" s="1024"/>
      <c r="OZ113" s="1024"/>
      <c r="PA113" s="1024"/>
      <c r="PB113" s="1024"/>
      <c r="PC113" s="1024"/>
      <c r="PD113" s="1024"/>
      <c r="PE113" s="1024"/>
      <c r="PF113" s="1024"/>
      <c r="PG113" s="1024"/>
      <c r="PH113" s="1024"/>
      <c r="PI113" s="1024"/>
      <c r="PJ113" s="1024"/>
      <c r="PK113" s="1024"/>
      <c r="PL113" s="1024"/>
      <c r="PM113" s="1024"/>
      <c r="PN113" s="1024"/>
      <c r="PO113" s="1024"/>
      <c r="PP113" s="1024"/>
      <c r="PQ113" s="1024"/>
      <c r="PR113" s="1024"/>
      <c r="PS113" s="1024"/>
      <c r="PT113" s="1024"/>
      <c r="PU113" s="1024"/>
      <c r="PV113" s="1024"/>
      <c r="PW113" s="1024"/>
      <c r="PX113" s="1024"/>
      <c r="PY113" s="1024"/>
      <c r="PZ113" s="1024"/>
      <c r="QA113" s="1024"/>
      <c r="QB113" s="1024"/>
      <c r="QC113" s="1024"/>
      <c r="QD113" s="1024"/>
      <c r="QE113" s="1024"/>
      <c r="QF113" s="1024"/>
      <c r="QG113" s="1024"/>
      <c r="QH113" s="1024"/>
      <c r="QI113" s="1024"/>
      <c r="QJ113" s="1024"/>
      <c r="QK113" s="1024"/>
      <c r="QL113" s="1024"/>
      <c r="QM113" s="1024"/>
      <c r="QN113" s="1024"/>
      <c r="QO113" s="1024"/>
      <c r="QP113" s="1024"/>
      <c r="QQ113" s="1024"/>
      <c r="QR113" s="1024"/>
      <c r="QS113" s="1024"/>
      <c r="QT113" s="1024"/>
      <c r="QU113" s="1024"/>
      <c r="QV113" s="1024"/>
      <c r="QW113" s="1024"/>
      <c r="QX113" s="1024"/>
      <c r="QY113" s="1024"/>
      <c r="QZ113" s="1024"/>
      <c r="RA113" s="1024"/>
      <c r="RB113" s="1024"/>
      <c r="RC113" s="1024"/>
      <c r="RD113" s="1024"/>
      <c r="RE113" s="1024"/>
      <c r="RF113" s="1024"/>
      <c r="RG113" s="1024"/>
      <c r="RH113" s="1024"/>
      <c r="RI113" s="1024"/>
      <c r="RJ113" s="1024"/>
      <c r="RK113" s="1024"/>
      <c r="RL113" s="1024"/>
      <c r="RM113" s="1024"/>
      <c r="RN113" s="1024"/>
      <c r="RO113" s="1024"/>
      <c r="RP113" s="1024"/>
      <c r="RQ113" s="1024"/>
      <c r="RR113" s="1024"/>
      <c r="RS113" s="1024"/>
      <c r="RT113" s="1024"/>
      <c r="RU113" s="1024"/>
      <c r="RV113" s="1024"/>
      <c r="RW113" s="1024"/>
      <c r="RX113" s="1024"/>
      <c r="RY113" s="1024"/>
      <c r="RZ113" s="1024"/>
      <c r="SA113" s="1024"/>
      <c r="SB113" s="1024"/>
      <c r="SC113" s="1024"/>
      <c r="SD113" s="1024"/>
      <c r="SE113" s="1024"/>
      <c r="SF113" s="1024"/>
      <c r="SG113" s="1024"/>
      <c r="SH113" s="1024"/>
      <c r="SI113" s="1024"/>
      <c r="SJ113" s="1024"/>
      <c r="SK113" s="1024"/>
      <c r="SL113" s="1024"/>
      <c r="SM113" s="1024"/>
      <c r="SN113" s="1024"/>
      <c r="SO113" s="1024"/>
      <c r="SP113" s="1024"/>
      <c r="SQ113" s="1024"/>
      <c r="SR113" s="1024"/>
    </row>
    <row r="114" spans="1:512" s="1011" customFormat="1" ht="15" customHeight="1">
      <c r="A114" s="1011" t="s">
        <v>2231</v>
      </c>
      <c r="G114" s="1024"/>
      <c r="H114" s="1024"/>
      <c r="I114" s="1024"/>
      <c r="J114" s="1024"/>
      <c r="K114" s="1024"/>
      <c r="L114" s="1024"/>
      <c r="M114" s="1024"/>
      <c r="N114" s="1024"/>
      <c r="O114" s="1024"/>
      <c r="P114" s="1024"/>
      <c r="Q114" s="1024"/>
      <c r="R114" s="1024"/>
      <c r="S114" s="1024"/>
      <c r="T114" s="1024"/>
      <c r="U114" s="1024"/>
      <c r="V114" s="1024"/>
      <c r="W114" s="1024"/>
      <c r="X114" s="1024"/>
      <c r="Y114" s="1024"/>
      <c r="Z114" s="1024"/>
      <c r="AA114" s="1024"/>
      <c r="AB114" s="1024"/>
      <c r="AC114" s="1024"/>
      <c r="AD114" s="1024"/>
      <c r="AE114" s="1024"/>
      <c r="AF114" s="1024"/>
      <c r="AG114" s="1024"/>
      <c r="AH114" s="1024"/>
      <c r="AI114" s="1024"/>
      <c r="AJ114" s="1024"/>
      <c r="AK114" s="1024"/>
      <c r="AL114" s="1024"/>
      <c r="AM114" s="1024"/>
      <c r="AN114" s="1024"/>
      <c r="AO114" s="1024"/>
      <c r="AP114" s="1024"/>
      <c r="AQ114" s="1024"/>
      <c r="AR114" s="1024"/>
      <c r="AS114" s="1024"/>
      <c r="AT114" s="1024"/>
      <c r="AU114" s="1024"/>
      <c r="AV114" s="1024"/>
      <c r="AW114" s="1024"/>
      <c r="AX114" s="1024"/>
      <c r="AY114" s="1024"/>
      <c r="AZ114" s="1024"/>
      <c r="BA114" s="1024"/>
      <c r="BB114" s="1024"/>
      <c r="BC114" s="1024"/>
      <c r="BD114" s="1024"/>
      <c r="BE114" s="1024"/>
      <c r="BF114" s="1024"/>
      <c r="BG114" s="1024"/>
      <c r="BH114" s="1024"/>
      <c r="BI114" s="1024"/>
      <c r="BJ114" s="1024"/>
      <c r="BK114" s="1024"/>
      <c r="BL114" s="1024"/>
      <c r="BM114" s="1024"/>
      <c r="BN114" s="1024"/>
      <c r="BO114" s="1024"/>
      <c r="BP114" s="1024"/>
      <c r="BQ114" s="1024"/>
      <c r="BR114" s="1024"/>
      <c r="BS114" s="1024"/>
      <c r="BT114" s="1024"/>
      <c r="BU114" s="1024"/>
      <c r="BV114" s="1024"/>
      <c r="BW114" s="1024"/>
      <c r="BX114" s="1024"/>
      <c r="BY114" s="1024"/>
      <c r="BZ114" s="1024"/>
      <c r="CA114" s="1024"/>
      <c r="CB114" s="1024"/>
      <c r="CC114" s="1024"/>
      <c r="CD114" s="1024"/>
      <c r="CE114" s="1024"/>
      <c r="CF114" s="1024"/>
      <c r="CG114" s="1024"/>
      <c r="CH114" s="1024"/>
      <c r="CI114" s="1024"/>
      <c r="CJ114" s="1024"/>
      <c r="CK114" s="1024"/>
      <c r="CL114" s="1024"/>
      <c r="CM114" s="1024"/>
      <c r="CN114" s="1024"/>
      <c r="CO114" s="1024"/>
      <c r="CP114" s="1024"/>
      <c r="CQ114" s="1024"/>
      <c r="CR114" s="1024"/>
      <c r="CS114" s="1024"/>
      <c r="CT114" s="1024"/>
      <c r="CU114" s="1024"/>
      <c r="CV114" s="1024"/>
      <c r="CW114" s="1024"/>
      <c r="CX114" s="1024"/>
      <c r="CY114" s="1024"/>
      <c r="CZ114" s="1024"/>
      <c r="DA114" s="1024"/>
      <c r="DB114" s="1024"/>
      <c r="DC114" s="1024"/>
      <c r="DD114" s="1024"/>
      <c r="DE114" s="1024"/>
      <c r="DF114" s="1024"/>
      <c r="DG114" s="1024"/>
      <c r="DH114" s="1024"/>
      <c r="DI114" s="1024"/>
      <c r="DJ114" s="1024"/>
      <c r="DK114" s="1024"/>
      <c r="DL114" s="1024"/>
      <c r="DM114" s="1024"/>
      <c r="DN114" s="1024"/>
      <c r="DO114" s="1024"/>
      <c r="DP114" s="1024"/>
      <c r="DQ114" s="1024"/>
      <c r="DR114" s="1024"/>
      <c r="DS114" s="1024"/>
      <c r="DT114" s="1024"/>
      <c r="DU114" s="1024"/>
      <c r="DV114" s="1024"/>
      <c r="DW114" s="1024"/>
      <c r="DX114" s="1024"/>
      <c r="DY114" s="1024"/>
      <c r="DZ114" s="1024"/>
      <c r="EA114" s="1024"/>
      <c r="EB114" s="1024"/>
      <c r="EC114" s="1024"/>
      <c r="ED114" s="1024"/>
      <c r="EE114" s="1024"/>
      <c r="EF114" s="1024"/>
      <c r="EG114" s="1024"/>
      <c r="EH114" s="1024"/>
      <c r="EI114" s="1024"/>
      <c r="EJ114" s="1024"/>
      <c r="EK114" s="1024"/>
      <c r="EL114" s="1024"/>
      <c r="EM114" s="1024"/>
      <c r="EN114" s="1024"/>
      <c r="EO114" s="1024"/>
      <c r="EP114" s="1024"/>
      <c r="EQ114" s="1024"/>
      <c r="ER114" s="1024"/>
      <c r="ES114" s="1024"/>
      <c r="ET114" s="1024"/>
      <c r="EU114" s="1024"/>
      <c r="EV114" s="1024"/>
      <c r="EW114" s="1024"/>
      <c r="EX114" s="1024"/>
      <c r="EY114" s="1024"/>
      <c r="EZ114" s="1024"/>
      <c r="FA114" s="1024"/>
      <c r="FB114" s="1024"/>
      <c r="FC114" s="1024"/>
      <c r="FD114" s="1024"/>
      <c r="FE114" s="1024"/>
      <c r="FF114" s="1024"/>
      <c r="FG114" s="1024"/>
      <c r="FH114" s="1024"/>
      <c r="FI114" s="1024"/>
      <c r="FJ114" s="1024"/>
      <c r="FK114" s="1024"/>
      <c r="FL114" s="1024"/>
      <c r="FM114" s="1024"/>
      <c r="FN114" s="1024"/>
      <c r="FO114" s="1024"/>
      <c r="FP114" s="1024"/>
      <c r="FQ114" s="1024"/>
      <c r="FR114" s="1024"/>
      <c r="FS114" s="1024"/>
      <c r="FT114" s="1024"/>
      <c r="FU114" s="1024"/>
      <c r="FV114" s="1024"/>
      <c r="FW114" s="1024"/>
      <c r="FX114" s="1024"/>
      <c r="FY114" s="1024"/>
      <c r="FZ114" s="1024"/>
      <c r="GA114" s="1024"/>
      <c r="GB114" s="1024"/>
      <c r="GC114" s="1024"/>
      <c r="GD114" s="1024"/>
      <c r="GE114" s="1024"/>
      <c r="GF114" s="1024"/>
      <c r="GG114" s="1024"/>
      <c r="GH114" s="1024"/>
      <c r="GI114" s="1024"/>
      <c r="GJ114" s="1024"/>
      <c r="GK114" s="1024"/>
      <c r="GL114" s="1024"/>
      <c r="GM114" s="1024"/>
      <c r="GN114" s="1024"/>
      <c r="GO114" s="1024"/>
      <c r="GP114" s="1024"/>
      <c r="GQ114" s="1024"/>
      <c r="GR114" s="1024"/>
      <c r="GS114" s="1024"/>
      <c r="GT114" s="1024"/>
      <c r="GU114" s="1024"/>
      <c r="GV114" s="1024"/>
      <c r="GW114" s="1024"/>
      <c r="GX114" s="1024"/>
      <c r="GY114" s="1024"/>
      <c r="GZ114" s="1024"/>
      <c r="HA114" s="1024"/>
      <c r="HB114" s="1024"/>
      <c r="HC114" s="1024"/>
      <c r="HD114" s="1024"/>
      <c r="HE114" s="1024"/>
      <c r="HF114" s="1024"/>
      <c r="HG114" s="1024"/>
      <c r="HH114" s="1024"/>
      <c r="HI114" s="1024"/>
      <c r="HJ114" s="1024"/>
      <c r="HK114" s="1024"/>
      <c r="HL114" s="1024"/>
      <c r="HM114" s="1024"/>
      <c r="HN114" s="1024"/>
      <c r="HO114" s="1024"/>
      <c r="HP114" s="1024"/>
      <c r="HQ114" s="1024"/>
      <c r="HR114" s="1024"/>
      <c r="HS114" s="1024"/>
      <c r="HT114" s="1024"/>
      <c r="HU114" s="1024"/>
      <c r="HV114" s="1024"/>
      <c r="HW114" s="1024"/>
      <c r="HX114" s="1024"/>
      <c r="HY114" s="1024"/>
      <c r="HZ114" s="1024"/>
      <c r="IA114" s="1024"/>
      <c r="IB114" s="1024"/>
      <c r="IC114" s="1024"/>
      <c r="ID114" s="1024"/>
      <c r="IE114" s="1024"/>
      <c r="IF114" s="1024"/>
      <c r="IG114" s="1024"/>
      <c r="IH114" s="1024"/>
      <c r="II114" s="1024"/>
      <c r="IJ114" s="1024"/>
      <c r="IK114" s="1024"/>
      <c r="IL114" s="1024"/>
      <c r="IM114" s="1024"/>
      <c r="IN114" s="1024"/>
      <c r="IO114" s="1024"/>
      <c r="IP114" s="1024"/>
      <c r="IQ114" s="1024"/>
      <c r="IR114" s="1024"/>
      <c r="IS114" s="1024"/>
      <c r="IT114" s="1024"/>
      <c r="IU114" s="1024"/>
      <c r="IV114" s="1024"/>
      <c r="IW114" s="1024"/>
      <c r="IX114" s="1024"/>
      <c r="IY114" s="1024"/>
      <c r="IZ114" s="1024"/>
      <c r="JA114" s="1024"/>
      <c r="JB114" s="1024"/>
      <c r="JC114" s="1024"/>
      <c r="JD114" s="1024"/>
      <c r="JE114" s="1024"/>
      <c r="JF114" s="1024"/>
      <c r="JG114" s="1024"/>
      <c r="JH114" s="1024"/>
      <c r="JI114" s="1024"/>
      <c r="JJ114" s="1024"/>
      <c r="JK114" s="1024"/>
      <c r="JL114" s="1024"/>
      <c r="JM114" s="1024"/>
      <c r="JN114" s="1024"/>
      <c r="JO114" s="1024"/>
      <c r="JP114" s="1024"/>
      <c r="JQ114" s="1024"/>
      <c r="JR114" s="1024"/>
      <c r="JS114" s="1024"/>
      <c r="JT114" s="1024"/>
      <c r="JU114" s="1024"/>
      <c r="JV114" s="1024"/>
      <c r="JW114" s="1024"/>
      <c r="JX114" s="1024"/>
      <c r="JY114" s="1024"/>
      <c r="JZ114" s="1024"/>
      <c r="KA114" s="1024"/>
      <c r="KB114" s="1024"/>
      <c r="KC114" s="1024"/>
      <c r="KD114" s="1024"/>
      <c r="KE114" s="1024"/>
      <c r="KF114" s="1024"/>
      <c r="KG114" s="1024"/>
      <c r="KH114" s="1024"/>
      <c r="KI114" s="1024"/>
      <c r="KJ114" s="1024"/>
      <c r="KK114" s="1024"/>
      <c r="KL114" s="1024"/>
      <c r="KM114" s="1024"/>
      <c r="KN114" s="1024"/>
      <c r="KO114" s="1024"/>
      <c r="KP114" s="1024"/>
      <c r="KQ114" s="1024"/>
      <c r="KR114" s="1024"/>
      <c r="KS114" s="1024"/>
      <c r="KT114" s="1024"/>
      <c r="KU114" s="1024"/>
      <c r="KV114" s="1024"/>
      <c r="KW114" s="1024"/>
      <c r="KX114" s="1024"/>
      <c r="KY114" s="1024"/>
      <c r="KZ114" s="1024"/>
      <c r="LA114" s="1024"/>
      <c r="LB114" s="1024"/>
      <c r="LC114" s="1024"/>
      <c r="LD114" s="1024"/>
      <c r="LE114" s="1024"/>
      <c r="LF114" s="1024"/>
      <c r="LG114" s="1024"/>
      <c r="LH114" s="1024"/>
      <c r="LI114" s="1024"/>
      <c r="LJ114" s="1024"/>
      <c r="LK114" s="1024"/>
      <c r="LL114" s="1024"/>
      <c r="LM114" s="1024"/>
      <c r="LN114" s="1024"/>
      <c r="LO114" s="1024"/>
      <c r="LP114" s="1024"/>
      <c r="LQ114" s="1024"/>
      <c r="LR114" s="1024"/>
      <c r="LS114" s="1024"/>
      <c r="LT114" s="1024"/>
      <c r="LU114" s="1024"/>
      <c r="LV114" s="1024"/>
      <c r="LW114" s="1024"/>
      <c r="LX114" s="1024"/>
      <c r="LY114" s="1024"/>
      <c r="LZ114" s="1024"/>
      <c r="MA114" s="1024"/>
      <c r="MB114" s="1024"/>
      <c r="MC114" s="1024"/>
      <c r="MD114" s="1024"/>
      <c r="ME114" s="1024"/>
      <c r="MF114" s="1024"/>
      <c r="MG114" s="1024"/>
      <c r="MH114" s="1024"/>
      <c r="MI114" s="1024"/>
      <c r="MJ114" s="1024"/>
      <c r="MK114" s="1024"/>
      <c r="ML114" s="1024"/>
      <c r="MM114" s="1024"/>
      <c r="MN114" s="1024"/>
      <c r="MO114" s="1024"/>
      <c r="MP114" s="1024"/>
      <c r="MQ114" s="1024"/>
      <c r="MR114" s="1024"/>
      <c r="MS114" s="1024"/>
      <c r="MT114" s="1024"/>
      <c r="MU114" s="1024"/>
      <c r="MV114" s="1024"/>
      <c r="MW114" s="1024"/>
      <c r="MX114" s="1024"/>
      <c r="MY114" s="1024"/>
      <c r="MZ114" s="1024"/>
      <c r="NA114" s="1024"/>
      <c r="NB114" s="1024"/>
      <c r="NC114" s="1024"/>
      <c r="ND114" s="1024"/>
      <c r="NE114" s="1024"/>
      <c r="NF114" s="1024"/>
      <c r="NG114" s="1024"/>
      <c r="NH114" s="1024"/>
      <c r="NI114" s="1024"/>
      <c r="NJ114" s="1024"/>
      <c r="NK114" s="1024"/>
      <c r="NL114" s="1024"/>
      <c r="NM114" s="1024"/>
      <c r="NN114" s="1024"/>
      <c r="NO114" s="1024"/>
      <c r="NP114" s="1024"/>
      <c r="NQ114" s="1024"/>
      <c r="NR114" s="1024"/>
      <c r="NS114" s="1024"/>
      <c r="NT114" s="1024"/>
      <c r="NU114" s="1024"/>
      <c r="NV114" s="1024"/>
      <c r="NW114" s="1024"/>
      <c r="NX114" s="1024"/>
      <c r="NY114" s="1024"/>
      <c r="NZ114" s="1024"/>
      <c r="OA114" s="1024"/>
      <c r="OB114" s="1024"/>
      <c r="OC114" s="1024"/>
      <c r="OD114" s="1024"/>
      <c r="OE114" s="1024"/>
      <c r="OF114" s="1024"/>
      <c r="OG114" s="1024"/>
      <c r="OH114" s="1024"/>
      <c r="OI114" s="1024"/>
      <c r="OJ114" s="1024"/>
      <c r="OK114" s="1024"/>
      <c r="OL114" s="1024"/>
      <c r="OM114" s="1024"/>
      <c r="ON114" s="1024"/>
      <c r="OO114" s="1024"/>
      <c r="OP114" s="1024"/>
      <c r="OQ114" s="1024"/>
      <c r="OR114" s="1024"/>
      <c r="OS114" s="1024"/>
      <c r="OT114" s="1024"/>
      <c r="OU114" s="1024"/>
      <c r="OV114" s="1024"/>
      <c r="OW114" s="1024"/>
      <c r="OX114" s="1024"/>
      <c r="OY114" s="1024"/>
      <c r="OZ114" s="1024"/>
      <c r="PA114" s="1024"/>
      <c r="PB114" s="1024"/>
      <c r="PC114" s="1024"/>
      <c r="PD114" s="1024"/>
      <c r="PE114" s="1024"/>
      <c r="PF114" s="1024"/>
      <c r="PG114" s="1024"/>
      <c r="PH114" s="1024"/>
      <c r="PI114" s="1024"/>
      <c r="PJ114" s="1024"/>
      <c r="PK114" s="1024"/>
      <c r="PL114" s="1024"/>
      <c r="PM114" s="1024"/>
      <c r="PN114" s="1024"/>
      <c r="PO114" s="1024"/>
      <c r="PP114" s="1024"/>
      <c r="PQ114" s="1024"/>
      <c r="PR114" s="1024"/>
      <c r="PS114" s="1024"/>
      <c r="PT114" s="1024"/>
      <c r="PU114" s="1024"/>
      <c r="PV114" s="1024"/>
      <c r="PW114" s="1024"/>
      <c r="PX114" s="1024"/>
      <c r="PY114" s="1024"/>
      <c r="PZ114" s="1024"/>
      <c r="QA114" s="1024"/>
      <c r="QB114" s="1024"/>
      <c r="QC114" s="1024"/>
      <c r="QD114" s="1024"/>
      <c r="QE114" s="1024"/>
      <c r="QF114" s="1024"/>
      <c r="QG114" s="1024"/>
      <c r="QH114" s="1024"/>
      <c r="QI114" s="1024"/>
      <c r="QJ114" s="1024"/>
      <c r="QK114" s="1024"/>
      <c r="QL114" s="1024"/>
      <c r="QM114" s="1024"/>
      <c r="QN114" s="1024"/>
      <c r="QO114" s="1024"/>
      <c r="QP114" s="1024"/>
      <c r="QQ114" s="1024"/>
      <c r="QR114" s="1024"/>
      <c r="QS114" s="1024"/>
      <c r="QT114" s="1024"/>
      <c r="QU114" s="1024"/>
      <c r="QV114" s="1024"/>
      <c r="QW114" s="1024"/>
      <c r="QX114" s="1024"/>
      <c r="QY114" s="1024"/>
      <c r="QZ114" s="1024"/>
      <c r="RA114" s="1024"/>
      <c r="RB114" s="1024"/>
      <c r="RC114" s="1024"/>
      <c r="RD114" s="1024"/>
      <c r="RE114" s="1024"/>
      <c r="RF114" s="1024"/>
      <c r="RG114" s="1024"/>
      <c r="RH114" s="1024"/>
      <c r="RI114" s="1024"/>
      <c r="RJ114" s="1024"/>
      <c r="RK114" s="1024"/>
      <c r="RL114" s="1024"/>
      <c r="RM114" s="1024"/>
      <c r="RN114" s="1024"/>
      <c r="RO114" s="1024"/>
      <c r="RP114" s="1024"/>
      <c r="RQ114" s="1024"/>
      <c r="RR114" s="1024"/>
      <c r="RS114" s="1024"/>
      <c r="RT114" s="1024"/>
      <c r="RU114" s="1024"/>
      <c r="RV114" s="1024"/>
      <c r="RW114" s="1024"/>
      <c r="RX114" s="1024"/>
      <c r="RY114" s="1024"/>
      <c r="RZ114" s="1024"/>
      <c r="SA114" s="1024"/>
      <c r="SB114" s="1024"/>
      <c r="SC114" s="1024"/>
      <c r="SD114" s="1024"/>
      <c r="SE114" s="1024"/>
      <c r="SF114" s="1024"/>
      <c r="SG114" s="1024"/>
      <c r="SH114" s="1024"/>
      <c r="SI114" s="1024"/>
      <c r="SJ114" s="1024"/>
      <c r="SK114" s="1024"/>
      <c r="SL114" s="1024"/>
      <c r="SM114" s="1024"/>
      <c r="SN114" s="1024"/>
      <c r="SO114" s="1024"/>
      <c r="SP114" s="1024"/>
      <c r="SQ114" s="1024"/>
      <c r="SR114" s="1024"/>
    </row>
    <row r="115" spans="1:512" ht="15" customHeight="1">
      <c r="A115"/>
      <c r="B115" t="s">
        <v>2232</v>
      </c>
      <c r="C115"/>
      <c r="D115"/>
      <c r="E115" t="s">
        <v>169</v>
      </c>
      <c r="F115"/>
      <c r="G115" s="1022">
        <v>1.1762540813691406E-2</v>
      </c>
      <c r="H115" s="1022">
        <v>2.2201519879704954E-2</v>
      </c>
      <c r="I115" s="1022"/>
      <c r="J115" s="1022"/>
      <c r="K115" s="1022"/>
      <c r="L115" s="1022"/>
      <c r="M115" s="1022"/>
      <c r="N115" s="1022"/>
      <c r="O115" s="1022"/>
      <c r="P115" s="1022"/>
      <c r="Q115" s="1022"/>
      <c r="R115" s="1022"/>
      <c r="S115" s="1022"/>
      <c r="T115" s="1022"/>
      <c r="U115" s="1021"/>
      <c r="V115" s="1021"/>
      <c r="W115" s="1021"/>
      <c r="X115" s="1021"/>
      <c r="Y115" s="1021"/>
      <c r="Z115" s="1021"/>
      <c r="AA115" s="1021"/>
      <c r="AB115" s="1021"/>
      <c r="AC115" s="1021"/>
      <c r="AD115" s="1021"/>
      <c r="AE115" s="1021"/>
      <c r="AF115" s="1021"/>
      <c r="AG115" s="1021"/>
      <c r="AH115" s="1021"/>
      <c r="AI115" s="1021"/>
      <c r="AJ115" s="1021"/>
      <c r="AK115" s="1021"/>
      <c r="AL115" s="1021"/>
      <c r="AM115" s="1021"/>
      <c r="AN115" s="1021"/>
      <c r="AO115" s="1021"/>
      <c r="AP115" s="1021"/>
      <c r="AQ115" s="1021"/>
      <c r="AR115" s="1021"/>
      <c r="AS115" s="1021"/>
      <c r="AT115" s="1021"/>
      <c r="AU115" s="1021"/>
      <c r="AV115" s="1021"/>
      <c r="AW115" s="1021"/>
      <c r="AX115" s="1021"/>
      <c r="AY115" s="1021"/>
      <c r="AZ115" s="1021"/>
      <c r="BA115" s="1021"/>
      <c r="BB115" s="1021"/>
      <c r="BC115" s="1021"/>
      <c r="BD115" s="1021"/>
      <c r="BE115" s="1021"/>
      <c r="BF115" s="1021"/>
      <c r="BG115" s="1021"/>
      <c r="BH115" s="1021"/>
      <c r="BI115" s="1021"/>
      <c r="BJ115" s="1021"/>
      <c r="BK115" s="1021"/>
      <c r="BL115" s="1021"/>
      <c r="BM115" s="1021"/>
      <c r="BN115" s="1021"/>
      <c r="BO115" s="1021"/>
      <c r="BP115" s="1021"/>
      <c r="BQ115" s="1021"/>
      <c r="BR115" s="1021"/>
      <c r="BS115" s="1021"/>
      <c r="BT115" s="1021"/>
      <c r="BU115" s="1021"/>
      <c r="BV115" s="1021"/>
      <c r="BW115" s="1021"/>
      <c r="BX115" s="1021"/>
      <c r="BY115" s="1021"/>
      <c r="BZ115" s="1021"/>
      <c r="CA115" s="1021"/>
      <c r="CB115" s="1021"/>
      <c r="CC115" s="1021"/>
      <c r="CD115" s="1021"/>
      <c r="CE115" s="1021"/>
      <c r="CF115" s="1021"/>
      <c r="CG115" s="1021"/>
      <c r="CH115" s="1021"/>
      <c r="CI115" s="1021"/>
      <c r="CJ115" s="1021"/>
      <c r="CK115" s="1021"/>
      <c r="CL115" s="1021"/>
      <c r="CM115" s="1021"/>
      <c r="CN115" s="1021"/>
      <c r="CO115" s="1021"/>
      <c r="CP115" s="1021"/>
      <c r="CQ115" s="1021"/>
      <c r="CR115" s="1021"/>
      <c r="CS115" s="1021"/>
      <c r="CT115" s="1021"/>
      <c r="CU115" s="1021"/>
      <c r="CV115" s="1021"/>
      <c r="CW115" s="1021"/>
      <c r="CX115" s="1021"/>
      <c r="CY115" s="1021"/>
      <c r="CZ115" s="1021"/>
      <c r="DA115" s="1021"/>
      <c r="DB115" s="1021"/>
      <c r="DC115" s="1021"/>
      <c r="DD115" s="1021"/>
      <c r="DE115" s="1021"/>
      <c r="DF115" s="1021"/>
      <c r="DG115" s="1021"/>
      <c r="DH115" s="1021"/>
      <c r="DI115" s="1021"/>
      <c r="DJ115" s="1021"/>
      <c r="DK115" s="1021"/>
      <c r="DL115" s="1021"/>
      <c r="DM115" s="1021"/>
      <c r="DN115" s="1021"/>
      <c r="DO115" s="1021"/>
      <c r="DP115" s="1021"/>
      <c r="DQ115" s="1021"/>
      <c r="DR115" s="1021"/>
      <c r="DS115" s="1021"/>
      <c r="DT115" s="1021"/>
      <c r="DU115" s="1021"/>
      <c r="DV115" s="1021"/>
      <c r="DW115" s="1021"/>
      <c r="DX115" s="1021"/>
      <c r="DY115" s="1021"/>
      <c r="DZ115" s="1021"/>
      <c r="EA115" s="1021"/>
      <c r="EB115" s="1021"/>
      <c r="EC115" s="1021"/>
      <c r="ED115" s="1021"/>
      <c r="EE115" s="1021"/>
      <c r="EF115" s="1021"/>
      <c r="EG115" s="1021"/>
      <c r="EH115" s="1021"/>
      <c r="EI115" s="1021"/>
      <c r="EJ115" s="1021"/>
      <c r="EK115" s="1021"/>
      <c r="EL115" s="1021"/>
      <c r="EM115" s="1021"/>
      <c r="EN115" s="1021"/>
      <c r="EO115" s="1021"/>
      <c r="EP115" s="1021"/>
      <c r="EQ115" s="1021"/>
      <c r="ER115" s="1021"/>
      <c r="ES115" s="1021"/>
      <c r="ET115" s="1021"/>
      <c r="EU115" s="1021"/>
      <c r="EV115" s="1021"/>
      <c r="EW115" s="1021"/>
      <c r="EX115" s="1021"/>
      <c r="EY115" s="1021"/>
      <c r="EZ115" s="1021"/>
      <c r="FA115" s="1021"/>
      <c r="FB115" s="1021"/>
      <c r="FC115" s="1021"/>
      <c r="FD115" s="1021"/>
      <c r="FE115" s="1021"/>
      <c r="FF115" s="1021"/>
      <c r="FG115" s="1021"/>
      <c r="FH115" s="1021"/>
      <c r="FI115" s="1021"/>
      <c r="FJ115" s="1021"/>
      <c r="FK115" s="1021"/>
      <c r="FL115" s="1021"/>
      <c r="FM115" s="1021"/>
      <c r="FN115" s="1021"/>
      <c r="FO115" s="1021"/>
      <c r="FP115" s="1021"/>
      <c r="FQ115" s="1021"/>
      <c r="FR115" s="1021"/>
      <c r="FS115" s="1021"/>
      <c r="FT115" s="1021"/>
      <c r="FU115" s="1021"/>
      <c r="FV115" s="1021"/>
      <c r="FW115" s="1021"/>
      <c r="FX115" s="1021"/>
      <c r="FY115" s="1021"/>
      <c r="FZ115" s="1021"/>
      <c r="GA115" s="1021"/>
      <c r="GB115" s="1021"/>
      <c r="GC115" s="1021"/>
      <c r="GD115" s="1021"/>
      <c r="GE115" s="1021"/>
      <c r="GF115" s="1021"/>
      <c r="GG115" s="1021"/>
      <c r="GH115" s="1021"/>
      <c r="GI115" s="1021"/>
      <c r="GJ115" s="1021"/>
      <c r="GK115" s="1021"/>
      <c r="GL115" s="1021"/>
      <c r="GM115" s="1021"/>
      <c r="GN115" s="1021"/>
      <c r="GO115" s="1021"/>
      <c r="GP115" s="1021"/>
      <c r="GQ115" s="1021"/>
      <c r="GR115" s="1021"/>
      <c r="GS115" s="1021"/>
      <c r="GT115" s="1021"/>
      <c r="GU115" s="1021"/>
      <c r="GV115" s="1021"/>
      <c r="GW115" s="1021"/>
      <c r="GX115" s="1021"/>
      <c r="GY115" s="1021"/>
      <c r="GZ115" s="1021"/>
      <c r="HA115" s="1021"/>
      <c r="HB115" s="1021"/>
      <c r="HC115" s="1021"/>
      <c r="HD115" s="1021"/>
      <c r="HE115" s="1021"/>
      <c r="HF115" s="1021"/>
      <c r="HG115" s="1021"/>
      <c r="HH115" s="1021"/>
      <c r="HI115" s="1021"/>
      <c r="HJ115" s="1021"/>
      <c r="HK115" s="1021"/>
      <c r="HL115" s="1021"/>
      <c r="HM115" s="1021"/>
      <c r="HN115" s="1021"/>
      <c r="HO115" s="1021"/>
      <c r="HP115" s="1021"/>
      <c r="HQ115" s="1021"/>
      <c r="HR115" s="1021"/>
      <c r="HS115" s="1021"/>
      <c r="HT115" s="1021"/>
      <c r="HU115" s="1021"/>
      <c r="HV115" s="1021"/>
      <c r="HW115" s="1021"/>
      <c r="HX115" s="1021"/>
      <c r="HY115" s="1021"/>
      <c r="HZ115" s="1021"/>
      <c r="IA115" s="1021"/>
      <c r="IB115" s="1021"/>
      <c r="IC115" s="1021"/>
      <c r="ID115" s="1021"/>
      <c r="IE115" s="1021"/>
      <c r="IF115" s="1021"/>
      <c r="IG115" s="1021"/>
      <c r="IH115" s="1021"/>
      <c r="II115" s="1021"/>
      <c r="IJ115" s="1021"/>
      <c r="IK115" s="1021"/>
      <c r="IL115" s="1021"/>
      <c r="IM115" s="1021"/>
      <c r="IN115" s="1021"/>
      <c r="IO115" s="1021"/>
      <c r="IP115" s="1021"/>
      <c r="IQ115" s="1021"/>
      <c r="IR115" s="1021"/>
      <c r="IS115" s="1021"/>
      <c r="IT115" s="1021"/>
      <c r="IU115" s="1021"/>
      <c r="IV115" s="1021"/>
      <c r="IW115" s="1021"/>
      <c r="IX115" s="1021"/>
      <c r="IY115" s="1021"/>
      <c r="IZ115" s="1021"/>
      <c r="JA115" s="1021"/>
      <c r="JB115" s="1021"/>
      <c r="JC115" s="1021"/>
      <c r="JD115" s="1021"/>
      <c r="JE115" s="1021"/>
      <c r="JF115" s="1021"/>
      <c r="JG115" s="1021"/>
      <c r="JH115" s="1021"/>
      <c r="JI115" s="1021"/>
      <c r="JJ115" s="1021"/>
      <c r="JK115" s="1021"/>
      <c r="JL115" s="1021"/>
      <c r="JM115" s="1021"/>
      <c r="JN115" s="1021"/>
      <c r="JO115" s="1021"/>
      <c r="JP115" s="1021"/>
      <c r="JQ115" s="1021"/>
      <c r="JR115" s="1021"/>
      <c r="JS115" s="1021"/>
      <c r="JT115" s="1021"/>
      <c r="JU115" s="1021"/>
      <c r="JV115" s="1021"/>
      <c r="JW115" s="1021"/>
      <c r="JX115" s="1021"/>
      <c r="JY115" s="1021"/>
      <c r="JZ115" s="1021"/>
      <c r="KA115" s="1021"/>
      <c r="KB115" s="1021"/>
      <c r="KC115" s="1021"/>
      <c r="KD115" s="1021"/>
      <c r="KE115" s="1021"/>
      <c r="KF115" s="1021"/>
      <c r="KG115" s="1021"/>
      <c r="KH115" s="1021"/>
      <c r="KI115" s="1021"/>
      <c r="KJ115" s="1021"/>
      <c r="KK115" s="1021"/>
      <c r="KL115" s="1021"/>
      <c r="KM115" s="1021"/>
      <c r="KN115" s="1021"/>
      <c r="KO115" s="1021"/>
      <c r="KP115" s="1021"/>
      <c r="KQ115" s="1021"/>
      <c r="KR115" s="1021"/>
      <c r="KS115" s="1021"/>
      <c r="KT115" s="1021"/>
      <c r="KU115" s="1021"/>
      <c r="KV115" s="1021"/>
      <c r="KW115" s="1021"/>
      <c r="KX115" s="1021"/>
      <c r="KY115" s="1021"/>
      <c r="KZ115" s="1021"/>
      <c r="LA115" s="1021"/>
      <c r="LB115" s="1021"/>
      <c r="LC115" s="1021"/>
      <c r="LD115" s="1021"/>
      <c r="LE115" s="1021"/>
      <c r="LF115" s="1021"/>
      <c r="LG115" s="1021"/>
      <c r="LH115" s="1021"/>
      <c r="LI115" s="1021"/>
      <c r="LJ115" s="1021"/>
      <c r="LK115" s="1021"/>
      <c r="LL115" s="1021"/>
      <c r="LM115" s="1021"/>
      <c r="LN115" s="1021"/>
      <c r="LO115" s="1021"/>
      <c r="LP115" s="1021"/>
      <c r="LQ115" s="1021"/>
      <c r="LR115" s="1021"/>
      <c r="LS115" s="1021"/>
      <c r="LT115" s="1021"/>
      <c r="LU115" s="1021"/>
      <c r="LV115" s="1021"/>
      <c r="LW115" s="1021"/>
      <c r="LX115" s="1021"/>
      <c r="LY115" s="1021"/>
      <c r="LZ115" s="1021"/>
      <c r="MA115" s="1021"/>
      <c r="MB115" s="1021"/>
      <c r="MC115" s="1021"/>
      <c r="MD115" s="1021"/>
      <c r="ME115" s="1021"/>
      <c r="MF115" s="1021"/>
      <c r="MG115" s="1021"/>
      <c r="MH115" s="1021"/>
      <c r="MI115" s="1021"/>
      <c r="MJ115" s="1021"/>
      <c r="MK115" s="1021"/>
      <c r="ML115" s="1021"/>
      <c r="MM115" s="1021"/>
      <c r="MN115" s="1021"/>
      <c r="MO115" s="1021"/>
      <c r="MP115" s="1021"/>
      <c r="MQ115" s="1021"/>
      <c r="MR115" s="1021"/>
      <c r="MS115" s="1021"/>
      <c r="MT115" s="1021"/>
      <c r="MU115" s="1021"/>
      <c r="MV115" s="1021"/>
      <c r="MW115" s="1021"/>
      <c r="MX115" s="1021"/>
      <c r="MY115" s="1021"/>
      <c r="MZ115" s="1021"/>
      <c r="NA115" s="1021"/>
      <c r="NB115" s="1021"/>
      <c r="NC115" s="1021"/>
      <c r="ND115" s="1021"/>
      <c r="NE115" s="1021"/>
      <c r="NF115" s="1021"/>
      <c r="NG115" s="1021"/>
      <c r="NH115" s="1021"/>
      <c r="NI115" s="1021"/>
      <c r="NJ115" s="1021"/>
      <c r="NK115" s="1021"/>
      <c r="NL115" s="1021"/>
      <c r="NM115" s="1021"/>
      <c r="NN115" s="1021"/>
      <c r="NO115" s="1021"/>
      <c r="NP115" s="1021"/>
      <c r="NQ115" s="1021"/>
      <c r="NR115" s="1021"/>
      <c r="NS115" s="1021"/>
      <c r="NT115" s="1021"/>
      <c r="NU115" s="1021"/>
      <c r="NV115" s="1021"/>
      <c r="NW115" s="1021"/>
      <c r="NX115" s="1021"/>
      <c r="NY115" s="1021"/>
      <c r="NZ115" s="1021"/>
      <c r="OA115" s="1021"/>
      <c r="OB115" s="1021"/>
      <c r="OC115" s="1021"/>
      <c r="OD115" s="1021"/>
      <c r="OE115" s="1021"/>
      <c r="OF115" s="1021"/>
      <c r="OG115" s="1021"/>
      <c r="OH115" s="1021"/>
      <c r="OI115" s="1021"/>
      <c r="OJ115" s="1021"/>
      <c r="OK115" s="1021"/>
      <c r="OL115" s="1021"/>
      <c r="OM115" s="1021"/>
      <c r="ON115" s="1021"/>
      <c r="OO115" s="1021"/>
      <c r="OP115" s="1021"/>
      <c r="OQ115" s="1021"/>
      <c r="OR115" s="1021"/>
      <c r="OS115" s="1021"/>
      <c r="OT115" s="1021"/>
      <c r="OU115" s="1021"/>
      <c r="OV115" s="1021"/>
      <c r="OW115" s="1021"/>
      <c r="OX115" s="1021"/>
      <c r="OY115" s="1021"/>
      <c r="OZ115" s="1021"/>
      <c r="PA115" s="1021"/>
      <c r="PB115" s="1021"/>
      <c r="PC115" s="1021"/>
      <c r="PD115" s="1021"/>
      <c r="PE115" s="1021"/>
      <c r="PF115" s="1021"/>
      <c r="PG115" s="1021"/>
      <c r="PH115" s="1021"/>
      <c r="PI115" s="1021"/>
      <c r="PJ115" s="1021"/>
      <c r="PK115" s="1021"/>
      <c r="PL115" s="1021"/>
      <c r="PM115" s="1021"/>
      <c r="PN115" s="1021"/>
      <c r="PO115" s="1021"/>
      <c r="PP115" s="1021"/>
      <c r="PQ115" s="1021"/>
      <c r="PR115" s="1021"/>
      <c r="PS115" s="1021"/>
      <c r="PT115" s="1021"/>
      <c r="PU115" s="1021"/>
      <c r="PV115" s="1021"/>
      <c r="PW115" s="1021"/>
      <c r="PX115" s="1021"/>
      <c r="PY115" s="1021"/>
      <c r="PZ115" s="1021"/>
      <c r="QA115" s="1021"/>
      <c r="QB115" s="1021"/>
      <c r="QC115" s="1021"/>
      <c r="QD115" s="1021"/>
      <c r="QE115" s="1021"/>
      <c r="QF115" s="1021"/>
      <c r="QG115" s="1021"/>
      <c r="QH115" s="1021"/>
      <c r="QI115" s="1021"/>
      <c r="QJ115" s="1021"/>
      <c r="QK115" s="1021"/>
      <c r="QL115" s="1021"/>
      <c r="QM115" s="1021"/>
      <c r="QN115" s="1021"/>
      <c r="QO115" s="1021"/>
      <c r="QP115" s="1021"/>
      <c r="QQ115" s="1021"/>
      <c r="QR115" s="1021"/>
      <c r="QS115" s="1021"/>
      <c r="QT115" s="1021"/>
      <c r="QU115" s="1021"/>
      <c r="QV115" s="1021"/>
      <c r="QW115" s="1021"/>
      <c r="QX115" s="1021"/>
      <c r="QY115" s="1021"/>
      <c r="QZ115" s="1021"/>
      <c r="RA115" s="1021"/>
      <c r="RB115" s="1021"/>
      <c r="RC115" s="1021"/>
      <c r="RD115" s="1021"/>
      <c r="RE115" s="1021"/>
      <c r="RF115" s="1021"/>
      <c r="RG115" s="1021"/>
      <c r="RH115" s="1021"/>
      <c r="RI115" s="1021"/>
      <c r="RJ115" s="1021"/>
      <c r="RK115" s="1021"/>
      <c r="RL115" s="1021"/>
      <c r="RM115" s="1021"/>
      <c r="RN115" s="1021"/>
      <c r="RO115" s="1021"/>
      <c r="RP115" s="1021"/>
      <c r="RQ115" s="1021"/>
      <c r="RR115" s="1021"/>
      <c r="RS115" s="1021"/>
      <c r="RT115" s="1021"/>
      <c r="RU115" s="1021"/>
      <c r="RV115" s="1021"/>
      <c r="RW115" s="1021"/>
      <c r="RX115" s="1021"/>
      <c r="RY115" s="1021"/>
      <c r="RZ115" s="1021"/>
      <c r="SA115" s="1021"/>
      <c r="SB115" s="1021"/>
      <c r="SC115" s="1021"/>
      <c r="SD115" s="1021"/>
      <c r="SE115" s="1021"/>
      <c r="SF115" s="1021"/>
      <c r="SG115" s="1021"/>
      <c r="SH115" s="1021"/>
      <c r="SI115" s="1021"/>
      <c r="SJ115" s="1021"/>
      <c r="SK115" s="1021"/>
      <c r="SL115" s="1021"/>
      <c r="SM115" s="1021"/>
      <c r="SN115" s="1021"/>
      <c r="SO115" s="1021"/>
      <c r="SP115" s="1021"/>
      <c r="SQ115" s="1021"/>
      <c r="SR115" s="1021"/>
    </row>
    <row r="116" spans="1:512" ht="15" customHeight="1">
      <c r="A116"/>
      <c r="B116" t="s">
        <v>2233</v>
      </c>
      <c r="C116"/>
      <c r="D116"/>
      <c r="E116" t="s">
        <v>3848</v>
      </c>
      <c r="F116"/>
      <c r="G116" s="1023">
        <v>0.97729181771517515</v>
      </c>
      <c r="H116" s="1023">
        <v>0.98567519246453716</v>
      </c>
      <c r="I116" s="1023"/>
      <c r="J116" s="1023"/>
      <c r="K116" s="1023"/>
      <c r="L116" s="1023"/>
      <c r="M116" s="1023"/>
      <c r="N116" s="1023"/>
      <c r="O116" s="1023"/>
      <c r="P116" s="1023"/>
      <c r="Q116" s="1023"/>
      <c r="R116" s="1023"/>
      <c r="S116" s="1023"/>
      <c r="T116" s="1023"/>
      <c r="U116" s="1021"/>
      <c r="V116" s="1021"/>
      <c r="W116" s="1021"/>
      <c r="X116" s="1021"/>
      <c r="Y116" s="1021"/>
      <c r="Z116" s="1021"/>
      <c r="AA116" s="1021"/>
      <c r="AB116" s="1021"/>
      <c r="AC116" s="1021"/>
      <c r="AD116" s="1021"/>
      <c r="AE116" s="1021"/>
      <c r="AF116" s="1021"/>
      <c r="AG116" s="1021"/>
      <c r="AH116" s="1021"/>
      <c r="AI116" s="1021"/>
      <c r="AJ116" s="1021"/>
      <c r="AK116" s="1021"/>
      <c r="AL116" s="1021"/>
      <c r="AM116" s="1021"/>
      <c r="AN116" s="1021"/>
      <c r="AO116" s="1021"/>
      <c r="AP116" s="1021"/>
      <c r="AQ116" s="1021"/>
      <c r="AR116" s="1021"/>
      <c r="AS116" s="1021"/>
      <c r="AT116" s="1021"/>
      <c r="AU116" s="1021"/>
      <c r="AV116" s="1021"/>
      <c r="AW116" s="1021"/>
      <c r="AX116" s="1021"/>
      <c r="AY116" s="1021"/>
      <c r="AZ116" s="1021"/>
      <c r="BA116" s="1021"/>
      <c r="BB116" s="1021"/>
      <c r="BC116" s="1021"/>
      <c r="BD116" s="1021"/>
      <c r="BE116" s="1021"/>
      <c r="BF116" s="1021"/>
      <c r="BG116" s="1021"/>
      <c r="BH116" s="1021"/>
      <c r="BI116" s="1021"/>
      <c r="BJ116" s="1021"/>
      <c r="BK116" s="1021"/>
      <c r="BL116" s="1021"/>
      <c r="BM116" s="1021"/>
      <c r="BN116" s="1021"/>
      <c r="BO116" s="1021"/>
      <c r="BP116" s="1021"/>
      <c r="BQ116" s="1021"/>
      <c r="BR116" s="1021"/>
      <c r="BS116" s="1021"/>
      <c r="BT116" s="1021"/>
      <c r="BU116" s="1021"/>
      <c r="BV116" s="1021"/>
      <c r="BW116" s="1021"/>
      <c r="BX116" s="1021"/>
      <c r="BY116" s="1021"/>
      <c r="BZ116" s="1021"/>
      <c r="CA116" s="1021"/>
      <c r="CB116" s="1021"/>
      <c r="CC116" s="1021"/>
      <c r="CD116" s="1021"/>
      <c r="CE116" s="1021"/>
      <c r="CF116" s="1021"/>
      <c r="CG116" s="1021"/>
      <c r="CH116" s="1021"/>
      <c r="CI116" s="1021"/>
      <c r="CJ116" s="1021"/>
      <c r="CK116" s="1021"/>
      <c r="CL116" s="1021"/>
      <c r="CM116" s="1021"/>
      <c r="CN116" s="1021"/>
      <c r="CO116" s="1021"/>
      <c r="CP116" s="1021"/>
      <c r="CQ116" s="1021"/>
      <c r="CR116" s="1021"/>
      <c r="CS116" s="1021"/>
      <c r="CT116" s="1021"/>
      <c r="CU116" s="1021"/>
      <c r="CV116" s="1021"/>
      <c r="CW116" s="1021"/>
      <c r="CX116" s="1021"/>
      <c r="CY116" s="1021"/>
      <c r="CZ116" s="1021"/>
      <c r="DA116" s="1021"/>
      <c r="DB116" s="1021"/>
      <c r="DC116" s="1021"/>
      <c r="DD116" s="1021"/>
      <c r="DE116" s="1021"/>
      <c r="DF116" s="1021"/>
      <c r="DG116" s="1021"/>
      <c r="DH116" s="1021"/>
      <c r="DI116" s="1021"/>
      <c r="DJ116" s="1021"/>
      <c r="DK116" s="1021"/>
      <c r="DL116" s="1021"/>
      <c r="DM116" s="1021"/>
      <c r="DN116" s="1021"/>
      <c r="DO116" s="1021"/>
      <c r="DP116" s="1021"/>
      <c r="DQ116" s="1021"/>
      <c r="DR116" s="1021"/>
      <c r="DS116" s="1021"/>
      <c r="DT116" s="1021"/>
      <c r="DU116" s="1021"/>
      <c r="DV116" s="1021"/>
      <c r="DW116" s="1021"/>
      <c r="DX116" s="1021"/>
      <c r="DY116" s="1021"/>
      <c r="DZ116" s="1021"/>
      <c r="EA116" s="1021"/>
      <c r="EB116" s="1021"/>
      <c r="EC116" s="1021"/>
      <c r="ED116" s="1021"/>
      <c r="EE116" s="1021"/>
      <c r="EF116" s="1021"/>
      <c r="EG116" s="1021"/>
      <c r="EH116" s="1021"/>
      <c r="EI116" s="1021"/>
      <c r="EJ116" s="1021"/>
      <c r="EK116" s="1021"/>
      <c r="EL116" s="1021"/>
      <c r="EM116" s="1021"/>
      <c r="EN116" s="1021"/>
      <c r="EO116" s="1021"/>
      <c r="EP116" s="1021"/>
      <c r="EQ116" s="1021"/>
      <c r="ER116" s="1021"/>
      <c r="ES116" s="1021"/>
      <c r="ET116" s="1021"/>
      <c r="EU116" s="1021"/>
      <c r="EV116" s="1021"/>
      <c r="EW116" s="1021"/>
      <c r="EX116" s="1021"/>
      <c r="EY116" s="1021"/>
      <c r="EZ116" s="1021"/>
      <c r="FA116" s="1021"/>
      <c r="FB116" s="1021"/>
      <c r="FC116" s="1021"/>
      <c r="FD116" s="1021"/>
      <c r="FE116" s="1021"/>
      <c r="FF116" s="1021"/>
      <c r="FG116" s="1021"/>
      <c r="FH116" s="1021"/>
      <c r="FI116" s="1021"/>
      <c r="FJ116" s="1021"/>
      <c r="FK116" s="1021"/>
      <c r="FL116" s="1021"/>
      <c r="FM116" s="1021"/>
      <c r="FN116" s="1021"/>
      <c r="FO116" s="1021"/>
      <c r="FP116" s="1021"/>
      <c r="FQ116" s="1021"/>
      <c r="FR116" s="1021"/>
      <c r="FS116" s="1021"/>
      <c r="FT116" s="1021"/>
      <c r="FU116" s="1021"/>
      <c r="FV116" s="1021"/>
      <c r="FW116" s="1021"/>
      <c r="FX116" s="1021"/>
      <c r="FY116" s="1021"/>
      <c r="FZ116" s="1021"/>
      <c r="GA116" s="1021"/>
      <c r="GB116" s="1021"/>
      <c r="GC116" s="1021"/>
      <c r="GD116" s="1021"/>
      <c r="GE116" s="1021"/>
      <c r="GF116" s="1021"/>
      <c r="GG116" s="1021"/>
      <c r="GH116" s="1021"/>
      <c r="GI116" s="1021"/>
      <c r="GJ116" s="1021"/>
      <c r="GK116" s="1021"/>
      <c r="GL116" s="1021"/>
      <c r="GM116" s="1021"/>
      <c r="GN116" s="1021"/>
      <c r="GO116" s="1021"/>
      <c r="GP116" s="1021"/>
      <c r="GQ116" s="1021"/>
      <c r="GR116" s="1021"/>
      <c r="GS116" s="1021"/>
      <c r="GT116" s="1021"/>
      <c r="GU116" s="1021"/>
      <c r="GV116" s="1021"/>
      <c r="GW116" s="1021"/>
      <c r="GX116" s="1021"/>
      <c r="GY116" s="1021"/>
      <c r="GZ116" s="1021"/>
      <c r="HA116" s="1021"/>
      <c r="HB116" s="1021"/>
      <c r="HC116" s="1021"/>
      <c r="HD116" s="1021"/>
      <c r="HE116" s="1021"/>
      <c r="HF116" s="1021"/>
      <c r="HG116" s="1021"/>
      <c r="HH116" s="1021"/>
      <c r="HI116" s="1021"/>
      <c r="HJ116" s="1021"/>
      <c r="HK116" s="1021"/>
      <c r="HL116" s="1021"/>
      <c r="HM116" s="1021"/>
      <c r="HN116" s="1021"/>
      <c r="HO116" s="1021"/>
      <c r="HP116" s="1021"/>
      <c r="HQ116" s="1021"/>
      <c r="HR116" s="1021"/>
      <c r="HS116" s="1021"/>
      <c r="HT116" s="1021"/>
      <c r="HU116" s="1021"/>
      <c r="HV116" s="1021"/>
      <c r="HW116" s="1021"/>
      <c r="HX116" s="1021"/>
      <c r="HY116" s="1021"/>
      <c r="HZ116" s="1021"/>
      <c r="IA116" s="1021"/>
      <c r="IB116" s="1021"/>
      <c r="IC116" s="1021"/>
      <c r="ID116" s="1021"/>
      <c r="IE116" s="1021"/>
      <c r="IF116" s="1021"/>
      <c r="IG116" s="1021"/>
      <c r="IH116" s="1021"/>
      <c r="II116" s="1021"/>
      <c r="IJ116" s="1021"/>
      <c r="IK116" s="1021"/>
      <c r="IL116" s="1021"/>
      <c r="IM116" s="1021"/>
      <c r="IN116" s="1021"/>
      <c r="IO116" s="1021"/>
      <c r="IP116" s="1021"/>
      <c r="IQ116" s="1021"/>
      <c r="IR116" s="1021"/>
      <c r="IS116" s="1021"/>
      <c r="IT116" s="1021"/>
      <c r="IU116" s="1021"/>
      <c r="IV116" s="1021"/>
      <c r="IW116" s="1021"/>
      <c r="IX116" s="1021"/>
      <c r="IY116" s="1021"/>
      <c r="IZ116" s="1021"/>
      <c r="JA116" s="1021"/>
      <c r="JB116" s="1021"/>
      <c r="JC116" s="1021"/>
      <c r="JD116" s="1021"/>
      <c r="JE116" s="1021"/>
      <c r="JF116" s="1021"/>
      <c r="JG116" s="1021"/>
      <c r="JH116" s="1021"/>
      <c r="JI116" s="1021"/>
      <c r="JJ116" s="1021"/>
      <c r="JK116" s="1021"/>
      <c r="JL116" s="1021"/>
      <c r="JM116" s="1021"/>
      <c r="JN116" s="1021"/>
      <c r="JO116" s="1021"/>
      <c r="JP116" s="1021"/>
      <c r="JQ116" s="1021"/>
      <c r="JR116" s="1021"/>
      <c r="JS116" s="1021"/>
      <c r="JT116" s="1021"/>
      <c r="JU116" s="1021"/>
      <c r="JV116" s="1021"/>
      <c r="JW116" s="1021"/>
      <c r="JX116" s="1021"/>
      <c r="JY116" s="1021"/>
      <c r="JZ116" s="1021"/>
      <c r="KA116" s="1021"/>
      <c r="KB116" s="1021"/>
      <c r="KC116" s="1021"/>
      <c r="KD116" s="1021"/>
      <c r="KE116" s="1021"/>
      <c r="KF116" s="1021"/>
      <c r="KG116" s="1021"/>
      <c r="KH116" s="1021"/>
      <c r="KI116" s="1021"/>
      <c r="KJ116" s="1021"/>
      <c r="KK116" s="1021"/>
      <c r="KL116" s="1021"/>
      <c r="KM116" s="1021"/>
      <c r="KN116" s="1021"/>
      <c r="KO116" s="1021"/>
      <c r="KP116" s="1021"/>
      <c r="KQ116" s="1021"/>
      <c r="KR116" s="1021"/>
      <c r="KS116" s="1021"/>
      <c r="KT116" s="1021"/>
      <c r="KU116" s="1021"/>
      <c r="KV116" s="1021"/>
      <c r="KW116" s="1021"/>
      <c r="KX116" s="1021"/>
      <c r="KY116" s="1021"/>
      <c r="KZ116" s="1021"/>
      <c r="LA116" s="1021"/>
      <c r="LB116" s="1021"/>
      <c r="LC116" s="1021"/>
      <c r="LD116" s="1021"/>
      <c r="LE116" s="1021"/>
      <c r="LF116" s="1021"/>
      <c r="LG116" s="1021"/>
      <c r="LH116" s="1021"/>
      <c r="LI116" s="1021"/>
      <c r="LJ116" s="1021"/>
      <c r="LK116" s="1021"/>
      <c r="LL116" s="1021"/>
      <c r="LM116" s="1021"/>
      <c r="LN116" s="1021"/>
      <c r="LO116" s="1021"/>
      <c r="LP116" s="1021"/>
      <c r="LQ116" s="1021"/>
      <c r="LR116" s="1021"/>
      <c r="LS116" s="1021"/>
      <c r="LT116" s="1021"/>
      <c r="LU116" s="1021"/>
      <c r="LV116" s="1021"/>
      <c r="LW116" s="1021"/>
      <c r="LX116" s="1021"/>
      <c r="LY116" s="1021"/>
      <c r="LZ116" s="1021"/>
      <c r="MA116" s="1021"/>
      <c r="MB116" s="1021"/>
      <c r="MC116" s="1021"/>
      <c r="MD116" s="1021"/>
      <c r="ME116" s="1021"/>
      <c r="MF116" s="1021"/>
      <c r="MG116" s="1021"/>
      <c r="MH116" s="1021"/>
      <c r="MI116" s="1021"/>
      <c r="MJ116" s="1021"/>
      <c r="MK116" s="1021"/>
      <c r="ML116" s="1021"/>
      <c r="MM116" s="1021"/>
      <c r="MN116" s="1021"/>
      <c r="MO116" s="1021"/>
      <c r="MP116" s="1021"/>
      <c r="MQ116" s="1021"/>
      <c r="MR116" s="1021"/>
      <c r="MS116" s="1021"/>
      <c r="MT116" s="1021"/>
      <c r="MU116" s="1021"/>
      <c r="MV116" s="1021"/>
      <c r="MW116" s="1021"/>
      <c r="MX116" s="1021"/>
      <c r="MY116" s="1021"/>
      <c r="MZ116" s="1021"/>
      <c r="NA116" s="1021"/>
      <c r="NB116" s="1021"/>
      <c r="NC116" s="1021"/>
      <c r="ND116" s="1021"/>
      <c r="NE116" s="1021"/>
      <c r="NF116" s="1021"/>
      <c r="NG116" s="1021"/>
      <c r="NH116" s="1021"/>
      <c r="NI116" s="1021"/>
      <c r="NJ116" s="1021"/>
      <c r="NK116" s="1021"/>
      <c r="NL116" s="1021"/>
      <c r="NM116" s="1021"/>
      <c r="NN116" s="1021"/>
      <c r="NO116" s="1021"/>
      <c r="NP116" s="1021"/>
      <c r="NQ116" s="1021"/>
      <c r="NR116" s="1021"/>
      <c r="NS116" s="1021"/>
      <c r="NT116" s="1021"/>
      <c r="NU116" s="1021"/>
      <c r="NV116" s="1021"/>
      <c r="NW116" s="1021"/>
      <c r="NX116" s="1021"/>
      <c r="NY116" s="1021"/>
      <c r="NZ116" s="1021"/>
      <c r="OA116" s="1021"/>
      <c r="OB116" s="1021"/>
      <c r="OC116" s="1021"/>
      <c r="OD116" s="1021"/>
      <c r="OE116" s="1021"/>
      <c r="OF116" s="1021"/>
      <c r="OG116" s="1021"/>
      <c r="OH116" s="1021"/>
      <c r="OI116" s="1021"/>
      <c r="OJ116" s="1021"/>
      <c r="OK116" s="1021"/>
      <c r="OL116" s="1021"/>
      <c r="OM116" s="1021"/>
      <c r="ON116" s="1021"/>
      <c r="OO116" s="1021"/>
      <c r="OP116" s="1021"/>
      <c r="OQ116" s="1021"/>
      <c r="OR116" s="1021"/>
      <c r="OS116" s="1021"/>
      <c r="OT116" s="1021"/>
      <c r="OU116" s="1021"/>
      <c r="OV116" s="1021"/>
      <c r="OW116" s="1021"/>
      <c r="OX116" s="1021"/>
      <c r="OY116" s="1021"/>
      <c r="OZ116" s="1021"/>
      <c r="PA116" s="1021"/>
      <c r="PB116" s="1021"/>
      <c r="PC116" s="1021"/>
      <c r="PD116" s="1021"/>
      <c r="PE116" s="1021"/>
      <c r="PF116" s="1021"/>
      <c r="PG116" s="1021"/>
      <c r="PH116" s="1021"/>
      <c r="PI116" s="1021"/>
      <c r="PJ116" s="1021"/>
      <c r="PK116" s="1021"/>
      <c r="PL116" s="1021"/>
      <c r="PM116" s="1021"/>
      <c r="PN116" s="1021"/>
      <c r="PO116" s="1021"/>
      <c r="PP116" s="1021"/>
      <c r="PQ116" s="1021"/>
      <c r="PR116" s="1021"/>
      <c r="PS116" s="1021"/>
      <c r="PT116" s="1021"/>
      <c r="PU116" s="1021"/>
      <c r="PV116" s="1021"/>
      <c r="PW116" s="1021"/>
      <c r="PX116" s="1021"/>
      <c r="PY116" s="1021"/>
      <c r="PZ116" s="1021"/>
      <c r="QA116" s="1021"/>
      <c r="QB116" s="1021"/>
      <c r="QC116" s="1021"/>
      <c r="QD116" s="1021"/>
      <c r="QE116" s="1021"/>
      <c r="QF116" s="1021"/>
      <c r="QG116" s="1021"/>
      <c r="QH116" s="1021"/>
      <c r="QI116" s="1021"/>
      <c r="QJ116" s="1021"/>
      <c r="QK116" s="1021"/>
      <c r="QL116" s="1021"/>
      <c r="QM116" s="1021"/>
      <c r="QN116" s="1021"/>
      <c r="QO116" s="1021"/>
      <c r="QP116" s="1021"/>
      <c r="QQ116" s="1021"/>
      <c r="QR116" s="1021"/>
      <c r="QS116" s="1021"/>
      <c r="QT116" s="1021"/>
      <c r="QU116" s="1021"/>
      <c r="QV116" s="1021"/>
      <c r="QW116" s="1021"/>
      <c r="QX116" s="1021"/>
      <c r="QY116" s="1021"/>
      <c r="QZ116" s="1021"/>
      <c r="RA116" s="1021"/>
      <c r="RB116" s="1021"/>
      <c r="RC116" s="1021"/>
      <c r="RD116" s="1021"/>
      <c r="RE116" s="1021"/>
      <c r="RF116" s="1021"/>
      <c r="RG116" s="1021"/>
      <c r="RH116" s="1021"/>
      <c r="RI116" s="1021"/>
      <c r="RJ116" s="1021"/>
      <c r="RK116" s="1021"/>
      <c r="RL116" s="1021"/>
      <c r="RM116" s="1021"/>
      <c r="RN116" s="1021"/>
      <c r="RO116" s="1021"/>
      <c r="RP116" s="1021"/>
      <c r="RQ116" s="1021"/>
      <c r="RR116" s="1021"/>
      <c r="RS116" s="1021"/>
      <c r="RT116" s="1021"/>
      <c r="RU116" s="1021"/>
      <c r="RV116" s="1021"/>
      <c r="RW116" s="1021"/>
      <c r="RX116" s="1021"/>
      <c r="RY116" s="1021"/>
      <c r="RZ116" s="1021"/>
      <c r="SA116" s="1021"/>
      <c r="SB116" s="1021"/>
      <c r="SC116" s="1021"/>
      <c r="SD116" s="1021"/>
      <c r="SE116" s="1021"/>
      <c r="SF116" s="1021"/>
      <c r="SG116" s="1021"/>
      <c r="SH116" s="1021"/>
      <c r="SI116" s="1021"/>
      <c r="SJ116" s="1021"/>
      <c r="SK116" s="1021"/>
      <c r="SL116" s="1021"/>
      <c r="SM116" s="1021"/>
      <c r="SN116" s="1021"/>
      <c r="SO116" s="1021"/>
      <c r="SP116" s="1021"/>
      <c r="SQ116" s="1021"/>
      <c r="SR116" s="1021"/>
    </row>
    <row r="117" spans="1:512" ht="15" customHeight="1">
      <c r="A117"/>
      <c r="B117"/>
      <c r="C117" t="s">
        <v>2234</v>
      </c>
      <c r="D117"/>
      <c r="E117" t="s">
        <v>3848</v>
      </c>
      <c r="F117"/>
      <c r="G117" s="1023">
        <v>0.95375118716489093</v>
      </c>
      <c r="H117" s="1023">
        <v>0.98450759616310679</v>
      </c>
      <c r="I117" s="1023"/>
      <c r="J117" s="1023"/>
      <c r="K117" s="1023"/>
      <c r="L117" s="1023"/>
      <c r="M117" s="1023"/>
      <c r="N117" s="1023"/>
      <c r="O117" s="1023"/>
      <c r="P117" s="1023"/>
      <c r="Q117" s="1023"/>
      <c r="R117" s="1023"/>
      <c r="S117" s="1023"/>
      <c r="T117" s="1023"/>
      <c r="U117" s="1021"/>
      <c r="V117" s="1021"/>
      <c r="W117" s="1021"/>
      <c r="X117" s="1021"/>
      <c r="Y117" s="1021"/>
      <c r="Z117" s="1021"/>
      <c r="AA117" s="1021"/>
      <c r="AB117" s="1021"/>
      <c r="AC117" s="1021"/>
      <c r="AD117" s="1021"/>
      <c r="AE117" s="1021"/>
      <c r="AF117" s="1021"/>
      <c r="AG117" s="1021"/>
      <c r="AH117" s="1021"/>
      <c r="AI117" s="1021"/>
      <c r="AJ117" s="1021"/>
      <c r="AK117" s="1021"/>
      <c r="AL117" s="1021"/>
      <c r="AM117" s="1021"/>
      <c r="AN117" s="1021"/>
      <c r="AO117" s="1021"/>
      <c r="AP117" s="1021"/>
      <c r="AQ117" s="1021"/>
      <c r="AR117" s="1021"/>
      <c r="AS117" s="1021"/>
      <c r="AT117" s="1021"/>
      <c r="AU117" s="1021"/>
      <c r="AV117" s="1021"/>
      <c r="AW117" s="1021"/>
      <c r="AX117" s="1021"/>
      <c r="AY117" s="1021"/>
      <c r="AZ117" s="1021"/>
      <c r="BA117" s="1021"/>
      <c r="BB117" s="1021"/>
      <c r="BC117" s="1021"/>
      <c r="BD117" s="1021"/>
      <c r="BE117" s="1021"/>
      <c r="BF117" s="1021"/>
      <c r="BG117" s="1021"/>
      <c r="BH117" s="1021"/>
      <c r="BI117" s="1021"/>
      <c r="BJ117" s="1021"/>
      <c r="BK117" s="1021"/>
      <c r="BL117" s="1021"/>
      <c r="BM117" s="1021"/>
      <c r="BN117" s="1021"/>
      <c r="BO117" s="1021"/>
      <c r="BP117" s="1021"/>
      <c r="BQ117" s="1021"/>
      <c r="BR117" s="1021"/>
      <c r="BS117" s="1021"/>
      <c r="BT117" s="1021"/>
      <c r="BU117" s="1021"/>
      <c r="BV117" s="1021"/>
      <c r="BW117" s="1021"/>
      <c r="BX117" s="1021"/>
      <c r="BY117" s="1021"/>
      <c r="BZ117" s="1021"/>
      <c r="CA117" s="1021"/>
      <c r="CB117" s="1021"/>
      <c r="CC117" s="1021"/>
      <c r="CD117" s="1021"/>
      <c r="CE117" s="1021"/>
      <c r="CF117" s="1021"/>
      <c r="CG117" s="1021"/>
      <c r="CH117" s="1021"/>
      <c r="CI117" s="1021"/>
      <c r="CJ117" s="1021"/>
      <c r="CK117" s="1021"/>
      <c r="CL117" s="1021"/>
      <c r="CM117" s="1021"/>
      <c r="CN117" s="1021"/>
      <c r="CO117" s="1021"/>
      <c r="CP117" s="1021"/>
      <c r="CQ117" s="1021"/>
      <c r="CR117" s="1021"/>
      <c r="CS117" s="1021"/>
      <c r="CT117" s="1021"/>
      <c r="CU117" s="1021"/>
      <c r="CV117" s="1021"/>
      <c r="CW117" s="1021"/>
      <c r="CX117" s="1021"/>
      <c r="CY117" s="1021"/>
      <c r="CZ117" s="1021"/>
      <c r="DA117" s="1021"/>
      <c r="DB117" s="1021"/>
      <c r="DC117" s="1021"/>
      <c r="DD117" s="1021"/>
      <c r="DE117" s="1021"/>
      <c r="DF117" s="1021"/>
      <c r="DG117" s="1021"/>
      <c r="DH117" s="1021"/>
      <c r="DI117" s="1021"/>
      <c r="DJ117" s="1021"/>
      <c r="DK117" s="1021"/>
      <c r="DL117" s="1021"/>
      <c r="DM117" s="1021"/>
      <c r="DN117" s="1021"/>
      <c r="DO117" s="1021"/>
      <c r="DP117" s="1021"/>
      <c r="DQ117" s="1021"/>
      <c r="DR117" s="1021"/>
      <c r="DS117" s="1021"/>
      <c r="DT117" s="1021"/>
      <c r="DU117" s="1021"/>
      <c r="DV117" s="1021"/>
      <c r="DW117" s="1021"/>
      <c r="DX117" s="1021"/>
      <c r="DY117" s="1021"/>
      <c r="DZ117" s="1021"/>
      <c r="EA117" s="1021"/>
      <c r="EB117" s="1021"/>
      <c r="EC117" s="1021"/>
      <c r="ED117" s="1021"/>
      <c r="EE117" s="1021"/>
      <c r="EF117" s="1021"/>
      <c r="EG117" s="1021"/>
      <c r="EH117" s="1021"/>
      <c r="EI117" s="1021"/>
      <c r="EJ117" s="1021"/>
      <c r="EK117" s="1021"/>
      <c r="EL117" s="1021"/>
      <c r="EM117" s="1021"/>
      <c r="EN117" s="1021"/>
      <c r="EO117" s="1021"/>
      <c r="EP117" s="1021"/>
      <c r="EQ117" s="1021"/>
      <c r="ER117" s="1021"/>
      <c r="ES117" s="1021"/>
      <c r="ET117" s="1021"/>
      <c r="EU117" s="1021"/>
      <c r="EV117" s="1021"/>
      <c r="EW117" s="1021"/>
      <c r="EX117" s="1021"/>
      <c r="EY117" s="1021"/>
      <c r="EZ117" s="1021"/>
      <c r="FA117" s="1021"/>
      <c r="FB117" s="1021"/>
      <c r="FC117" s="1021"/>
      <c r="FD117" s="1021"/>
      <c r="FE117" s="1021"/>
      <c r="FF117" s="1021"/>
      <c r="FG117" s="1021"/>
      <c r="FH117" s="1021"/>
      <c r="FI117" s="1021"/>
      <c r="FJ117" s="1021"/>
      <c r="FK117" s="1021"/>
      <c r="FL117" s="1021"/>
      <c r="FM117" s="1021"/>
      <c r="FN117" s="1021"/>
      <c r="FO117" s="1021"/>
      <c r="FP117" s="1021"/>
      <c r="FQ117" s="1021"/>
      <c r="FR117" s="1021"/>
      <c r="FS117" s="1021"/>
      <c r="FT117" s="1021"/>
      <c r="FU117" s="1021"/>
      <c r="FV117" s="1021"/>
      <c r="FW117" s="1021"/>
      <c r="FX117" s="1021"/>
      <c r="FY117" s="1021"/>
      <c r="FZ117" s="1021"/>
      <c r="GA117" s="1021"/>
      <c r="GB117" s="1021"/>
      <c r="GC117" s="1021"/>
      <c r="GD117" s="1021"/>
      <c r="GE117" s="1021"/>
      <c r="GF117" s="1021"/>
      <c r="GG117" s="1021"/>
      <c r="GH117" s="1021"/>
      <c r="GI117" s="1021"/>
      <c r="GJ117" s="1021"/>
      <c r="GK117" s="1021"/>
      <c r="GL117" s="1021"/>
      <c r="GM117" s="1021"/>
      <c r="GN117" s="1021"/>
      <c r="GO117" s="1021"/>
      <c r="GP117" s="1021"/>
      <c r="GQ117" s="1021"/>
      <c r="GR117" s="1021"/>
      <c r="GS117" s="1021"/>
      <c r="GT117" s="1021"/>
      <c r="GU117" s="1021"/>
      <c r="GV117" s="1021"/>
      <c r="GW117" s="1021"/>
      <c r="GX117" s="1021"/>
      <c r="GY117" s="1021"/>
      <c r="GZ117" s="1021"/>
      <c r="HA117" s="1021"/>
      <c r="HB117" s="1021"/>
      <c r="HC117" s="1021"/>
      <c r="HD117" s="1021"/>
      <c r="HE117" s="1021"/>
      <c r="HF117" s="1021"/>
      <c r="HG117" s="1021"/>
      <c r="HH117" s="1021"/>
      <c r="HI117" s="1021"/>
      <c r="HJ117" s="1021"/>
      <c r="HK117" s="1021"/>
      <c r="HL117" s="1021"/>
      <c r="HM117" s="1021"/>
      <c r="HN117" s="1021"/>
      <c r="HO117" s="1021"/>
      <c r="HP117" s="1021"/>
      <c r="HQ117" s="1021"/>
      <c r="HR117" s="1021"/>
      <c r="HS117" s="1021"/>
      <c r="HT117" s="1021"/>
      <c r="HU117" s="1021"/>
      <c r="HV117" s="1021"/>
      <c r="HW117" s="1021"/>
      <c r="HX117" s="1021"/>
      <c r="HY117" s="1021"/>
      <c r="HZ117" s="1021"/>
      <c r="IA117" s="1021"/>
      <c r="IB117" s="1021"/>
      <c r="IC117" s="1021"/>
      <c r="ID117" s="1021"/>
      <c r="IE117" s="1021"/>
      <c r="IF117" s="1021"/>
      <c r="IG117" s="1021"/>
      <c r="IH117" s="1021"/>
      <c r="II117" s="1021"/>
      <c r="IJ117" s="1021"/>
      <c r="IK117" s="1021"/>
      <c r="IL117" s="1021"/>
      <c r="IM117" s="1021"/>
      <c r="IN117" s="1021"/>
      <c r="IO117" s="1021"/>
      <c r="IP117" s="1021"/>
      <c r="IQ117" s="1021"/>
      <c r="IR117" s="1021"/>
      <c r="IS117" s="1021"/>
      <c r="IT117" s="1021"/>
      <c r="IU117" s="1021"/>
      <c r="IV117" s="1021"/>
      <c r="IW117" s="1021"/>
      <c r="IX117" s="1021"/>
      <c r="IY117" s="1021"/>
      <c r="IZ117" s="1021"/>
      <c r="JA117" s="1021"/>
      <c r="JB117" s="1021"/>
      <c r="JC117" s="1021"/>
      <c r="JD117" s="1021"/>
      <c r="JE117" s="1021"/>
      <c r="JF117" s="1021"/>
      <c r="JG117" s="1021"/>
      <c r="JH117" s="1021"/>
      <c r="JI117" s="1021"/>
      <c r="JJ117" s="1021"/>
      <c r="JK117" s="1021"/>
      <c r="JL117" s="1021"/>
      <c r="JM117" s="1021"/>
      <c r="JN117" s="1021"/>
      <c r="JO117" s="1021"/>
      <c r="JP117" s="1021"/>
      <c r="JQ117" s="1021"/>
      <c r="JR117" s="1021"/>
      <c r="JS117" s="1021"/>
      <c r="JT117" s="1021"/>
      <c r="JU117" s="1021"/>
      <c r="JV117" s="1021"/>
      <c r="JW117" s="1021"/>
      <c r="JX117" s="1021"/>
      <c r="JY117" s="1021"/>
      <c r="JZ117" s="1021"/>
      <c r="KA117" s="1021"/>
      <c r="KB117" s="1021"/>
      <c r="KC117" s="1021"/>
      <c r="KD117" s="1021"/>
      <c r="KE117" s="1021"/>
      <c r="KF117" s="1021"/>
      <c r="KG117" s="1021"/>
      <c r="KH117" s="1021"/>
      <c r="KI117" s="1021"/>
      <c r="KJ117" s="1021"/>
      <c r="KK117" s="1021"/>
      <c r="KL117" s="1021"/>
      <c r="KM117" s="1021"/>
      <c r="KN117" s="1021"/>
      <c r="KO117" s="1021"/>
      <c r="KP117" s="1021"/>
      <c r="KQ117" s="1021"/>
      <c r="KR117" s="1021"/>
      <c r="KS117" s="1021"/>
      <c r="KT117" s="1021"/>
      <c r="KU117" s="1021"/>
      <c r="KV117" s="1021"/>
      <c r="KW117" s="1021"/>
      <c r="KX117" s="1021"/>
      <c r="KY117" s="1021"/>
      <c r="KZ117" s="1021"/>
      <c r="LA117" s="1021"/>
      <c r="LB117" s="1021"/>
      <c r="LC117" s="1021"/>
      <c r="LD117" s="1021"/>
      <c r="LE117" s="1021"/>
      <c r="LF117" s="1021"/>
      <c r="LG117" s="1021"/>
      <c r="LH117" s="1021"/>
      <c r="LI117" s="1021"/>
      <c r="LJ117" s="1021"/>
      <c r="LK117" s="1021"/>
      <c r="LL117" s="1021"/>
      <c r="LM117" s="1021"/>
      <c r="LN117" s="1021"/>
      <c r="LO117" s="1021"/>
      <c r="LP117" s="1021"/>
      <c r="LQ117" s="1021"/>
      <c r="LR117" s="1021"/>
      <c r="LS117" s="1021"/>
      <c r="LT117" s="1021"/>
      <c r="LU117" s="1021"/>
      <c r="LV117" s="1021"/>
      <c r="LW117" s="1021"/>
      <c r="LX117" s="1021"/>
      <c r="LY117" s="1021"/>
      <c r="LZ117" s="1021"/>
      <c r="MA117" s="1021"/>
      <c r="MB117" s="1021"/>
      <c r="MC117" s="1021"/>
      <c r="MD117" s="1021"/>
      <c r="ME117" s="1021"/>
      <c r="MF117" s="1021"/>
      <c r="MG117" s="1021"/>
      <c r="MH117" s="1021"/>
      <c r="MI117" s="1021"/>
      <c r="MJ117" s="1021"/>
      <c r="MK117" s="1021"/>
      <c r="ML117" s="1021"/>
      <c r="MM117" s="1021"/>
      <c r="MN117" s="1021"/>
      <c r="MO117" s="1021"/>
      <c r="MP117" s="1021"/>
      <c r="MQ117" s="1021"/>
      <c r="MR117" s="1021"/>
      <c r="MS117" s="1021"/>
      <c r="MT117" s="1021"/>
      <c r="MU117" s="1021"/>
      <c r="MV117" s="1021"/>
      <c r="MW117" s="1021"/>
      <c r="MX117" s="1021"/>
      <c r="MY117" s="1021"/>
      <c r="MZ117" s="1021"/>
      <c r="NA117" s="1021"/>
      <c r="NB117" s="1021"/>
      <c r="NC117" s="1021"/>
      <c r="ND117" s="1021"/>
      <c r="NE117" s="1021"/>
      <c r="NF117" s="1021"/>
      <c r="NG117" s="1021"/>
      <c r="NH117" s="1021"/>
      <c r="NI117" s="1021"/>
      <c r="NJ117" s="1021"/>
      <c r="NK117" s="1021"/>
      <c r="NL117" s="1021"/>
      <c r="NM117" s="1021"/>
      <c r="NN117" s="1021"/>
      <c r="NO117" s="1021"/>
      <c r="NP117" s="1021"/>
      <c r="NQ117" s="1021"/>
      <c r="NR117" s="1021"/>
      <c r="NS117" s="1021"/>
      <c r="NT117" s="1021"/>
      <c r="NU117" s="1021"/>
      <c r="NV117" s="1021"/>
      <c r="NW117" s="1021"/>
      <c r="NX117" s="1021"/>
      <c r="NY117" s="1021"/>
      <c r="NZ117" s="1021"/>
      <c r="OA117" s="1021"/>
      <c r="OB117" s="1021"/>
      <c r="OC117" s="1021"/>
      <c r="OD117" s="1021"/>
      <c r="OE117" s="1021"/>
      <c r="OF117" s="1021"/>
      <c r="OG117" s="1021"/>
      <c r="OH117" s="1021"/>
      <c r="OI117" s="1021"/>
      <c r="OJ117" s="1021"/>
      <c r="OK117" s="1021"/>
      <c r="OL117" s="1021"/>
      <c r="OM117" s="1021"/>
      <c r="ON117" s="1021"/>
      <c r="OO117" s="1021"/>
      <c r="OP117" s="1021"/>
      <c r="OQ117" s="1021"/>
      <c r="OR117" s="1021"/>
      <c r="OS117" s="1021"/>
      <c r="OT117" s="1021"/>
      <c r="OU117" s="1021"/>
      <c r="OV117" s="1021"/>
      <c r="OW117" s="1021"/>
      <c r="OX117" s="1021"/>
      <c r="OY117" s="1021"/>
      <c r="OZ117" s="1021"/>
      <c r="PA117" s="1021"/>
      <c r="PB117" s="1021"/>
      <c r="PC117" s="1021"/>
      <c r="PD117" s="1021"/>
      <c r="PE117" s="1021"/>
      <c r="PF117" s="1021"/>
      <c r="PG117" s="1021"/>
      <c r="PH117" s="1021"/>
      <c r="PI117" s="1021"/>
      <c r="PJ117" s="1021"/>
      <c r="PK117" s="1021"/>
      <c r="PL117" s="1021"/>
      <c r="PM117" s="1021"/>
      <c r="PN117" s="1021"/>
      <c r="PO117" s="1021"/>
      <c r="PP117" s="1021"/>
      <c r="PQ117" s="1021"/>
      <c r="PR117" s="1021"/>
      <c r="PS117" s="1021"/>
      <c r="PT117" s="1021"/>
      <c r="PU117" s="1021"/>
      <c r="PV117" s="1021"/>
      <c r="PW117" s="1021"/>
      <c r="PX117" s="1021"/>
      <c r="PY117" s="1021"/>
      <c r="PZ117" s="1021"/>
      <c r="QA117" s="1021"/>
      <c r="QB117" s="1021"/>
      <c r="QC117" s="1021"/>
      <c r="QD117" s="1021"/>
      <c r="QE117" s="1021"/>
      <c r="QF117" s="1021"/>
      <c r="QG117" s="1021"/>
      <c r="QH117" s="1021"/>
      <c r="QI117" s="1021"/>
      <c r="QJ117" s="1021"/>
      <c r="QK117" s="1021"/>
      <c r="QL117" s="1021"/>
      <c r="QM117" s="1021"/>
      <c r="QN117" s="1021"/>
      <c r="QO117" s="1021"/>
      <c r="QP117" s="1021"/>
      <c r="QQ117" s="1021"/>
      <c r="QR117" s="1021"/>
      <c r="QS117" s="1021"/>
      <c r="QT117" s="1021"/>
      <c r="QU117" s="1021"/>
      <c r="QV117" s="1021"/>
      <c r="QW117" s="1021"/>
      <c r="QX117" s="1021"/>
      <c r="QY117" s="1021"/>
      <c r="QZ117" s="1021"/>
      <c r="RA117" s="1021"/>
      <c r="RB117" s="1021"/>
      <c r="RC117" s="1021"/>
      <c r="RD117" s="1021"/>
      <c r="RE117" s="1021"/>
      <c r="RF117" s="1021"/>
      <c r="RG117" s="1021"/>
      <c r="RH117" s="1021"/>
      <c r="RI117" s="1021"/>
      <c r="RJ117" s="1021"/>
      <c r="RK117" s="1021"/>
      <c r="RL117" s="1021"/>
      <c r="RM117" s="1021"/>
      <c r="RN117" s="1021"/>
      <c r="RO117" s="1021"/>
      <c r="RP117" s="1021"/>
      <c r="RQ117" s="1021"/>
      <c r="RR117" s="1021"/>
      <c r="RS117" s="1021"/>
      <c r="RT117" s="1021"/>
      <c r="RU117" s="1021"/>
      <c r="RV117" s="1021"/>
      <c r="RW117" s="1021"/>
      <c r="RX117" s="1021"/>
      <c r="RY117" s="1021"/>
      <c r="RZ117" s="1021"/>
      <c r="SA117" s="1021"/>
      <c r="SB117" s="1021"/>
      <c r="SC117" s="1021"/>
      <c r="SD117" s="1021"/>
      <c r="SE117" s="1021"/>
      <c r="SF117" s="1021"/>
      <c r="SG117" s="1021"/>
      <c r="SH117" s="1021"/>
      <c r="SI117" s="1021"/>
      <c r="SJ117" s="1021"/>
      <c r="SK117" s="1021"/>
      <c r="SL117" s="1021"/>
      <c r="SM117" s="1021"/>
      <c r="SN117" s="1021"/>
      <c r="SO117" s="1021"/>
      <c r="SP117" s="1021"/>
      <c r="SQ117" s="1021"/>
      <c r="SR117" s="1021"/>
    </row>
    <row r="118" spans="1:512" ht="15" customHeight="1">
      <c r="A118"/>
      <c r="B118"/>
      <c r="C118" t="s">
        <v>2235</v>
      </c>
      <c r="D118"/>
      <c r="E118" t="s">
        <v>3848</v>
      </c>
      <c r="F118"/>
      <c r="G118" s="1023">
        <v>2.3540630550284259E-2</v>
      </c>
      <c r="H118" s="1023">
        <v>1.167596301430345E-3</v>
      </c>
      <c r="I118" s="1023"/>
      <c r="J118" s="1023"/>
      <c r="K118" s="1023"/>
      <c r="L118" s="1023"/>
      <c r="M118" s="1023"/>
      <c r="N118" s="1023"/>
      <c r="O118" s="1023"/>
      <c r="P118" s="1023"/>
      <c r="Q118" s="1023"/>
      <c r="R118" s="1023"/>
      <c r="S118" s="1023"/>
      <c r="T118" s="1023"/>
      <c r="U118" s="1021"/>
      <c r="V118" s="1021"/>
      <c r="W118" s="1021"/>
      <c r="X118" s="1021"/>
      <c r="Y118" s="1021"/>
      <c r="Z118" s="1021"/>
      <c r="AA118" s="1021"/>
      <c r="AB118" s="1021"/>
      <c r="AC118" s="1021"/>
      <c r="AD118" s="1021"/>
      <c r="AE118" s="1021"/>
      <c r="AF118" s="1021"/>
      <c r="AG118" s="1021"/>
      <c r="AH118" s="1021"/>
      <c r="AI118" s="1021"/>
      <c r="AJ118" s="1021"/>
      <c r="AK118" s="1021"/>
      <c r="AL118" s="1021"/>
      <c r="AM118" s="1021"/>
      <c r="AN118" s="1021"/>
      <c r="AO118" s="1021"/>
      <c r="AP118" s="1021"/>
      <c r="AQ118" s="1021"/>
      <c r="AR118" s="1021"/>
      <c r="AS118" s="1021"/>
      <c r="AT118" s="1021"/>
      <c r="AU118" s="1021"/>
      <c r="AV118" s="1021"/>
      <c r="AW118" s="1021"/>
      <c r="AX118" s="1021"/>
      <c r="AY118" s="1021"/>
      <c r="AZ118" s="1021"/>
      <c r="BA118" s="1021"/>
      <c r="BB118" s="1021"/>
      <c r="BC118" s="1021"/>
      <c r="BD118" s="1021"/>
      <c r="BE118" s="1021"/>
      <c r="BF118" s="1021"/>
      <c r="BG118" s="1021"/>
      <c r="BH118" s="1021"/>
      <c r="BI118" s="1021"/>
      <c r="BJ118" s="1021"/>
      <c r="BK118" s="1021"/>
      <c r="BL118" s="1021"/>
      <c r="BM118" s="1021"/>
      <c r="BN118" s="1021"/>
      <c r="BO118" s="1021"/>
      <c r="BP118" s="1021"/>
      <c r="BQ118" s="1021"/>
      <c r="BR118" s="1021"/>
      <c r="BS118" s="1021"/>
      <c r="BT118" s="1021"/>
      <c r="BU118" s="1021"/>
      <c r="BV118" s="1021"/>
      <c r="BW118" s="1021"/>
      <c r="BX118" s="1021"/>
      <c r="BY118" s="1021"/>
      <c r="BZ118" s="1021"/>
      <c r="CA118" s="1021"/>
      <c r="CB118" s="1021"/>
      <c r="CC118" s="1021"/>
      <c r="CD118" s="1021"/>
      <c r="CE118" s="1021"/>
      <c r="CF118" s="1021"/>
      <c r="CG118" s="1021"/>
      <c r="CH118" s="1021"/>
      <c r="CI118" s="1021"/>
      <c r="CJ118" s="1021"/>
      <c r="CK118" s="1021"/>
      <c r="CL118" s="1021"/>
      <c r="CM118" s="1021"/>
      <c r="CN118" s="1021"/>
      <c r="CO118" s="1021"/>
      <c r="CP118" s="1021"/>
      <c r="CQ118" s="1021"/>
      <c r="CR118" s="1021"/>
      <c r="CS118" s="1021"/>
      <c r="CT118" s="1021"/>
      <c r="CU118" s="1021"/>
      <c r="CV118" s="1021"/>
      <c r="CW118" s="1021"/>
      <c r="CX118" s="1021"/>
      <c r="CY118" s="1021"/>
      <c r="CZ118" s="1021"/>
      <c r="DA118" s="1021"/>
      <c r="DB118" s="1021"/>
      <c r="DC118" s="1021"/>
      <c r="DD118" s="1021"/>
      <c r="DE118" s="1021"/>
      <c r="DF118" s="1021"/>
      <c r="DG118" s="1021"/>
      <c r="DH118" s="1021"/>
      <c r="DI118" s="1021"/>
      <c r="DJ118" s="1021"/>
      <c r="DK118" s="1021"/>
      <c r="DL118" s="1021"/>
      <c r="DM118" s="1021"/>
      <c r="DN118" s="1021"/>
      <c r="DO118" s="1021"/>
      <c r="DP118" s="1021"/>
      <c r="DQ118" s="1021"/>
      <c r="DR118" s="1021"/>
      <c r="DS118" s="1021"/>
      <c r="DT118" s="1021"/>
      <c r="DU118" s="1021"/>
      <c r="DV118" s="1021"/>
      <c r="DW118" s="1021"/>
      <c r="DX118" s="1021"/>
      <c r="DY118" s="1021"/>
      <c r="DZ118" s="1021"/>
      <c r="EA118" s="1021"/>
      <c r="EB118" s="1021"/>
      <c r="EC118" s="1021"/>
      <c r="ED118" s="1021"/>
      <c r="EE118" s="1021"/>
      <c r="EF118" s="1021"/>
      <c r="EG118" s="1021"/>
      <c r="EH118" s="1021"/>
      <c r="EI118" s="1021"/>
      <c r="EJ118" s="1021"/>
      <c r="EK118" s="1021"/>
      <c r="EL118" s="1021"/>
      <c r="EM118" s="1021"/>
      <c r="EN118" s="1021"/>
      <c r="EO118" s="1021"/>
      <c r="EP118" s="1021"/>
      <c r="EQ118" s="1021"/>
      <c r="ER118" s="1021"/>
      <c r="ES118" s="1021"/>
      <c r="ET118" s="1021"/>
      <c r="EU118" s="1021"/>
      <c r="EV118" s="1021"/>
      <c r="EW118" s="1021"/>
      <c r="EX118" s="1021"/>
      <c r="EY118" s="1021"/>
      <c r="EZ118" s="1021"/>
      <c r="FA118" s="1021"/>
      <c r="FB118" s="1021"/>
      <c r="FC118" s="1021"/>
      <c r="FD118" s="1021"/>
      <c r="FE118" s="1021"/>
      <c r="FF118" s="1021"/>
      <c r="FG118" s="1021"/>
      <c r="FH118" s="1021"/>
      <c r="FI118" s="1021"/>
      <c r="FJ118" s="1021"/>
      <c r="FK118" s="1021"/>
      <c r="FL118" s="1021"/>
      <c r="FM118" s="1021"/>
      <c r="FN118" s="1021"/>
      <c r="FO118" s="1021"/>
      <c r="FP118" s="1021"/>
      <c r="FQ118" s="1021"/>
      <c r="FR118" s="1021"/>
      <c r="FS118" s="1021"/>
      <c r="FT118" s="1021"/>
      <c r="FU118" s="1021"/>
      <c r="FV118" s="1021"/>
      <c r="FW118" s="1021"/>
      <c r="FX118" s="1021"/>
      <c r="FY118" s="1021"/>
      <c r="FZ118" s="1021"/>
      <c r="GA118" s="1021"/>
      <c r="GB118" s="1021"/>
      <c r="GC118" s="1021"/>
      <c r="GD118" s="1021"/>
      <c r="GE118" s="1021"/>
      <c r="GF118" s="1021"/>
      <c r="GG118" s="1021"/>
      <c r="GH118" s="1021"/>
      <c r="GI118" s="1021"/>
      <c r="GJ118" s="1021"/>
      <c r="GK118" s="1021"/>
      <c r="GL118" s="1021"/>
      <c r="GM118" s="1021"/>
      <c r="GN118" s="1021"/>
      <c r="GO118" s="1021"/>
      <c r="GP118" s="1021"/>
      <c r="GQ118" s="1021"/>
      <c r="GR118" s="1021"/>
      <c r="GS118" s="1021"/>
      <c r="GT118" s="1021"/>
      <c r="GU118" s="1021"/>
      <c r="GV118" s="1021"/>
      <c r="GW118" s="1021"/>
      <c r="GX118" s="1021"/>
      <c r="GY118" s="1021"/>
      <c r="GZ118" s="1021"/>
      <c r="HA118" s="1021"/>
      <c r="HB118" s="1021"/>
      <c r="HC118" s="1021"/>
      <c r="HD118" s="1021"/>
      <c r="HE118" s="1021"/>
      <c r="HF118" s="1021"/>
      <c r="HG118" s="1021"/>
      <c r="HH118" s="1021"/>
      <c r="HI118" s="1021"/>
      <c r="HJ118" s="1021"/>
      <c r="HK118" s="1021"/>
      <c r="HL118" s="1021"/>
      <c r="HM118" s="1021"/>
      <c r="HN118" s="1021"/>
      <c r="HO118" s="1021"/>
      <c r="HP118" s="1021"/>
      <c r="HQ118" s="1021"/>
      <c r="HR118" s="1021"/>
      <c r="HS118" s="1021"/>
      <c r="HT118" s="1021"/>
      <c r="HU118" s="1021"/>
      <c r="HV118" s="1021"/>
      <c r="HW118" s="1021"/>
      <c r="HX118" s="1021"/>
      <c r="HY118" s="1021"/>
      <c r="HZ118" s="1021"/>
      <c r="IA118" s="1021"/>
      <c r="IB118" s="1021"/>
      <c r="IC118" s="1021"/>
      <c r="ID118" s="1021"/>
      <c r="IE118" s="1021"/>
      <c r="IF118" s="1021"/>
      <c r="IG118" s="1021"/>
      <c r="IH118" s="1021"/>
      <c r="II118" s="1021"/>
      <c r="IJ118" s="1021"/>
      <c r="IK118" s="1021"/>
      <c r="IL118" s="1021"/>
      <c r="IM118" s="1021"/>
      <c r="IN118" s="1021"/>
      <c r="IO118" s="1021"/>
      <c r="IP118" s="1021"/>
      <c r="IQ118" s="1021"/>
      <c r="IR118" s="1021"/>
      <c r="IS118" s="1021"/>
      <c r="IT118" s="1021"/>
      <c r="IU118" s="1021"/>
      <c r="IV118" s="1021"/>
      <c r="IW118" s="1021"/>
      <c r="IX118" s="1021"/>
      <c r="IY118" s="1021"/>
      <c r="IZ118" s="1021"/>
      <c r="JA118" s="1021"/>
      <c r="JB118" s="1021"/>
      <c r="JC118" s="1021"/>
      <c r="JD118" s="1021"/>
      <c r="JE118" s="1021"/>
      <c r="JF118" s="1021"/>
      <c r="JG118" s="1021"/>
      <c r="JH118" s="1021"/>
      <c r="JI118" s="1021"/>
      <c r="JJ118" s="1021"/>
      <c r="JK118" s="1021"/>
      <c r="JL118" s="1021"/>
      <c r="JM118" s="1021"/>
      <c r="JN118" s="1021"/>
      <c r="JO118" s="1021"/>
      <c r="JP118" s="1021"/>
      <c r="JQ118" s="1021"/>
      <c r="JR118" s="1021"/>
      <c r="JS118" s="1021"/>
      <c r="JT118" s="1021"/>
      <c r="JU118" s="1021"/>
      <c r="JV118" s="1021"/>
      <c r="JW118" s="1021"/>
      <c r="JX118" s="1021"/>
      <c r="JY118" s="1021"/>
      <c r="JZ118" s="1021"/>
      <c r="KA118" s="1021"/>
      <c r="KB118" s="1021"/>
      <c r="KC118" s="1021"/>
      <c r="KD118" s="1021"/>
      <c r="KE118" s="1021"/>
      <c r="KF118" s="1021"/>
      <c r="KG118" s="1021"/>
      <c r="KH118" s="1021"/>
      <c r="KI118" s="1021"/>
      <c r="KJ118" s="1021"/>
      <c r="KK118" s="1021"/>
      <c r="KL118" s="1021"/>
      <c r="KM118" s="1021"/>
      <c r="KN118" s="1021"/>
      <c r="KO118" s="1021"/>
      <c r="KP118" s="1021"/>
      <c r="KQ118" s="1021"/>
      <c r="KR118" s="1021"/>
      <c r="KS118" s="1021"/>
      <c r="KT118" s="1021"/>
      <c r="KU118" s="1021"/>
      <c r="KV118" s="1021"/>
      <c r="KW118" s="1021"/>
      <c r="KX118" s="1021"/>
      <c r="KY118" s="1021"/>
      <c r="KZ118" s="1021"/>
      <c r="LA118" s="1021"/>
      <c r="LB118" s="1021"/>
      <c r="LC118" s="1021"/>
      <c r="LD118" s="1021"/>
      <c r="LE118" s="1021"/>
      <c r="LF118" s="1021"/>
      <c r="LG118" s="1021"/>
      <c r="LH118" s="1021"/>
      <c r="LI118" s="1021"/>
      <c r="LJ118" s="1021"/>
      <c r="LK118" s="1021"/>
      <c r="LL118" s="1021"/>
      <c r="LM118" s="1021"/>
      <c r="LN118" s="1021"/>
      <c r="LO118" s="1021"/>
      <c r="LP118" s="1021"/>
      <c r="LQ118" s="1021"/>
      <c r="LR118" s="1021"/>
      <c r="LS118" s="1021"/>
      <c r="LT118" s="1021"/>
      <c r="LU118" s="1021"/>
      <c r="LV118" s="1021"/>
      <c r="LW118" s="1021"/>
      <c r="LX118" s="1021"/>
      <c r="LY118" s="1021"/>
      <c r="LZ118" s="1021"/>
      <c r="MA118" s="1021"/>
      <c r="MB118" s="1021"/>
      <c r="MC118" s="1021"/>
      <c r="MD118" s="1021"/>
      <c r="ME118" s="1021"/>
      <c r="MF118" s="1021"/>
      <c r="MG118" s="1021"/>
      <c r="MH118" s="1021"/>
      <c r="MI118" s="1021"/>
      <c r="MJ118" s="1021"/>
      <c r="MK118" s="1021"/>
      <c r="ML118" s="1021"/>
      <c r="MM118" s="1021"/>
      <c r="MN118" s="1021"/>
      <c r="MO118" s="1021"/>
      <c r="MP118" s="1021"/>
      <c r="MQ118" s="1021"/>
      <c r="MR118" s="1021"/>
      <c r="MS118" s="1021"/>
      <c r="MT118" s="1021"/>
      <c r="MU118" s="1021"/>
      <c r="MV118" s="1021"/>
      <c r="MW118" s="1021"/>
      <c r="MX118" s="1021"/>
      <c r="MY118" s="1021"/>
      <c r="MZ118" s="1021"/>
      <c r="NA118" s="1021"/>
      <c r="NB118" s="1021"/>
      <c r="NC118" s="1021"/>
      <c r="ND118" s="1021"/>
      <c r="NE118" s="1021"/>
      <c r="NF118" s="1021"/>
      <c r="NG118" s="1021"/>
      <c r="NH118" s="1021"/>
      <c r="NI118" s="1021"/>
      <c r="NJ118" s="1021"/>
      <c r="NK118" s="1021"/>
      <c r="NL118" s="1021"/>
      <c r="NM118" s="1021"/>
      <c r="NN118" s="1021"/>
      <c r="NO118" s="1021"/>
      <c r="NP118" s="1021"/>
      <c r="NQ118" s="1021"/>
      <c r="NR118" s="1021"/>
      <c r="NS118" s="1021"/>
      <c r="NT118" s="1021"/>
      <c r="NU118" s="1021"/>
      <c r="NV118" s="1021"/>
      <c r="NW118" s="1021"/>
      <c r="NX118" s="1021"/>
      <c r="NY118" s="1021"/>
      <c r="NZ118" s="1021"/>
      <c r="OA118" s="1021"/>
      <c r="OB118" s="1021"/>
      <c r="OC118" s="1021"/>
      <c r="OD118" s="1021"/>
      <c r="OE118" s="1021"/>
      <c r="OF118" s="1021"/>
      <c r="OG118" s="1021"/>
      <c r="OH118" s="1021"/>
      <c r="OI118" s="1021"/>
      <c r="OJ118" s="1021"/>
      <c r="OK118" s="1021"/>
      <c r="OL118" s="1021"/>
      <c r="OM118" s="1021"/>
      <c r="ON118" s="1021"/>
      <c r="OO118" s="1021"/>
      <c r="OP118" s="1021"/>
      <c r="OQ118" s="1021"/>
      <c r="OR118" s="1021"/>
      <c r="OS118" s="1021"/>
      <c r="OT118" s="1021"/>
      <c r="OU118" s="1021"/>
      <c r="OV118" s="1021"/>
      <c r="OW118" s="1021"/>
      <c r="OX118" s="1021"/>
      <c r="OY118" s="1021"/>
      <c r="OZ118" s="1021"/>
      <c r="PA118" s="1021"/>
      <c r="PB118" s="1021"/>
      <c r="PC118" s="1021"/>
      <c r="PD118" s="1021"/>
      <c r="PE118" s="1021"/>
      <c r="PF118" s="1021"/>
      <c r="PG118" s="1021"/>
      <c r="PH118" s="1021"/>
      <c r="PI118" s="1021"/>
      <c r="PJ118" s="1021"/>
      <c r="PK118" s="1021"/>
      <c r="PL118" s="1021"/>
      <c r="PM118" s="1021"/>
      <c r="PN118" s="1021"/>
      <c r="PO118" s="1021"/>
      <c r="PP118" s="1021"/>
      <c r="PQ118" s="1021"/>
      <c r="PR118" s="1021"/>
      <c r="PS118" s="1021"/>
      <c r="PT118" s="1021"/>
      <c r="PU118" s="1021"/>
      <c r="PV118" s="1021"/>
      <c r="PW118" s="1021"/>
      <c r="PX118" s="1021"/>
      <c r="PY118" s="1021"/>
      <c r="PZ118" s="1021"/>
      <c r="QA118" s="1021"/>
      <c r="QB118" s="1021"/>
      <c r="QC118" s="1021"/>
      <c r="QD118" s="1021"/>
      <c r="QE118" s="1021"/>
      <c r="QF118" s="1021"/>
      <c r="QG118" s="1021"/>
      <c r="QH118" s="1021"/>
      <c r="QI118" s="1021"/>
      <c r="QJ118" s="1021"/>
      <c r="QK118" s="1021"/>
      <c r="QL118" s="1021"/>
      <c r="QM118" s="1021"/>
      <c r="QN118" s="1021"/>
      <c r="QO118" s="1021"/>
      <c r="QP118" s="1021"/>
      <c r="QQ118" s="1021"/>
      <c r="QR118" s="1021"/>
      <c r="QS118" s="1021"/>
      <c r="QT118" s="1021"/>
      <c r="QU118" s="1021"/>
      <c r="QV118" s="1021"/>
      <c r="QW118" s="1021"/>
      <c r="QX118" s="1021"/>
      <c r="QY118" s="1021"/>
      <c r="QZ118" s="1021"/>
      <c r="RA118" s="1021"/>
      <c r="RB118" s="1021"/>
      <c r="RC118" s="1021"/>
      <c r="RD118" s="1021"/>
      <c r="RE118" s="1021"/>
      <c r="RF118" s="1021"/>
      <c r="RG118" s="1021"/>
      <c r="RH118" s="1021"/>
      <c r="RI118" s="1021"/>
      <c r="RJ118" s="1021"/>
      <c r="RK118" s="1021"/>
      <c r="RL118" s="1021"/>
      <c r="RM118" s="1021"/>
      <c r="RN118" s="1021"/>
      <c r="RO118" s="1021"/>
      <c r="RP118" s="1021"/>
      <c r="RQ118" s="1021"/>
      <c r="RR118" s="1021"/>
      <c r="RS118" s="1021"/>
      <c r="RT118" s="1021"/>
      <c r="RU118" s="1021"/>
      <c r="RV118" s="1021"/>
      <c r="RW118" s="1021"/>
      <c r="RX118" s="1021"/>
      <c r="RY118" s="1021"/>
      <c r="RZ118" s="1021"/>
      <c r="SA118" s="1021"/>
      <c r="SB118" s="1021"/>
      <c r="SC118" s="1021"/>
      <c r="SD118" s="1021"/>
      <c r="SE118" s="1021"/>
      <c r="SF118" s="1021"/>
      <c r="SG118" s="1021"/>
      <c r="SH118" s="1021"/>
      <c r="SI118" s="1021"/>
      <c r="SJ118" s="1021"/>
      <c r="SK118" s="1021"/>
      <c r="SL118" s="1021"/>
      <c r="SM118" s="1021"/>
      <c r="SN118" s="1021"/>
      <c r="SO118" s="1021"/>
      <c r="SP118" s="1021"/>
      <c r="SQ118" s="1021"/>
      <c r="SR118" s="1021"/>
    </row>
    <row r="119" spans="1:512" s="1011" customFormat="1" ht="15" customHeight="1">
      <c r="A119"/>
      <c r="G119" s="1024"/>
      <c r="H119" s="1024"/>
      <c r="I119" s="1024"/>
      <c r="J119" s="1024"/>
      <c r="K119" s="1024"/>
      <c r="L119" s="1024"/>
      <c r="M119" s="1024"/>
      <c r="N119" s="1024"/>
      <c r="O119" s="1024"/>
      <c r="P119" s="1024"/>
      <c r="Q119" s="1024"/>
      <c r="R119" s="1024"/>
      <c r="S119" s="1024"/>
      <c r="T119" s="1024"/>
      <c r="U119" s="1024"/>
      <c r="V119" s="1024"/>
      <c r="W119" s="1024"/>
      <c r="X119" s="1024"/>
      <c r="Y119" s="1024"/>
      <c r="Z119" s="1024"/>
      <c r="AA119" s="1024"/>
      <c r="AB119" s="1024"/>
      <c r="AC119" s="1024"/>
      <c r="AD119" s="1024"/>
      <c r="AE119" s="1024"/>
      <c r="AF119" s="1024"/>
      <c r="AG119" s="1024"/>
      <c r="AH119" s="1024"/>
      <c r="AI119" s="1024"/>
      <c r="AJ119" s="1024"/>
      <c r="AK119" s="1024"/>
      <c r="AL119" s="1024"/>
      <c r="AM119" s="1024"/>
      <c r="AN119" s="1024"/>
      <c r="AO119" s="1024"/>
      <c r="AP119" s="1024"/>
      <c r="AQ119" s="1024"/>
      <c r="AR119" s="1024"/>
      <c r="AS119" s="1024"/>
      <c r="AT119" s="1024"/>
      <c r="AU119" s="1024"/>
      <c r="AV119" s="1024"/>
      <c r="AW119" s="1024"/>
      <c r="AX119" s="1024"/>
      <c r="AY119" s="1024"/>
      <c r="AZ119" s="1024"/>
      <c r="BA119" s="1024"/>
      <c r="BB119" s="1024"/>
      <c r="BC119" s="1024"/>
      <c r="BD119" s="1024"/>
      <c r="BE119" s="1024"/>
      <c r="BF119" s="1024"/>
      <c r="BG119" s="1024"/>
      <c r="BH119" s="1024"/>
      <c r="BI119" s="1024"/>
      <c r="BJ119" s="1024"/>
      <c r="BK119" s="1024"/>
      <c r="BL119" s="1024"/>
      <c r="BM119" s="1024"/>
      <c r="BN119" s="1024"/>
      <c r="BO119" s="1024"/>
      <c r="BP119" s="1024"/>
      <c r="BQ119" s="1024"/>
      <c r="BR119" s="1024"/>
      <c r="BS119" s="1024"/>
      <c r="BT119" s="1024"/>
      <c r="BU119" s="1024"/>
      <c r="BV119" s="1024"/>
      <c r="BW119" s="1024"/>
      <c r="BX119" s="1024"/>
      <c r="BY119" s="1024"/>
      <c r="BZ119" s="1024"/>
      <c r="CA119" s="1024"/>
      <c r="CB119" s="1024"/>
      <c r="CC119" s="1024"/>
      <c r="CD119" s="1024"/>
      <c r="CE119" s="1024"/>
      <c r="CF119" s="1024"/>
      <c r="CG119" s="1024"/>
      <c r="CH119" s="1024"/>
      <c r="CI119" s="1024"/>
      <c r="CJ119" s="1024"/>
      <c r="CK119" s="1024"/>
      <c r="CL119" s="1024"/>
      <c r="CM119" s="1024"/>
      <c r="CN119" s="1024"/>
      <c r="CO119" s="1024"/>
      <c r="CP119" s="1024"/>
      <c r="CQ119" s="1024"/>
      <c r="CR119" s="1024"/>
      <c r="CS119" s="1024"/>
      <c r="CT119" s="1024"/>
      <c r="CU119" s="1024"/>
      <c r="CV119" s="1024"/>
      <c r="CW119" s="1024"/>
      <c r="CX119" s="1024"/>
      <c r="CY119" s="1024"/>
      <c r="CZ119" s="1024"/>
      <c r="DA119" s="1024"/>
      <c r="DB119" s="1024"/>
      <c r="DC119" s="1024"/>
      <c r="DD119" s="1024"/>
      <c r="DE119" s="1024"/>
      <c r="DF119" s="1024"/>
      <c r="DG119" s="1024"/>
      <c r="DH119" s="1024"/>
      <c r="DI119" s="1024"/>
      <c r="DJ119" s="1024"/>
      <c r="DK119" s="1024"/>
      <c r="DL119" s="1024"/>
      <c r="DM119" s="1024"/>
      <c r="DN119" s="1024"/>
      <c r="DO119" s="1024"/>
      <c r="DP119" s="1024"/>
      <c r="DQ119" s="1024"/>
      <c r="DR119" s="1024"/>
      <c r="DS119" s="1024"/>
      <c r="DT119" s="1024"/>
      <c r="DU119" s="1024"/>
      <c r="DV119" s="1024"/>
      <c r="DW119" s="1024"/>
      <c r="DX119" s="1024"/>
      <c r="DY119" s="1024"/>
      <c r="DZ119" s="1024"/>
      <c r="EA119" s="1024"/>
      <c r="EB119" s="1024"/>
      <c r="EC119" s="1024"/>
      <c r="ED119" s="1024"/>
      <c r="EE119" s="1024"/>
      <c r="EF119" s="1024"/>
      <c r="EG119" s="1024"/>
      <c r="EH119" s="1024"/>
      <c r="EI119" s="1024"/>
      <c r="EJ119" s="1024"/>
      <c r="EK119" s="1024"/>
      <c r="EL119" s="1024"/>
      <c r="EM119" s="1024"/>
      <c r="EN119" s="1024"/>
      <c r="EO119" s="1024"/>
      <c r="EP119" s="1024"/>
      <c r="EQ119" s="1024"/>
      <c r="ER119" s="1024"/>
      <c r="ES119" s="1024"/>
      <c r="ET119" s="1024"/>
      <c r="EU119" s="1024"/>
      <c r="EV119" s="1024"/>
      <c r="EW119" s="1024"/>
      <c r="EX119" s="1024"/>
      <c r="EY119" s="1024"/>
      <c r="EZ119" s="1024"/>
      <c r="FA119" s="1024"/>
      <c r="FB119" s="1024"/>
      <c r="FC119" s="1024"/>
      <c r="FD119" s="1024"/>
      <c r="FE119" s="1024"/>
      <c r="FF119" s="1024"/>
      <c r="FG119" s="1024"/>
      <c r="FH119" s="1024"/>
      <c r="FI119" s="1024"/>
      <c r="FJ119" s="1024"/>
      <c r="FK119" s="1024"/>
      <c r="FL119" s="1024"/>
      <c r="FM119" s="1024"/>
      <c r="FN119" s="1024"/>
      <c r="FO119" s="1024"/>
      <c r="FP119" s="1024"/>
      <c r="FQ119" s="1024"/>
      <c r="FR119" s="1024"/>
      <c r="FS119" s="1024"/>
      <c r="FT119" s="1024"/>
      <c r="FU119" s="1024"/>
      <c r="FV119" s="1024"/>
      <c r="FW119" s="1024"/>
      <c r="FX119" s="1024"/>
      <c r="FY119" s="1024"/>
      <c r="FZ119" s="1024"/>
      <c r="GA119" s="1024"/>
      <c r="GB119" s="1024"/>
      <c r="GC119" s="1024"/>
      <c r="GD119" s="1024"/>
      <c r="GE119" s="1024"/>
      <c r="GF119" s="1024"/>
      <c r="GG119" s="1024"/>
      <c r="GH119" s="1024"/>
      <c r="GI119" s="1024"/>
      <c r="GJ119" s="1024"/>
      <c r="GK119" s="1024"/>
      <c r="GL119" s="1024"/>
      <c r="GM119" s="1024"/>
      <c r="GN119" s="1024"/>
      <c r="GO119" s="1024"/>
      <c r="GP119" s="1024"/>
      <c r="GQ119" s="1024"/>
      <c r="GR119" s="1024"/>
      <c r="GS119" s="1024"/>
      <c r="GT119" s="1024"/>
      <c r="GU119" s="1024"/>
      <c r="GV119" s="1024"/>
      <c r="GW119" s="1024"/>
      <c r="GX119" s="1024"/>
      <c r="GY119" s="1024"/>
      <c r="GZ119" s="1024"/>
      <c r="HA119" s="1024"/>
      <c r="HB119" s="1024"/>
      <c r="HC119" s="1024"/>
      <c r="HD119" s="1024"/>
      <c r="HE119" s="1024"/>
      <c r="HF119" s="1024"/>
      <c r="HG119" s="1024"/>
      <c r="HH119" s="1024"/>
      <c r="HI119" s="1024"/>
      <c r="HJ119" s="1024"/>
      <c r="HK119" s="1024"/>
      <c r="HL119" s="1024"/>
      <c r="HM119" s="1024"/>
      <c r="HN119" s="1024"/>
      <c r="HO119" s="1024"/>
      <c r="HP119" s="1024"/>
      <c r="HQ119" s="1024"/>
      <c r="HR119" s="1024"/>
      <c r="HS119" s="1024"/>
      <c r="HT119" s="1024"/>
      <c r="HU119" s="1024"/>
      <c r="HV119" s="1024"/>
      <c r="HW119" s="1024"/>
      <c r="HX119" s="1024"/>
      <c r="HY119" s="1024"/>
      <c r="HZ119" s="1024"/>
      <c r="IA119" s="1024"/>
      <c r="IB119" s="1024"/>
      <c r="IC119" s="1024"/>
      <c r="ID119" s="1024"/>
      <c r="IE119" s="1024"/>
      <c r="IF119" s="1024"/>
      <c r="IG119" s="1024"/>
      <c r="IH119" s="1024"/>
      <c r="II119" s="1024"/>
      <c r="IJ119" s="1024"/>
      <c r="IK119" s="1024"/>
      <c r="IL119" s="1024"/>
      <c r="IM119" s="1024"/>
      <c r="IN119" s="1024"/>
      <c r="IO119" s="1024"/>
      <c r="IP119" s="1024"/>
      <c r="IQ119" s="1024"/>
      <c r="IR119" s="1024"/>
      <c r="IS119" s="1024"/>
      <c r="IT119" s="1024"/>
      <c r="IU119" s="1024"/>
      <c r="IV119" s="1024"/>
      <c r="IW119" s="1024"/>
      <c r="IX119" s="1024"/>
      <c r="IY119" s="1024"/>
      <c r="IZ119" s="1024"/>
      <c r="JA119" s="1024"/>
      <c r="JB119" s="1024"/>
      <c r="JC119" s="1024"/>
      <c r="JD119" s="1024"/>
      <c r="JE119" s="1024"/>
      <c r="JF119" s="1024"/>
      <c r="JG119" s="1024"/>
      <c r="JH119" s="1024"/>
      <c r="JI119" s="1024"/>
      <c r="JJ119" s="1024"/>
      <c r="JK119" s="1024"/>
      <c r="JL119" s="1024"/>
      <c r="JM119" s="1024"/>
      <c r="JN119" s="1024"/>
      <c r="JO119" s="1024"/>
      <c r="JP119" s="1024"/>
      <c r="JQ119" s="1024"/>
      <c r="JR119" s="1024"/>
      <c r="JS119" s="1024"/>
      <c r="JT119" s="1024"/>
      <c r="JU119" s="1024"/>
      <c r="JV119" s="1024"/>
      <c r="JW119" s="1024"/>
      <c r="JX119" s="1024"/>
      <c r="JY119" s="1024"/>
      <c r="JZ119" s="1024"/>
      <c r="KA119" s="1024"/>
      <c r="KB119" s="1024"/>
      <c r="KC119" s="1024"/>
      <c r="KD119" s="1024"/>
      <c r="KE119" s="1024"/>
      <c r="KF119" s="1024"/>
      <c r="KG119" s="1024"/>
      <c r="KH119" s="1024"/>
      <c r="KI119" s="1024"/>
      <c r="KJ119" s="1024"/>
      <c r="KK119" s="1024"/>
      <c r="KL119" s="1024"/>
      <c r="KM119" s="1024"/>
      <c r="KN119" s="1024"/>
      <c r="KO119" s="1024"/>
      <c r="KP119" s="1024"/>
      <c r="KQ119" s="1024"/>
      <c r="KR119" s="1024"/>
      <c r="KS119" s="1024"/>
      <c r="KT119" s="1024"/>
      <c r="KU119" s="1024"/>
      <c r="KV119" s="1024"/>
      <c r="KW119" s="1024"/>
      <c r="KX119" s="1024"/>
      <c r="KY119" s="1024"/>
      <c r="KZ119" s="1024"/>
      <c r="LA119" s="1024"/>
      <c r="LB119" s="1024"/>
      <c r="LC119" s="1024"/>
      <c r="LD119" s="1024"/>
      <c r="LE119" s="1024"/>
      <c r="LF119" s="1024"/>
      <c r="LG119" s="1024"/>
      <c r="LH119" s="1024"/>
      <c r="LI119" s="1024"/>
      <c r="LJ119" s="1024"/>
      <c r="LK119" s="1024"/>
      <c r="LL119" s="1024"/>
      <c r="LM119" s="1024"/>
      <c r="LN119" s="1024"/>
      <c r="LO119" s="1024"/>
      <c r="LP119" s="1024"/>
      <c r="LQ119" s="1024"/>
      <c r="LR119" s="1024"/>
      <c r="LS119" s="1024"/>
      <c r="LT119" s="1024"/>
      <c r="LU119" s="1024"/>
      <c r="LV119" s="1024"/>
      <c r="LW119" s="1024"/>
      <c r="LX119" s="1024"/>
      <c r="LY119" s="1024"/>
      <c r="LZ119" s="1024"/>
      <c r="MA119" s="1024"/>
      <c r="MB119" s="1024"/>
      <c r="MC119" s="1024"/>
      <c r="MD119" s="1024"/>
      <c r="ME119" s="1024"/>
      <c r="MF119" s="1024"/>
      <c r="MG119" s="1024"/>
      <c r="MH119" s="1024"/>
      <c r="MI119" s="1024"/>
      <c r="MJ119" s="1024"/>
      <c r="MK119" s="1024"/>
      <c r="ML119" s="1024"/>
      <c r="MM119" s="1024"/>
      <c r="MN119" s="1024"/>
      <c r="MO119" s="1024"/>
      <c r="MP119" s="1024"/>
      <c r="MQ119" s="1024"/>
      <c r="MR119" s="1024"/>
      <c r="MS119" s="1024"/>
      <c r="MT119" s="1024"/>
      <c r="MU119" s="1024"/>
      <c r="MV119" s="1024"/>
      <c r="MW119" s="1024"/>
      <c r="MX119" s="1024"/>
      <c r="MY119" s="1024"/>
      <c r="MZ119" s="1024"/>
      <c r="NA119" s="1024"/>
      <c r="NB119" s="1024"/>
      <c r="NC119" s="1024"/>
      <c r="ND119" s="1024"/>
      <c r="NE119" s="1024"/>
      <c r="NF119" s="1024"/>
      <c r="NG119" s="1024"/>
      <c r="NH119" s="1024"/>
      <c r="NI119" s="1024"/>
      <c r="NJ119" s="1024"/>
      <c r="NK119" s="1024"/>
      <c r="NL119" s="1024"/>
      <c r="NM119" s="1024"/>
      <c r="NN119" s="1024"/>
      <c r="NO119" s="1024"/>
      <c r="NP119" s="1024"/>
      <c r="NQ119" s="1024"/>
      <c r="NR119" s="1024"/>
      <c r="NS119" s="1024"/>
      <c r="NT119" s="1024"/>
      <c r="NU119" s="1024"/>
      <c r="NV119" s="1024"/>
      <c r="NW119" s="1024"/>
      <c r="NX119" s="1024"/>
      <c r="NY119" s="1024"/>
      <c r="NZ119" s="1024"/>
      <c r="OA119" s="1024"/>
      <c r="OB119" s="1024"/>
      <c r="OC119" s="1024"/>
      <c r="OD119" s="1024"/>
      <c r="OE119" s="1024"/>
      <c r="OF119" s="1024"/>
      <c r="OG119" s="1024"/>
      <c r="OH119" s="1024"/>
      <c r="OI119" s="1024"/>
      <c r="OJ119" s="1024"/>
      <c r="OK119" s="1024"/>
      <c r="OL119" s="1024"/>
      <c r="OM119" s="1024"/>
      <c r="ON119" s="1024"/>
      <c r="OO119" s="1024"/>
      <c r="OP119" s="1024"/>
      <c r="OQ119" s="1024"/>
      <c r="OR119" s="1024"/>
      <c r="OS119" s="1024"/>
      <c r="OT119" s="1024"/>
      <c r="OU119" s="1024"/>
      <c r="OV119" s="1024"/>
      <c r="OW119" s="1024"/>
      <c r="OX119" s="1024"/>
      <c r="OY119" s="1024"/>
      <c r="OZ119" s="1024"/>
      <c r="PA119" s="1024"/>
      <c r="PB119" s="1024"/>
      <c r="PC119" s="1024"/>
      <c r="PD119" s="1024"/>
      <c r="PE119" s="1024"/>
      <c r="PF119" s="1024"/>
      <c r="PG119" s="1024"/>
      <c r="PH119" s="1024"/>
      <c r="PI119" s="1024"/>
      <c r="PJ119" s="1024"/>
      <c r="PK119" s="1024"/>
      <c r="PL119" s="1024"/>
      <c r="PM119" s="1024"/>
      <c r="PN119" s="1024"/>
      <c r="PO119" s="1024"/>
      <c r="PP119" s="1024"/>
      <c r="PQ119" s="1024"/>
      <c r="PR119" s="1024"/>
      <c r="PS119" s="1024"/>
      <c r="PT119" s="1024"/>
      <c r="PU119" s="1024"/>
      <c r="PV119" s="1024"/>
      <c r="PW119" s="1024"/>
      <c r="PX119" s="1024"/>
      <c r="PY119" s="1024"/>
      <c r="PZ119" s="1024"/>
      <c r="QA119" s="1024"/>
      <c r="QB119" s="1024"/>
      <c r="QC119" s="1024"/>
      <c r="QD119" s="1024"/>
      <c r="QE119" s="1024"/>
      <c r="QF119" s="1024"/>
      <c r="QG119" s="1024"/>
      <c r="QH119" s="1024"/>
      <c r="QI119" s="1024"/>
      <c r="QJ119" s="1024"/>
      <c r="QK119" s="1024"/>
      <c r="QL119" s="1024"/>
      <c r="QM119" s="1024"/>
      <c r="QN119" s="1024"/>
      <c r="QO119" s="1024"/>
      <c r="QP119" s="1024"/>
      <c r="QQ119" s="1024"/>
      <c r="QR119" s="1024"/>
      <c r="QS119" s="1024"/>
      <c r="QT119" s="1024"/>
      <c r="QU119" s="1024"/>
      <c r="QV119" s="1024"/>
      <c r="QW119" s="1024"/>
      <c r="QX119" s="1024"/>
      <c r="QY119" s="1024"/>
      <c r="QZ119" s="1024"/>
      <c r="RA119" s="1024"/>
      <c r="RB119" s="1024"/>
      <c r="RC119" s="1024"/>
      <c r="RD119" s="1024"/>
      <c r="RE119" s="1024"/>
      <c r="RF119" s="1024"/>
      <c r="RG119" s="1024"/>
      <c r="RH119" s="1024"/>
      <c r="RI119" s="1024"/>
      <c r="RJ119" s="1024"/>
      <c r="RK119" s="1024"/>
      <c r="RL119" s="1024"/>
      <c r="RM119" s="1024"/>
      <c r="RN119" s="1024"/>
      <c r="RO119" s="1024"/>
      <c r="RP119" s="1024"/>
      <c r="RQ119" s="1024"/>
      <c r="RR119" s="1024"/>
      <c r="RS119" s="1024"/>
      <c r="RT119" s="1024"/>
      <c r="RU119" s="1024"/>
      <c r="RV119" s="1024"/>
      <c r="RW119" s="1024"/>
      <c r="RX119" s="1024"/>
      <c r="RY119" s="1024"/>
      <c r="RZ119" s="1024"/>
      <c r="SA119" s="1024"/>
      <c r="SB119" s="1024"/>
      <c r="SC119" s="1024"/>
      <c r="SD119" s="1024"/>
      <c r="SE119" s="1024"/>
      <c r="SF119" s="1024"/>
      <c r="SG119" s="1024"/>
      <c r="SH119" s="1024"/>
      <c r="SI119" s="1024"/>
      <c r="SJ119" s="1024"/>
      <c r="SK119" s="1024"/>
      <c r="SL119" s="1024"/>
      <c r="SM119" s="1024"/>
      <c r="SN119" s="1024"/>
      <c r="SO119" s="1024"/>
      <c r="SP119" s="1024"/>
      <c r="SQ119" s="1024"/>
      <c r="SR119" s="1024"/>
    </row>
    <row r="120" spans="1:512" s="1011" customFormat="1" ht="15" customHeight="1">
      <c r="A120" s="1011" t="s">
        <v>2236</v>
      </c>
      <c r="G120" s="1024"/>
      <c r="H120" s="1024"/>
      <c r="I120" s="1024"/>
      <c r="J120" s="1024"/>
      <c r="K120" s="1024"/>
      <c r="L120" s="1024"/>
      <c r="M120" s="1024"/>
      <c r="N120" s="1024"/>
      <c r="O120" s="1024"/>
      <c r="P120" s="1024"/>
      <c r="Q120" s="1024"/>
      <c r="R120" s="1024"/>
      <c r="S120" s="1024"/>
      <c r="T120" s="1024"/>
      <c r="U120" s="1024"/>
      <c r="V120" s="1024"/>
      <c r="W120" s="1024"/>
      <c r="X120" s="1024"/>
      <c r="Y120" s="1024"/>
      <c r="Z120" s="1024"/>
      <c r="AA120" s="1024"/>
      <c r="AB120" s="1024"/>
      <c r="AC120" s="1024"/>
      <c r="AD120" s="1024"/>
      <c r="AE120" s="1024"/>
      <c r="AF120" s="1024"/>
      <c r="AG120" s="1024"/>
      <c r="AH120" s="1024"/>
      <c r="AI120" s="1024"/>
      <c r="AJ120" s="1024"/>
      <c r="AK120" s="1024"/>
      <c r="AL120" s="1024"/>
      <c r="AM120" s="1024"/>
      <c r="AN120" s="1024"/>
      <c r="AO120" s="1024"/>
      <c r="AP120" s="1024"/>
      <c r="AQ120" s="1024"/>
      <c r="AR120" s="1024"/>
      <c r="AS120" s="1024"/>
      <c r="AT120" s="1024"/>
      <c r="AU120" s="1024"/>
      <c r="AV120" s="1024"/>
      <c r="AW120" s="1024"/>
      <c r="AX120" s="1024"/>
      <c r="AY120" s="1024"/>
      <c r="AZ120" s="1024"/>
      <c r="BA120" s="1024"/>
      <c r="BB120" s="1024"/>
      <c r="BC120" s="1024"/>
      <c r="BD120" s="1024"/>
      <c r="BE120" s="1024"/>
      <c r="BF120" s="1024"/>
      <c r="BG120" s="1024"/>
      <c r="BH120" s="1024"/>
      <c r="BI120" s="1024"/>
      <c r="BJ120" s="1024"/>
      <c r="BK120" s="1024"/>
      <c r="BL120" s="1024"/>
      <c r="BM120" s="1024"/>
      <c r="BN120" s="1024"/>
      <c r="BO120" s="1024"/>
      <c r="BP120" s="1024"/>
      <c r="BQ120" s="1024"/>
      <c r="BR120" s="1024"/>
      <c r="BS120" s="1024"/>
      <c r="BT120" s="1024"/>
      <c r="BU120" s="1024"/>
      <c r="BV120" s="1024"/>
      <c r="BW120" s="1024"/>
      <c r="BX120" s="1024"/>
      <c r="BY120" s="1024"/>
      <c r="BZ120" s="1024"/>
      <c r="CA120" s="1024"/>
      <c r="CB120" s="1024"/>
      <c r="CC120" s="1024"/>
      <c r="CD120" s="1024"/>
      <c r="CE120" s="1024"/>
      <c r="CF120" s="1024"/>
      <c r="CG120" s="1024"/>
      <c r="CH120" s="1024"/>
      <c r="CI120" s="1024"/>
      <c r="CJ120" s="1024"/>
      <c r="CK120" s="1024"/>
      <c r="CL120" s="1024"/>
      <c r="CM120" s="1024"/>
      <c r="CN120" s="1024"/>
      <c r="CO120" s="1024"/>
      <c r="CP120" s="1024"/>
      <c r="CQ120" s="1024"/>
      <c r="CR120" s="1024"/>
      <c r="CS120" s="1024"/>
      <c r="CT120" s="1024"/>
      <c r="CU120" s="1024"/>
      <c r="CV120" s="1024"/>
      <c r="CW120" s="1024"/>
      <c r="CX120" s="1024"/>
      <c r="CY120" s="1024"/>
      <c r="CZ120" s="1024"/>
      <c r="DA120" s="1024"/>
      <c r="DB120" s="1024"/>
      <c r="DC120" s="1024"/>
      <c r="DD120" s="1024"/>
      <c r="DE120" s="1024"/>
      <c r="DF120" s="1024"/>
      <c r="DG120" s="1024"/>
      <c r="DH120" s="1024"/>
      <c r="DI120" s="1024"/>
      <c r="DJ120" s="1024"/>
      <c r="DK120" s="1024"/>
      <c r="DL120" s="1024"/>
      <c r="DM120" s="1024"/>
      <c r="DN120" s="1024"/>
      <c r="DO120" s="1024"/>
      <c r="DP120" s="1024"/>
      <c r="DQ120" s="1024"/>
      <c r="DR120" s="1024"/>
      <c r="DS120" s="1024"/>
      <c r="DT120" s="1024"/>
      <c r="DU120" s="1024"/>
      <c r="DV120" s="1024"/>
      <c r="DW120" s="1024"/>
      <c r="DX120" s="1024"/>
      <c r="DY120" s="1024"/>
      <c r="DZ120" s="1024"/>
      <c r="EA120" s="1024"/>
      <c r="EB120" s="1024"/>
      <c r="EC120" s="1024"/>
      <c r="ED120" s="1024"/>
      <c r="EE120" s="1024"/>
      <c r="EF120" s="1024"/>
      <c r="EG120" s="1024"/>
      <c r="EH120" s="1024"/>
      <c r="EI120" s="1024"/>
      <c r="EJ120" s="1024"/>
      <c r="EK120" s="1024"/>
      <c r="EL120" s="1024"/>
      <c r="EM120" s="1024"/>
      <c r="EN120" s="1024"/>
      <c r="EO120" s="1024"/>
      <c r="EP120" s="1024"/>
      <c r="EQ120" s="1024"/>
      <c r="ER120" s="1024"/>
      <c r="ES120" s="1024"/>
      <c r="ET120" s="1024"/>
      <c r="EU120" s="1024"/>
      <c r="EV120" s="1024"/>
      <c r="EW120" s="1024"/>
      <c r="EX120" s="1024"/>
      <c r="EY120" s="1024"/>
      <c r="EZ120" s="1024"/>
      <c r="FA120" s="1024"/>
      <c r="FB120" s="1024"/>
      <c r="FC120" s="1024"/>
      <c r="FD120" s="1024"/>
      <c r="FE120" s="1024"/>
      <c r="FF120" s="1024"/>
      <c r="FG120" s="1024"/>
      <c r="FH120" s="1024"/>
      <c r="FI120" s="1024"/>
      <c r="FJ120" s="1024"/>
      <c r="FK120" s="1024"/>
      <c r="FL120" s="1024"/>
      <c r="FM120" s="1024"/>
      <c r="FN120" s="1024"/>
      <c r="FO120" s="1024"/>
      <c r="FP120" s="1024"/>
      <c r="FQ120" s="1024"/>
      <c r="FR120" s="1024"/>
      <c r="FS120" s="1024"/>
      <c r="FT120" s="1024"/>
      <c r="FU120" s="1024"/>
      <c r="FV120" s="1024"/>
      <c r="FW120" s="1024"/>
      <c r="FX120" s="1024"/>
      <c r="FY120" s="1024"/>
      <c r="FZ120" s="1024"/>
      <c r="GA120" s="1024"/>
      <c r="GB120" s="1024"/>
      <c r="GC120" s="1024"/>
      <c r="GD120" s="1024"/>
      <c r="GE120" s="1024"/>
      <c r="GF120" s="1024"/>
      <c r="GG120" s="1024"/>
      <c r="GH120" s="1024"/>
      <c r="GI120" s="1024"/>
      <c r="GJ120" s="1024"/>
      <c r="GK120" s="1024"/>
      <c r="GL120" s="1024"/>
      <c r="GM120" s="1024"/>
      <c r="GN120" s="1024"/>
      <c r="GO120" s="1024"/>
      <c r="GP120" s="1024"/>
      <c r="GQ120" s="1024"/>
      <c r="GR120" s="1024"/>
      <c r="GS120" s="1024"/>
      <c r="GT120" s="1024"/>
      <c r="GU120" s="1024"/>
      <c r="GV120" s="1024"/>
      <c r="GW120" s="1024"/>
      <c r="GX120" s="1024"/>
      <c r="GY120" s="1024"/>
      <c r="GZ120" s="1024"/>
      <c r="HA120" s="1024"/>
      <c r="HB120" s="1024"/>
      <c r="HC120" s="1024"/>
      <c r="HD120" s="1024"/>
      <c r="HE120" s="1024"/>
      <c r="HF120" s="1024"/>
      <c r="HG120" s="1024"/>
      <c r="HH120" s="1024"/>
      <c r="HI120" s="1024"/>
      <c r="HJ120" s="1024"/>
      <c r="HK120" s="1024"/>
      <c r="HL120" s="1024"/>
      <c r="HM120" s="1024"/>
      <c r="HN120" s="1024"/>
      <c r="HO120" s="1024"/>
      <c r="HP120" s="1024"/>
      <c r="HQ120" s="1024"/>
      <c r="HR120" s="1024"/>
      <c r="HS120" s="1024"/>
      <c r="HT120" s="1024"/>
      <c r="HU120" s="1024"/>
      <c r="HV120" s="1024"/>
      <c r="HW120" s="1024"/>
      <c r="HX120" s="1024"/>
      <c r="HY120" s="1024"/>
      <c r="HZ120" s="1024"/>
      <c r="IA120" s="1024"/>
      <c r="IB120" s="1024"/>
      <c r="IC120" s="1024"/>
      <c r="ID120" s="1024"/>
      <c r="IE120" s="1024"/>
      <c r="IF120" s="1024"/>
      <c r="IG120" s="1024"/>
      <c r="IH120" s="1024"/>
      <c r="II120" s="1024"/>
      <c r="IJ120" s="1024"/>
      <c r="IK120" s="1024"/>
      <c r="IL120" s="1024"/>
      <c r="IM120" s="1024"/>
      <c r="IN120" s="1024"/>
      <c r="IO120" s="1024"/>
      <c r="IP120" s="1024"/>
      <c r="IQ120" s="1024"/>
      <c r="IR120" s="1024"/>
      <c r="IS120" s="1024"/>
      <c r="IT120" s="1024"/>
      <c r="IU120" s="1024"/>
      <c r="IV120" s="1024"/>
      <c r="IW120" s="1024"/>
      <c r="IX120" s="1024"/>
      <c r="IY120" s="1024"/>
      <c r="IZ120" s="1024"/>
      <c r="JA120" s="1024"/>
      <c r="JB120" s="1024"/>
      <c r="JC120" s="1024"/>
      <c r="JD120" s="1024"/>
      <c r="JE120" s="1024"/>
      <c r="JF120" s="1024"/>
      <c r="JG120" s="1024"/>
      <c r="JH120" s="1024"/>
      <c r="JI120" s="1024"/>
      <c r="JJ120" s="1024"/>
      <c r="JK120" s="1024"/>
      <c r="JL120" s="1024"/>
      <c r="JM120" s="1024"/>
      <c r="JN120" s="1024"/>
      <c r="JO120" s="1024"/>
      <c r="JP120" s="1024"/>
      <c r="JQ120" s="1024"/>
      <c r="JR120" s="1024"/>
      <c r="JS120" s="1024"/>
      <c r="JT120" s="1024"/>
      <c r="JU120" s="1024"/>
      <c r="JV120" s="1024"/>
      <c r="JW120" s="1024"/>
      <c r="JX120" s="1024"/>
      <c r="JY120" s="1024"/>
      <c r="JZ120" s="1024"/>
      <c r="KA120" s="1024"/>
      <c r="KB120" s="1024"/>
      <c r="KC120" s="1024"/>
      <c r="KD120" s="1024"/>
      <c r="KE120" s="1024"/>
      <c r="KF120" s="1024"/>
      <c r="KG120" s="1024"/>
      <c r="KH120" s="1024"/>
      <c r="KI120" s="1024"/>
      <c r="KJ120" s="1024"/>
      <c r="KK120" s="1024"/>
      <c r="KL120" s="1024"/>
      <c r="KM120" s="1024"/>
      <c r="KN120" s="1024"/>
      <c r="KO120" s="1024"/>
      <c r="KP120" s="1024"/>
      <c r="KQ120" s="1024"/>
      <c r="KR120" s="1024"/>
      <c r="KS120" s="1024"/>
      <c r="KT120" s="1024"/>
      <c r="KU120" s="1024"/>
      <c r="KV120" s="1024"/>
      <c r="KW120" s="1024"/>
      <c r="KX120" s="1024"/>
      <c r="KY120" s="1024"/>
      <c r="KZ120" s="1024"/>
      <c r="LA120" s="1024"/>
      <c r="LB120" s="1024"/>
      <c r="LC120" s="1024"/>
      <c r="LD120" s="1024"/>
      <c r="LE120" s="1024"/>
      <c r="LF120" s="1024"/>
      <c r="LG120" s="1024"/>
      <c r="LH120" s="1024"/>
      <c r="LI120" s="1024"/>
      <c r="LJ120" s="1024"/>
      <c r="LK120" s="1024"/>
      <c r="LL120" s="1024"/>
      <c r="LM120" s="1024"/>
      <c r="LN120" s="1024"/>
      <c r="LO120" s="1024"/>
      <c r="LP120" s="1024"/>
      <c r="LQ120" s="1024"/>
      <c r="LR120" s="1024"/>
      <c r="LS120" s="1024"/>
      <c r="LT120" s="1024"/>
      <c r="LU120" s="1024"/>
      <c r="LV120" s="1024"/>
      <c r="LW120" s="1024"/>
      <c r="LX120" s="1024"/>
      <c r="LY120" s="1024"/>
      <c r="LZ120" s="1024"/>
      <c r="MA120" s="1024"/>
      <c r="MB120" s="1024"/>
      <c r="MC120" s="1024"/>
      <c r="MD120" s="1024"/>
      <c r="ME120" s="1024"/>
      <c r="MF120" s="1024"/>
      <c r="MG120" s="1024"/>
      <c r="MH120" s="1024"/>
      <c r="MI120" s="1024"/>
      <c r="MJ120" s="1024"/>
      <c r="MK120" s="1024"/>
      <c r="ML120" s="1024"/>
      <c r="MM120" s="1024"/>
      <c r="MN120" s="1024"/>
      <c r="MO120" s="1024"/>
      <c r="MP120" s="1024"/>
      <c r="MQ120" s="1024"/>
      <c r="MR120" s="1024"/>
      <c r="MS120" s="1024"/>
      <c r="MT120" s="1024"/>
      <c r="MU120" s="1024"/>
      <c r="MV120" s="1024"/>
      <c r="MW120" s="1024"/>
      <c r="MX120" s="1024"/>
      <c r="MY120" s="1024"/>
      <c r="MZ120" s="1024"/>
      <c r="NA120" s="1024"/>
      <c r="NB120" s="1024"/>
      <c r="NC120" s="1024"/>
      <c r="ND120" s="1024"/>
      <c r="NE120" s="1024"/>
      <c r="NF120" s="1024"/>
      <c r="NG120" s="1024"/>
      <c r="NH120" s="1024"/>
      <c r="NI120" s="1024"/>
      <c r="NJ120" s="1024"/>
      <c r="NK120" s="1024"/>
      <c r="NL120" s="1024"/>
      <c r="NM120" s="1024"/>
      <c r="NN120" s="1024"/>
      <c r="NO120" s="1024"/>
      <c r="NP120" s="1024"/>
      <c r="NQ120" s="1024"/>
      <c r="NR120" s="1024"/>
      <c r="NS120" s="1024"/>
      <c r="NT120" s="1024"/>
      <c r="NU120" s="1024"/>
      <c r="NV120" s="1024"/>
      <c r="NW120" s="1024"/>
      <c r="NX120" s="1024"/>
      <c r="NY120" s="1024"/>
      <c r="NZ120" s="1024"/>
      <c r="OA120" s="1024"/>
      <c r="OB120" s="1024"/>
      <c r="OC120" s="1024"/>
      <c r="OD120" s="1024"/>
      <c r="OE120" s="1024"/>
      <c r="OF120" s="1024"/>
      <c r="OG120" s="1024"/>
      <c r="OH120" s="1024"/>
      <c r="OI120" s="1024"/>
      <c r="OJ120" s="1024"/>
      <c r="OK120" s="1024"/>
      <c r="OL120" s="1024"/>
      <c r="OM120" s="1024"/>
      <c r="ON120" s="1024"/>
      <c r="OO120" s="1024"/>
      <c r="OP120" s="1024"/>
      <c r="OQ120" s="1024"/>
      <c r="OR120" s="1024"/>
      <c r="OS120" s="1024"/>
      <c r="OT120" s="1024"/>
      <c r="OU120" s="1024"/>
      <c r="OV120" s="1024"/>
      <c r="OW120" s="1024"/>
      <c r="OX120" s="1024"/>
      <c r="OY120" s="1024"/>
      <c r="OZ120" s="1024"/>
      <c r="PA120" s="1024"/>
      <c r="PB120" s="1024"/>
      <c r="PC120" s="1024"/>
      <c r="PD120" s="1024"/>
      <c r="PE120" s="1024"/>
      <c r="PF120" s="1024"/>
      <c r="PG120" s="1024"/>
      <c r="PH120" s="1024"/>
      <c r="PI120" s="1024"/>
      <c r="PJ120" s="1024"/>
      <c r="PK120" s="1024"/>
      <c r="PL120" s="1024"/>
      <c r="PM120" s="1024"/>
      <c r="PN120" s="1024"/>
      <c r="PO120" s="1024"/>
      <c r="PP120" s="1024"/>
      <c r="PQ120" s="1024"/>
      <c r="PR120" s="1024"/>
      <c r="PS120" s="1024"/>
      <c r="PT120" s="1024"/>
      <c r="PU120" s="1024"/>
      <c r="PV120" s="1024"/>
      <c r="PW120" s="1024"/>
      <c r="PX120" s="1024"/>
      <c r="PY120" s="1024"/>
      <c r="PZ120" s="1024"/>
      <c r="QA120" s="1024"/>
      <c r="QB120" s="1024"/>
      <c r="QC120" s="1024"/>
      <c r="QD120" s="1024"/>
      <c r="QE120" s="1024"/>
      <c r="QF120" s="1024"/>
      <c r="QG120" s="1024"/>
      <c r="QH120" s="1024"/>
      <c r="QI120" s="1024"/>
      <c r="QJ120" s="1024"/>
      <c r="QK120" s="1024"/>
      <c r="QL120" s="1024"/>
      <c r="QM120" s="1024"/>
      <c r="QN120" s="1024"/>
      <c r="QO120" s="1024"/>
      <c r="QP120" s="1024"/>
      <c r="QQ120" s="1024"/>
      <c r="QR120" s="1024"/>
      <c r="QS120" s="1024"/>
      <c r="QT120" s="1024"/>
      <c r="QU120" s="1024"/>
      <c r="QV120" s="1024"/>
      <c r="QW120" s="1024"/>
      <c r="QX120" s="1024"/>
      <c r="QY120" s="1024"/>
      <c r="QZ120" s="1024"/>
      <c r="RA120" s="1024"/>
      <c r="RB120" s="1024"/>
      <c r="RC120" s="1024"/>
      <c r="RD120" s="1024"/>
      <c r="RE120" s="1024"/>
      <c r="RF120" s="1024"/>
      <c r="RG120" s="1024"/>
      <c r="RH120" s="1024"/>
      <c r="RI120" s="1024"/>
      <c r="RJ120" s="1024"/>
      <c r="RK120" s="1024"/>
      <c r="RL120" s="1024"/>
      <c r="RM120" s="1024"/>
      <c r="RN120" s="1024"/>
      <c r="RO120" s="1024"/>
      <c r="RP120" s="1024"/>
      <c r="RQ120" s="1024"/>
      <c r="RR120" s="1024"/>
      <c r="RS120" s="1024"/>
      <c r="RT120" s="1024"/>
      <c r="RU120" s="1024"/>
      <c r="RV120" s="1024"/>
      <c r="RW120" s="1024"/>
      <c r="RX120" s="1024"/>
      <c r="RY120" s="1024"/>
      <c r="RZ120" s="1024"/>
      <c r="SA120" s="1024"/>
      <c r="SB120" s="1024"/>
      <c r="SC120" s="1024"/>
      <c r="SD120" s="1024"/>
      <c r="SE120" s="1024"/>
      <c r="SF120" s="1024"/>
      <c r="SG120" s="1024"/>
      <c r="SH120" s="1024"/>
      <c r="SI120" s="1024"/>
      <c r="SJ120" s="1024"/>
      <c r="SK120" s="1024"/>
      <c r="SL120" s="1024"/>
      <c r="SM120" s="1024"/>
      <c r="SN120" s="1024"/>
      <c r="SO120" s="1024"/>
      <c r="SP120" s="1024"/>
      <c r="SQ120" s="1024"/>
      <c r="SR120" s="1024"/>
    </row>
    <row r="121" spans="1:512" ht="15" customHeight="1">
      <c r="A121"/>
      <c r="B121" t="s">
        <v>2237</v>
      </c>
      <c r="C121"/>
      <c r="D121"/>
      <c r="E121" t="s">
        <v>169</v>
      </c>
      <c r="F121"/>
      <c r="G121" s="1022">
        <v>5.098045874722254E-2</v>
      </c>
      <c r="H121" s="1022">
        <v>2.8618786364451303E-2</v>
      </c>
      <c r="I121" s="1022"/>
      <c r="J121" s="1022"/>
      <c r="K121" s="1022"/>
      <c r="L121" s="1022"/>
      <c r="M121" s="1022"/>
      <c r="N121" s="1022"/>
      <c r="O121" s="1022"/>
      <c r="P121" s="1022"/>
      <c r="Q121" s="1022"/>
      <c r="R121" s="1022"/>
      <c r="S121" s="1022"/>
      <c r="T121" s="1022"/>
      <c r="U121" s="1021"/>
      <c r="V121" s="1021"/>
      <c r="W121" s="1021"/>
      <c r="X121" s="1021"/>
      <c r="Y121" s="1021"/>
      <c r="Z121" s="1021"/>
      <c r="AA121" s="1021"/>
      <c r="AB121" s="1021"/>
      <c r="AC121" s="1021"/>
      <c r="AD121" s="1021"/>
      <c r="AE121" s="1021"/>
      <c r="AF121" s="1021"/>
      <c r="AG121" s="1021"/>
      <c r="AH121" s="1021"/>
      <c r="AI121" s="1021"/>
      <c r="AJ121" s="1021"/>
      <c r="AK121" s="1021"/>
      <c r="AL121" s="1021"/>
      <c r="AM121" s="1021"/>
      <c r="AN121" s="1021"/>
      <c r="AO121" s="1021"/>
      <c r="AP121" s="1021"/>
      <c r="AQ121" s="1021"/>
      <c r="AR121" s="1021"/>
      <c r="AS121" s="1021"/>
      <c r="AT121" s="1021"/>
      <c r="AU121" s="1021"/>
      <c r="AV121" s="1021"/>
      <c r="AW121" s="1021"/>
      <c r="AX121" s="1021"/>
      <c r="AY121" s="1021"/>
      <c r="AZ121" s="1021"/>
      <c r="BA121" s="1021"/>
      <c r="BB121" s="1021"/>
      <c r="BC121" s="1021"/>
      <c r="BD121" s="1021"/>
      <c r="BE121" s="1021"/>
      <c r="BF121" s="1021"/>
      <c r="BG121" s="1021"/>
      <c r="BH121" s="1021"/>
      <c r="BI121" s="1021"/>
      <c r="BJ121" s="1021"/>
      <c r="BK121" s="1021"/>
      <c r="BL121" s="1021"/>
      <c r="BM121" s="1021"/>
      <c r="BN121" s="1021"/>
      <c r="BO121" s="1021"/>
      <c r="BP121" s="1021"/>
      <c r="BQ121" s="1021"/>
      <c r="BR121" s="1021"/>
      <c r="BS121" s="1021"/>
      <c r="BT121" s="1021"/>
      <c r="BU121" s="1021"/>
      <c r="BV121" s="1021"/>
      <c r="BW121" s="1021"/>
      <c r="BX121" s="1021"/>
      <c r="BY121" s="1021"/>
      <c r="BZ121" s="1021"/>
      <c r="CA121" s="1021"/>
      <c r="CB121" s="1021"/>
      <c r="CC121" s="1021"/>
      <c r="CD121" s="1021"/>
      <c r="CE121" s="1021"/>
      <c r="CF121" s="1021"/>
      <c r="CG121" s="1021"/>
      <c r="CH121" s="1021"/>
      <c r="CI121" s="1021"/>
      <c r="CJ121" s="1021"/>
      <c r="CK121" s="1021"/>
      <c r="CL121" s="1021"/>
      <c r="CM121" s="1021"/>
      <c r="CN121" s="1021"/>
      <c r="CO121" s="1021"/>
      <c r="CP121" s="1021"/>
      <c r="CQ121" s="1021"/>
      <c r="CR121" s="1021"/>
      <c r="CS121" s="1021"/>
      <c r="CT121" s="1021"/>
      <c r="CU121" s="1021"/>
      <c r="CV121" s="1021"/>
      <c r="CW121" s="1021"/>
      <c r="CX121" s="1021"/>
      <c r="CY121" s="1021"/>
      <c r="CZ121" s="1021"/>
      <c r="DA121" s="1021"/>
      <c r="DB121" s="1021"/>
      <c r="DC121" s="1021"/>
      <c r="DD121" s="1021"/>
      <c r="DE121" s="1021"/>
      <c r="DF121" s="1021"/>
      <c r="DG121" s="1021"/>
      <c r="DH121" s="1021"/>
      <c r="DI121" s="1021"/>
      <c r="DJ121" s="1021"/>
      <c r="DK121" s="1021"/>
      <c r="DL121" s="1021"/>
      <c r="DM121" s="1021"/>
      <c r="DN121" s="1021"/>
      <c r="DO121" s="1021"/>
      <c r="DP121" s="1021"/>
      <c r="DQ121" s="1021"/>
      <c r="DR121" s="1021"/>
      <c r="DS121" s="1021"/>
      <c r="DT121" s="1021"/>
      <c r="DU121" s="1021"/>
      <c r="DV121" s="1021"/>
      <c r="DW121" s="1021"/>
      <c r="DX121" s="1021"/>
      <c r="DY121" s="1021"/>
      <c r="DZ121" s="1021"/>
      <c r="EA121" s="1021"/>
      <c r="EB121" s="1021"/>
      <c r="EC121" s="1021"/>
      <c r="ED121" s="1021"/>
      <c r="EE121" s="1021"/>
      <c r="EF121" s="1021"/>
      <c r="EG121" s="1021"/>
      <c r="EH121" s="1021"/>
      <c r="EI121" s="1021"/>
      <c r="EJ121" s="1021"/>
      <c r="EK121" s="1021"/>
      <c r="EL121" s="1021"/>
      <c r="EM121" s="1021"/>
      <c r="EN121" s="1021"/>
      <c r="EO121" s="1021"/>
      <c r="EP121" s="1021"/>
      <c r="EQ121" s="1021"/>
      <c r="ER121" s="1021"/>
      <c r="ES121" s="1021"/>
      <c r="ET121" s="1021"/>
      <c r="EU121" s="1021"/>
      <c r="EV121" s="1021"/>
      <c r="EW121" s="1021"/>
      <c r="EX121" s="1021"/>
      <c r="EY121" s="1021"/>
      <c r="EZ121" s="1021"/>
      <c r="FA121" s="1021"/>
      <c r="FB121" s="1021"/>
      <c r="FC121" s="1021"/>
      <c r="FD121" s="1021"/>
      <c r="FE121" s="1021"/>
      <c r="FF121" s="1021"/>
      <c r="FG121" s="1021"/>
      <c r="FH121" s="1021"/>
      <c r="FI121" s="1021"/>
      <c r="FJ121" s="1021"/>
      <c r="FK121" s="1021"/>
      <c r="FL121" s="1021"/>
      <c r="FM121" s="1021"/>
      <c r="FN121" s="1021"/>
      <c r="FO121" s="1021"/>
      <c r="FP121" s="1021"/>
      <c r="FQ121" s="1021"/>
      <c r="FR121" s="1021"/>
      <c r="FS121" s="1021"/>
      <c r="FT121" s="1021"/>
      <c r="FU121" s="1021"/>
      <c r="FV121" s="1021"/>
      <c r="FW121" s="1021"/>
      <c r="FX121" s="1021"/>
      <c r="FY121" s="1021"/>
      <c r="FZ121" s="1021"/>
      <c r="GA121" s="1021"/>
      <c r="GB121" s="1021"/>
      <c r="GC121" s="1021"/>
      <c r="GD121" s="1021"/>
      <c r="GE121" s="1021"/>
      <c r="GF121" s="1021"/>
      <c r="GG121" s="1021"/>
      <c r="GH121" s="1021"/>
      <c r="GI121" s="1021"/>
      <c r="GJ121" s="1021"/>
      <c r="GK121" s="1021"/>
      <c r="GL121" s="1021"/>
      <c r="GM121" s="1021"/>
      <c r="GN121" s="1021"/>
      <c r="GO121" s="1021"/>
      <c r="GP121" s="1021"/>
      <c r="GQ121" s="1021"/>
      <c r="GR121" s="1021"/>
      <c r="GS121" s="1021"/>
      <c r="GT121" s="1021"/>
      <c r="GU121" s="1021"/>
      <c r="GV121" s="1021"/>
      <c r="GW121" s="1021"/>
      <c r="GX121" s="1021"/>
      <c r="GY121" s="1021"/>
      <c r="GZ121" s="1021"/>
      <c r="HA121" s="1021"/>
      <c r="HB121" s="1021"/>
      <c r="HC121" s="1021"/>
      <c r="HD121" s="1021"/>
      <c r="HE121" s="1021"/>
      <c r="HF121" s="1021"/>
      <c r="HG121" s="1021"/>
      <c r="HH121" s="1021"/>
      <c r="HI121" s="1021"/>
      <c r="HJ121" s="1021"/>
      <c r="HK121" s="1021"/>
      <c r="HL121" s="1021"/>
      <c r="HM121" s="1021"/>
      <c r="HN121" s="1021"/>
      <c r="HO121" s="1021"/>
      <c r="HP121" s="1021"/>
      <c r="HQ121" s="1021"/>
      <c r="HR121" s="1021"/>
      <c r="HS121" s="1021"/>
      <c r="HT121" s="1021"/>
      <c r="HU121" s="1021"/>
      <c r="HV121" s="1021"/>
      <c r="HW121" s="1021"/>
      <c r="HX121" s="1021"/>
      <c r="HY121" s="1021"/>
      <c r="HZ121" s="1021"/>
      <c r="IA121" s="1021"/>
      <c r="IB121" s="1021"/>
      <c r="IC121" s="1021"/>
      <c r="ID121" s="1021"/>
      <c r="IE121" s="1021"/>
      <c r="IF121" s="1021"/>
      <c r="IG121" s="1021"/>
      <c r="IH121" s="1021"/>
      <c r="II121" s="1021"/>
      <c r="IJ121" s="1021"/>
      <c r="IK121" s="1021"/>
      <c r="IL121" s="1021"/>
      <c r="IM121" s="1021"/>
      <c r="IN121" s="1021"/>
      <c r="IO121" s="1021"/>
      <c r="IP121" s="1021"/>
      <c r="IQ121" s="1021"/>
      <c r="IR121" s="1021"/>
      <c r="IS121" s="1021"/>
      <c r="IT121" s="1021"/>
      <c r="IU121" s="1021"/>
      <c r="IV121" s="1021"/>
      <c r="IW121" s="1021"/>
      <c r="IX121" s="1021"/>
      <c r="IY121" s="1021"/>
      <c r="IZ121" s="1021"/>
      <c r="JA121" s="1021"/>
      <c r="JB121" s="1021"/>
      <c r="JC121" s="1021"/>
      <c r="JD121" s="1021"/>
      <c r="JE121" s="1021"/>
      <c r="JF121" s="1021"/>
      <c r="JG121" s="1021"/>
      <c r="JH121" s="1021"/>
      <c r="JI121" s="1021"/>
      <c r="JJ121" s="1021"/>
      <c r="JK121" s="1021"/>
      <c r="JL121" s="1021"/>
      <c r="JM121" s="1021"/>
      <c r="JN121" s="1021"/>
      <c r="JO121" s="1021"/>
      <c r="JP121" s="1021"/>
      <c r="JQ121" s="1021"/>
      <c r="JR121" s="1021"/>
      <c r="JS121" s="1021"/>
      <c r="JT121" s="1021"/>
      <c r="JU121" s="1021"/>
      <c r="JV121" s="1021"/>
      <c r="JW121" s="1021"/>
      <c r="JX121" s="1021"/>
      <c r="JY121" s="1021"/>
      <c r="JZ121" s="1021"/>
      <c r="KA121" s="1021"/>
      <c r="KB121" s="1021"/>
      <c r="KC121" s="1021"/>
      <c r="KD121" s="1021"/>
      <c r="KE121" s="1021"/>
      <c r="KF121" s="1021"/>
      <c r="KG121" s="1021"/>
      <c r="KH121" s="1021"/>
      <c r="KI121" s="1021"/>
      <c r="KJ121" s="1021"/>
      <c r="KK121" s="1021"/>
      <c r="KL121" s="1021"/>
      <c r="KM121" s="1021"/>
      <c r="KN121" s="1021"/>
      <c r="KO121" s="1021"/>
      <c r="KP121" s="1021"/>
      <c r="KQ121" s="1021"/>
      <c r="KR121" s="1021"/>
      <c r="KS121" s="1021"/>
      <c r="KT121" s="1021"/>
      <c r="KU121" s="1021"/>
      <c r="KV121" s="1021"/>
      <c r="KW121" s="1021"/>
      <c r="KX121" s="1021"/>
      <c r="KY121" s="1021"/>
      <c r="KZ121" s="1021"/>
      <c r="LA121" s="1021"/>
      <c r="LB121" s="1021"/>
      <c r="LC121" s="1021"/>
      <c r="LD121" s="1021"/>
      <c r="LE121" s="1021"/>
      <c r="LF121" s="1021"/>
      <c r="LG121" s="1021"/>
      <c r="LH121" s="1021"/>
      <c r="LI121" s="1021"/>
      <c r="LJ121" s="1021"/>
      <c r="LK121" s="1021"/>
      <c r="LL121" s="1021"/>
      <c r="LM121" s="1021"/>
      <c r="LN121" s="1021"/>
      <c r="LO121" s="1021"/>
      <c r="LP121" s="1021"/>
      <c r="LQ121" s="1021"/>
      <c r="LR121" s="1021"/>
      <c r="LS121" s="1021"/>
      <c r="LT121" s="1021"/>
      <c r="LU121" s="1021"/>
      <c r="LV121" s="1021"/>
      <c r="LW121" s="1021"/>
      <c r="LX121" s="1021"/>
      <c r="LY121" s="1021"/>
      <c r="LZ121" s="1021"/>
      <c r="MA121" s="1021"/>
      <c r="MB121" s="1021"/>
      <c r="MC121" s="1021"/>
      <c r="MD121" s="1021"/>
      <c r="ME121" s="1021"/>
      <c r="MF121" s="1021"/>
      <c r="MG121" s="1021"/>
      <c r="MH121" s="1021"/>
      <c r="MI121" s="1021"/>
      <c r="MJ121" s="1021"/>
      <c r="MK121" s="1021"/>
      <c r="ML121" s="1021"/>
      <c r="MM121" s="1021"/>
      <c r="MN121" s="1021"/>
      <c r="MO121" s="1021"/>
      <c r="MP121" s="1021"/>
      <c r="MQ121" s="1021"/>
      <c r="MR121" s="1021"/>
      <c r="MS121" s="1021"/>
      <c r="MT121" s="1021"/>
      <c r="MU121" s="1021"/>
      <c r="MV121" s="1021"/>
      <c r="MW121" s="1021"/>
      <c r="MX121" s="1021"/>
      <c r="MY121" s="1021"/>
      <c r="MZ121" s="1021"/>
      <c r="NA121" s="1021"/>
      <c r="NB121" s="1021"/>
      <c r="NC121" s="1021"/>
      <c r="ND121" s="1021"/>
      <c r="NE121" s="1021"/>
      <c r="NF121" s="1021"/>
      <c r="NG121" s="1021"/>
      <c r="NH121" s="1021"/>
      <c r="NI121" s="1021"/>
      <c r="NJ121" s="1021"/>
      <c r="NK121" s="1021"/>
      <c r="NL121" s="1021"/>
      <c r="NM121" s="1021"/>
      <c r="NN121" s="1021"/>
      <c r="NO121" s="1021"/>
      <c r="NP121" s="1021"/>
      <c r="NQ121" s="1021"/>
      <c r="NR121" s="1021"/>
      <c r="NS121" s="1021"/>
      <c r="NT121" s="1021"/>
      <c r="NU121" s="1021"/>
      <c r="NV121" s="1021"/>
      <c r="NW121" s="1021"/>
      <c r="NX121" s="1021"/>
      <c r="NY121" s="1021"/>
      <c r="NZ121" s="1021"/>
      <c r="OA121" s="1021"/>
      <c r="OB121" s="1021"/>
      <c r="OC121" s="1021"/>
      <c r="OD121" s="1021"/>
      <c r="OE121" s="1021"/>
      <c r="OF121" s="1021"/>
      <c r="OG121" s="1021"/>
      <c r="OH121" s="1021"/>
      <c r="OI121" s="1021"/>
      <c r="OJ121" s="1021"/>
      <c r="OK121" s="1021"/>
      <c r="OL121" s="1021"/>
      <c r="OM121" s="1021"/>
      <c r="ON121" s="1021"/>
      <c r="OO121" s="1021"/>
      <c r="OP121" s="1021"/>
      <c r="OQ121" s="1021"/>
      <c r="OR121" s="1021"/>
      <c r="OS121" s="1021"/>
      <c r="OT121" s="1021"/>
      <c r="OU121" s="1021"/>
      <c r="OV121" s="1021"/>
      <c r="OW121" s="1021"/>
      <c r="OX121" s="1021"/>
      <c r="OY121" s="1021"/>
      <c r="OZ121" s="1021"/>
      <c r="PA121" s="1021"/>
      <c r="PB121" s="1021"/>
      <c r="PC121" s="1021"/>
      <c r="PD121" s="1021"/>
      <c r="PE121" s="1021"/>
      <c r="PF121" s="1021"/>
      <c r="PG121" s="1021"/>
      <c r="PH121" s="1021"/>
      <c r="PI121" s="1021"/>
      <c r="PJ121" s="1021"/>
      <c r="PK121" s="1021"/>
      <c r="PL121" s="1021"/>
      <c r="PM121" s="1021"/>
      <c r="PN121" s="1021"/>
      <c r="PO121" s="1021"/>
      <c r="PP121" s="1021"/>
      <c r="PQ121" s="1021"/>
      <c r="PR121" s="1021"/>
      <c r="PS121" s="1021"/>
      <c r="PT121" s="1021"/>
      <c r="PU121" s="1021"/>
      <c r="PV121" s="1021"/>
      <c r="PW121" s="1021"/>
      <c r="PX121" s="1021"/>
      <c r="PY121" s="1021"/>
      <c r="PZ121" s="1021"/>
      <c r="QA121" s="1021"/>
      <c r="QB121" s="1021"/>
      <c r="QC121" s="1021"/>
      <c r="QD121" s="1021"/>
      <c r="QE121" s="1021"/>
      <c r="QF121" s="1021"/>
      <c r="QG121" s="1021"/>
      <c r="QH121" s="1021"/>
      <c r="QI121" s="1021"/>
      <c r="QJ121" s="1021"/>
      <c r="QK121" s="1021"/>
      <c r="QL121" s="1021"/>
      <c r="QM121" s="1021"/>
      <c r="QN121" s="1021"/>
      <c r="QO121" s="1021"/>
      <c r="QP121" s="1021"/>
      <c r="QQ121" s="1021"/>
      <c r="QR121" s="1021"/>
      <c r="QS121" s="1021"/>
      <c r="QT121" s="1021"/>
      <c r="QU121" s="1021"/>
      <c r="QV121" s="1021"/>
      <c r="QW121" s="1021"/>
      <c r="QX121" s="1021"/>
      <c r="QY121" s="1021"/>
      <c r="QZ121" s="1021"/>
      <c r="RA121" s="1021"/>
      <c r="RB121" s="1021"/>
      <c r="RC121" s="1021"/>
      <c r="RD121" s="1021"/>
      <c r="RE121" s="1021"/>
      <c r="RF121" s="1021"/>
      <c r="RG121" s="1021"/>
      <c r="RH121" s="1021"/>
      <c r="RI121" s="1021"/>
      <c r="RJ121" s="1021"/>
      <c r="RK121" s="1021"/>
      <c r="RL121" s="1021"/>
      <c r="RM121" s="1021"/>
      <c r="RN121" s="1021"/>
      <c r="RO121" s="1021"/>
      <c r="RP121" s="1021"/>
      <c r="RQ121" s="1021"/>
      <c r="RR121" s="1021"/>
      <c r="RS121" s="1021"/>
      <c r="RT121" s="1021"/>
      <c r="RU121" s="1021"/>
      <c r="RV121" s="1021"/>
      <c r="RW121" s="1021"/>
      <c r="RX121" s="1021"/>
      <c r="RY121" s="1021"/>
      <c r="RZ121" s="1021"/>
      <c r="SA121" s="1021"/>
      <c r="SB121" s="1021"/>
      <c r="SC121" s="1021"/>
      <c r="SD121" s="1021"/>
      <c r="SE121" s="1021"/>
      <c r="SF121" s="1021"/>
      <c r="SG121" s="1021"/>
      <c r="SH121" s="1021"/>
      <c r="SI121" s="1021"/>
      <c r="SJ121" s="1021"/>
      <c r="SK121" s="1021"/>
      <c r="SL121" s="1021"/>
      <c r="SM121" s="1021"/>
      <c r="SN121" s="1021"/>
      <c r="SO121" s="1021"/>
      <c r="SP121" s="1021"/>
      <c r="SQ121" s="1021"/>
      <c r="SR121" s="1021"/>
    </row>
    <row r="122" spans="1:512" ht="15" customHeight="1">
      <c r="A122"/>
      <c r="B122" t="s">
        <v>2238</v>
      </c>
      <c r="C122"/>
      <c r="D122"/>
      <c r="E122" t="s">
        <v>3848</v>
      </c>
      <c r="F122"/>
      <c r="G122" s="1023">
        <v>6.5694094182011948</v>
      </c>
      <c r="H122" s="1023">
        <v>4.0042457940830314</v>
      </c>
      <c r="I122" s="1023"/>
      <c r="J122" s="1023"/>
      <c r="K122" s="1023"/>
      <c r="L122" s="1023"/>
      <c r="M122" s="1023"/>
      <c r="N122" s="1023"/>
      <c r="O122" s="1023"/>
      <c r="P122" s="1023"/>
      <c r="Q122" s="1023"/>
      <c r="R122" s="1023"/>
      <c r="S122" s="1023"/>
      <c r="T122" s="1023"/>
      <c r="U122" s="1021"/>
      <c r="V122" s="1021"/>
      <c r="W122" s="1021"/>
      <c r="X122" s="1021"/>
      <c r="Y122" s="1021"/>
      <c r="Z122" s="1021"/>
      <c r="AA122" s="1021"/>
      <c r="AB122" s="1021"/>
      <c r="AC122" s="1021"/>
      <c r="AD122" s="1021"/>
      <c r="AE122" s="1021"/>
      <c r="AF122" s="1021"/>
      <c r="AG122" s="1021"/>
      <c r="AH122" s="1021"/>
      <c r="AI122" s="1021"/>
      <c r="AJ122" s="1021"/>
      <c r="AK122" s="1021"/>
      <c r="AL122" s="1021"/>
      <c r="AM122" s="1021"/>
      <c r="AN122" s="1021"/>
      <c r="AO122" s="1021"/>
      <c r="AP122" s="1021"/>
      <c r="AQ122" s="1021"/>
      <c r="AR122" s="1021"/>
      <c r="AS122" s="1021"/>
      <c r="AT122" s="1021"/>
      <c r="AU122" s="1021"/>
      <c r="AV122" s="1021"/>
      <c r="AW122" s="1021"/>
      <c r="AX122" s="1021"/>
      <c r="AY122" s="1021"/>
      <c r="AZ122" s="1021"/>
      <c r="BA122" s="1021"/>
      <c r="BB122" s="1021"/>
      <c r="BC122" s="1021"/>
      <c r="BD122" s="1021"/>
      <c r="BE122" s="1021"/>
      <c r="BF122" s="1021"/>
      <c r="BG122" s="1021"/>
      <c r="BH122" s="1021"/>
      <c r="BI122" s="1021"/>
      <c r="BJ122" s="1021"/>
      <c r="BK122" s="1021"/>
      <c r="BL122" s="1021"/>
      <c r="BM122" s="1021"/>
      <c r="BN122" s="1021"/>
      <c r="BO122" s="1021"/>
      <c r="BP122" s="1021"/>
      <c r="BQ122" s="1021"/>
      <c r="BR122" s="1021"/>
      <c r="BS122" s="1021"/>
      <c r="BT122" s="1021"/>
      <c r="BU122" s="1021"/>
      <c r="BV122" s="1021"/>
      <c r="BW122" s="1021"/>
      <c r="BX122" s="1021"/>
      <c r="BY122" s="1021"/>
      <c r="BZ122" s="1021"/>
      <c r="CA122" s="1021"/>
      <c r="CB122" s="1021"/>
      <c r="CC122" s="1021"/>
      <c r="CD122" s="1021"/>
      <c r="CE122" s="1021"/>
      <c r="CF122" s="1021"/>
      <c r="CG122" s="1021"/>
      <c r="CH122" s="1021"/>
      <c r="CI122" s="1021"/>
      <c r="CJ122" s="1021"/>
      <c r="CK122" s="1021"/>
      <c r="CL122" s="1021"/>
      <c r="CM122" s="1021"/>
      <c r="CN122" s="1021"/>
      <c r="CO122" s="1021"/>
      <c r="CP122" s="1021"/>
      <c r="CQ122" s="1021"/>
      <c r="CR122" s="1021"/>
      <c r="CS122" s="1021"/>
      <c r="CT122" s="1021"/>
      <c r="CU122" s="1021"/>
      <c r="CV122" s="1021"/>
      <c r="CW122" s="1021"/>
      <c r="CX122" s="1021"/>
      <c r="CY122" s="1021"/>
      <c r="CZ122" s="1021"/>
      <c r="DA122" s="1021"/>
      <c r="DB122" s="1021"/>
      <c r="DC122" s="1021"/>
      <c r="DD122" s="1021"/>
      <c r="DE122" s="1021"/>
      <c r="DF122" s="1021"/>
      <c r="DG122" s="1021"/>
      <c r="DH122" s="1021"/>
      <c r="DI122" s="1021"/>
      <c r="DJ122" s="1021"/>
      <c r="DK122" s="1021"/>
      <c r="DL122" s="1021"/>
      <c r="DM122" s="1021"/>
      <c r="DN122" s="1021"/>
      <c r="DO122" s="1021"/>
      <c r="DP122" s="1021"/>
      <c r="DQ122" s="1021"/>
      <c r="DR122" s="1021"/>
      <c r="DS122" s="1021"/>
      <c r="DT122" s="1021"/>
      <c r="DU122" s="1021"/>
      <c r="DV122" s="1021"/>
      <c r="DW122" s="1021"/>
      <c r="DX122" s="1021"/>
      <c r="DY122" s="1021"/>
      <c r="DZ122" s="1021"/>
      <c r="EA122" s="1021"/>
      <c r="EB122" s="1021"/>
      <c r="EC122" s="1021"/>
      <c r="ED122" s="1021"/>
      <c r="EE122" s="1021"/>
      <c r="EF122" s="1021"/>
      <c r="EG122" s="1021"/>
      <c r="EH122" s="1021"/>
      <c r="EI122" s="1021"/>
      <c r="EJ122" s="1021"/>
      <c r="EK122" s="1021"/>
      <c r="EL122" s="1021"/>
      <c r="EM122" s="1021"/>
      <c r="EN122" s="1021"/>
      <c r="EO122" s="1021"/>
      <c r="EP122" s="1021"/>
      <c r="EQ122" s="1021"/>
      <c r="ER122" s="1021"/>
      <c r="ES122" s="1021"/>
      <c r="ET122" s="1021"/>
      <c r="EU122" s="1021"/>
      <c r="EV122" s="1021"/>
      <c r="EW122" s="1021"/>
      <c r="EX122" s="1021"/>
      <c r="EY122" s="1021"/>
      <c r="EZ122" s="1021"/>
      <c r="FA122" s="1021"/>
      <c r="FB122" s="1021"/>
      <c r="FC122" s="1021"/>
      <c r="FD122" s="1021"/>
      <c r="FE122" s="1021"/>
      <c r="FF122" s="1021"/>
      <c r="FG122" s="1021"/>
      <c r="FH122" s="1021"/>
      <c r="FI122" s="1021"/>
      <c r="FJ122" s="1021"/>
      <c r="FK122" s="1021"/>
      <c r="FL122" s="1021"/>
      <c r="FM122" s="1021"/>
      <c r="FN122" s="1021"/>
      <c r="FO122" s="1021"/>
      <c r="FP122" s="1021"/>
      <c r="FQ122" s="1021"/>
      <c r="FR122" s="1021"/>
      <c r="FS122" s="1021"/>
      <c r="FT122" s="1021"/>
      <c r="FU122" s="1021"/>
      <c r="FV122" s="1021"/>
      <c r="FW122" s="1021"/>
      <c r="FX122" s="1021"/>
      <c r="FY122" s="1021"/>
      <c r="FZ122" s="1021"/>
      <c r="GA122" s="1021"/>
      <c r="GB122" s="1021"/>
      <c r="GC122" s="1021"/>
      <c r="GD122" s="1021"/>
      <c r="GE122" s="1021"/>
      <c r="GF122" s="1021"/>
      <c r="GG122" s="1021"/>
      <c r="GH122" s="1021"/>
      <c r="GI122" s="1021"/>
      <c r="GJ122" s="1021"/>
      <c r="GK122" s="1021"/>
      <c r="GL122" s="1021"/>
      <c r="GM122" s="1021"/>
      <c r="GN122" s="1021"/>
      <c r="GO122" s="1021"/>
      <c r="GP122" s="1021"/>
      <c r="GQ122" s="1021"/>
      <c r="GR122" s="1021"/>
      <c r="GS122" s="1021"/>
      <c r="GT122" s="1021"/>
      <c r="GU122" s="1021"/>
      <c r="GV122" s="1021"/>
      <c r="GW122" s="1021"/>
      <c r="GX122" s="1021"/>
      <c r="GY122" s="1021"/>
      <c r="GZ122" s="1021"/>
      <c r="HA122" s="1021"/>
      <c r="HB122" s="1021"/>
      <c r="HC122" s="1021"/>
      <c r="HD122" s="1021"/>
      <c r="HE122" s="1021"/>
      <c r="HF122" s="1021"/>
      <c r="HG122" s="1021"/>
      <c r="HH122" s="1021"/>
      <c r="HI122" s="1021"/>
      <c r="HJ122" s="1021"/>
      <c r="HK122" s="1021"/>
      <c r="HL122" s="1021"/>
      <c r="HM122" s="1021"/>
      <c r="HN122" s="1021"/>
      <c r="HO122" s="1021"/>
      <c r="HP122" s="1021"/>
      <c r="HQ122" s="1021"/>
      <c r="HR122" s="1021"/>
      <c r="HS122" s="1021"/>
      <c r="HT122" s="1021"/>
      <c r="HU122" s="1021"/>
      <c r="HV122" s="1021"/>
      <c r="HW122" s="1021"/>
      <c r="HX122" s="1021"/>
      <c r="HY122" s="1021"/>
      <c r="HZ122" s="1021"/>
      <c r="IA122" s="1021"/>
      <c r="IB122" s="1021"/>
      <c r="IC122" s="1021"/>
      <c r="ID122" s="1021"/>
      <c r="IE122" s="1021"/>
      <c r="IF122" s="1021"/>
      <c r="IG122" s="1021"/>
      <c r="IH122" s="1021"/>
      <c r="II122" s="1021"/>
      <c r="IJ122" s="1021"/>
      <c r="IK122" s="1021"/>
      <c r="IL122" s="1021"/>
      <c r="IM122" s="1021"/>
      <c r="IN122" s="1021"/>
      <c r="IO122" s="1021"/>
      <c r="IP122" s="1021"/>
      <c r="IQ122" s="1021"/>
      <c r="IR122" s="1021"/>
      <c r="IS122" s="1021"/>
      <c r="IT122" s="1021"/>
      <c r="IU122" s="1021"/>
      <c r="IV122" s="1021"/>
      <c r="IW122" s="1021"/>
      <c r="IX122" s="1021"/>
      <c r="IY122" s="1021"/>
      <c r="IZ122" s="1021"/>
      <c r="JA122" s="1021"/>
      <c r="JB122" s="1021"/>
      <c r="JC122" s="1021"/>
      <c r="JD122" s="1021"/>
      <c r="JE122" s="1021"/>
      <c r="JF122" s="1021"/>
      <c r="JG122" s="1021"/>
      <c r="JH122" s="1021"/>
      <c r="JI122" s="1021"/>
      <c r="JJ122" s="1021"/>
      <c r="JK122" s="1021"/>
      <c r="JL122" s="1021"/>
      <c r="JM122" s="1021"/>
      <c r="JN122" s="1021"/>
      <c r="JO122" s="1021"/>
      <c r="JP122" s="1021"/>
      <c r="JQ122" s="1021"/>
      <c r="JR122" s="1021"/>
      <c r="JS122" s="1021"/>
      <c r="JT122" s="1021"/>
      <c r="JU122" s="1021"/>
      <c r="JV122" s="1021"/>
      <c r="JW122" s="1021"/>
      <c r="JX122" s="1021"/>
      <c r="JY122" s="1021"/>
      <c r="JZ122" s="1021"/>
      <c r="KA122" s="1021"/>
      <c r="KB122" s="1021"/>
      <c r="KC122" s="1021"/>
      <c r="KD122" s="1021"/>
      <c r="KE122" s="1021"/>
      <c r="KF122" s="1021"/>
      <c r="KG122" s="1021"/>
      <c r="KH122" s="1021"/>
      <c r="KI122" s="1021"/>
      <c r="KJ122" s="1021"/>
      <c r="KK122" s="1021"/>
      <c r="KL122" s="1021"/>
      <c r="KM122" s="1021"/>
      <c r="KN122" s="1021"/>
      <c r="KO122" s="1021"/>
      <c r="KP122" s="1021"/>
      <c r="KQ122" s="1021"/>
      <c r="KR122" s="1021"/>
      <c r="KS122" s="1021"/>
      <c r="KT122" s="1021"/>
      <c r="KU122" s="1021"/>
      <c r="KV122" s="1021"/>
      <c r="KW122" s="1021"/>
      <c r="KX122" s="1021"/>
      <c r="KY122" s="1021"/>
      <c r="KZ122" s="1021"/>
      <c r="LA122" s="1021"/>
      <c r="LB122" s="1021"/>
      <c r="LC122" s="1021"/>
      <c r="LD122" s="1021"/>
      <c r="LE122" s="1021"/>
      <c r="LF122" s="1021"/>
      <c r="LG122" s="1021"/>
      <c r="LH122" s="1021"/>
      <c r="LI122" s="1021"/>
      <c r="LJ122" s="1021"/>
      <c r="LK122" s="1021"/>
      <c r="LL122" s="1021"/>
      <c r="LM122" s="1021"/>
      <c r="LN122" s="1021"/>
      <c r="LO122" s="1021"/>
      <c r="LP122" s="1021"/>
      <c r="LQ122" s="1021"/>
      <c r="LR122" s="1021"/>
      <c r="LS122" s="1021"/>
      <c r="LT122" s="1021"/>
      <c r="LU122" s="1021"/>
      <c r="LV122" s="1021"/>
      <c r="LW122" s="1021"/>
      <c r="LX122" s="1021"/>
      <c r="LY122" s="1021"/>
      <c r="LZ122" s="1021"/>
      <c r="MA122" s="1021"/>
      <c r="MB122" s="1021"/>
      <c r="MC122" s="1021"/>
      <c r="MD122" s="1021"/>
      <c r="ME122" s="1021"/>
      <c r="MF122" s="1021"/>
      <c r="MG122" s="1021"/>
      <c r="MH122" s="1021"/>
      <c r="MI122" s="1021"/>
      <c r="MJ122" s="1021"/>
      <c r="MK122" s="1021"/>
      <c r="ML122" s="1021"/>
      <c r="MM122" s="1021"/>
      <c r="MN122" s="1021"/>
      <c r="MO122" s="1021"/>
      <c r="MP122" s="1021"/>
      <c r="MQ122" s="1021"/>
      <c r="MR122" s="1021"/>
      <c r="MS122" s="1021"/>
      <c r="MT122" s="1021"/>
      <c r="MU122" s="1021"/>
      <c r="MV122" s="1021"/>
      <c r="MW122" s="1021"/>
      <c r="MX122" s="1021"/>
      <c r="MY122" s="1021"/>
      <c r="MZ122" s="1021"/>
      <c r="NA122" s="1021"/>
      <c r="NB122" s="1021"/>
      <c r="NC122" s="1021"/>
      <c r="ND122" s="1021"/>
      <c r="NE122" s="1021"/>
      <c r="NF122" s="1021"/>
      <c r="NG122" s="1021"/>
      <c r="NH122" s="1021"/>
      <c r="NI122" s="1021"/>
      <c r="NJ122" s="1021"/>
      <c r="NK122" s="1021"/>
      <c r="NL122" s="1021"/>
      <c r="NM122" s="1021"/>
      <c r="NN122" s="1021"/>
      <c r="NO122" s="1021"/>
      <c r="NP122" s="1021"/>
      <c r="NQ122" s="1021"/>
      <c r="NR122" s="1021"/>
      <c r="NS122" s="1021"/>
      <c r="NT122" s="1021"/>
      <c r="NU122" s="1021"/>
      <c r="NV122" s="1021"/>
      <c r="NW122" s="1021"/>
      <c r="NX122" s="1021"/>
      <c r="NY122" s="1021"/>
      <c r="NZ122" s="1021"/>
      <c r="OA122" s="1021"/>
      <c r="OB122" s="1021"/>
      <c r="OC122" s="1021"/>
      <c r="OD122" s="1021"/>
      <c r="OE122" s="1021"/>
      <c r="OF122" s="1021"/>
      <c r="OG122" s="1021"/>
      <c r="OH122" s="1021"/>
      <c r="OI122" s="1021"/>
      <c r="OJ122" s="1021"/>
      <c r="OK122" s="1021"/>
      <c r="OL122" s="1021"/>
      <c r="OM122" s="1021"/>
      <c r="ON122" s="1021"/>
      <c r="OO122" s="1021"/>
      <c r="OP122" s="1021"/>
      <c r="OQ122" s="1021"/>
      <c r="OR122" s="1021"/>
      <c r="OS122" s="1021"/>
      <c r="OT122" s="1021"/>
      <c r="OU122" s="1021"/>
      <c r="OV122" s="1021"/>
      <c r="OW122" s="1021"/>
      <c r="OX122" s="1021"/>
      <c r="OY122" s="1021"/>
      <c r="OZ122" s="1021"/>
      <c r="PA122" s="1021"/>
      <c r="PB122" s="1021"/>
      <c r="PC122" s="1021"/>
      <c r="PD122" s="1021"/>
      <c r="PE122" s="1021"/>
      <c r="PF122" s="1021"/>
      <c r="PG122" s="1021"/>
      <c r="PH122" s="1021"/>
      <c r="PI122" s="1021"/>
      <c r="PJ122" s="1021"/>
      <c r="PK122" s="1021"/>
      <c r="PL122" s="1021"/>
      <c r="PM122" s="1021"/>
      <c r="PN122" s="1021"/>
      <c r="PO122" s="1021"/>
      <c r="PP122" s="1021"/>
      <c r="PQ122" s="1021"/>
      <c r="PR122" s="1021"/>
      <c r="PS122" s="1021"/>
      <c r="PT122" s="1021"/>
      <c r="PU122" s="1021"/>
      <c r="PV122" s="1021"/>
      <c r="PW122" s="1021"/>
      <c r="PX122" s="1021"/>
      <c r="PY122" s="1021"/>
      <c r="PZ122" s="1021"/>
      <c r="QA122" s="1021"/>
      <c r="QB122" s="1021"/>
      <c r="QC122" s="1021"/>
      <c r="QD122" s="1021"/>
      <c r="QE122" s="1021"/>
      <c r="QF122" s="1021"/>
      <c r="QG122" s="1021"/>
      <c r="QH122" s="1021"/>
      <c r="QI122" s="1021"/>
      <c r="QJ122" s="1021"/>
      <c r="QK122" s="1021"/>
      <c r="QL122" s="1021"/>
      <c r="QM122" s="1021"/>
      <c r="QN122" s="1021"/>
      <c r="QO122" s="1021"/>
      <c r="QP122" s="1021"/>
      <c r="QQ122" s="1021"/>
      <c r="QR122" s="1021"/>
      <c r="QS122" s="1021"/>
      <c r="QT122" s="1021"/>
      <c r="QU122" s="1021"/>
      <c r="QV122" s="1021"/>
      <c r="QW122" s="1021"/>
      <c r="QX122" s="1021"/>
      <c r="QY122" s="1021"/>
      <c r="QZ122" s="1021"/>
      <c r="RA122" s="1021"/>
      <c r="RB122" s="1021"/>
      <c r="RC122" s="1021"/>
      <c r="RD122" s="1021"/>
      <c r="RE122" s="1021"/>
      <c r="RF122" s="1021"/>
      <c r="RG122" s="1021"/>
      <c r="RH122" s="1021"/>
      <c r="RI122" s="1021"/>
      <c r="RJ122" s="1021"/>
      <c r="RK122" s="1021"/>
      <c r="RL122" s="1021"/>
      <c r="RM122" s="1021"/>
      <c r="RN122" s="1021"/>
      <c r="RO122" s="1021"/>
      <c r="RP122" s="1021"/>
      <c r="RQ122" s="1021"/>
      <c r="RR122" s="1021"/>
      <c r="RS122" s="1021"/>
      <c r="RT122" s="1021"/>
      <c r="RU122" s="1021"/>
      <c r="RV122" s="1021"/>
      <c r="RW122" s="1021"/>
      <c r="RX122" s="1021"/>
      <c r="RY122" s="1021"/>
      <c r="RZ122" s="1021"/>
      <c r="SA122" s="1021"/>
      <c r="SB122" s="1021"/>
      <c r="SC122" s="1021"/>
      <c r="SD122" s="1021"/>
      <c r="SE122" s="1021"/>
      <c r="SF122" s="1021"/>
      <c r="SG122" s="1021"/>
      <c r="SH122" s="1021"/>
      <c r="SI122" s="1021"/>
      <c r="SJ122" s="1021"/>
      <c r="SK122" s="1021"/>
      <c r="SL122" s="1021"/>
      <c r="SM122" s="1021"/>
      <c r="SN122" s="1021"/>
      <c r="SO122" s="1021"/>
      <c r="SP122" s="1021"/>
      <c r="SQ122" s="1021"/>
      <c r="SR122" s="1021"/>
    </row>
    <row r="123" spans="1:512" ht="15" customHeight="1">
      <c r="A123"/>
      <c r="B123"/>
      <c r="C123" t="s">
        <v>2239</v>
      </c>
      <c r="D123"/>
      <c r="E123" t="s">
        <v>3848</v>
      </c>
      <c r="F123"/>
      <c r="G123" s="1023">
        <v>0.77002678451313111</v>
      </c>
      <c r="H123" s="1023">
        <v>0.64795846328685558</v>
      </c>
      <c r="I123" s="1023"/>
      <c r="J123" s="1023"/>
      <c r="K123" s="1023"/>
      <c r="L123" s="1023"/>
      <c r="M123" s="1023"/>
      <c r="N123" s="1023"/>
      <c r="O123" s="1023"/>
      <c r="P123" s="1023"/>
      <c r="Q123" s="1023"/>
      <c r="R123" s="1023"/>
      <c r="S123" s="1023"/>
      <c r="T123" s="1023"/>
      <c r="U123" s="1021"/>
      <c r="V123" s="1021"/>
      <c r="W123" s="1021"/>
      <c r="X123" s="1021"/>
      <c r="Y123" s="1021"/>
      <c r="Z123" s="1021"/>
      <c r="AA123" s="1021"/>
      <c r="AB123" s="1021"/>
      <c r="AC123" s="1021"/>
      <c r="AD123" s="1021"/>
      <c r="AE123" s="1021"/>
      <c r="AF123" s="1021"/>
      <c r="AG123" s="1021"/>
      <c r="AH123" s="1021"/>
      <c r="AI123" s="1021"/>
      <c r="AJ123" s="1021"/>
      <c r="AK123" s="1021"/>
      <c r="AL123" s="1021"/>
      <c r="AM123" s="1021"/>
      <c r="AN123" s="1021"/>
      <c r="AO123" s="1021"/>
      <c r="AP123" s="1021"/>
      <c r="AQ123" s="1021"/>
      <c r="AR123" s="1021"/>
      <c r="AS123" s="1021"/>
      <c r="AT123" s="1021"/>
      <c r="AU123" s="1021"/>
      <c r="AV123" s="1021"/>
      <c r="AW123" s="1021"/>
      <c r="AX123" s="1021"/>
      <c r="AY123" s="1021"/>
      <c r="AZ123" s="1021"/>
      <c r="BA123" s="1021"/>
      <c r="BB123" s="1021"/>
      <c r="BC123" s="1021"/>
      <c r="BD123" s="1021"/>
      <c r="BE123" s="1021"/>
      <c r="BF123" s="1021"/>
      <c r="BG123" s="1021"/>
      <c r="BH123" s="1021"/>
      <c r="BI123" s="1021"/>
      <c r="BJ123" s="1021"/>
      <c r="BK123" s="1021"/>
      <c r="BL123" s="1021"/>
      <c r="BM123" s="1021"/>
      <c r="BN123" s="1021"/>
      <c r="BO123" s="1021"/>
      <c r="BP123" s="1021"/>
      <c r="BQ123" s="1021"/>
      <c r="BR123" s="1021"/>
      <c r="BS123" s="1021"/>
      <c r="BT123" s="1021"/>
      <c r="BU123" s="1021"/>
      <c r="BV123" s="1021"/>
      <c r="BW123" s="1021"/>
      <c r="BX123" s="1021"/>
      <c r="BY123" s="1021"/>
      <c r="BZ123" s="1021"/>
      <c r="CA123" s="1021"/>
      <c r="CB123" s="1021"/>
      <c r="CC123" s="1021"/>
      <c r="CD123" s="1021"/>
      <c r="CE123" s="1021"/>
      <c r="CF123" s="1021"/>
      <c r="CG123" s="1021"/>
      <c r="CH123" s="1021"/>
      <c r="CI123" s="1021"/>
      <c r="CJ123" s="1021"/>
      <c r="CK123" s="1021"/>
      <c r="CL123" s="1021"/>
      <c r="CM123" s="1021"/>
      <c r="CN123" s="1021"/>
      <c r="CO123" s="1021"/>
      <c r="CP123" s="1021"/>
      <c r="CQ123" s="1021"/>
      <c r="CR123" s="1021"/>
      <c r="CS123" s="1021"/>
      <c r="CT123" s="1021"/>
      <c r="CU123" s="1021"/>
      <c r="CV123" s="1021"/>
      <c r="CW123" s="1021"/>
      <c r="CX123" s="1021"/>
      <c r="CY123" s="1021"/>
      <c r="CZ123" s="1021"/>
      <c r="DA123" s="1021"/>
      <c r="DB123" s="1021"/>
      <c r="DC123" s="1021"/>
      <c r="DD123" s="1021"/>
      <c r="DE123" s="1021"/>
      <c r="DF123" s="1021"/>
      <c r="DG123" s="1021"/>
      <c r="DH123" s="1021"/>
      <c r="DI123" s="1021"/>
      <c r="DJ123" s="1021"/>
      <c r="DK123" s="1021"/>
      <c r="DL123" s="1021"/>
      <c r="DM123" s="1021"/>
      <c r="DN123" s="1021"/>
      <c r="DO123" s="1021"/>
      <c r="DP123" s="1021"/>
      <c r="DQ123" s="1021"/>
      <c r="DR123" s="1021"/>
      <c r="DS123" s="1021"/>
      <c r="DT123" s="1021"/>
      <c r="DU123" s="1021"/>
      <c r="DV123" s="1021"/>
      <c r="DW123" s="1021"/>
      <c r="DX123" s="1021"/>
      <c r="DY123" s="1021"/>
      <c r="DZ123" s="1021"/>
      <c r="EA123" s="1021"/>
      <c r="EB123" s="1021"/>
      <c r="EC123" s="1021"/>
      <c r="ED123" s="1021"/>
      <c r="EE123" s="1021"/>
      <c r="EF123" s="1021"/>
      <c r="EG123" s="1021"/>
      <c r="EH123" s="1021"/>
      <c r="EI123" s="1021"/>
      <c r="EJ123" s="1021"/>
      <c r="EK123" s="1021"/>
      <c r="EL123" s="1021"/>
      <c r="EM123" s="1021"/>
      <c r="EN123" s="1021"/>
      <c r="EO123" s="1021"/>
      <c r="EP123" s="1021"/>
      <c r="EQ123" s="1021"/>
      <c r="ER123" s="1021"/>
      <c r="ES123" s="1021"/>
      <c r="ET123" s="1021"/>
      <c r="EU123" s="1021"/>
      <c r="EV123" s="1021"/>
      <c r="EW123" s="1021"/>
      <c r="EX123" s="1021"/>
      <c r="EY123" s="1021"/>
      <c r="EZ123" s="1021"/>
      <c r="FA123" s="1021"/>
      <c r="FB123" s="1021"/>
      <c r="FC123" s="1021"/>
      <c r="FD123" s="1021"/>
      <c r="FE123" s="1021"/>
      <c r="FF123" s="1021"/>
      <c r="FG123" s="1021"/>
      <c r="FH123" s="1021"/>
      <c r="FI123" s="1021"/>
      <c r="FJ123" s="1021"/>
      <c r="FK123" s="1021"/>
      <c r="FL123" s="1021"/>
      <c r="FM123" s="1021"/>
      <c r="FN123" s="1021"/>
      <c r="FO123" s="1021"/>
      <c r="FP123" s="1021"/>
      <c r="FQ123" s="1021"/>
      <c r="FR123" s="1021"/>
      <c r="FS123" s="1021"/>
      <c r="FT123" s="1021"/>
      <c r="FU123" s="1021"/>
      <c r="FV123" s="1021"/>
      <c r="FW123" s="1021"/>
      <c r="FX123" s="1021"/>
      <c r="FY123" s="1021"/>
      <c r="FZ123" s="1021"/>
      <c r="GA123" s="1021"/>
      <c r="GB123" s="1021"/>
      <c r="GC123" s="1021"/>
      <c r="GD123" s="1021"/>
      <c r="GE123" s="1021"/>
      <c r="GF123" s="1021"/>
      <c r="GG123" s="1021"/>
      <c r="GH123" s="1021"/>
      <c r="GI123" s="1021"/>
      <c r="GJ123" s="1021"/>
      <c r="GK123" s="1021"/>
      <c r="GL123" s="1021"/>
      <c r="GM123" s="1021"/>
      <c r="GN123" s="1021"/>
      <c r="GO123" s="1021"/>
      <c r="GP123" s="1021"/>
      <c r="GQ123" s="1021"/>
      <c r="GR123" s="1021"/>
      <c r="GS123" s="1021"/>
      <c r="GT123" s="1021"/>
      <c r="GU123" s="1021"/>
      <c r="GV123" s="1021"/>
      <c r="GW123" s="1021"/>
      <c r="GX123" s="1021"/>
      <c r="GY123" s="1021"/>
      <c r="GZ123" s="1021"/>
      <c r="HA123" s="1021"/>
      <c r="HB123" s="1021"/>
      <c r="HC123" s="1021"/>
      <c r="HD123" s="1021"/>
      <c r="HE123" s="1021"/>
      <c r="HF123" s="1021"/>
      <c r="HG123" s="1021"/>
      <c r="HH123" s="1021"/>
      <c r="HI123" s="1021"/>
      <c r="HJ123" s="1021"/>
      <c r="HK123" s="1021"/>
      <c r="HL123" s="1021"/>
      <c r="HM123" s="1021"/>
      <c r="HN123" s="1021"/>
      <c r="HO123" s="1021"/>
      <c r="HP123" s="1021"/>
      <c r="HQ123" s="1021"/>
      <c r="HR123" s="1021"/>
      <c r="HS123" s="1021"/>
      <c r="HT123" s="1021"/>
      <c r="HU123" s="1021"/>
      <c r="HV123" s="1021"/>
      <c r="HW123" s="1021"/>
      <c r="HX123" s="1021"/>
      <c r="HY123" s="1021"/>
      <c r="HZ123" s="1021"/>
      <c r="IA123" s="1021"/>
      <c r="IB123" s="1021"/>
      <c r="IC123" s="1021"/>
      <c r="ID123" s="1021"/>
      <c r="IE123" s="1021"/>
      <c r="IF123" s="1021"/>
      <c r="IG123" s="1021"/>
      <c r="IH123" s="1021"/>
      <c r="II123" s="1021"/>
      <c r="IJ123" s="1021"/>
      <c r="IK123" s="1021"/>
      <c r="IL123" s="1021"/>
      <c r="IM123" s="1021"/>
      <c r="IN123" s="1021"/>
      <c r="IO123" s="1021"/>
      <c r="IP123" s="1021"/>
      <c r="IQ123" s="1021"/>
      <c r="IR123" s="1021"/>
      <c r="IS123" s="1021"/>
      <c r="IT123" s="1021"/>
      <c r="IU123" s="1021"/>
      <c r="IV123" s="1021"/>
      <c r="IW123" s="1021"/>
      <c r="IX123" s="1021"/>
      <c r="IY123" s="1021"/>
      <c r="IZ123" s="1021"/>
      <c r="JA123" s="1021"/>
      <c r="JB123" s="1021"/>
      <c r="JC123" s="1021"/>
      <c r="JD123" s="1021"/>
      <c r="JE123" s="1021"/>
      <c r="JF123" s="1021"/>
      <c r="JG123" s="1021"/>
      <c r="JH123" s="1021"/>
      <c r="JI123" s="1021"/>
      <c r="JJ123" s="1021"/>
      <c r="JK123" s="1021"/>
      <c r="JL123" s="1021"/>
      <c r="JM123" s="1021"/>
      <c r="JN123" s="1021"/>
      <c r="JO123" s="1021"/>
      <c r="JP123" s="1021"/>
      <c r="JQ123" s="1021"/>
      <c r="JR123" s="1021"/>
      <c r="JS123" s="1021"/>
      <c r="JT123" s="1021"/>
      <c r="JU123" s="1021"/>
      <c r="JV123" s="1021"/>
      <c r="JW123" s="1021"/>
      <c r="JX123" s="1021"/>
      <c r="JY123" s="1021"/>
      <c r="JZ123" s="1021"/>
      <c r="KA123" s="1021"/>
      <c r="KB123" s="1021"/>
      <c r="KC123" s="1021"/>
      <c r="KD123" s="1021"/>
      <c r="KE123" s="1021"/>
      <c r="KF123" s="1021"/>
      <c r="KG123" s="1021"/>
      <c r="KH123" s="1021"/>
      <c r="KI123" s="1021"/>
      <c r="KJ123" s="1021"/>
      <c r="KK123" s="1021"/>
      <c r="KL123" s="1021"/>
      <c r="KM123" s="1021"/>
      <c r="KN123" s="1021"/>
      <c r="KO123" s="1021"/>
      <c r="KP123" s="1021"/>
      <c r="KQ123" s="1021"/>
      <c r="KR123" s="1021"/>
      <c r="KS123" s="1021"/>
      <c r="KT123" s="1021"/>
      <c r="KU123" s="1021"/>
      <c r="KV123" s="1021"/>
      <c r="KW123" s="1021"/>
      <c r="KX123" s="1021"/>
      <c r="KY123" s="1021"/>
      <c r="KZ123" s="1021"/>
      <c r="LA123" s="1021"/>
      <c r="LB123" s="1021"/>
      <c r="LC123" s="1021"/>
      <c r="LD123" s="1021"/>
      <c r="LE123" s="1021"/>
      <c r="LF123" s="1021"/>
      <c r="LG123" s="1021"/>
      <c r="LH123" s="1021"/>
      <c r="LI123" s="1021"/>
      <c r="LJ123" s="1021"/>
      <c r="LK123" s="1021"/>
      <c r="LL123" s="1021"/>
      <c r="LM123" s="1021"/>
      <c r="LN123" s="1021"/>
      <c r="LO123" s="1021"/>
      <c r="LP123" s="1021"/>
      <c r="LQ123" s="1021"/>
      <c r="LR123" s="1021"/>
      <c r="LS123" s="1021"/>
      <c r="LT123" s="1021"/>
      <c r="LU123" s="1021"/>
      <c r="LV123" s="1021"/>
      <c r="LW123" s="1021"/>
      <c r="LX123" s="1021"/>
      <c r="LY123" s="1021"/>
      <c r="LZ123" s="1021"/>
      <c r="MA123" s="1021"/>
      <c r="MB123" s="1021"/>
      <c r="MC123" s="1021"/>
      <c r="MD123" s="1021"/>
      <c r="ME123" s="1021"/>
      <c r="MF123" s="1021"/>
      <c r="MG123" s="1021"/>
      <c r="MH123" s="1021"/>
      <c r="MI123" s="1021"/>
      <c r="MJ123" s="1021"/>
      <c r="MK123" s="1021"/>
      <c r="ML123" s="1021"/>
      <c r="MM123" s="1021"/>
      <c r="MN123" s="1021"/>
      <c r="MO123" s="1021"/>
      <c r="MP123" s="1021"/>
      <c r="MQ123" s="1021"/>
      <c r="MR123" s="1021"/>
      <c r="MS123" s="1021"/>
      <c r="MT123" s="1021"/>
      <c r="MU123" s="1021"/>
      <c r="MV123" s="1021"/>
      <c r="MW123" s="1021"/>
      <c r="MX123" s="1021"/>
      <c r="MY123" s="1021"/>
      <c r="MZ123" s="1021"/>
      <c r="NA123" s="1021"/>
      <c r="NB123" s="1021"/>
      <c r="NC123" s="1021"/>
      <c r="ND123" s="1021"/>
      <c r="NE123" s="1021"/>
      <c r="NF123" s="1021"/>
      <c r="NG123" s="1021"/>
      <c r="NH123" s="1021"/>
      <c r="NI123" s="1021"/>
      <c r="NJ123" s="1021"/>
      <c r="NK123" s="1021"/>
      <c r="NL123" s="1021"/>
      <c r="NM123" s="1021"/>
      <c r="NN123" s="1021"/>
      <c r="NO123" s="1021"/>
      <c r="NP123" s="1021"/>
      <c r="NQ123" s="1021"/>
      <c r="NR123" s="1021"/>
      <c r="NS123" s="1021"/>
      <c r="NT123" s="1021"/>
      <c r="NU123" s="1021"/>
      <c r="NV123" s="1021"/>
      <c r="NW123" s="1021"/>
      <c r="NX123" s="1021"/>
      <c r="NY123" s="1021"/>
      <c r="NZ123" s="1021"/>
      <c r="OA123" s="1021"/>
      <c r="OB123" s="1021"/>
      <c r="OC123" s="1021"/>
      <c r="OD123" s="1021"/>
      <c r="OE123" s="1021"/>
      <c r="OF123" s="1021"/>
      <c r="OG123" s="1021"/>
      <c r="OH123" s="1021"/>
      <c r="OI123" s="1021"/>
      <c r="OJ123" s="1021"/>
      <c r="OK123" s="1021"/>
      <c r="OL123" s="1021"/>
      <c r="OM123" s="1021"/>
      <c r="ON123" s="1021"/>
      <c r="OO123" s="1021"/>
      <c r="OP123" s="1021"/>
      <c r="OQ123" s="1021"/>
      <c r="OR123" s="1021"/>
      <c r="OS123" s="1021"/>
      <c r="OT123" s="1021"/>
      <c r="OU123" s="1021"/>
      <c r="OV123" s="1021"/>
      <c r="OW123" s="1021"/>
      <c r="OX123" s="1021"/>
      <c r="OY123" s="1021"/>
      <c r="OZ123" s="1021"/>
      <c r="PA123" s="1021"/>
      <c r="PB123" s="1021"/>
      <c r="PC123" s="1021"/>
      <c r="PD123" s="1021"/>
      <c r="PE123" s="1021"/>
      <c r="PF123" s="1021"/>
      <c r="PG123" s="1021"/>
      <c r="PH123" s="1021"/>
      <c r="PI123" s="1021"/>
      <c r="PJ123" s="1021"/>
      <c r="PK123" s="1021"/>
      <c r="PL123" s="1021"/>
      <c r="PM123" s="1021"/>
      <c r="PN123" s="1021"/>
      <c r="PO123" s="1021"/>
      <c r="PP123" s="1021"/>
      <c r="PQ123" s="1021"/>
      <c r="PR123" s="1021"/>
      <c r="PS123" s="1021"/>
      <c r="PT123" s="1021"/>
      <c r="PU123" s="1021"/>
      <c r="PV123" s="1021"/>
      <c r="PW123" s="1021"/>
      <c r="PX123" s="1021"/>
      <c r="PY123" s="1021"/>
      <c r="PZ123" s="1021"/>
      <c r="QA123" s="1021"/>
      <c r="QB123" s="1021"/>
      <c r="QC123" s="1021"/>
      <c r="QD123" s="1021"/>
      <c r="QE123" s="1021"/>
      <c r="QF123" s="1021"/>
      <c r="QG123" s="1021"/>
      <c r="QH123" s="1021"/>
      <c r="QI123" s="1021"/>
      <c r="QJ123" s="1021"/>
      <c r="QK123" s="1021"/>
      <c r="QL123" s="1021"/>
      <c r="QM123" s="1021"/>
      <c r="QN123" s="1021"/>
      <c r="QO123" s="1021"/>
      <c r="QP123" s="1021"/>
      <c r="QQ123" s="1021"/>
      <c r="QR123" s="1021"/>
      <c r="QS123" s="1021"/>
      <c r="QT123" s="1021"/>
      <c r="QU123" s="1021"/>
      <c r="QV123" s="1021"/>
      <c r="QW123" s="1021"/>
      <c r="QX123" s="1021"/>
      <c r="QY123" s="1021"/>
      <c r="QZ123" s="1021"/>
      <c r="RA123" s="1021"/>
      <c r="RB123" s="1021"/>
      <c r="RC123" s="1021"/>
      <c r="RD123" s="1021"/>
      <c r="RE123" s="1021"/>
      <c r="RF123" s="1021"/>
      <c r="RG123" s="1021"/>
      <c r="RH123" s="1021"/>
      <c r="RI123" s="1021"/>
      <c r="RJ123" s="1021"/>
      <c r="RK123" s="1021"/>
      <c r="RL123" s="1021"/>
      <c r="RM123" s="1021"/>
      <c r="RN123" s="1021"/>
      <c r="RO123" s="1021"/>
      <c r="RP123" s="1021"/>
      <c r="RQ123" s="1021"/>
      <c r="RR123" s="1021"/>
      <c r="RS123" s="1021"/>
      <c r="RT123" s="1021"/>
      <c r="RU123" s="1021"/>
      <c r="RV123" s="1021"/>
      <c r="RW123" s="1021"/>
      <c r="RX123" s="1021"/>
      <c r="RY123" s="1021"/>
      <c r="RZ123" s="1021"/>
      <c r="SA123" s="1021"/>
      <c r="SB123" s="1021"/>
      <c r="SC123" s="1021"/>
      <c r="SD123" s="1021"/>
      <c r="SE123" s="1021"/>
      <c r="SF123" s="1021"/>
      <c r="SG123" s="1021"/>
      <c r="SH123" s="1021"/>
      <c r="SI123" s="1021"/>
      <c r="SJ123" s="1021"/>
      <c r="SK123" s="1021"/>
      <c r="SL123" s="1021"/>
      <c r="SM123" s="1021"/>
      <c r="SN123" s="1021"/>
      <c r="SO123" s="1021"/>
      <c r="SP123" s="1021"/>
      <c r="SQ123" s="1021"/>
      <c r="SR123" s="1021"/>
    </row>
    <row r="124" spans="1:512" ht="15" customHeight="1">
      <c r="A124" s="1011"/>
      <c r="B124"/>
      <c r="C124" t="s">
        <v>2240</v>
      </c>
      <c r="D124"/>
      <c r="E124" t="s">
        <v>3848</v>
      </c>
      <c r="F124"/>
      <c r="G124" s="1023">
        <v>5.7993826336880634</v>
      </c>
      <c r="H124" s="1023">
        <v>3.3562873307961758</v>
      </c>
      <c r="I124" s="1023"/>
      <c r="J124" s="1023"/>
      <c r="K124" s="1023"/>
      <c r="L124" s="1023"/>
      <c r="M124" s="1023"/>
      <c r="N124" s="1023"/>
      <c r="O124" s="1023"/>
      <c r="P124" s="1023"/>
      <c r="Q124" s="1023"/>
      <c r="R124" s="1023"/>
      <c r="S124" s="1023"/>
      <c r="T124" s="1023"/>
      <c r="U124" s="1021"/>
      <c r="V124" s="1021"/>
      <c r="W124" s="1021"/>
      <c r="X124" s="1021"/>
      <c r="Y124" s="1021"/>
      <c r="Z124" s="1021"/>
      <c r="AA124" s="1021"/>
      <c r="AB124" s="1021"/>
      <c r="AC124" s="1021"/>
      <c r="AD124" s="1021"/>
      <c r="AE124" s="1021"/>
      <c r="AF124" s="1021"/>
      <c r="AG124" s="1021"/>
      <c r="AH124" s="1021"/>
      <c r="AI124" s="1021"/>
      <c r="AJ124" s="1021"/>
      <c r="AK124" s="1021"/>
      <c r="AL124" s="1021"/>
      <c r="AM124" s="1021"/>
      <c r="AN124" s="1021"/>
      <c r="AO124" s="1021"/>
      <c r="AP124" s="1021"/>
      <c r="AQ124" s="1021"/>
      <c r="AR124" s="1021"/>
      <c r="AS124" s="1021"/>
      <c r="AT124" s="1021"/>
      <c r="AU124" s="1021"/>
      <c r="AV124" s="1021"/>
      <c r="AW124" s="1021"/>
      <c r="AX124" s="1021"/>
      <c r="AY124" s="1021"/>
      <c r="AZ124" s="1021"/>
      <c r="BA124" s="1021"/>
      <c r="BB124" s="1021"/>
      <c r="BC124" s="1021"/>
      <c r="BD124" s="1021"/>
      <c r="BE124" s="1021"/>
      <c r="BF124" s="1021"/>
      <c r="BG124" s="1021"/>
      <c r="BH124" s="1021"/>
      <c r="BI124" s="1021"/>
      <c r="BJ124" s="1021"/>
      <c r="BK124" s="1021"/>
      <c r="BL124" s="1021"/>
      <c r="BM124" s="1021"/>
      <c r="BN124" s="1021"/>
      <c r="BO124" s="1021"/>
      <c r="BP124" s="1021"/>
      <c r="BQ124" s="1021"/>
      <c r="BR124" s="1021"/>
      <c r="BS124" s="1021"/>
      <c r="BT124" s="1021"/>
      <c r="BU124" s="1021"/>
      <c r="BV124" s="1021"/>
      <c r="BW124" s="1021"/>
      <c r="BX124" s="1021"/>
      <c r="BY124" s="1021"/>
      <c r="BZ124" s="1021"/>
      <c r="CA124" s="1021"/>
      <c r="CB124" s="1021"/>
      <c r="CC124" s="1021"/>
      <c r="CD124" s="1021"/>
      <c r="CE124" s="1021"/>
      <c r="CF124" s="1021"/>
      <c r="CG124" s="1021"/>
      <c r="CH124" s="1021"/>
      <c r="CI124" s="1021"/>
      <c r="CJ124" s="1021"/>
      <c r="CK124" s="1021"/>
      <c r="CL124" s="1021"/>
      <c r="CM124" s="1021"/>
      <c r="CN124" s="1021"/>
      <c r="CO124" s="1021"/>
      <c r="CP124" s="1021"/>
      <c r="CQ124" s="1021"/>
      <c r="CR124" s="1021"/>
      <c r="CS124" s="1021"/>
      <c r="CT124" s="1021"/>
      <c r="CU124" s="1021"/>
      <c r="CV124" s="1021"/>
      <c r="CW124" s="1021"/>
      <c r="CX124" s="1021"/>
      <c r="CY124" s="1021"/>
      <c r="CZ124" s="1021"/>
      <c r="DA124" s="1021"/>
      <c r="DB124" s="1021"/>
      <c r="DC124" s="1021"/>
      <c r="DD124" s="1021"/>
      <c r="DE124" s="1021"/>
      <c r="DF124" s="1021"/>
      <c r="DG124" s="1021"/>
      <c r="DH124" s="1021"/>
      <c r="DI124" s="1021"/>
      <c r="DJ124" s="1021"/>
      <c r="DK124" s="1021"/>
      <c r="DL124" s="1021"/>
      <c r="DM124" s="1021"/>
      <c r="DN124" s="1021"/>
      <c r="DO124" s="1021"/>
      <c r="DP124" s="1021"/>
      <c r="DQ124" s="1021"/>
      <c r="DR124" s="1021"/>
      <c r="DS124" s="1021"/>
      <c r="DT124" s="1021"/>
      <c r="DU124" s="1021"/>
      <c r="DV124" s="1021"/>
      <c r="DW124" s="1021"/>
      <c r="DX124" s="1021"/>
      <c r="DY124" s="1021"/>
      <c r="DZ124" s="1021"/>
      <c r="EA124" s="1021"/>
      <c r="EB124" s="1021"/>
      <c r="EC124" s="1021"/>
      <c r="ED124" s="1021"/>
      <c r="EE124" s="1021"/>
      <c r="EF124" s="1021"/>
      <c r="EG124" s="1021"/>
      <c r="EH124" s="1021"/>
      <c r="EI124" s="1021"/>
      <c r="EJ124" s="1021"/>
      <c r="EK124" s="1021"/>
      <c r="EL124" s="1021"/>
      <c r="EM124" s="1021"/>
      <c r="EN124" s="1021"/>
      <c r="EO124" s="1021"/>
      <c r="EP124" s="1021"/>
      <c r="EQ124" s="1021"/>
      <c r="ER124" s="1021"/>
      <c r="ES124" s="1021"/>
      <c r="ET124" s="1021"/>
      <c r="EU124" s="1021"/>
      <c r="EV124" s="1021"/>
      <c r="EW124" s="1021"/>
      <c r="EX124" s="1021"/>
      <c r="EY124" s="1021"/>
      <c r="EZ124" s="1021"/>
      <c r="FA124" s="1021"/>
      <c r="FB124" s="1021"/>
      <c r="FC124" s="1021"/>
      <c r="FD124" s="1021"/>
      <c r="FE124" s="1021"/>
      <c r="FF124" s="1021"/>
      <c r="FG124" s="1021"/>
      <c r="FH124" s="1021"/>
      <c r="FI124" s="1021"/>
      <c r="FJ124" s="1021"/>
      <c r="FK124" s="1021"/>
      <c r="FL124" s="1021"/>
      <c r="FM124" s="1021"/>
      <c r="FN124" s="1021"/>
      <c r="FO124" s="1021"/>
      <c r="FP124" s="1021"/>
      <c r="FQ124" s="1021"/>
      <c r="FR124" s="1021"/>
      <c r="FS124" s="1021"/>
      <c r="FT124" s="1021"/>
      <c r="FU124" s="1021"/>
      <c r="FV124" s="1021"/>
      <c r="FW124" s="1021"/>
      <c r="FX124" s="1021"/>
      <c r="FY124" s="1021"/>
      <c r="FZ124" s="1021"/>
      <c r="GA124" s="1021"/>
      <c r="GB124" s="1021"/>
      <c r="GC124" s="1021"/>
      <c r="GD124" s="1021"/>
      <c r="GE124" s="1021"/>
      <c r="GF124" s="1021"/>
      <c r="GG124" s="1021"/>
      <c r="GH124" s="1021"/>
      <c r="GI124" s="1021"/>
      <c r="GJ124" s="1021"/>
      <c r="GK124" s="1021"/>
      <c r="GL124" s="1021"/>
      <c r="GM124" s="1021"/>
      <c r="GN124" s="1021"/>
      <c r="GO124" s="1021"/>
      <c r="GP124" s="1021"/>
      <c r="GQ124" s="1021"/>
      <c r="GR124" s="1021"/>
      <c r="GS124" s="1021"/>
      <c r="GT124" s="1021"/>
      <c r="GU124" s="1021"/>
      <c r="GV124" s="1021"/>
      <c r="GW124" s="1021"/>
      <c r="GX124" s="1021"/>
      <c r="GY124" s="1021"/>
      <c r="GZ124" s="1021"/>
      <c r="HA124" s="1021"/>
      <c r="HB124" s="1021"/>
      <c r="HC124" s="1021"/>
      <c r="HD124" s="1021"/>
      <c r="HE124" s="1021"/>
      <c r="HF124" s="1021"/>
      <c r="HG124" s="1021"/>
      <c r="HH124" s="1021"/>
      <c r="HI124" s="1021"/>
      <c r="HJ124" s="1021"/>
      <c r="HK124" s="1021"/>
      <c r="HL124" s="1021"/>
      <c r="HM124" s="1021"/>
      <c r="HN124" s="1021"/>
      <c r="HO124" s="1021"/>
      <c r="HP124" s="1021"/>
      <c r="HQ124" s="1021"/>
      <c r="HR124" s="1021"/>
      <c r="HS124" s="1021"/>
      <c r="HT124" s="1021"/>
      <c r="HU124" s="1021"/>
      <c r="HV124" s="1021"/>
      <c r="HW124" s="1021"/>
      <c r="HX124" s="1021"/>
      <c r="HY124" s="1021"/>
      <c r="HZ124" s="1021"/>
      <c r="IA124" s="1021"/>
      <c r="IB124" s="1021"/>
      <c r="IC124" s="1021"/>
      <c r="ID124" s="1021"/>
      <c r="IE124" s="1021"/>
      <c r="IF124" s="1021"/>
      <c r="IG124" s="1021"/>
      <c r="IH124" s="1021"/>
      <c r="II124" s="1021"/>
      <c r="IJ124" s="1021"/>
      <c r="IK124" s="1021"/>
      <c r="IL124" s="1021"/>
      <c r="IM124" s="1021"/>
      <c r="IN124" s="1021"/>
      <c r="IO124" s="1021"/>
      <c r="IP124" s="1021"/>
      <c r="IQ124" s="1021"/>
      <c r="IR124" s="1021"/>
      <c r="IS124" s="1021"/>
      <c r="IT124" s="1021"/>
      <c r="IU124" s="1021"/>
      <c r="IV124" s="1021"/>
      <c r="IW124" s="1021"/>
      <c r="IX124" s="1021"/>
      <c r="IY124" s="1021"/>
      <c r="IZ124" s="1021"/>
      <c r="JA124" s="1021"/>
      <c r="JB124" s="1021"/>
      <c r="JC124" s="1021"/>
      <c r="JD124" s="1021"/>
      <c r="JE124" s="1021"/>
      <c r="JF124" s="1021"/>
      <c r="JG124" s="1021"/>
      <c r="JH124" s="1021"/>
      <c r="JI124" s="1021"/>
      <c r="JJ124" s="1021"/>
      <c r="JK124" s="1021"/>
      <c r="JL124" s="1021"/>
      <c r="JM124" s="1021"/>
      <c r="JN124" s="1021"/>
      <c r="JO124" s="1021"/>
      <c r="JP124" s="1021"/>
      <c r="JQ124" s="1021"/>
      <c r="JR124" s="1021"/>
      <c r="JS124" s="1021"/>
      <c r="JT124" s="1021"/>
      <c r="JU124" s="1021"/>
      <c r="JV124" s="1021"/>
      <c r="JW124" s="1021"/>
      <c r="JX124" s="1021"/>
      <c r="JY124" s="1021"/>
      <c r="JZ124" s="1021"/>
      <c r="KA124" s="1021"/>
      <c r="KB124" s="1021"/>
      <c r="KC124" s="1021"/>
      <c r="KD124" s="1021"/>
      <c r="KE124" s="1021"/>
      <c r="KF124" s="1021"/>
      <c r="KG124" s="1021"/>
      <c r="KH124" s="1021"/>
      <c r="KI124" s="1021"/>
      <c r="KJ124" s="1021"/>
      <c r="KK124" s="1021"/>
      <c r="KL124" s="1021"/>
      <c r="KM124" s="1021"/>
      <c r="KN124" s="1021"/>
      <c r="KO124" s="1021"/>
      <c r="KP124" s="1021"/>
      <c r="KQ124" s="1021"/>
      <c r="KR124" s="1021"/>
      <c r="KS124" s="1021"/>
      <c r="KT124" s="1021"/>
      <c r="KU124" s="1021"/>
      <c r="KV124" s="1021"/>
      <c r="KW124" s="1021"/>
      <c r="KX124" s="1021"/>
      <c r="KY124" s="1021"/>
      <c r="KZ124" s="1021"/>
      <c r="LA124" s="1021"/>
      <c r="LB124" s="1021"/>
      <c r="LC124" s="1021"/>
      <c r="LD124" s="1021"/>
      <c r="LE124" s="1021"/>
      <c r="LF124" s="1021"/>
      <c r="LG124" s="1021"/>
      <c r="LH124" s="1021"/>
      <c r="LI124" s="1021"/>
      <c r="LJ124" s="1021"/>
      <c r="LK124" s="1021"/>
      <c r="LL124" s="1021"/>
      <c r="LM124" s="1021"/>
      <c r="LN124" s="1021"/>
      <c r="LO124" s="1021"/>
      <c r="LP124" s="1021"/>
      <c r="LQ124" s="1021"/>
      <c r="LR124" s="1021"/>
      <c r="LS124" s="1021"/>
      <c r="LT124" s="1021"/>
      <c r="LU124" s="1021"/>
      <c r="LV124" s="1021"/>
      <c r="LW124" s="1021"/>
      <c r="LX124" s="1021"/>
      <c r="LY124" s="1021"/>
      <c r="LZ124" s="1021"/>
      <c r="MA124" s="1021"/>
      <c r="MB124" s="1021"/>
      <c r="MC124" s="1021"/>
      <c r="MD124" s="1021"/>
      <c r="ME124" s="1021"/>
      <c r="MF124" s="1021"/>
      <c r="MG124" s="1021"/>
      <c r="MH124" s="1021"/>
      <c r="MI124" s="1021"/>
      <c r="MJ124" s="1021"/>
      <c r="MK124" s="1021"/>
      <c r="ML124" s="1021"/>
      <c r="MM124" s="1021"/>
      <c r="MN124" s="1021"/>
      <c r="MO124" s="1021"/>
      <c r="MP124" s="1021"/>
      <c r="MQ124" s="1021"/>
      <c r="MR124" s="1021"/>
      <c r="MS124" s="1021"/>
      <c r="MT124" s="1021"/>
      <c r="MU124" s="1021"/>
      <c r="MV124" s="1021"/>
      <c r="MW124" s="1021"/>
      <c r="MX124" s="1021"/>
      <c r="MY124" s="1021"/>
      <c r="MZ124" s="1021"/>
      <c r="NA124" s="1021"/>
      <c r="NB124" s="1021"/>
      <c r="NC124" s="1021"/>
      <c r="ND124" s="1021"/>
      <c r="NE124" s="1021"/>
      <c r="NF124" s="1021"/>
      <c r="NG124" s="1021"/>
      <c r="NH124" s="1021"/>
      <c r="NI124" s="1021"/>
      <c r="NJ124" s="1021"/>
      <c r="NK124" s="1021"/>
      <c r="NL124" s="1021"/>
      <c r="NM124" s="1021"/>
      <c r="NN124" s="1021"/>
      <c r="NO124" s="1021"/>
      <c r="NP124" s="1021"/>
      <c r="NQ124" s="1021"/>
      <c r="NR124" s="1021"/>
      <c r="NS124" s="1021"/>
      <c r="NT124" s="1021"/>
      <c r="NU124" s="1021"/>
      <c r="NV124" s="1021"/>
      <c r="NW124" s="1021"/>
      <c r="NX124" s="1021"/>
      <c r="NY124" s="1021"/>
      <c r="NZ124" s="1021"/>
      <c r="OA124" s="1021"/>
      <c r="OB124" s="1021"/>
      <c r="OC124" s="1021"/>
      <c r="OD124" s="1021"/>
      <c r="OE124" s="1021"/>
      <c r="OF124" s="1021"/>
      <c r="OG124" s="1021"/>
      <c r="OH124" s="1021"/>
      <c r="OI124" s="1021"/>
      <c r="OJ124" s="1021"/>
      <c r="OK124" s="1021"/>
      <c r="OL124" s="1021"/>
      <c r="OM124" s="1021"/>
      <c r="ON124" s="1021"/>
      <c r="OO124" s="1021"/>
      <c r="OP124" s="1021"/>
      <c r="OQ124" s="1021"/>
      <c r="OR124" s="1021"/>
      <c r="OS124" s="1021"/>
      <c r="OT124" s="1021"/>
      <c r="OU124" s="1021"/>
      <c r="OV124" s="1021"/>
      <c r="OW124" s="1021"/>
      <c r="OX124" s="1021"/>
      <c r="OY124" s="1021"/>
      <c r="OZ124" s="1021"/>
      <c r="PA124" s="1021"/>
      <c r="PB124" s="1021"/>
      <c r="PC124" s="1021"/>
      <c r="PD124" s="1021"/>
      <c r="PE124" s="1021"/>
      <c r="PF124" s="1021"/>
      <c r="PG124" s="1021"/>
      <c r="PH124" s="1021"/>
      <c r="PI124" s="1021"/>
      <c r="PJ124" s="1021"/>
      <c r="PK124" s="1021"/>
      <c r="PL124" s="1021"/>
      <c r="PM124" s="1021"/>
      <c r="PN124" s="1021"/>
      <c r="PO124" s="1021"/>
      <c r="PP124" s="1021"/>
      <c r="PQ124" s="1021"/>
      <c r="PR124" s="1021"/>
      <c r="PS124" s="1021"/>
      <c r="PT124" s="1021"/>
      <c r="PU124" s="1021"/>
      <c r="PV124" s="1021"/>
      <c r="PW124" s="1021"/>
      <c r="PX124" s="1021"/>
      <c r="PY124" s="1021"/>
      <c r="PZ124" s="1021"/>
      <c r="QA124" s="1021"/>
      <c r="QB124" s="1021"/>
      <c r="QC124" s="1021"/>
      <c r="QD124" s="1021"/>
      <c r="QE124" s="1021"/>
      <c r="QF124" s="1021"/>
      <c r="QG124" s="1021"/>
      <c r="QH124" s="1021"/>
      <c r="QI124" s="1021"/>
      <c r="QJ124" s="1021"/>
      <c r="QK124" s="1021"/>
      <c r="QL124" s="1021"/>
      <c r="QM124" s="1021"/>
      <c r="QN124" s="1021"/>
      <c r="QO124" s="1021"/>
      <c r="QP124" s="1021"/>
      <c r="QQ124" s="1021"/>
      <c r="QR124" s="1021"/>
      <c r="QS124" s="1021"/>
      <c r="QT124" s="1021"/>
      <c r="QU124" s="1021"/>
      <c r="QV124" s="1021"/>
      <c r="QW124" s="1021"/>
      <c r="QX124" s="1021"/>
      <c r="QY124" s="1021"/>
      <c r="QZ124" s="1021"/>
      <c r="RA124" s="1021"/>
      <c r="RB124" s="1021"/>
      <c r="RC124" s="1021"/>
      <c r="RD124" s="1021"/>
      <c r="RE124" s="1021"/>
      <c r="RF124" s="1021"/>
      <c r="RG124" s="1021"/>
      <c r="RH124" s="1021"/>
      <c r="RI124" s="1021"/>
      <c r="RJ124" s="1021"/>
      <c r="RK124" s="1021"/>
      <c r="RL124" s="1021"/>
      <c r="RM124" s="1021"/>
      <c r="RN124" s="1021"/>
      <c r="RO124" s="1021"/>
      <c r="RP124" s="1021"/>
      <c r="RQ124" s="1021"/>
      <c r="RR124" s="1021"/>
      <c r="RS124" s="1021"/>
      <c r="RT124" s="1021"/>
      <c r="RU124" s="1021"/>
      <c r="RV124" s="1021"/>
      <c r="RW124" s="1021"/>
      <c r="RX124" s="1021"/>
      <c r="RY124" s="1021"/>
      <c r="RZ124" s="1021"/>
      <c r="SA124" s="1021"/>
      <c r="SB124" s="1021"/>
      <c r="SC124" s="1021"/>
      <c r="SD124" s="1021"/>
      <c r="SE124" s="1021"/>
      <c r="SF124" s="1021"/>
      <c r="SG124" s="1021"/>
      <c r="SH124" s="1021"/>
      <c r="SI124" s="1021"/>
      <c r="SJ124" s="1021"/>
      <c r="SK124" s="1021"/>
      <c r="SL124" s="1021"/>
      <c r="SM124" s="1021"/>
      <c r="SN124" s="1021"/>
      <c r="SO124" s="1021"/>
      <c r="SP124" s="1021"/>
      <c r="SQ124" s="1021"/>
      <c r="SR124" s="1021"/>
    </row>
    <row r="125" spans="1:512" s="1011" customFormat="1" ht="15" customHeight="1">
      <c r="A125"/>
      <c r="G125" s="1024"/>
      <c r="H125" s="1024"/>
      <c r="I125" s="1024"/>
      <c r="J125" s="1024"/>
      <c r="K125" s="1024"/>
      <c r="L125" s="1024"/>
      <c r="M125" s="1024"/>
      <c r="N125" s="1024"/>
      <c r="O125" s="1024"/>
      <c r="P125" s="1024"/>
      <c r="Q125" s="1024"/>
      <c r="R125" s="1024"/>
      <c r="S125" s="1024"/>
      <c r="T125" s="1024"/>
      <c r="U125" s="1024"/>
      <c r="V125" s="1024"/>
      <c r="W125" s="1024"/>
      <c r="X125" s="1024"/>
      <c r="Y125" s="1024"/>
      <c r="Z125" s="1024"/>
      <c r="AA125" s="1024"/>
      <c r="AB125" s="1024"/>
      <c r="AC125" s="1024"/>
      <c r="AD125" s="1024"/>
      <c r="AE125" s="1024"/>
      <c r="AF125" s="1024"/>
      <c r="AG125" s="1024"/>
      <c r="AH125" s="1024"/>
      <c r="AI125" s="1024"/>
      <c r="AJ125" s="1024"/>
      <c r="AK125" s="1024"/>
      <c r="AL125" s="1024"/>
      <c r="AM125" s="1024"/>
      <c r="AN125" s="1024"/>
      <c r="AO125" s="1024"/>
      <c r="AP125" s="1024"/>
      <c r="AQ125" s="1024"/>
      <c r="AR125" s="1024"/>
      <c r="AS125" s="1024"/>
      <c r="AT125" s="1024"/>
      <c r="AU125" s="1024"/>
      <c r="AV125" s="1024"/>
      <c r="AW125" s="1024"/>
      <c r="AX125" s="1024"/>
      <c r="AY125" s="1024"/>
      <c r="AZ125" s="1024"/>
      <c r="BA125" s="1024"/>
      <c r="BB125" s="1024"/>
      <c r="BC125" s="1024"/>
      <c r="BD125" s="1024"/>
      <c r="BE125" s="1024"/>
      <c r="BF125" s="1024"/>
      <c r="BG125" s="1024"/>
      <c r="BH125" s="1024"/>
      <c r="BI125" s="1024"/>
      <c r="BJ125" s="1024"/>
      <c r="BK125" s="1024"/>
      <c r="BL125" s="1024"/>
      <c r="BM125" s="1024"/>
      <c r="BN125" s="1024"/>
      <c r="BO125" s="1024"/>
      <c r="BP125" s="1024"/>
      <c r="BQ125" s="1024"/>
      <c r="BR125" s="1024"/>
      <c r="BS125" s="1024"/>
      <c r="BT125" s="1024"/>
      <c r="BU125" s="1024"/>
      <c r="BV125" s="1024"/>
      <c r="BW125" s="1024"/>
      <c r="BX125" s="1024"/>
      <c r="BY125" s="1024"/>
      <c r="BZ125" s="1024"/>
      <c r="CA125" s="1024"/>
      <c r="CB125" s="1024"/>
      <c r="CC125" s="1024"/>
      <c r="CD125" s="1024"/>
      <c r="CE125" s="1024"/>
      <c r="CF125" s="1024"/>
      <c r="CG125" s="1024"/>
      <c r="CH125" s="1024"/>
      <c r="CI125" s="1024"/>
      <c r="CJ125" s="1024"/>
      <c r="CK125" s="1024"/>
      <c r="CL125" s="1024"/>
      <c r="CM125" s="1024"/>
      <c r="CN125" s="1024"/>
      <c r="CO125" s="1024"/>
      <c r="CP125" s="1024"/>
      <c r="CQ125" s="1024"/>
      <c r="CR125" s="1024"/>
      <c r="CS125" s="1024"/>
      <c r="CT125" s="1024"/>
      <c r="CU125" s="1024"/>
      <c r="CV125" s="1024"/>
      <c r="CW125" s="1024"/>
      <c r="CX125" s="1024"/>
      <c r="CY125" s="1024"/>
      <c r="CZ125" s="1024"/>
      <c r="DA125" s="1024"/>
      <c r="DB125" s="1024"/>
      <c r="DC125" s="1024"/>
      <c r="DD125" s="1024"/>
      <c r="DE125" s="1024"/>
      <c r="DF125" s="1024"/>
      <c r="DG125" s="1024"/>
      <c r="DH125" s="1024"/>
      <c r="DI125" s="1024"/>
      <c r="DJ125" s="1024"/>
      <c r="DK125" s="1024"/>
      <c r="DL125" s="1024"/>
      <c r="DM125" s="1024"/>
      <c r="DN125" s="1024"/>
      <c r="DO125" s="1024"/>
      <c r="DP125" s="1024"/>
      <c r="DQ125" s="1024"/>
      <c r="DR125" s="1024"/>
      <c r="DS125" s="1024"/>
      <c r="DT125" s="1024"/>
      <c r="DU125" s="1024"/>
      <c r="DV125" s="1024"/>
      <c r="DW125" s="1024"/>
      <c r="DX125" s="1024"/>
      <c r="DY125" s="1024"/>
      <c r="DZ125" s="1024"/>
      <c r="EA125" s="1024"/>
      <c r="EB125" s="1024"/>
      <c r="EC125" s="1024"/>
      <c r="ED125" s="1024"/>
      <c r="EE125" s="1024"/>
      <c r="EF125" s="1024"/>
      <c r="EG125" s="1024"/>
      <c r="EH125" s="1024"/>
      <c r="EI125" s="1024"/>
      <c r="EJ125" s="1024"/>
      <c r="EK125" s="1024"/>
      <c r="EL125" s="1024"/>
      <c r="EM125" s="1024"/>
      <c r="EN125" s="1024"/>
      <c r="EO125" s="1024"/>
      <c r="EP125" s="1024"/>
      <c r="EQ125" s="1024"/>
      <c r="ER125" s="1024"/>
      <c r="ES125" s="1024"/>
      <c r="ET125" s="1024"/>
      <c r="EU125" s="1024"/>
      <c r="EV125" s="1024"/>
      <c r="EW125" s="1024"/>
      <c r="EX125" s="1024"/>
      <c r="EY125" s="1024"/>
      <c r="EZ125" s="1024"/>
      <c r="FA125" s="1024"/>
      <c r="FB125" s="1024"/>
      <c r="FC125" s="1024"/>
      <c r="FD125" s="1024"/>
      <c r="FE125" s="1024"/>
      <c r="FF125" s="1024"/>
      <c r="FG125" s="1024"/>
      <c r="FH125" s="1024"/>
      <c r="FI125" s="1024"/>
      <c r="FJ125" s="1024"/>
      <c r="FK125" s="1024"/>
      <c r="FL125" s="1024"/>
      <c r="FM125" s="1024"/>
      <c r="FN125" s="1024"/>
      <c r="FO125" s="1024"/>
      <c r="FP125" s="1024"/>
      <c r="FQ125" s="1024"/>
      <c r="FR125" s="1024"/>
      <c r="FS125" s="1024"/>
      <c r="FT125" s="1024"/>
      <c r="FU125" s="1024"/>
      <c r="FV125" s="1024"/>
      <c r="FW125" s="1024"/>
      <c r="FX125" s="1024"/>
      <c r="FY125" s="1024"/>
      <c r="FZ125" s="1024"/>
      <c r="GA125" s="1024"/>
      <c r="GB125" s="1024"/>
      <c r="GC125" s="1024"/>
      <c r="GD125" s="1024"/>
      <c r="GE125" s="1024"/>
      <c r="GF125" s="1024"/>
      <c r="GG125" s="1024"/>
      <c r="GH125" s="1024"/>
      <c r="GI125" s="1024"/>
      <c r="GJ125" s="1024"/>
      <c r="GK125" s="1024"/>
      <c r="GL125" s="1024"/>
      <c r="GM125" s="1024"/>
      <c r="GN125" s="1024"/>
      <c r="GO125" s="1024"/>
      <c r="GP125" s="1024"/>
      <c r="GQ125" s="1024"/>
      <c r="GR125" s="1024"/>
      <c r="GS125" s="1024"/>
      <c r="GT125" s="1024"/>
      <c r="GU125" s="1024"/>
      <c r="GV125" s="1024"/>
      <c r="GW125" s="1024"/>
      <c r="GX125" s="1024"/>
      <c r="GY125" s="1024"/>
      <c r="GZ125" s="1024"/>
      <c r="HA125" s="1024"/>
      <c r="HB125" s="1024"/>
      <c r="HC125" s="1024"/>
      <c r="HD125" s="1024"/>
      <c r="HE125" s="1024"/>
      <c r="HF125" s="1024"/>
      <c r="HG125" s="1024"/>
      <c r="HH125" s="1024"/>
      <c r="HI125" s="1024"/>
      <c r="HJ125" s="1024"/>
      <c r="HK125" s="1024"/>
      <c r="HL125" s="1024"/>
      <c r="HM125" s="1024"/>
      <c r="HN125" s="1024"/>
      <c r="HO125" s="1024"/>
      <c r="HP125" s="1024"/>
      <c r="HQ125" s="1024"/>
      <c r="HR125" s="1024"/>
      <c r="HS125" s="1024"/>
      <c r="HT125" s="1024"/>
      <c r="HU125" s="1024"/>
      <c r="HV125" s="1024"/>
      <c r="HW125" s="1024"/>
      <c r="HX125" s="1024"/>
      <c r="HY125" s="1024"/>
      <c r="HZ125" s="1024"/>
      <c r="IA125" s="1024"/>
      <c r="IB125" s="1024"/>
      <c r="IC125" s="1024"/>
      <c r="ID125" s="1024"/>
      <c r="IE125" s="1024"/>
      <c r="IF125" s="1024"/>
      <c r="IG125" s="1024"/>
      <c r="IH125" s="1024"/>
      <c r="II125" s="1024"/>
      <c r="IJ125" s="1024"/>
      <c r="IK125" s="1024"/>
      <c r="IL125" s="1024"/>
      <c r="IM125" s="1024"/>
      <c r="IN125" s="1024"/>
      <c r="IO125" s="1024"/>
      <c r="IP125" s="1024"/>
      <c r="IQ125" s="1024"/>
      <c r="IR125" s="1024"/>
      <c r="IS125" s="1024"/>
      <c r="IT125" s="1024"/>
      <c r="IU125" s="1024"/>
      <c r="IV125" s="1024"/>
      <c r="IW125" s="1024"/>
      <c r="IX125" s="1024"/>
      <c r="IY125" s="1024"/>
      <c r="IZ125" s="1024"/>
      <c r="JA125" s="1024"/>
      <c r="JB125" s="1024"/>
      <c r="JC125" s="1024"/>
      <c r="JD125" s="1024"/>
      <c r="JE125" s="1024"/>
      <c r="JF125" s="1024"/>
      <c r="JG125" s="1024"/>
      <c r="JH125" s="1024"/>
      <c r="JI125" s="1024"/>
      <c r="JJ125" s="1024"/>
      <c r="JK125" s="1024"/>
      <c r="JL125" s="1024"/>
      <c r="JM125" s="1024"/>
      <c r="JN125" s="1024"/>
      <c r="JO125" s="1024"/>
      <c r="JP125" s="1024"/>
      <c r="JQ125" s="1024"/>
      <c r="JR125" s="1024"/>
      <c r="JS125" s="1024"/>
      <c r="JT125" s="1024"/>
      <c r="JU125" s="1024"/>
      <c r="JV125" s="1024"/>
      <c r="JW125" s="1024"/>
      <c r="JX125" s="1024"/>
      <c r="JY125" s="1024"/>
      <c r="JZ125" s="1024"/>
      <c r="KA125" s="1024"/>
      <c r="KB125" s="1024"/>
      <c r="KC125" s="1024"/>
      <c r="KD125" s="1024"/>
      <c r="KE125" s="1024"/>
      <c r="KF125" s="1024"/>
      <c r="KG125" s="1024"/>
      <c r="KH125" s="1024"/>
      <c r="KI125" s="1024"/>
      <c r="KJ125" s="1024"/>
      <c r="KK125" s="1024"/>
      <c r="KL125" s="1024"/>
      <c r="KM125" s="1024"/>
      <c r="KN125" s="1024"/>
      <c r="KO125" s="1024"/>
      <c r="KP125" s="1024"/>
      <c r="KQ125" s="1024"/>
      <c r="KR125" s="1024"/>
      <c r="KS125" s="1024"/>
      <c r="KT125" s="1024"/>
      <c r="KU125" s="1024"/>
      <c r="KV125" s="1024"/>
      <c r="KW125" s="1024"/>
      <c r="KX125" s="1024"/>
      <c r="KY125" s="1024"/>
      <c r="KZ125" s="1024"/>
      <c r="LA125" s="1024"/>
      <c r="LB125" s="1024"/>
      <c r="LC125" s="1024"/>
      <c r="LD125" s="1024"/>
      <c r="LE125" s="1024"/>
      <c r="LF125" s="1024"/>
      <c r="LG125" s="1024"/>
      <c r="LH125" s="1024"/>
      <c r="LI125" s="1024"/>
      <c r="LJ125" s="1024"/>
      <c r="LK125" s="1024"/>
      <c r="LL125" s="1024"/>
      <c r="LM125" s="1024"/>
      <c r="LN125" s="1024"/>
      <c r="LO125" s="1024"/>
      <c r="LP125" s="1024"/>
      <c r="LQ125" s="1024"/>
      <c r="LR125" s="1024"/>
      <c r="LS125" s="1024"/>
      <c r="LT125" s="1024"/>
      <c r="LU125" s="1024"/>
      <c r="LV125" s="1024"/>
      <c r="LW125" s="1024"/>
      <c r="LX125" s="1024"/>
      <c r="LY125" s="1024"/>
      <c r="LZ125" s="1024"/>
      <c r="MA125" s="1024"/>
      <c r="MB125" s="1024"/>
      <c r="MC125" s="1024"/>
      <c r="MD125" s="1024"/>
      <c r="ME125" s="1024"/>
      <c r="MF125" s="1024"/>
      <c r="MG125" s="1024"/>
      <c r="MH125" s="1024"/>
      <c r="MI125" s="1024"/>
      <c r="MJ125" s="1024"/>
      <c r="MK125" s="1024"/>
      <c r="ML125" s="1024"/>
      <c r="MM125" s="1024"/>
      <c r="MN125" s="1024"/>
      <c r="MO125" s="1024"/>
      <c r="MP125" s="1024"/>
      <c r="MQ125" s="1024"/>
      <c r="MR125" s="1024"/>
      <c r="MS125" s="1024"/>
      <c r="MT125" s="1024"/>
      <c r="MU125" s="1024"/>
      <c r="MV125" s="1024"/>
      <c r="MW125" s="1024"/>
      <c r="MX125" s="1024"/>
      <c r="MY125" s="1024"/>
      <c r="MZ125" s="1024"/>
      <c r="NA125" s="1024"/>
      <c r="NB125" s="1024"/>
      <c r="NC125" s="1024"/>
      <c r="ND125" s="1024"/>
      <c r="NE125" s="1024"/>
      <c r="NF125" s="1024"/>
      <c r="NG125" s="1024"/>
      <c r="NH125" s="1024"/>
      <c r="NI125" s="1024"/>
      <c r="NJ125" s="1024"/>
      <c r="NK125" s="1024"/>
      <c r="NL125" s="1024"/>
      <c r="NM125" s="1024"/>
      <c r="NN125" s="1024"/>
      <c r="NO125" s="1024"/>
      <c r="NP125" s="1024"/>
      <c r="NQ125" s="1024"/>
      <c r="NR125" s="1024"/>
      <c r="NS125" s="1024"/>
      <c r="NT125" s="1024"/>
      <c r="NU125" s="1024"/>
      <c r="NV125" s="1024"/>
      <c r="NW125" s="1024"/>
      <c r="NX125" s="1024"/>
      <c r="NY125" s="1024"/>
      <c r="NZ125" s="1024"/>
      <c r="OA125" s="1024"/>
      <c r="OB125" s="1024"/>
      <c r="OC125" s="1024"/>
      <c r="OD125" s="1024"/>
      <c r="OE125" s="1024"/>
      <c r="OF125" s="1024"/>
      <c r="OG125" s="1024"/>
      <c r="OH125" s="1024"/>
      <c r="OI125" s="1024"/>
      <c r="OJ125" s="1024"/>
      <c r="OK125" s="1024"/>
      <c r="OL125" s="1024"/>
      <c r="OM125" s="1024"/>
      <c r="ON125" s="1024"/>
      <c r="OO125" s="1024"/>
      <c r="OP125" s="1024"/>
      <c r="OQ125" s="1024"/>
      <c r="OR125" s="1024"/>
      <c r="OS125" s="1024"/>
      <c r="OT125" s="1024"/>
      <c r="OU125" s="1024"/>
      <c r="OV125" s="1024"/>
      <c r="OW125" s="1024"/>
      <c r="OX125" s="1024"/>
      <c r="OY125" s="1024"/>
      <c r="OZ125" s="1024"/>
      <c r="PA125" s="1024"/>
      <c r="PB125" s="1024"/>
      <c r="PC125" s="1024"/>
      <c r="PD125" s="1024"/>
      <c r="PE125" s="1024"/>
      <c r="PF125" s="1024"/>
      <c r="PG125" s="1024"/>
      <c r="PH125" s="1024"/>
      <c r="PI125" s="1024"/>
      <c r="PJ125" s="1024"/>
      <c r="PK125" s="1024"/>
      <c r="PL125" s="1024"/>
      <c r="PM125" s="1024"/>
      <c r="PN125" s="1024"/>
      <c r="PO125" s="1024"/>
      <c r="PP125" s="1024"/>
      <c r="PQ125" s="1024"/>
      <c r="PR125" s="1024"/>
      <c r="PS125" s="1024"/>
      <c r="PT125" s="1024"/>
      <c r="PU125" s="1024"/>
      <c r="PV125" s="1024"/>
      <c r="PW125" s="1024"/>
      <c r="PX125" s="1024"/>
      <c r="PY125" s="1024"/>
      <c r="PZ125" s="1024"/>
      <c r="QA125" s="1024"/>
      <c r="QB125" s="1024"/>
      <c r="QC125" s="1024"/>
      <c r="QD125" s="1024"/>
      <c r="QE125" s="1024"/>
      <c r="QF125" s="1024"/>
      <c r="QG125" s="1024"/>
      <c r="QH125" s="1024"/>
      <c r="QI125" s="1024"/>
      <c r="QJ125" s="1024"/>
      <c r="QK125" s="1024"/>
      <c r="QL125" s="1024"/>
      <c r="QM125" s="1024"/>
      <c r="QN125" s="1024"/>
      <c r="QO125" s="1024"/>
      <c r="QP125" s="1024"/>
      <c r="QQ125" s="1024"/>
      <c r="QR125" s="1024"/>
      <c r="QS125" s="1024"/>
      <c r="QT125" s="1024"/>
      <c r="QU125" s="1024"/>
      <c r="QV125" s="1024"/>
      <c r="QW125" s="1024"/>
      <c r="QX125" s="1024"/>
      <c r="QY125" s="1024"/>
      <c r="QZ125" s="1024"/>
      <c r="RA125" s="1024"/>
      <c r="RB125" s="1024"/>
      <c r="RC125" s="1024"/>
      <c r="RD125" s="1024"/>
      <c r="RE125" s="1024"/>
      <c r="RF125" s="1024"/>
      <c r="RG125" s="1024"/>
      <c r="RH125" s="1024"/>
      <c r="RI125" s="1024"/>
      <c r="RJ125" s="1024"/>
      <c r="RK125" s="1024"/>
      <c r="RL125" s="1024"/>
      <c r="RM125" s="1024"/>
      <c r="RN125" s="1024"/>
      <c r="RO125" s="1024"/>
      <c r="RP125" s="1024"/>
      <c r="RQ125" s="1024"/>
      <c r="RR125" s="1024"/>
      <c r="RS125" s="1024"/>
      <c r="RT125" s="1024"/>
      <c r="RU125" s="1024"/>
      <c r="RV125" s="1024"/>
      <c r="RW125" s="1024"/>
      <c r="RX125" s="1024"/>
      <c r="RY125" s="1024"/>
      <c r="RZ125" s="1024"/>
      <c r="SA125" s="1024"/>
      <c r="SB125" s="1024"/>
      <c r="SC125" s="1024"/>
      <c r="SD125" s="1024"/>
      <c r="SE125" s="1024"/>
      <c r="SF125" s="1024"/>
      <c r="SG125" s="1024"/>
      <c r="SH125" s="1024"/>
      <c r="SI125" s="1024"/>
      <c r="SJ125" s="1024"/>
      <c r="SK125" s="1024"/>
      <c r="SL125" s="1024"/>
      <c r="SM125" s="1024"/>
      <c r="SN125" s="1024"/>
      <c r="SO125" s="1024"/>
      <c r="SP125" s="1024"/>
      <c r="SQ125" s="1024"/>
      <c r="SR125" s="1024"/>
    </row>
    <row r="126" spans="1:512" s="1011" customFormat="1" ht="15" customHeight="1">
      <c r="A126" s="1011" t="s">
        <v>2241</v>
      </c>
      <c r="G126" s="1024"/>
      <c r="H126" s="1024"/>
      <c r="I126" s="1024"/>
      <c r="J126" s="1024"/>
      <c r="K126" s="1024"/>
      <c r="L126" s="1024"/>
      <c r="M126" s="1024"/>
      <c r="N126" s="1024"/>
      <c r="O126" s="1024"/>
      <c r="P126" s="1024"/>
      <c r="Q126" s="1024"/>
      <c r="R126" s="1024"/>
      <c r="S126" s="1024"/>
      <c r="T126" s="1024"/>
      <c r="U126" s="1024"/>
      <c r="V126" s="1024"/>
      <c r="W126" s="1024"/>
      <c r="X126" s="1024"/>
      <c r="Y126" s="1024"/>
      <c r="Z126" s="1024"/>
      <c r="AA126" s="1024"/>
      <c r="AB126" s="1024"/>
      <c r="AC126" s="1024"/>
      <c r="AD126" s="1024"/>
      <c r="AE126" s="1024"/>
      <c r="AF126" s="1024"/>
      <c r="AG126" s="1024"/>
      <c r="AH126" s="1024"/>
      <c r="AI126" s="1024"/>
      <c r="AJ126" s="1024"/>
      <c r="AK126" s="1024"/>
      <c r="AL126" s="1024"/>
      <c r="AM126" s="1024"/>
      <c r="AN126" s="1024"/>
      <c r="AO126" s="1024"/>
      <c r="AP126" s="1024"/>
      <c r="AQ126" s="1024"/>
      <c r="AR126" s="1024"/>
      <c r="AS126" s="1024"/>
      <c r="AT126" s="1024"/>
      <c r="AU126" s="1024"/>
      <c r="AV126" s="1024"/>
      <c r="AW126" s="1024"/>
      <c r="AX126" s="1024"/>
      <c r="AY126" s="1024"/>
      <c r="AZ126" s="1024"/>
      <c r="BA126" s="1024"/>
      <c r="BB126" s="1024"/>
      <c r="BC126" s="1024"/>
      <c r="BD126" s="1024"/>
      <c r="BE126" s="1024"/>
      <c r="BF126" s="1024"/>
      <c r="BG126" s="1024"/>
      <c r="BH126" s="1024"/>
      <c r="BI126" s="1024"/>
      <c r="BJ126" s="1024"/>
      <c r="BK126" s="1024"/>
      <c r="BL126" s="1024"/>
      <c r="BM126" s="1024"/>
      <c r="BN126" s="1024"/>
      <c r="BO126" s="1024"/>
      <c r="BP126" s="1024"/>
      <c r="BQ126" s="1024"/>
      <c r="BR126" s="1024"/>
      <c r="BS126" s="1024"/>
      <c r="BT126" s="1024"/>
      <c r="BU126" s="1024"/>
      <c r="BV126" s="1024"/>
      <c r="BW126" s="1024"/>
      <c r="BX126" s="1024"/>
      <c r="BY126" s="1024"/>
      <c r="BZ126" s="1024"/>
      <c r="CA126" s="1024"/>
      <c r="CB126" s="1024"/>
      <c r="CC126" s="1024"/>
      <c r="CD126" s="1024"/>
      <c r="CE126" s="1024"/>
      <c r="CF126" s="1024"/>
      <c r="CG126" s="1024"/>
      <c r="CH126" s="1024"/>
      <c r="CI126" s="1024"/>
      <c r="CJ126" s="1024"/>
      <c r="CK126" s="1024"/>
      <c r="CL126" s="1024"/>
      <c r="CM126" s="1024"/>
      <c r="CN126" s="1024"/>
      <c r="CO126" s="1024"/>
      <c r="CP126" s="1024"/>
      <c r="CQ126" s="1024"/>
      <c r="CR126" s="1024"/>
      <c r="CS126" s="1024"/>
      <c r="CT126" s="1024"/>
      <c r="CU126" s="1024"/>
      <c r="CV126" s="1024"/>
      <c r="CW126" s="1024"/>
      <c r="CX126" s="1024"/>
      <c r="CY126" s="1024"/>
      <c r="CZ126" s="1024"/>
      <c r="DA126" s="1024"/>
      <c r="DB126" s="1024"/>
      <c r="DC126" s="1024"/>
      <c r="DD126" s="1024"/>
      <c r="DE126" s="1024"/>
      <c r="DF126" s="1024"/>
      <c r="DG126" s="1024"/>
      <c r="DH126" s="1024"/>
      <c r="DI126" s="1024"/>
      <c r="DJ126" s="1024"/>
      <c r="DK126" s="1024"/>
      <c r="DL126" s="1024"/>
      <c r="DM126" s="1024"/>
      <c r="DN126" s="1024"/>
      <c r="DO126" s="1024"/>
      <c r="DP126" s="1024"/>
      <c r="DQ126" s="1024"/>
      <c r="DR126" s="1024"/>
      <c r="DS126" s="1024"/>
      <c r="DT126" s="1024"/>
      <c r="DU126" s="1024"/>
      <c r="DV126" s="1024"/>
      <c r="DW126" s="1024"/>
      <c r="DX126" s="1024"/>
      <c r="DY126" s="1024"/>
      <c r="DZ126" s="1024"/>
      <c r="EA126" s="1024"/>
      <c r="EB126" s="1024"/>
      <c r="EC126" s="1024"/>
      <c r="ED126" s="1024"/>
      <c r="EE126" s="1024"/>
      <c r="EF126" s="1024"/>
      <c r="EG126" s="1024"/>
      <c r="EH126" s="1024"/>
      <c r="EI126" s="1024"/>
      <c r="EJ126" s="1024"/>
      <c r="EK126" s="1024"/>
      <c r="EL126" s="1024"/>
      <c r="EM126" s="1024"/>
      <c r="EN126" s="1024"/>
      <c r="EO126" s="1024"/>
      <c r="EP126" s="1024"/>
      <c r="EQ126" s="1024"/>
      <c r="ER126" s="1024"/>
      <c r="ES126" s="1024"/>
      <c r="ET126" s="1024"/>
      <c r="EU126" s="1024"/>
      <c r="EV126" s="1024"/>
      <c r="EW126" s="1024"/>
      <c r="EX126" s="1024"/>
      <c r="EY126" s="1024"/>
      <c r="EZ126" s="1024"/>
      <c r="FA126" s="1024"/>
      <c r="FB126" s="1024"/>
      <c r="FC126" s="1024"/>
      <c r="FD126" s="1024"/>
      <c r="FE126" s="1024"/>
      <c r="FF126" s="1024"/>
      <c r="FG126" s="1024"/>
      <c r="FH126" s="1024"/>
      <c r="FI126" s="1024"/>
      <c r="FJ126" s="1024"/>
      <c r="FK126" s="1024"/>
      <c r="FL126" s="1024"/>
      <c r="FM126" s="1024"/>
      <c r="FN126" s="1024"/>
      <c r="FO126" s="1024"/>
      <c r="FP126" s="1024"/>
      <c r="FQ126" s="1024"/>
      <c r="FR126" s="1024"/>
      <c r="FS126" s="1024"/>
      <c r="FT126" s="1024"/>
      <c r="FU126" s="1024"/>
      <c r="FV126" s="1024"/>
      <c r="FW126" s="1024"/>
      <c r="FX126" s="1024"/>
      <c r="FY126" s="1024"/>
      <c r="FZ126" s="1024"/>
      <c r="GA126" s="1024"/>
      <c r="GB126" s="1024"/>
      <c r="GC126" s="1024"/>
      <c r="GD126" s="1024"/>
      <c r="GE126" s="1024"/>
      <c r="GF126" s="1024"/>
      <c r="GG126" s="1024"/>
      <c r="GH126" s="1024"/>
      <c r="GI126" s="1024"/>
      <c r="GJ126" s="1024"/>
      <c r="GK126" s="1024"/>
      <c r="GL126" s="1024"/>
      <c r="GM126" s="1024"/>
      <c r="GN126" s="1024"/>
      <c r="GO126" s="1024"/>
      <c r="GP126" s="1024"/>
      <c r="GQ126" s="1024"/>
      <c r="GR126" s="1024"/>
      <c r="GS126" s="1024"/>
      <c r="GT126" s="1024"/>
      <c r="GU126" s="1024"/>
      <c r="GV126" s="1024"/>
      <c r="GW126" s="1024"/>
      <c r="GX126" s="1024"/>
      <c r="GY126" s="1024"/>
      <c r="GZ126" s="1024"/>
      <c r="HA126" s="1024"/>
      <c r="HB126" s="1024"/>
      <c r="HC126" s="1024"/>
      <c r="HD126" s="1024"/>
      <c r="HE126" s="1024"/>
      <c r="HF126" s="1024"/>
      <c r="HG126" s="1024"/>
      <c r="HH126" s="1024"/>
      <c r="HI126" s="1024"/>
      <c r="HJ126" s="1024"/>
      <c r="HK126" s="1024"/>
      <c r="HL126" s="1024"/>
      <c r="HM126" s="1024"/>
      <c r="HN126" s="1024"/>
      <c r="HO126" s="1024"/>
      <c r="HP126" s="1024"/>
      <c r="HQ126" s="1024"/>
      <c r="HR126" s="1024"/>
      <c r="HS126" s="1024"/>
      <c r="HT126" s="1024"/>
      <c r="HU126" s="1024"/>
      <c r="HV126" s="1024"/>
      <c r="HW126" s="1024"/>
      <c r="HX126" s="1024"/>
      <c r="HY126" s="1024"/>
      <c r="HZ126" s="1024"/>
      <c r="IA126" s="1024"/>
      <c r="IB126" s="1024"/>
      <c r="IC126" s="1024"/>
      <c r="ID126" s="1024"/>
      <c r="IE126" s="1024"/>
      <c r="IF126" s="1024"/>
      <c r="IG126" s="1024"/>
      <c r="IH126" s="1024"/>
      <c r="II126" s="1024"/>
      <c r="IJ126" s="1024"/>
      <c r="IK126" s="1024"/>
      <c r="IL126" s="1024"/>
      <c r="IM126" s="1024"/>
      <c r="IN126" s="1024"/>
      <c r="IO126" s="1024"/>
      <c r="IP126" s="1024"/>
      <c r="IQ126" s="1024"/>
      <c r="IR126" s="1024"/>
      <c r="IS126" s="1024"/>
      <c r="IT126" s="1024"/>
      <c r="IU126" s="1024"/>
      <c r="IV126" s="1024"/>
      <c r="IW126" s="1024"/>
      <c r="IX126" s="1024"/>
      <c r="IY126" s="1024"/>
      <c r="IZ126" s="1024"/>
      <c r="JA126" s="1024"/>
      <c r="JB126" s="1024"/>
      <c r="JC126" s="1024"/>
      <c r="JD126" s="1024"/>
      <c r="JE126" s="1024"/>
      <c r="JF126" s="1024"/>
      <c r="JG126" s="1024"/>
      <c r="JH126" s="1024"/>
      <c r="JI126" s="1024"/>
      <c r="JJ126" s="1024"/>
      <c r="JK126" s="1024"/>
      <c r="JL126" s="1024"/>
      <c r="JM126" s="1024"/>
      <c r="JN126" s="1024"/>
      <c r="JO126" s="1024"/>
      <c r="JP126" s="1024"/>
      <c r="JQ126" s="1024"/>
      <c r="JR126" s="1024"/>
      <c r="JS126" s="1024"/>
      <c r="JT126" s="1024"/>
      <c r="JU126" s="1024"/>
      <c r="JV126" s="1024"/>
      <c r="JW126" s="1024"/>
      <c r="JX126" s="1024"/>
      <c r="JY126" s="1024"/>
      <c r="JZ126" s="1024"/>
      <c r="KA126" s="1024"/>
      <c r="KB126" s="1024"/>
      <c r="KC126" s="1024"/>
      <c r="KD126" s="1024"/>
      <c r="KE126" s="1024"/>
      <c r="KF126" s="1024"/>
      <c r="KG126" s="1024"/>
      <c r="KH126" s="1024"/>
      <c r="KI126" s="1024"/>
      <c r="KJ126" s="1024"/>
      <c r="KK126" s="1024"/>
      <c r="KL126" s="1024"/>
      <c r="KM126" s="1024"/>
      <c r="KN126" s="1024"/>
      <c r="KO126" s="1024"/>
      <c r="KP126" s="1024"/>
      <c r="KQ126" s="1024"/>
      <c r="KR126" s="1024"/>
      <c r="KS126" s="1024"/>
      <c r="KT126" s="1024"/>
      <c r="KU126" s="1024"/>
      <c r="KV126" s="1024"/>
      <c r="KW126" s="1024"/>
      <c r="KX126" s="1024"/>
      <c r="KY126" s="1024"/>
      <c r="KZ126" s="1024"/>
      <c r="LA126" s="1024"/>
      <c r="LB126" s="1024"/>
      <c r="LC126" s="1024"/>
      <c r="LD126" s="1024"/>
      <c r="LE126" s="1024"/>
      <c r="LF126" s="1024"/>
      <c r="LG126" s="1024"/>
      <c r="LH126" s="1024"/>
      <c r="LI126" s="1024"/>
      <c r="LJ126" s="1024"/>
      <c r="LK126" s="1024"/>
      <c r="LL126" s="1024"/>
      <c r="LM126" s="1024"/>
      <c r="LN126" s="1024"/>
      <c r="LO126" s="1024"/>
      <c r="LP126" s="1024"/>
      <c r="LQ126" s="1024"/>
      <c r="LR126" s="1024"/>
      <c r="LS126" s="1024"/>
      <c r="LT126" s="1024"/>
      <c r="LU126" s="1024"/>
      <c r="LV126" s="1024"/>
      <c r="LW126" s="1024"/>
      <c r="LX126" s="1024"/>
      <c r="LY126" s="1024"/>
      <c r="LZ126" s="1024"/>
      <c r="MA126" s="1024"/>
      <c r="MB126" s="1024"/>
      <c r="MC126" s="1024"/>
      <c r="MD126" s="1024"/>
      <c r="ME126" s="1024"/>
      <c r="MF126" s="1024"/>
      <c r="MG126" s="1024"/>
      <c r="MH126" s="1024"/>
      <c r="MI126" s="1024"/>
      <c r="MJ126" s="1024"/>
      <c r="MK126" s="1024"/>
      <c r="ML126" s="1024"/>
      <c r="MM126" s="1024"/>
      <c r="MN126" s="1024"/>
      <c r="MO126" s="1024"/>
      <c r="MP126" s="1024"/>
      <c r="MQ126" s="1024"/>
      <c r="MR126" s="1024"/>
      <c r="MS126" s="1024"/>
      <c r="MT126" s="1024"/>
      <c r="MU126" s="1024"/>
      <c r="MV126" s="1024"/>
      <c r="MW126" s="1024"/>
      <c r="MX126" s="1024"/>
      <c r="MY126" s="1024"/>
      <c r="MZ126" s="1024"/>
      <c r="NA126" s="1024"/>
      <c r="NB126" s="1024"/>
      <c r="NC126" s="1024"/>
      <c r="ND126" s="1024"/>
      <c r="NE126" s="1024"/>
      <c r="NF126" s="1024"/>
      <c r="NG126" s="1024"/>
      <c r="NH126" s="1024"/>
      <c r="NI126" s="1024"/>
      <c r="NJ126" s="1024"/>
      <c r="NK126" s="1024"/>
      <c r="NL126" s="1024"/>
      <c r="NM126" s="1024"/>
      <c r="NN126" s="1024"/>
      <c r="NO126" s="1024"/>
      <c r="NP126" s="1024"/>
      <c r="NQ126" s="1024"/>
      <c r="NR126" s="1024"/>
      <c r="NS126" s="1024"/>
      <c r="NT126" s="1024"/>
      <c r="NU126" s="1024"/>
      <c r="NV126" s="1024"/>
      <c r="NW126" s="1024"/>
      <c r="NX126" s="1024"/>
      <c r="NY126" s="1024"/>
      <c r="NZ126" s="1024"/>
      <c r="OA126" s="1024"/>
      <c r="OB126" s="1024"/>
      <c r="OC126" s="1024"/>
      <c r="OD126" s="1024"/>
      <c r="OE126" s="1024"/>
      <c r="OF126" s="1024"/>
      <c r="OG126" s="1024"/>
      <c r="OH126" s="1024"/>
      <c r="OI126" s="1024"/>
      <c r="OJ126" s="1024"/>
      <c r="OK126" s="1024"/>
      <c r="OL126" s="1024"/>
      <c r="OM126" s="1024"/>
      <c r="ON126" s="1024"/>
      <c r="OO126" s="1024"/>
      <c r="OP126" s="1024"/>
      <c r="OQ126" s="1024"/>
      <c r="OR126" s="1024"/>
      <c r="OS126" s="1024"/>
      <c r="OT126" s="1024"/>
      <c r="OU126" s="1024"/>
      <c r="OV126" s="1024"/>
      <c r="OW126" s="1024"/>
      <c r="OX126" s="1024"/>
      <c r="OY126" s="1024"/>
      <c r="OZ126" s="1024"/>
      <c r="PA126" s="1024"/>
      <c r="PB126" s="1024"/>
      <c r="PC126" s="1024"/>
      <c r="PD126" s="1024"/>
      <c r="PE126" s="1024"/>
      <c r="PF126" s="1024"/>
      <c r="PG126" s="1024"/>
      <c r="PH126" s="1024"/>
      <c r="PI126" s="1024"/>
      <c r="PJ126" s="1024"/>
      <c r="PK126" s="1024"/>
      <c r="PL126" s="1024"/>
      <c r="PM126" s="1024"/>
      <c r="PN126" s="1024"/>
      <c r="PO126" s="1024"/>
      <c r="PP126" s="1024"/>
      <c r="PQ126" s="1024"/>
      <c r="PR126" s="1024"/>
      <c r="PS126" s="1024"/>
      <c r="PT126" s="1024"/>
      <c r="PU126" s="1024"/>
      <c r="PV126" s="1024"/>
      <c r="PW126" s="1024"/>
      <c r="PX126" s="1024"/>
      <c r="PY126" s="1024"/>
      <c r="PZ126" s="1024"/>
      <c r="QA126" s="1024"/>
      <c r="QB126" s="1024"/>
      <c r="QC126" s="1024"/>
      <c r="QD126" s="1024"/>
      <c r="QE126" s="1024"/>
      <c r="QF126" s="1024"/>
      <c r="QG126" s="1024"/>
      <c r="QH126" s="1024"/>
      <c r="QI126" s="1024"/>
      <c r="QJ126" s="1024"/>
      <c r="QK126" s="1024"/>
      <c r="QL126" s="1024"/>
      <c r="QM126" s="1024"/>
      <c r="QN126" s="1024"/>
      <c r="QO126" s="1024"/>
      <c r="QP126" s="1024"/>
      <c r="QQ126" s="1024"/>
      <c r="QR126" s="1024"/>
      <c r="QS126" s="1024"/>
      <c r="QT126" s="1024"/>
      <c r="QU126" s="1024"/>
      <c r="QV126" s="1024"/>
      <c r="QW126" s="1024"/>
      <c r="QX126" s="1024"/>
      <c r="QY126" s="1024"/>
      <c r="QZ126" s="1024"/>
      <c r="RA126" s="1024"/>
      <c r="RB126" s="1024"/>
      <c r="RC126" s="1024"/>
      <c r="RD126" s="1024"/>
      <c r="RE126" s="1024"/>
      <c r="RF126" s="1024"/>
      <c r="RG126" s="1024"/>
      <c r="RH126" s="1024"/>
      <c r="RI126" s="1024"/>
      <c r="RJ126" s="1024"/>
      <c r="RK126" s="1024"/>
      <c r="RL126" s="1024"/>
      <c r="RM126" s="1024"/>
      <c r="RN126" s="1024"/>
      <c r="RO126" s="1024"/>
      <c r="RP126" s="1024"/>
      <c r="RQ126" s="1024"/>
      <c r="RR126" s="1024"/>
      <c r="RS126" s="1024"/>
      <c r="RT126" s="1024"/>
      <c r="RU126" s="1024"/>
      <c r="RV126" s="1024"/>
      <c r="RW126" s="1024"/>
      <c r="RX126" s="1024"/>
      <c r="RY126" s="1024"/>
      <c r="RZ126" s="1024"/>
      <c r="SA126" s="1024"/>
      <c r="SB126" s="1024"/>
      <c r="SC126" s="1024"/>
      <c r="SD126" s="1024"/>
      <c r="SE126" s="1024"/>
      <c r="SF126" s="1024"/>
      <c r="SG126" s="1024"/>
      <c r="SH126" s="1024"/>
      <c r="SI126" s="1024"/>
      <c r="SJ126" s="1024"/>
      <c r="SK126" s="1024"/>
      <c r="SL126" s="1024"/>
      <c r="SM126" s="1024"/>
      <c r="SN126" s="1024"/>
      <c r="SO126" s="1024"/>
      <c r="SP126" s="1024"/>
      <c r="SQ126" s="1024"/>
      <c r="SR126" s="1024"/>
    </row>
    <row r="127" spans="1:512" ht="15" customHeight="1">
      <c r="A127"/>
      <c r="B127" t="s">
        <v>2242</v>
      </c>
      <c r="C127"/>
      <c r="D127"/>
      <c r="E127" t="s">
        <v>169</v>
      </c>
      <c r="F127"/>
      <c r="G127" s="1022">
        <v>1.6646177281752381E-4</v>
      </c>
      <c r="H127" s="1022">
        <v>3.3195429521951325E-4</v>
      </c>
      <c r="I127" s="1022"/>
      <c r="J127" s="1022"/>
      <c r="K127" s="1022"/>
      <c r="L127" s="1022"/>
      <c r="M127" s="1022"/>
      <c r="N127" s="1022"/>
      <c r="O127" s="1022"/>
      <c r="P127" s="1022"/>
      <c r="Q127" s="1022"/>
      <c r="R127" s="1022"/>
      <c r="S127" s="1022"/>
      <c r="T127" s="1022"/>
      <c r="U127" s="1021"/>
      <c r="V127" s="1021"/>
      <c r="W127" s="1021"/>
      <c r="X127" s="1021"/>
      <c r="Y127" s="1021"/>
      <c r="Z127" s="1021"/>
      <c r="AA127" s="1021"/>
      <c r="AB127" s="1021"/>
      <c r="AC127" s="1021"/>
      <c r="AD127" s="1021"/>
      <c r="AE127" s="1021"/>
      <c r="AF127" s="1021"/>
      <c r="AG127" s="1021"/>
      <c r="AH127" s="1021"/>
      <c r="AI127" s="1021"/>
      <c r="AJ127" s="1021"/>
      <c r="AK127" s="1021"/>
      <c r="AL127" s="1021"/>
      <c r="AM127" s="1021"/>
      <c r="AN127" s="1021"/>
      <c r="AO127" s="1021"/>
      <c r="AP127" s="1021"/>
      <c r="AQ127" s="1021"/>
      <c r="AR127" s="1021"/>
      <c r="AS127" s="1021"/>
      <c r="AT127" s="1021"/>
      <c r="AU127" s="1021"/>
      <c r="AV127" s="1021"/>
      <c r="AW127" s="1021"/>
      <c r="AX127" s="1021"/>
      <c r="AY127" s="1021"/>
      <c r="AZ127" s="1021"/>
      <c r="BA127" s="1021"/>
      <c r="BB127" s="1021"/>
      <c r="BC127" s="1021"/>
      <c r="BD127" s="1021"/>
      <c r="BE127" s="1021"/>
      <c r="BF127" s="1021"/>
      <c r="BG127" s="1021"/>
      <c r="BH127" s="1021"/>
      <c r="BI127" s="1021"/>
      <c r="BJ127" s="1021"/>
      <c r="BK127" s="1021"/>
      <c r="BL127" s="1021"/>
      <c r="BM127" s="1021"/>
      <c r="BN127" s="1021"/>
      <c r="BO127" s="1021"/>
      <c r="BP127" s="1021"/>
      <c r="BQ127" s="1021"/>
      <c r="BR127" s="1021"/>
      <c r="BS127" s="1021"/>
      <c r="BT127" s="1021"/>
      <c r="BU127" s="1021"/>
      <c r="BV127" s="1021"/>
      <c r="BW127" s="1021"/>
      <c r="BX127" s="1021"/>
      <c r="BY127" s="1021"/>
      <c r="BZ127" s="1021"/>
      <c r="CA127" s="1021"/>
      <c r="CB127" s="1021"/>
      <c r="CC127" s="1021"/>
      <c r="CD127" s="1021"/>
      <c r="CE127" s="1021"/>
      <c r="CF127" s="1021"/>
      <c r="CG127" s="1021"/>
      <c r="CH127" s="1021"/>
      <c r="CI127" s="1021"/>
      <c r="CJ127" s="1021"/>
      <c r="CK127" s="1021"/>
      <c r="CL127" s="1021"/>
      <c r="CM127" s="1021"/>
      <c r="CN127" s="1021"/>
      <c r="CO127" s="1021"/>
      <c r="CP127" s="1021"/>
      <c r="CQ127" s="1021"/>
      <c r="CR127" s="1021"/>
      <c r="CS127" s="1021"/>
      <c r="CT127" s="1021"/>
      <c r="CU127" s="1021"/>
      <c r="CV127" s="1021"/>
      <c r="CW127" s="1021"/>
      <c r="CX127" s="1021"/>
      <c r="CY127" s="1021"/>
      <c r="CZ127" s="1021"/>
      <c r="DA127" s="1021"/>
      <c r="DB127" s="1021"/>
      <c r="DC127" s="1021"/>
      <c r="DD127" s="1021"/>
      <c r="DE127" s="1021"/>
      <c r="DF127" s="1021"/>
      <c r="DG127" s="1021"/>
      <c r="DH127" s="1021"/>
      <c r="DI127" s="1021"/>
      <c r="DJ127" s="1021"/>
      <c r="DK127" s="1021"/>
      <c r="DL127" s="1021"/>
      <c r="DM127" s="1021"/>
      <c r="DN127" s="1021"/>
      <c r="DO127" s="1021"/>
      <c r="DP127" s="1021"/>
      <c r="DQ127" s="1021"/>
      <c r="DR127" s="1021"/>
      <c r="DS127" s="1021"/>
      <c r="DT127" s="1021"/>
      <c r="DU127" s="1021"/>
      <c r="DV127" s="1021"/>
      <c r="DW127" s="1021"/>
      <c r="DX127" s="1021"/>
      <c r="DY127" s="1021"/>
      <c r="DZ127" s="1021"/>
      <c r="EA127" s="1021"/>
      <c r="EB127" s="1021"/>
      <c r="EC127" s="1021"/>
      <c r="ED127" s="1021"/>
      <c r="EE127" s="1021"/>
      <c r="EF127" s="1021"/>
      <c r="EG127" s="1021"/>
      <c r="EH127" s="1021"/>
      <c r="EI127" s="1021"/>
      <c r="EJ127" s="1021"/>
      <c r="EK127" s="1021"/>
      <c r="EL127" s="1021"/>
      <c r="EM127" s="1021"/>
      <c r="EN127" s="1021"/>
      <c r="EO127" s="1021"/>
      <c r="EP127" s="1021"/>
      <c r="EQ127" s="1021"/>
      <c r="ER127" s="1021"/>
      <c r="ES127" s="1021"/>
      <c r="ET127" s="1021"/>
      <c r="EU127" s="1021"/>
      <c r="EV127" s="1021"/>
      <c r="EW127" s="1021"/>
      <c r="EX127" s="1021"/>
      <c r="EY127" s="1021"/>
      <c r="EZ127" s="1021"/>
      <c r="FA127" s="1021"/>
      <c r="FB127" s="1021"/>
      <c r="FC127" s="1021"/>
      <c r="FD127" s="1021"/>
      <c r="FE127" s="1021"/>
      <c r="FF127" s="1021"/>
      <c r="FG127" s="1021"/>
      <c r="FH127" s="1021"/>
      <c r="FI127" s="1021"/>
      <c r="FJ127" s="1021"/>
      <c r="FK127" s="1021"/>
      <c r="FL127" s="1021"/>
      <c r="FM127" s="1021"/>
      <c r="FN127" s="1021"/>
      <c r="FO127" s="1021"/>
      <c r="FP127" s="1021"/>
      <c r="FQ127" s="1021"/>
      <c r="FR127" s="1021"/>
      <c r="FS127" s="1021"/>
      <c r="FT127" s="1021"/>
      <c r="FU127" s="1021"/>
      <c r="FV127" s="1021"/>
      <c r="FW127" s="1021"/>
      <c r="FX127" s="1021"/>
      <c r="FY127" s="1021"/>
      <c r="FZ127" s="1021"/>
      <c r="GA127" s="1021"/>
      <c r="GB127" s="1021"/>
      <c r="GC127" s="1021"/>
      <c r="GD127" s="1021"/>
      <c r="GE127" s="1021"/>
      <c r="GF127" s="1021"/>
      <c r="GG127" s="1021"/>
      <c r="GH127" s="1021"/>
      <c r="GI127" s="1021"/>
      <c r="GJ127" s="1021"/>
      <c r="GK127" s="1021"/>
      <c r="GL127" s="1021"/>
      <c r="GM127" s="1021"/>
      <c r="GN127" s="1021"/>
      <c r="GO127" s="1021"/>
      <c r="GP127" s="1021"/>
      <c r="GQ127" s="1021"/>
      <c r="GR127" s="1021"/>
      <c r="GS127" s="1021"/>
      <c r="GT127" s="1021"/>
      <c r="GU127" s="1021"/>
      <c r="GV127" s="1021"/>
      <c r="GW127" s="1021"/>
      <c r="GX127" s="1021"/>
      <c r="GY127" s="1021"/>
      <c r="GZ127" s="1021"/>
      <c r="HA127" s="1021"/>
      <c r="HB127" s="1021"/>
      <c r="HC127" s="1021"/>
      <c r="HD127" s="1021"/>
      <c r="HE127" s="1021"/>
      <c r="HF127" s="1021"/>
      <c r="HG127" s="1021"/>
      <c r="HH127" s="1021"/>
      <c r="HI127" s="1021"/>
      <c r="HJ127" s="1021"/>
      <c r="HK127" s="1021"/>
      <c r="HL127" s="1021"/>
      <c r="HM127" s="1021"/>
      <c r="HN127" s="1021"/>
      <c r="HO127" s="1021"/>
      <c r="HP127" s="1021"/>
      <c r="HQ127" s="1021"/>
      <c r="HR127" s="1021"/>
      <c r="HS127" s="1021"/>
      <c r="HT127" s="1021"/>
      <c r="HU127" s="1021"/>
      <c r="HV127" s="1021"/>
      <c r="HW127" s="1021"/>
      <c r="HX127" s="1021"/>
      <c r="HY127" s="1021"/>
      <c r="HZ127" s="1021"/>
      <c r="IA127" s="1021"/>
      <c r="IB127" s="1021"/>
      <c r="IC127" s="1021"/>
      <c r="ID127" s="1021"/>
      <c r="IE127" s="1021"/>
      <c r="IF127" s="1021"/>
      <c r="IG127" s="1021"/>
      <c r="IH127" s="1021"/>
      <c r="II127" s="1021"/>
      <c r="IJ127" s="1021"/>
      <c r="IK127" s="1021"/>
      <c r="IL127" s="1021"/>
      <c r="IM127" s="1021"/>
      <c r="IN127" s="1021"/>
      <c r="IO127" s="1021"/>
      <c r="IP127" s="1021"/>
      <c r="IQ127" s="1021"/>
      <c r="IR127" s="1021"/>
      <c r="IS127" s="1021"/>
      <c r="IT127" s="1021"/>
      <c r="IU127" s="1021"/>
      <c r="IV127" s="1021"/>
      <c r="IW127" s="1021"/>
      <c r="IX127" s="1021"/>
      <c r="IY127" s="1021"/>
      <c r="IZ127" s="1021"/>
      <c r="JA127" s="1021"/>
      <c r="JB127" s="1021"/>
      <c r="JC127" s="1021"/>
      <c r="JD127" s="1021"/>
      <c r="JE127" s="1021"/>
      <c r="JF127" s="1021"/>
      <c r="JG127" s="1021"/>
      <c r="JH127" s="1021"/>
      <c r="JI127" s="1021"/>
      <c r="JJ127" s="1021"/>
      <c r="JK127" s="1021"/>
      <c r="JL127" s="1021"/>
      <c r="JM127" s="1021"/>
      <c r="JN127" s="1021"/>
      <c r="JO127" s="1021"/>
      <c r="JP127" s="1021"/>
      <c r="JQ127" s="1021"/>
      <c r="JR127" s="1021"/>
      <c r="JS127" s="1021"/>
      <c r="JT127" s="1021"/>
      <c r="JU127" s="1021"/>
      <c r="JV127" s="1021"/>
      <c r="JW127" s="1021"/>
      <c r="JX127" s="1021"/>
      <c r="JY127" s="1021"/>
      <c r="JZ127" s="1021"/>
      <c r="KA127" s="1021"/>
      <c r="KB127" s="1021"/>
      <c r="KC127" s="1021"/>
      <c r="KD127" s="1021"/>
      <c r="KE127" s="1021"/>
      <c r="KF127" s="1021"/>
      <c r="KG127" s="1021"/>
      <c r="KH127" s="1021"/>
      <c r="KI127" s="1021"/>
      <c r="KJ127" s="1021"/>
      <c r="KK127" s="1021"/>
      <c r="KL127" s="1021"/>
      <c r="KM127" s="1021"/>
      <c r="KN127" s="1021"/>
      <c r="KO127" s="1021"/>
      <c r="KP127" s="1021"/>
      <c r="KQ127" s="1021"/>
      <c r="KR127" s="1021"/>
      <c r="KS127" s="1021"/>
      <c r="KT127" s="1021"/>
      <c r="KU127" s="1021"/>
      <c r="KV127" s="1021"/>
      <c r="KW127" s="1021"/>
      <c r="KX127" s="1021"/>
      <c r="KY127" s="1021"/>
      <c r="KZ127" s="1021"/>
      <c r="LA127" s="1021"/>
      <c r="LB127" s="1021"/>
      <c r="LC127" s="1021"/>
      <c r="LD127" s="1021"/>
      <c r="LE127" s="1021"/>
      <c r="LF127" s="1021"/>
      <c r="LG127" s="1021"/>
      <c r="LH127" s="1021"/>
      <c r="LI127" s="1021"/>
      <c r="LJ127" s="1021"/>
      <c r="LK127" s="1021"/>
      <c r="LL127" s="1021"/>
      <c r="LM127" s="1021"/>
      <c r="LN127" s="1021"/>
      <c r="LO127" s="1021"/>
      <c r="LP127" s="1021"/>
      <c r="LQ127" s="1021"/>
      <c r="LR127" s="1021"/>
      <c r="LS127" s="1021"/>
      <c r="LT127" s="1021"/>
      <c r="LU127" s="1021"/>
      <c r="LV127" s="1021"/>
      <c r="LW127" s="1021"/>
      <c r="LX127" s="1021"/>
      <c r="LY127" s="1021"/>
      <c r="LZ127" s="1021"/>
      <c r="MA127" s="1021"/>
      <c r="MB127" s="1021"/>
      <c r="MC127" s="1021"/>
      <c r="MD127" s="1021"/>
      <c r="ME127" s="1021"/>
      <c r="MF127" s="1021"/>
      <c r="MG127" s="1021"/>
      <c r="MH127" s="1021"/>
      <c r="MI127" s="1021"/>
      <c r="MJ127" s="1021"/>
      <c r="MK127" s="1021"/>
      <c r="ML127" s="1021"/>
      <c r="MM127" s="1021"/>
      <c r="MN127" s="1021"/>
      <c r="MO127" s="1021"/>
      <c r="MP127" s="1021"/>
      <c r="MQ127" s="1021"/>
      <c r="MR127" s="1021"/>
      <c r="MS127" s="1021"/>
      <c r="MT127" s="1021"/>
      <c r="MU127" s="1021"/>
      <c r="MV127" s="1021"/>
      <c r="MW127" s="1021"/>
      <c r="MX127" s="1021"/>
      <c r="MY127" s="1021"/>
      <c r="MZ127" s="1021"/>
      <c r="NA127" s="1021"/>
      <c r="NB127" s="1021"/>
      <c r="NC127" s="1021"/>
      <c r="ND127" s="1021"/>
      <c r="NE127" s="1021"/>
      <c r="NF127" s="1021"/>
      <c r="NG127" s="1021"/>
      <c r="NH127" s="1021"/>
      <c r="NI127" s="1021"/>
      <c r="NJ127" s="1021"/>
      <c r="NK127" s="1021"/>
      <c r="NL127" s="1021"/>
      <c r="NM127" s="1021"/>
      <c r="NN127" s="1021"/>
      <c r="NO127" s="1021"/>
      <c r="NP127" s="1021"/>
      <c r="NQ127" s="1021"/>
      <c r="NR127" s="1021"/>
      <c r="NS127" s="1021"/>
      <c r="NT127" s="1021"/>
      <c r="NU127" s="1021"/>
      <c r="NV127" s="1021"/>
      <c r="NW127" s="1021"/>
      <c r="NX127" s="1021"/>
      <c r="NY127" s="1021"/>
      <c r="NZ127" s="1021"/>
      <c r="OA127" s="1021"/>
      <c r="OB127" s="1021"/>
      <c r="OC127" s="1021"/>
      <c r="OD127" s="1021"/>
      <c r="OE127" s="1021"/>
      <c r="OF127" s="1021"/>
      <c r="OG127" s="1021"/>
      <c r="OH127" s="1021"/>
      <c r="OI127" s="1021"/>
      <c r="OJ127" s="1021"/>
      <c r="OK127" s="1021"/>
      <c r="OL127" s="1021"/>
      <c r="OM127" s="1021"/>
      <c r="ON127" s="1021"/>
      <c r="OO127" s="1021"/>
      <c r="OP127" s="1021"/>
      <c r="OQ127" s="1021"/>
      <c r="OR127" s="1021"/>
      <c r="OS127" s="1021"/>
      <c r="OT127" s="1021"/>
      <c r="OU127" s="1021"/>
      <c r="OV127" s="1021"/>
      <c r="OW127" s="1021"/>
      <c r="OX127" s="1021"/>
      <c r="OY127" s="1021"/>
      <c r="OZ127" s="1021"/>
      <c r="PA127" s="1021"/>
      <c r="PB127" s="1021"/>
      <c r="PC127" s="1021"/>
      <c r="PD127" s="1021"/>
      <c r="PE127" s="1021"/>
      <c r="PF127" s="1021"/>
      <c r="PG127" s="1021"/>
      <c r="PH127" s="1021"/>
      <c r="PI127" s="1021"/>
      <c r="PJ127" s="1021"/>
      <c r="PK127" s="1021"/>
      <c r="PL127" s="1021"/>
      <c r="PM127" s="1021"/>
      <c r="PN127" s="1021"/>
      <c r="PO127" s="1021"/>
      <c r="PP127" s="1021"/>
      <c r="PQ127" s="1021"/>
      <c r="PR127" s="1021"/>
      <c r="PS127" s="1021"/>
      <c r="PT127" s="1021"/>
      <c r="PU127" s="1021"/>
      <c r="PV127" s="1021"/>
      <c r="PW127" s="1021"/>
      <c r="PX127" s="1021"/>
      <c r="PY127" s="1021"/>
      <c r="PZ127" s="1021"/>
      <c r="QA127" s="1021"/>
      <c r="QB127" s="1021"/>
      <c r="QC127" s="1021"/>
      <c r="QD127" s="1021"/>
      <c r="QE127" s="1021"/>
      <c r="QF127" s="1021"/>
      <c r="QG127" s="1021"/>
      <c r="QH127" s="1021"/>
      <c r="QI127" s="1021"/>
      <c r="QJ127" s="1021"/>
      <c r="QK127" s="1021"/>
      <c r="QL127" s="1021"/>
      <c r="QM127" s="1021"/>
      <c r="QN127" s="1021"/>
      <c r="QO127" s="1021"/>
      <c r="QP127" s="1021"/>
      <c r="QQ127" s="1021"/>
      <c r="QR127" s="1021"/>
      <c r="QS127" s="1021"/>
      <c r="QT127" s="1021"/>
      <c r="QU127" s="1021"/>
      <c r="QV127" s="1021"/>
      <c r="QW127" s="1021"/>
      <c r="QX127" s="1021"/>
      <c r="QY127" s="1021"/>
      <c r="QZ127" s="1021"/>
      <c r="RA127" s="1021"/>
      <c r="RB127" s="1021"/>
      <c r="RC127" s="1021"/>
      <c r="RD127" s="1021"/>
      <c r="RE127" s="1021"/>
      <c r="RF127" s="1021"/>
      <c r="RG127" s="1021"/>
      <c r="RH127" s="1021"/>
      <c r="RI127" s="1021"/>
      <c r="RJ127" s="1021"/>
      <c r="RK127" s="1021"/>
      <c r="RL127" s="1021"/>
      <c r="RM127" s="1021"/>
      <c r="RN127" s="1021"/>
      <c r="RO127" s="1021"/>
      <c r="RP127" s="1021"/>
      <c r="RQ127" s="1021"/>
      <c r="RR127" s="1021"/>
      <c r="RS127" s="1021"/>
      <c r="RT127" s="1021"/>
      <c r="RU127" s="1021"/>
      <c r="RV127" s="1021"/>
      <c r="RW127" s="1021"/>
      <c r="RX127" s="1021"/>
      <c r="RY127" s="1021"/>
      <c r="RZ127" s="1021"/>
      <c r="SA127" s="1021"/>
      <c r="SB127" s="1021"/>
      <c r="SC127" s="1021"/>
      <c r="SD127" s="1021"/>
      <c r="SE127" s="1021"/>
      <c r="SF127" s="1021"/>
      <c r="SG127" s="1021"/>
      <c r="SH127" s="1021"/>
      <c r="SI127" s="1021"/>
      <c r="SJ127" s="1021"/>
      <c r="SK127" s="1021"/>
      <c r="SL127" s="1021"/>
      <c r="SM127" s="1021"/>
      <c r="SN127" s="1021"/>
      <c r="SO127" s="1021"/>
      <c r="SP127" s="1021"/>
      <c r="SQ127" s="1021"/>
      <c r="SR127" s="1021"/>
    </row>
    <row r="128" spans="1:512" ht="15" customHeight="1">
      <c r="A128"/>
      <c r="B128" t="s">
        <v>2243</v>
      </c>
      <c r="C128"/>
      <c r="D128"/>
      <c r="E128" t="s">
        <v>3848</v>
      </c>
      <c r="F128"/>
      <c r="G128" s="1023">
        <v>0.10301747002229299</v>
      </c>
      <c r="H128" s="1023">
        <v>0.20500682112152016</v>
      </c>
      <c r="I128" s="1023"/>
      <c r="J128" s="1023"/>
      <c r="K128" s="1023"/>
      <c r="L128" s="1023"/>
      <c r="M128" s="1023"/>
      <c r="N128" s="1023"/>
      <c r="O128" s="1023"/>
      <c r="P128" s="1023"/>
      <c r="Q128" s="1023"/>
      <c r="R128" s="1023"/>
      <c r="S128" s="1023"/>
      <c r="T128" s="1023"/>
      <c r="U128" s="1021"/>
      <c r="V128" s="1021"/>
      <c r="W128" s="1021"/>
      <c r="X128" s="1021"/>
      <c r="Y128" s="1021"/>
      <c r="Z128" s="1021"/>
      <c r="AA128" s="1021"/>
      <c r="AB128" s="1021"/>
      <c r="AC128" s="1021"/>
      <c r="AD128" s="1021"/>
      <c r="AE128" s="1021"/>
      <c r="AF128" s="1021"/>
      <c r="AG128" s="1021"/>
      <c r="AH128" s="1021"/>
      <c r="AI128" s="1021"/>
      <c r="AJ128" s="1021"/>
      <c r="AK128" s="1021"/>
      <c r="AL128" s="1021"/>
      <c r="AM128" s="1021"/>
      <c r="AN128" s="1021"/>
      <c r="AO128" s="1021"/>
      <c r="AP128" s="1021"/>
      <c r="AQ128" s="1021"/>
      <c r="AR128" s="1021"/>
      <c r="AS128" s="1021"/>
      <c r="AT128" s="1021"/>
      <c r="AU128" s="1021"/>
      <c r="AV128" s="1021"/>
      <c r="AW128" s="1021"/>
      <c r="AX128" s="1021"/>
      <c r="AY128" s="1021"/>
      <c r="AZ128" s="1021"/>
      <c r="BA128" s="1021"/>
      <c r="BB128" s="1021"/>
      <c r="BC128" s="1021"/>
      <c r="BD128" s="1021"/>
      <c r="BE128" s="1021"/>
      <c r="BF128" s="1021"/>
      <c r="BG128" s="1021"/>
      <c r="BH128" s="1021"/>
      <c r="BI128" s="1021"/>
      <c r="BJ128" s="1021"/>
      <c r="BK128" s="1021"/>
      <c r="BL128" s="1021"/>
      <c r="BM128" s="1021"/>
      <c r="BN128" s="1021"/>
      <c r="BO128" s="1021"/>
      <c r="BP128" s="1021"/>
      <c r="BQ128" s="1021"/>
      <c r="BR128" s="1021"/>
      <c r="BS128" s="1021"/>
      <c r="BT128" s="1021"/>
      <c r="BU128" s="1021"/>
      <c r="BV128" s="1021"/>
      <c r="BW128" s="1021"/>
      <c r="BX128" s="1021"/>
      <c r="BY128" s="1021"/>
      <c r="BZ128" s="1021"/>
      <c r="CA128" s="1021"/>
      <c r="CB128" s="1021"/>
      <c r="CC128" s="1021"/>
      <c r="CD128" s="1021"/>
      <c r="CE128" s="1021"/>
      <c r="CF128" s="1021"/>
      <c r="CG128" s="1021"/>
      <c r="CH128" s="1021"/>
      <c r="CI128" s="1021"/>
      <c r="CJ128" s="1021"/>
      <c r="CK128" s="1021"/>
      <c r="CL128" s="1021"/>
      <c r="CM128" s="1021"/>
      <c r="CN128" s="1021"/>
      <c r="CO128" s="1021"/>
      <c r="CP128" s="1021"/>
      <c r="CQ128" s="1021"/>
      <c r="CR128" s="1021"/>
      <c r="CS128" s="1021"/>
      <c r="CT128" s="1021"/>
      <c r="CU128" s="1021"/>
      <c r="CV128" s="1021"/>
      <c r="CW128" s="1021"/>
      <c r="CX128" s="1021"/>
      <c r="CY128" s="1021"/>
      <c r="CZ128" s="1021"/>
      <c r="DA128" s="1021"/>
      <c r="DB128" s="1021"/>
      <c r="DC128" s="1021"/>
      <c r="DD128" s="1021"/>
      <c r="DE128" s="1021"/>
      <c r="DF128" s="1021"/>
      <c r="DG128" s="1021"/>
      <c r="DH128" s="1021"/>
      <c r="DI128" s="1021"/>
      <c r="DJ128" s="1021"/>
      <c r="DK128" s="1021"/>
      <c r="DL128" s="1021"/>
      <c r="DM128" s="1021"/>
      <c r="DN128" s="1021"/>
      <c r="DO128" s="1021"/>
      <c r="DP128" s="1021"/>
      <c r="DQ128" s="1021"/>
      <c r="DR128" s="1021"/>
      <c r="DS128" s="1021"/>
      <c r="DT128" s="1021"/>
      <c r="DU128" s="1021"/>
      <c r="DV128" s="1021"/>
      <c r="DW128" s="1021"/>
      <c r="DX128" s="1021"/>
      <c r="DY128" s="1021"/>
      <c r="DZ128" s="1021"/>
      <c r="EA128" s="1021"/>
      <c r="EB128" s="1021"/>
      <c r="EC128" s="1021"/>
      <c r="ED128" s="1021"/>
      <c r="EE128" s="1021"/>
      <c r="EF128" s="1021"/>
      <c r="EG128" s="1021"/>
      <c r="EH128" s="1021"/>
      <c r="EI128" s="1021"/>
      <c r="EJ128" s="1021"/>
      <c r="EK128" s="1021"/>
      <c r="EL128" s="1021"/>
      <c r="EM128" s="1021"/>
      <c r="EN128" s="1021"/>
      <c r="EO128" s="1021"/>
      <c r="EP128" s="1021"/>
      <c r="EQ128" s="1021"/>
      <c r="ER128" s="1021"/>
      <c r="ES128" s="1021"/>
      <c r="ET128" s="1021"/>
      <c r="EU128" s="1021"/>
      <c r="EV128" s="1021"/>
      <c r="EW128" s="1021"/>
      <c r="EX128" s="1021"/>
      <c r="EY128" s="1021"/>
      <c r="EZ128" s="1021"/>
      <c r="FA128" s="1021"/>
      <c r="FB128" s="1021"/>
      <c r="FC128" s="1021"/>
      <c r="FD128" s="1021"/>
      <c r="FE128" s="1021"/>
      <c r="FF128" s="1021"/>
      <c r="FG128" s="1021"/>
      <c r="FH128" s="1021"/>
      <c r="FI128" s="1021"/>
      <c r="FJ128" s="1021"/>
      <c r="FK128" s="1021"/>
      <c r="FL128" s="1021"/>
      <c r="FM128" s="1021"/>
      <c r="FN128" s="1021"/>
      <c r="FO128" s="1021"/>
      <c r="FP128" s="1021"/>
      <c r="FQ128" s="1021"/>
      <c r="FR128" s="1021"/>
      <c r="FS128" s="1021"/>
      <c r="FT128" s="1021"/>
      <c r="FU128" s="1021"/>
      <c r="FV128" s="1021"/>
      <c r="FW128" s="1021"/>
      <c r="FX128" s="1021"/>
      <c r="FY128" s="1021"/>
      <c r="FZ128" s="1021"/>
      <c r="GA128" s="1021"/>
      <c r="GB128" s="1021"/>
      <c r="GC128" s="1021"/>
      <c r="GD128" s="1021"/>
      <c r="GE128" s="1021"/>
      <c r="GF128" s="1021"/>
      <c r="GG128" s="1021"/>
      <c r="GH128" s="1021"/>
      <c r="GI128" s="1021"/>
      <c r="GJ128" s="1021"/>
      <c r="GK128" s="1021"/>
      <c r="GL128" s="1021"/>
      <c r="GM128" s="1021"/>
      <c r="GN128" s="1021"/>
      <c r="GO128" s="1021"/>
      <c r="GP128" s="1021"/>
      <c r="GQ128" s="1021"/>
      <c r="GR128" s="1021"/>
      <c r="GS128" s="1021"/>
      <c r="GT128" s="1021"/>
      <c r="GU128" s="1021"/>
      <c r="GV128" s="1021"/>
      <c r="GW128" s="1021"/>
      <c r="GX128" s="1021"/>
      <c r="GY128" s="1021"/>
      <c r="GZ128" s="1021"/>
      <c r="HA128" s="1021"/>
      <c r="HB128" s="1021"/>
      <c r="HC128" s="1021"/>
      <c r="HD128" s="1021"/>
      <c r="HE128" s="1021"/>
      <c r="HF128" s="1021"/>
      <c r="HG128" s="1021"/>
      <c r="HH128" s="1021"/>
      <c r="HI128" s="1021"/>
      <c r="HJ128" s="1021"/>
      <c r="HK128" s="1021"/>
      <c r="HL128" s="1021"/>
      <c r="HM128" s="1021"/>
      <c r="HN128" s="1021"/>
      <c r="HO128" s="1021"/>
      <c r="HP128" s="1021"/>
      <c r="HQ128" s="1021"/>
      <c r="HR128" s="1021"/>
      <c r="HS128" s="1021"/>
      <c r="HT128" s="1021"/>
      <c r="HU128" s="1021"/>
      <c r="HV128" s="1021"/>
      <c r="HW128" s="1021"/>
      <c r="HX128" s="1021"/>
      <c r="HY128" s="1021"/>
      <c r="HZ128" s="1021"/>
      <c r="IA128" s="1021"/>
      <c r="IB128" s="1021"/>
      <c r="IC128" s="1021"/>
      <c r="ID128" s="1021"/>
      <c r="IE128" s="1021"/>
      <c r="IF128" s="1021"/>
      <c r="IG128" s="1021"/>
      <c r="IH128" s="1021"/>
      <c r="II128" s="1021"/>
      <c r="IJ128" s="1021"/>
      <c r="IK128" s="1021"/>
      <c r="IL128" s="1021"/>
      <c r="IM128" s="1021"/>
      <c r="IN128" s="1021"/>
      <c r="IO128" s="1021"/>
      <c r="IP128" s="1021"/>
      <c r="IQ128" s="1021"/>
      <c r="IR128" s="1021"/>
      <c r="IS128" s="1021"/>
      <c r="IT128" s="1021"/>
      <c r="IU128" s="1021"/>
      <c r="IV128" s="1021"/>
      <c r="IW128" s="1021"/>
      <c r="IX128" s="1021"/>
      <c r="IY128" s="1021"/>
      <c r="IZ128" s="1021"/>
      <c r="JA128" s="1021"/>
      <c r="JB128" s="1021"/>
      <c r="JC128" s="1021"/>
      <c r="JD128" s="1021"/>
      <c r="JE128" s="1021"/>
      <c r="JF128" s="1021"/>
      <c r="JG128" s="1021"/>
      <c r="JH128" s="1021"/>
      <c r="JI128" s="1021"/>
      <c r="JJ128" s="1021"/>
      <c r="JK128" s="1021"/>
      <c r="JL128" s="1021"/>
      <c r="JM128" s="1021"/>
      <c r="JN128" s="1021"/>
      <c r="JO128" s="1021"/>
      <c r="JP128" s="1021"/>
      <c r="JQ128" s="1021"/>
      <c r="JR128" s="1021"/>
      <c r="JS128" s="1021"/>
      <c r="JT128" s="1021"/>
      <c r="JU128" s="1021"/>
      <c r="JV128" s="1021"/>
      <c r="JW128" s="1021"/>
      <c r="JX128" s="1021"/>
      <c r="JY128" s="1021"/>
      <c r="JZ128" s="1021"/>
      <c r="KA128" s="1021"/>
      <c r="KB128" s="1021"/>
      <c r="KC128" s="1021"/>
      <c r="KD128" s="1021"/>
      <c r="KE128" s="1021"/>
      <c r="KF128" s="1021"/>
      <c r="KG128" s="1021"/>
      <c r="KH128" s="1021"/>
      <c r="KI128" s="1021"/>
      <c r="KJ128" s="1021"/>
      <c r="KK128" s="1021"/>
      <c r="KL128" s="1021"/>
      <c r="KM128" s="1021"/>
      <c r="KN128" s="1021"/>
      <c r="KO128" s="1021"/>
      <c r="KP128" s="1021"/>
      <c r="KQ128" s="1021"/>
      <c r="KR128" s="1021"/>
      <c r="KS128" s="1021"/>
      <c r="KT128" s="1021"/>
      <c r="KU128" s="1021"/>
      <c r="KV128" s="1021"/>
      <c r="KW128" s="1021"/>
      <c r="KX128" s="1021"/>
      <c r="KY128" s="1021"/>
      <c r="KZ128" s="1021"/>
      <c r="LA128" s="1021"/>
      <c r="LB128" s="1021"/>
      <c r="LC128" s="1021"/>
      <c r="LD128" s="1021"/>
      <c r="LE128" s="1021"/>
      <c r="LF128" s="1021"/>
      <c r="LG128" s="1021"/>
      <c r="LH128" s="1021"/>
      <c r="LI128" s="1021"/>
      <c r="LJ128" s="1021"/>
      <c r="LK128" s="1021"/>
      <c r="LL128" s="1021"/>
      <c r="LM128" s="1021"/>
      <c r="LN128" s="1021"/>
      <c r="LO128" s="1021"/>
      <c r="LP128" s="1021"/>
      <c r="LQ128" s="1021"/>
      <c r="LR128" s="1021"/>
      <c r="LS128" s="1021"/>
      <c r="LT128" s="1021"/>
      <c r="LU128" s="1021"/>
      <c r="LV128" s="1021"/>
      <c r="LW128" s="1021"/>
      <c r="LX128" s="1021"/>
      <c r="LY128" s="1021"/>
      <c r="LZ128" s="1021"/>
      <c r="MA128" s="1021"/>
      <c r="MB128" s="1021"/>
      <c r="MC128" s="1021"/>
      <c r="MD128" s="1021"/>
      <c r="ME128" s="1021"/>
      <c r="MF128" s="1021"/>
      <c r="MG128" s="1021"/>
      <c r="MH128" s="1021"/>
      <c r="MI128" s="1021"/>
      <c r="MJ128" s="1021"/>
      <c r="MK128" s="1021"/>
      <c r="ML128" s="1021"/>
      <c r="MM128" s="1021"/>
      <c r="MN128" s="1021"/>
      <c r="MO128" s="1021"/>
      <c r="MP128" s="1021"/>
      <c r="MQ128" s="1021"/>
      <c r="MR128" s="1021"/>
      <c r="MS128" s="1021"/>
      <c r="MT128" s="1021"/>
      <c r="MU128" s="1021"/>
      <c r="MV128" s="1021"/>
      <c r="MW128" s="1021"/>
      <c r="MX128" s="1021"/>
      <c r="MY128" s="1021"/>
      <c r="MZ128" s="1021"/>
      <c r="NA128" s="1021"/>
      <c r="NB128" s="1021"/>
      <c r="NC128" s="1021"/>
      <c r="ND128" s="1021"/>
      <c r="NE128" s="1021"/>
      <c r="NF128" s="1021"/>
      <c r="NG128" s="1021"/>
      <c r="NH128" s="1021"/>
      <c r="NI128" s="1021"/>
      <c r="NJ128" s="1021"/>
      <c r="NK128" s="1021"/>
      <c r="NL128" s="1021"/>
      <c r="NM128" s="1021"/>
      <c r="NN128" s="1021"/>
      <c r="NO128" s="1021"/>
      <c r="NP128" s="1021"/>
      <c r="NQ128" s="1021"/>
      <c r="NR128" s="1021"/>
      <c r="NS128" s="1021"/>
      <c r="NT128" s="1021"/>
      <c r="NU128" s="1021"/>
      <c r="NV128" s="1021"/>
      <c r="NW128" s="1021"/>
      <c r="NX128" s="1021"/>
      <c r="NY128" s="1021"/>
      <c r="NZ128" s="1021"/>
      <c r="OA128" s="1021"/>
      <c r="OB128" s="1021"/>
      <c r="OC128" s="1021"/>
      <c r="OD128" s="1021"/>
      <c r="OE128" s="1021"/>
      <c r="OF128" s="1021"/>
      <c r="OG128" s="1021"/>
      <c r="OH128" s="1021"/>
      <c r="OI128" s="1021"/>
      <c r="OJ128" s="1021"/>
      <c r="OK128" s="1021"/>
      <c r="OL128" s="1021"/>
      <c r="OM128" s="1021"/>
      <c r="ON128" s="1021"/>
      <c r="OO128" s="1021"/>
      <c r="OP128" s="1021"/>
      <c r="OQ128" s="1021"/>
      <c r="OR128" s="1021"/>
      <c r="OS128" s="1021"/>
      <c r="OT128" s="1021"/>
      <c r="OU128" s="1021"/>
      <c r="OV128" s="1021"/>
      <c r="OW128" s="1021"/>
      <c r="OX128" s="1021"/>
      <c r="OY128" s="1021"/>
      <c r="OZ128" s="1021"/>
      <c r="PA128" s="1021"/>
      <c r="PB128" s="1021"/>
      <c r="PC128" s="1021"/>
      <c r="PD128" s="1021"/>
      <c r="PE128" s="1021"/>
      <c r="PF128" s="1021"/>
      <c r="PG128" s="1021"/>
      <c r="PH128" s="1021"/>
      <c r="PI128" s="1021"/>
      <c r="PJ128" s="1021"/>
      <c r="PK128" s="1021"/>
      <c r="PL128" s="1021"/>
      <c r="PM128" s="1021"/>
      <c r="PN128" s="1021"/>
      <c r="PO128" s="1021"/>
      <c r="PP128" s="1021"/>
      <c r="PQ128" s="1021"/>
      <c r="PR128" s="1021"/>
      <c r="PS128" s="1021"/>
      <c r="PT128" s="1021"/>
      <c r="PU128" s="1021"/>
      <c r="PV128" s="1021"/>
      <c r="PW128" s="1021"/>
      <c r="PX128" s="1021"/>
      <c r="PY128" s="1021"/>
      <c r="PZ128" s="1021"/>
      <c r="QA128" s="1021"/>
      <c r="QB128" s="1021"/>
      <c r="QC128" s="1021"/>
      <c r="QD128" s="1021"/>
      <c r="QE128" s="1021"/>
      <c r="QF128" s="1021"/>
      <c r="QG128" s="1021"/>
      <c r="QH128" s="1021"/>
      <c r="QI128" s="1021"/>
      <c r="QJ128" s="1021"/>
      <c r="QK128" s="1021"/>
      <c r="QL128" s="1021"/>
      <c r="QM128" s="1021"/>
      <c r="QN128" s="1021"/>
      <c r="QO128" s="1021"/>
      <c r="QP128" s="1021"/>
      <c r="QQ128" s="1021"/>
      <c r="QR128" s="1021"/>
      <c r="QS128" s="1021"/>
      <c r="QT128" s="1021"/>
      <c r="QU128" s="1021"/>
      <c r="QV128" s="1021"/>
      <c r="QW128" s="1021"/>
      <c r="QX128" s="1021"/>
      <c r="QY128" s="1021"/>
      <c r="QZ128" s="1021"/>
      <c r="RA128" s="1021"/>
      <c r="RB128" s="1021"/>
      <c r="RC128" s="1021"/>
      <c r="RD128" s="1021"/>
      <c r="RE128" s="1021"/>
      <c r="RF128" s="1021"/>
      <c r="RG128" s="1021"/>
      <c r="RH128" s="1021"/>
      <c r="RI128" s="1021"/>
      <c r="RJ128" s="1021"/>
      <c r="RK128" s="1021"/>
      <c r="RL128" s="1021"/>
      <c r="RM128" s="1021"/>
      <c r="RN128" s="1021"/>
      <c r="RO128" s="1021"/>
      <c r="RP128" s="1021"/>
      <c r="RQ128" s="1021"/>
      <c r="RR128" s="1021"/>
      <c r="RS128" s="1021"/>
      <c r="RT128" s="1021"/>
      <c r="RU128" s="1021"/>
      <c r="RV128" s="1021"/>
      <c r="RW128" s="1021"/>
      <c r="RX128" s="1021"/>
      <c r="RY128" s="1021"/>
      <c r="RZ128" s="1021"/>
      <c r="SA128" s="1021"/>
      <c r="SB128" s="1021"/>
      <c r="SC128" s="1021"/>
      <c r="SD128" s="1021"/>
      <c r="SE128" s="1021"/>
      <c r="SF128" s="1021"/>
      <c r="SG128" s="1021"/>
      <c r="SH128" s="1021"/>
      <c r="SI128" s="1021"/>
      <c r="SJ128" s="1021"/>
      <c r="SK128" s="1021"/>
      <c r="SL128" s="1021"/>
      <c r="SM128" s="1021"/>
      <c r="SN128" s="1021"/>
      <c r="SO128" s="1021"/>
      <c r="SP128" s="1021"/>
      <c r="SQ128" s="1021"/>
      <c r="SR128" s="1021"/>
    </row>
    <row r="129" spans="1:512" ht="15" customHeight="1">
      <c r="A129"/>
      <c r="B129"/>
      <c r="C129" t="s">
        <v>2244</v>
      </c>
      <c r="D129"/>
      <c r="E129" t="s">
        <v>3848</v>
      </c>
      <c r="F129"/>
      <c r="G129" s="1023">
        <v>0</v>
      </c>
      <c r="H129" s="1023">
        <v>0</v>
      </c>
      <c r="I129" s="1023"/>
      <c r="J129" s="1023"/>
      <c r="K129" s="1023"/>
      <c r="L129" s="1023"/>
      <c r="M129" s="1023"/>
      <c r="N129" s="1023"/>
      <c r="O129" s="1023"/>
      <c r="P129" s="1023"/>
      <c r="Q129" s="1023"/>
      <c r="R129" s="1023"/>
      <c r="S129" s="1023"/>
      <c r="T129" s="1023"/>
      <c r="U129" s="1021"/>
      <c r="V129" s="1021"/>
      <c r="W129" s="1021"/>
      <c r="X129" s="1021"/>
      <c r="Y129" s="1021"/>
      <c r="Z129" s="1021"/>
      <c r="AA129" s="1021"/>
      <c r="AB129" s="1021"/>
      <c r="AC129" s="1021"/>
      <c r="AD129" s="1021"/>
      <c r="AE129" s="1021"/>
      <c r="AF129" s="1021"/>
      <c r="AG129" s="1021"/>
      <c r="AH129" s="1021"/>
      <c r="AI129" s="1021"/>
      <c r="AJ129" s="1021"/>
      <c r="AK129" s="1021"/>
      <c r="AL129" s="1021"/>
      <c r="AM129" s="1021"/>
      <c r="AN129" s="1021"/>
      <c r="AO129" s="1021"/>
      <c r="AP129" s="1021"/>
      <c r="AQ129" s="1021"/>
      <c r="AR129" s="1021"/>
      <c r="AS129" s="1021"/>
      <c r="AT129" s="1021"/>
      <c r="AU129" s="1021"/>
      <c r="AV129" s="1021"/>
      <c r="AW129" s="1021"/>
      <c r="AX129" s="1021"/>
      <c r="AY129" s="1021"/>
      <c r="AZ129" s="1021"/>
      <c r="BA129" s="1021"/>
      <c r="BB129" s="1021"/>
      <c r="BC129" s="1021"/>
      <c r="BD129" s="1021"/>
      <c r="BE129" s="1021"/>
      <c r="BF129" s="1021"/>
      <c r="BG129" s="1021"/>
      <c r="BH129" s="1021"/>
      <c r="BI129" s="1021"/>
      <c r="BJ129" s="1021"/>
      <c r="BK129" s="1021"/>
      <c r="BL129" s="1021"/>
      <c r="BM129" s="1021"/>
      <c r="BN129" s="1021"/>
      <c r="BO129" s="1021"/>
      <c r="BP129" s="1021"/>
      <c r="BQ129" s="1021"/>
      <c r="BR129" s="1021"/>
      <c r="BS129" s="1021"/>
      <c r="BT129" s="1021"/>
      <c r="BU129" s="1021"/>
      <c r="BV129" s="1021"/>
      <c r="BW129" s="1021"/>
      <c r="BX129" s="1021"/>
      <c r="BY129" s="1021"/>
      <c r="BZ129" s="1021"/>
      <c r="CA129" s="1021"/>
      <c r="CB129" s="1021"/>
      <c r="CC129" s="1021"/>
      <c r="CD129" s="1021"/>
      <c r="CE129" s="1021"/>
      <c r="CF129" s="1021"/>
      <c r="CG129" s="1021"/>
      <c r="CH129" s="1021"/>
      <c r="CI129" s="1021"/>
      <c r="CJ129" s="1021"/>
      <c r="CK129" s="1021"/>
      <c r="CL129" s="1021"/>
      <c r="CM129" s="1021"/>
      <c r="CN129" s="1021"/>
      <c r="CO129" s="1021"/>
      <c r="CP129" s="1021"/>
      <c r="CQ129" s="1021"/>
      <c r="CR129" s="1021"/>
      <c r="CS129" s="1021"/>
      <c r="CT129" s="1021"/>
      <c r="CU129" s="1021"/>
      <c r="CV129" s="1021"/>
      <c r="CW129" s="1021"/>
      <c r="CX129" s="1021"/>
      <c r="CY129" s="1021"/>
      <c r="CZ129" s="1021"/>
      <c r="DA129" s="1021"/>
      <c r="DB129" s="1021"/>
      <c r="DC129" s="1021"/>
      <c r="DD129" s="1021"/>
      <c r="DE129" s="1021"/>
      <c r="DF129" s="1021"/>
      <c r="DG129" s="1021"/>
      <c r="DH129" s="1021"/>
      <c r="DI129" s="1021"/>
      <c r="DJ129" s="1021"/>
      <c r="DK129" s="1021"/>
      <c r="DL129" s="1021"/>
      <c r="DM129" s="1021"/>
      <c r="DN129" s="1021"/>
      <c r="DO129" s="1021"/>
      <c r="DP129" s="1021"/>
      <c r="DQ129" s="1021"/>
      <c r="DR129" s="1021"/>
      <c r="DS129" s="1021"/>
      <c r="DT129" s="1021"/>
      <c r="DU129" s="1021"/>
      <c r="DV129" s="1021"/>
      <c r="DW129" s="1021"/>
      <c r="DX129" s="1021"/>
      <c r="DY129" s="1021"/>
      <c r="DZ129" s="1021"/>
      <c r="EA129" s="1021"/>
      <c r="EB129" s="1021"/>
      <c r="EC129" s="1021"/>
      <c r="ED129" s="1021"/>
      <c r="EE129" s="1021"/>
      <c r="EF129" s="1021"/>
      <c r="EG129" s="1021"/>
      <c r="EH129" s="1021"/>
      <c r="EI129" s="1021"/>
      <c r="EJ129" s="1021"/>
      <c r="EK129" s="1021"/>
      <c r="EL129" s="1021"/>
      <c r="EM129" s="1021"/>
      <c r="EN129" s="1021"/>
      <c r="EO129" s="1021"/>
      <c r="EP129" s="1021"/>
      <c r="EQ129" s="1021"/>
      <c r="ER129" s="1021"/>
      <c r="ES129" s="1021"/>
      <c r="ET129" s="1021"/>
      <c r="EU129" s="1021"/>
      <c r="EV129" s="1021"/>
      <c r="EW129" s="1021"/>
      <c r="EX129" s="1021"/>
      <c r="EY129" s="1021"/>
      <c r="EZ129" s="1021"/>
      <c r="FA129" s="1021"/>
      <c r="FB129" s="1021"/>
      <c r="FC129" s="1021"/>
      <c r="FD129" s="1021"/>
      <c r="FE129" s="1021"/>
      <c r="FF129" s="1021"/>
      <c r="FG129" s="1021"/>
      <c r="FH129" s="1021"/>
      <c r="FI129" s="1021"/>
      <c r="FJ129" s="1021"/>
      <c r="FK129" s="1021"/>
      <c r="FL129" s="1021"/>
      <c r="FM129" s="1021"/>
      <c r="FN129" s="1021"/>
      <c r="FO129" s="1021"/>
      <c r="FP129" s="1021"/>
      <c r="FQ129" s="1021"/>
      <c r="FR129" s="1021"/>
      <c r="FS129" s="1021"/>
      <c r="FT129" s="1021"/>
      <c r="FU129" s="1021"/>
      <c r="FV129" s="1021"/>
      <c r="FW129" s="1021"/>
      <c r="FX129" s="1021"/>
      <c r="FY129" s="1021"/>
      <c r="FZ129" s="1021"/>
      <c r="GA129" s="1021"/>
      <c r="GB129" s="1021"/>
      <c r="GC129" s="1021"/>
      <c r="GD129" s="1021"/>
      <c r="GE129" s="1021"/>
      <c r="GF129" s="1021"/>
      <c r="GG129" s="1021"/>
      <c r="GH129" s="1021"/>
      <c r="GI129" s="1021"/>
      <c r="GJ129" s="1021"/>
      <c r="GK129" s="1021"/>
      <c r="GL129" s="1021"/>
      <c r="GM129" s="1021"/>
      <c r="GN129" s="1021"/>
      <c r="GO129" s="1021"/>
      <c r="GP129" s="1021"/>
      <c r="GQ129" s="1021"/>
      <c r="GR129" s="1021"/>
      <c r="GS129" s="1021"/>
      <c r="GT129" s="1021"/>
      <c r="GU129" s="1021"/>
      <c r="GV129" s="1021"/>
      <c r="GW129" s="1021"/>
      <c r="GX129" s="1021"/>
      <c r="GY129" s="1021"/>
      <c r="GZ129" s="1021"/>
      <c r="HA129" s="1021"/>
      <c r="HB129" s="1021"/>
      <c r="HC129" s="1021"/>
      <c r="HD129" s="1021"/>
      <c r="HE129" s="1021"/>
      <c r="HF129" s="1021"/>
      <c r="HG129" s="1021"/>
      <c r="HH129" s="1021"/>
      <c r="HI129" s="1021"/>
      <c r="HJ129" s="1021"/>
      <c r="HK129" s="1021"/>
      <c r="HL129" s="1021"/>
      <c r="HM129" s="1021"/>
      <c r="HN129" s="1021"/>
      <c r="HO129" s="1021"/>
      <c r="HP129" s="1021"/>
      <c r="HQ129" s="1021"/>
      <c r="HR129" s="1021"/>
      <c r="HS129" s="1021"/>
      <c r="HT129" s="1021"/>
      <c r="HU129" s="1021"/>
      <c r="HV129" s="1021"/>
      <c r="HW129" s="1021"/>
      <c r="HX129" s="1021"/>
      <c r="HY129" s="1021"/>
      <c r="HZ129" s="1021"/>
      <c r="IA129" s="1021"/>
      <c r="IB129" s="1021"/>
      <c r="IC129" s="1021"/>
      <c r="ID129" s="1021"/>
      <c r="IE129" s="1021"/>
      <c r="IF129" s="1021"/>
      <c r="IG129" s="1021"/>
      <c r="IH129" s="1021"/>
      <c r="II129" s="1021"/>
      <c r="IJ129" s="1021"/>
      <c r="IK129" s="1021"/>
      <c r="IL129" s="1021"/>
      <c r="IM129" s="1021"/>
      <c r="IN129" s="1021"/>
      <c r="IO129" s="1021"/>
      <c r="IP129" s="1021"/>
      <c r="IQ129" s="1021"/>
      <c r="IR129" s="1021"/>
      <c r="IS129" s="1021"/>
      <c r="IT129" s="1021"/>
      <c r="IU129" s="1021"/>
      <c r="IV129" s="1021"/>
      <c r="IW129" s="1021"/>
      <c r="IX129" s="1021"/>
      <c r="IY129" s="1021"/>
      <c r="IZ129" s="1021"/>
      <c r="JA129" s="1021"/>
      <c r="JB129" s="1021"/>
      <c r="JC129" s="1021"/>
      <c r="JD129" s="1021"/>
      <c r="JE129" s="1021"/>
      <c r="JF129" s="1021"/>
      <c r="JG129" s="1021"/>
      <c r="JH129" s="1021"/>
      <c r="JI129" s="1021"/>
      <c r="JJ129" s="1021"/>
      <c r="JK129" s="1021"/>
      <c r="JL129" s="1021"/>
      <c r="JM129" s="1021"/>
      <c r="JN129" s="1021"/>
      <c r="JO129" s="1021"/>
      <c r="JP129" s="1021"/>
      <c r="JQ129" s="1021"/>
      <c r="JR129" s="1021"/>
      <c r="JS129" s="1021"/>
      <c r="JT129" s="1021"/>
      <c r="JU129" s="1021"/>
      <c r="JV129" s="1021"/>
      <c r="JW129" s="1021"/>
      <c r="JX129" s="1021"/>
      <c r="JY129" s="1021"/>
      <c r="JZ129" s="1021"/>
      <c r="KA129" s="1021"/>
      <c r="KB129" s="1021"/>
      <c r="KC129" s="1021"/>
      <c r="KD129" s="1021"/>
      <c r="KE129" s="1021"/>
      <c r="KF129" s="1021"/>
      <c r="KG129" s="1021"/>
      <c r="KH129" s="1021"/>
      <c r="KI129" s="1021"/>
      <c r="KJ129" s="1021"/>
      <c r="KK129" s="1021"/>
      <c r="KL129" s="1021"/>
      <c r="KM129" s="1021"/>
      <c r="KN129" s="1021"/>
      <c r="KO129" s="1021"/>
      <c r="KP129" s="1021"/>
      <c r="KQ129" s="1021"/>
      <c r="KR129" s="1021"/>
      <c r="KS129" s="1021"/>
      <c r="KT129" s="1021"/>
      <c r="KU129" s="1021"/>
      <c r="KV129" s="1021"/>
      <c r="KW129" s="1021"/>
      <c r="KX129" s="1021"/>
      <c r="KY129" s="1021"/>
      <c r="KZ129" s="1021"/>
      <c r="LA129" s="1021"/>
      <c r="LB129" s="1021"/>
      <c r="LC129" s="1021"/>
      <c r="LD129" s="1021"/>
      <c r="LE129" s="1021"/>
      <c r="LF129" s="1021"/>
      <c r="LG129" s="1021"/>
      <c r="LH129" s="1021"/>
      <c r="LI129" s="1021"/>
      <c r="LJ129" s="1021"/>
      <c r="LK129" s="1021"/>
      <c r="LL129" s="1021"/>
      <c r="LM129" s="1021"/>
      <c r="LN129" s="1021"/>
      <c r="LO129" s="1021"/>
      <c r="LP129" s="1021"/>
      <c r="LQ129" s="1021"/>
      <c r="LR129" s="1021"/>
      <c r="LS129" s="1021"/>
      <c r="LT129" s="1021"/>
      <c r="LU129" s="1021"/>
      <c r="LV129" s="1021"/>
      <c r="LW129" s="1021"/>
      <c r="LX129" s="1021"/>
      <c r="LY129" s="1021"/>
      <c r="LZ129" s="1021"/>
      <c r="MA129" s="1021"/>
      <c r="MB129" s="1021"/>
      <c r="MC129" s="1021"/>
      <c r="MD129" s="1021"/>
      <c r="ME129" s="1021"/>
      <c r="MF129" s="1021"/>
      <c r="MG129" s="1021"/>
      <c r="MH129" s="1021"/>
      <c r="MI129" s="1021"/>
      <c r="MJ129" s="1021"/>
      <c r="MK129" s="1021"/>
      <c r="ML129" s="1021"/>
      <c r="MM129" s="1021"/>
      <c r="MN129" s="1021"/>
      <c r="MO129" s="1021"/>
      <c r="MP129" s="1021"/>
      <c r="MQ129" s="1021"/>
      <c r="MR129" s="1021"/>
      <c r="MS129" s="1021"/>
      <c r="MT129" s="1021"/>
      <c r="MU129" s="1021"/>
      <c r="MV129" s="1021"/>
      <c r="MW129" s="1021"/>
      <c r="MX129" s="1021"/>
      <c r="MY129" s="1021"/>
      <c r="MZ129" s="1021"/>
      <c r="NA129" s="1021"/>
      <c r="NB129" s="1021"/>
      <c r="NC129" s="1021"/>
      <c r="ND129" s="1021"/>
      <c r="NE129" s="1021"/>
      <c r="NF129" s="1021"/>
      <c r="NG129" s="1021"/>
      <c r="NH129" s="1021"/>
      <c r="NI129" s="1021"/>
      <c r="NJ129" s="1021"/>
      <c r="NK129" s="1021"/>
      <c r="NL129" s="1021"/>
      <c r="NM129" s="1021"/>
      <c r="NN129" s="1021"/>
      <c r="NO129" s="1021"/>
      <c r="NP129" s="1021"/>
      <c r="NQ129" s="1021"/>
      <c r="NR129" s="1021"/>
      <c r="NS129" s="1021"/>
      <c r="NT129" s="1021"/>
      <c r="NU129" s="1021"/>
      <c r="NV129" s="1021"/>
      <c r="NW129" s="1021"/>
      <c r="NX129" s="1021"/>
      <c r="NY129" s="1021"/>
      <c r="NZ129" s="1021"/>
      <c r="OA129" s="1021"/>
      <c r="OB129" s="1021"/>
      <c r="OC129" s="1021"/>
      <c r="OD129" s="1021"/>
      <c r="OE129" s="1021"/>
      <c r="OF129" s="1021"/>
      <c r="OG129" s="1021"/>
      <c r="OH129" s="1021"/>
      <c r="OI129" s="1021"/>
      <c r="OJ129" s="1021"/>
      <c r="OK129" s="1021"/>
      <c r="OL129" s="1021"/>
      <c r="OM129" s="1021"/>
      <c r="ON129" s="1021"/>
      <c r="OO129" s="1021"/>
      <c r="OP129" s="1021"/>
      <c r="OQ129" s="1021"/>
      <c r="OR129" s="1021"/>
      <c r="OS129" s="1021"/>
      <c r="OT129" s="1021"/>
      <c r="OU129" s="1021"/>
      <c r="OV129" s="1021"/>
      <c r="OW129" s="1021"/>
      <c r="OX129" s="1021"/>
      <c r="OY129" s="1021"/>
      <c r="OZ129" s="1021"/>
      <c r="PA129" s="1021"/>
      <c r="PB129" s="1021"/>
      <c r="PC129" s="1021"/>
      <c r="PD129" s="1021"/>
      <c r="PE129" s="1021"/>
      <c r="PF129" s="1021"/>
      <c r="PG129" s="1021"/>
      <c r="PH129" s="1021"/>
      <c r="PI129" s="1021"/>
      <c r="PJ129" s="1021"/>
      <c r="PK129" s="1021"/>
      <c r="PL129" s="1021"/>
      <c r="PM129" s="1021"/>
      <c r="PN129" s="1021"/>
      <c r="PO129" s="1021"/>
      <c r="PP129" s="1021"/>
      <c r="PQ129" s="1021"/>
      <c r="PR129" s="1021"/>
      <c r="PS129" s="1021"/>
      <c r="PT129" s="1021"/>
      <c r="PU129" s="1021"/>
      <c r="PV129" s="1021"/>
      <c r="PW129" s="1021"/>
      <c r="PX129" s="1021"/>
      <c r="PY129" s="1021"/>
      <c r="PZ129" s="1021"/>
      <c r="QA129" s="1021"/>
      <c r="QB129" s="1021"/>
      <c r="QC129" s="1021"/>
      <c r="QD129" s="1021"/>
      <c r="QE129" s="1021"/>
      <c r="QF129" s="1021"/>
      <c r="QG129" s="1021"/>
      <c r="QH129" s="1021"/>
      <c r="QI129" s="1021"/>
      <c r="QJ129" s="1021"/>
      <c r="QK129" s="1021"/>
      <c r="QL129" s="1021"/>
      <c r="QM129" s="1021"/>
      <c r="QN129" s="1021"/>
      <c r="QO129" s="1021"/>
      <c r="QP129" s="1021"/>
      <c r="QQ129" s="1021"/>
      <c r="QR129" s="1021"/>
      <c r="QS129" s="1021"/>
      <c r="QT129" s="1021"/>
      <c r="QU129" s="1021"/>
      <c r="QV129" s="1021"/>
      <c r="QW129" s="1021"/>
      <c r="QX129" s="1021"/>
      <c r="QY129" s="1021"/>
      <c r="QZ129" s="1021"/>
      <c r="RA129" s="1021"/>
      <c r="RB129" s="1021"/>
      <c r="RC129" s="1021"/>
      <c r="RD129" s="1021"/>
      <c r="RE129" s="1021"/>
      <c r="RF129" s="1021"/>
      <c r="RG129" s="1021"/>
      <c r="RH129" s="1021"/>
      <c r="RI129" s="1021"/>
      <c r="RJ129" s="1021"/>
      <c r="RK129" s="1021"/>
      <c r="RL129" s="1021"/>
      <c r="RM129" s="1021"/>
      <c r="RN129" s="1021"/>
      <c r="RO129" s="1021"/>
      <c r="RP129" s="1021"/>
      <c r="RQ129" s="1021"/>
      <c r="RR129" s="1021"/>
      <c r="RS129" s="1021"/>
      <c r="RT129" s="1021"/>
      <c r="RU129" s="1021"/>
      <c r="RV129" s="1021"/>
      <c r="RW129" s="1021"/>
      <c r="RX129" s="1021"/>
      <c r="RY129" s="1021"/>
      <c r="RZ129" s="1021"/>
      <c r="SA129" s="1021"/>
      <c r="SB129" s="1021"/>
      <c r="SC129" s="1021"/>
      <c r="SD129" s="1021"/>
      <c r="SE129" s="1021"/>
      <c r="SF129" s="1021"/>
      <c r="SG129" s="1021"/>
      <c r="SH129" s="1021"/>
      <c r="SI129" s="1021"/>
      <c r="SJ129" s="1021"/>
      <c r="SK129" s="1021"/>
      <c r="SL129" s="1021"/>
      <c r="SM129" s="1021"/>
      <c r="SN129" s="1021"/>
      <c r="SO129" s="1021"/>
      <c r="SP129" s="1021"/>
      <c r="SQ129" s="1021"/>
      <c r="SR129" s="1021"/>
    </row>
    <row r="130" spans="1:512" ht="15" customHeight="1">
      <c r="A130"/>
      <c r="B130"/>
      <c r="C130" t="s">
        <v>2245</v>
      </c>
      <c r="D130"/>
      <c r="E130" t="s">
        <v>3848</v>
      </c>
      <c r="F130"/>
      <c r="G130" s="1023">
        <v>0.10301747002229299</v>
      </c>
      <c r="H130" s="1023">
        <v>0.20500682112152016</v>
      </c>
      <c r="I130" s="1023"/>
      <c r="J130" s="1023"/>
      <c r="K130" s="1023"/>
      <c r="L130" s="1023"/>
      <c r="M130" s="1023"/>
      <c r="N130" s="1023"/>
      <c r="O130" s="1023"/>
      <c r="P130" s="1023"/>
      <c r="Q130" s="1023"/>
      <c r="R130" s="1023"/>
      <c r="S130" s="1023"/>
      <c r="T130" s="1023"/>
      <c r="U130" s="1021"/>
      <c r="V130" s="1021"/>
      <c r="W130" s="1021"/>
      <c r="X130" s="1021"/>
      <c r="Y130" s="1021"/>
      <c r="Z130" s="1021"/>
      <c r="AA130" s="1021"/>
      <c r="AB130" s="1021"/>
      <c r="AC130" s="1021"/>
      <c r="AD130" s="1021"/>
      <c r="AE130" s="1021"/>
      <c r="AF130" s="1021"/>
      <c r="AG130" s="1021"/>
      <c r="AH130" s="1021"/>
      <c r="AI130" s="1021"/>
      <c r="AJ130" s="1021"/>
      <c r="AK130" s="1021"/>
      <c r="AL130" s="1021"/>
      <c r="AM130" s="1021"/>
      <c r="AN130" s="1021"/>
      <c r="AO130" s="1021"/>
      <c r="AP130" s="1021"/>
      <c r="AQ130" s="1021"/>
      <c r="AR130" s="1021"/>
      <c r="AS130" s="1021"/>
      <c r="AT130" s="1021"/>
      <c r="AU130" s="1021"/>
      <c r="AV130" s="1021"/>
      <c r="AW130" s="1021"/>
      <c r="AX130" s="1021"/>
      <c r="AY130" s="1021"/>
      <c r="AZ130" s="1021"/>
      <c r="BA130" s="1021"/>
      <c r="BB130" s="1021"/>
      <c r="BC130" s="1021"/>
      <c r="BD130" s="1021"/>
      <c r="BE130" s="1021"/>
      <c r="BF130" s="1021"/>
      <c r="BG130" s="1021"/>
      <c r="BH130" s="1021"/>
      <c r="BI130" s="1021"/>
      <c r="BJ130" s="1021"/>
      <c r="BK130" s="1021"/>
      <c r="BL130" s="1021"/>
      <c r="BM130" s="1021"/>
      <c r="BN130" s="1021"/>
      <c r="BO130" s="1021"/>
      <c r="BP130" s="1021"/>
      <c r="BQ130" s="1021"/>
      <c r="BR130" s="1021"/>
      <c r="BS130" s="1021"/>
      <c r="BT130" s="1021"/>
      <c r="BU130" s="1021"/>
      <c r="BV130" s="1021"/>
      <c r="BW130" s="1021"/>
      <c r="BX130" s="1021"/>
      <c r="BY130" s="1021"/>
      <c r="BZ130" s="1021"/>
      <c r="CA130" s="1021"/>
      <c r="CB130" s="1021"/>
      <c r="CC130" s="1021"/>
      <c r="CD130" s="1021"/>
      <c r="CE130" s="1021"/>
      <c r="CF130" s="1021"/>
      <c r="CG130" s="1021"/>
      <c r="CH130" s="1021"/>
      <c r="CI130" s="1021"/>
      <c r="CJ130" s="1021"/>
      <c r="CK130" s="1021"/>
      <c r="CL130" s="1021"/>
      <c r="CM130" s="1021"/>
      <c r="CN130" s="1021"/>
      <c r="CO130" s="1021"/>
      <c r="CP130" s="1021"/>
      <c r="CQ130" s="1021"/>
      <c r="CR130" s="1021"/>
      <c r="CS130" s="1021"/>
      <c r="CT130" s="1021"/>
      <c r="CU130" s="1021"/>
      <c r="CV130" s="1021"/>
      <c r="CW130" s="1021"/>
      <c r="CX130" s="1021"/>
      <c r="CY130" s="1021"/>
      <c r="CZ130" s="1021"/>
      <c r="DA130" s="1021"/>
      <c r="DB130" s="1021"/>
      <c r="DC130" s="1021"/>
      <c r="DD130" s="1021"/>
      <c r="DE130" s="1021"/>
      <c r="DF130" s="1021"/>
      <c r="DG130" s="1021"/>
      <c r="DH130" s="1021"/>
      <c r="DI130" s="1021"/>
      <c r="DJ130" s="1021"/>
      <c r="DK130" s="1021"/>
      <c r="DL130" s="1021"/>
      <c r="DM130" s="1021"/>
      <c r="DN130" s="1021"/>
      <c r="DO130" s="1021"/>
      <c r="DP130" s="1021"/>
      <c r="DQ130" s="1021"/>
      <c r="DR130" s="1021"/>
      <c r="DS130" s="1021"/>
      <c r="DT130" s="1021"/>
      <c r="DU130" s="1021"/>
      <c r="DV130" s="1021"/>
      <c r="DW130" s="1021"/>
      <c r="DX130" s="1021"/>
      <c r="DY130" s="1021"/>
      <c r="DZ130" s="1021"/>
      <c r="EA130" s="1021"/>
      <c r="EB130" s="1021"/>
      <c r="EC130" s="1021"/>
      <c r="ED130" s="1021"/>
      <c r="EE130" s="1021"/>
      <c r="EF130" s="1021"/>
      <c r="EG130" s="1021"/>
      <c r="EH130" s="1021"/>
      <c r="EI130" s="1021"/>
      <c r="EJ130" s="1021"/>
      <c r="EK130" s="1021"/>
      <c r="EL130" s="1021"/>
      <c r="EM130" s="1021"/>
      <c r="EN130" s="1021"/>
      <c r="EO130" s="1021"/>
      <c r="EP130" s="1021"/>
      <c r="EQ130" s="1021"/>
      <c r="ER130" s="1021"/>
      <c r="ES130" s="1021"/>
      <c r="ET130" s="1021"/>
      <c r="EU130" s="1021"/>
      <c r="EV130" s="1021"/>
      <c r="EW130" s="1021"/>
      <c r="EX130" s="1021"/>
      <c r="EY130" s="1021"/>
      <c r="EZ130" s="1021"/>
      <c r="FA130" s="1021"/>
      <c r="FB130" s="1021"/>
      <c r="FC130" s="1021"/>
      <c r="FD130" s="1021"/>
      <c r="FE130" s="1021"/>
      <c r="FF130" s="1021"/>
      <c r="FG130" s="1021"/>
      <c r="FH130" s="1021"/>
      <c r="FI130" s="1021"/>
      <c r="FJ130" s="1021"/>
      <c r="FK130" s="1021"/>
      <c r="FL130" s="1021"/>
      <c r="FM130" s="1021"/>
      <c r="FN130" s="1021"/>
      <c r="FO130" s="1021"/>
      <c r="FP130" s="1021"/>
      <c r="FQ130" s="1021"/>
      <c r="FR130" s="1021"/>
      <c r="FS130" s="1021"/>
      <c r="FT130" s="1021"/>
      <c r="FU130" s="1021"/>
      <c r="FV130" s="1021"/>
      <c r="FW130" s="1021"/>
      <c r="FX130" s="1021"/>
      <c r="FY130" s="1021"/>
      <c r="FZ130" s="1021"/>
      <c r="GA130" s="1021"/>
      <c r="GB130" s="1021"/>
      <c r="GC130" s="1021"/>
      <c r="GD130" s="1021"/>
      <c r="GE130" s="1021"/>
      <c r="GF130" s="1021"/>
      <c r="GG130" s="1021"/>
      <c r="GH130" s="1021"/>
      <c r="GI130" s="1021"/>
      <c r="GJ130" s="1021"/>
      <c r="GK130" s="1021"/>
      <c r="GL130" s="1021"/>
      <c r="GM130" s="1021"/>
      <c r="GN130" s="1021"/>
      <c r="GO130" s="1021"/>
      <c r="GP130" s="1021"/>
      <c r="GQ130" s="1021"/>
      <c r="GR130" s="1021"/>
      <c r="GS130" s="1021"/>
      <c r="GT130" s="1021"/>
      <c r="GU130" s="1021"/>
      <c r="GV130" s="1021"/>
      <c r="GW130" s="1021"/>
      <c r="GX130" s="1021"/>
      <c r="GY130" s="1021"/>
      <c r="GZ130" s="1021"/>
      <c r="HA130" s="1021"/>
      <c r="HB130" s="1021"/>
      <c r="HC130" s="1021"/>
      <c r="HD130" s="1021"/>
      <c r="HE130" s="1021"/>
      <c r="HF130" s="1021"/>
      <c r="HG130" s="1021"/>
      <c r="HH130" s="1021"/>
      <c r="HI130" s="1021"/>
      <c r="HJ130" s="1021"/>
      <c r="HK130" s="1021"/>
      <c r="HL130" s="1021"/>
      <c r="HM130" s="1021"/>
      <c r="HN130" s="1021"/>
      <c r="HO130" s="1021"/>
      <c r="HP130" s="1021"/>
      <c r="HQ130" s="1021"/>
      <c r="HR130" s="1021"/>
      <c r="HS130" s="1021"/>
      <c r="HT130" s="1021"/>
      <c r="HU130" s="1021"/>
      <c r="HV130" s="1021"/>
      <c r="HW130" s="1021"/>
      <c r="HX130" s="1021"/>
      <c r="HY130" s="1021"/>
      <c r="HZ130" s="1021"/>
      <c r="IA130" s="1021"/>
      <c r="IB130" s="1021"/>
      <c r="IC130" s="1021"/>
      <c r="ID130" s="1021"/>
      <c r="IE130" s="1021"/>
      <c r="IF130" s="1021"/>
      <c r="IG130" s="1021"/>
      <c r="IH130" s="1021"/>
      <c r="II130" s="1021"/>
      <c r="IJ130" s="1021"/>
      <c r="IK130" s="1021"/>
      <c r="IL130" s="1021"/>
      <c r="IM130" s="1021"/>
      <c r="IN130" s="1021"/>
      <c r="IO130" s="1021"/>
      <c r="IP130" s="1021"/>
      <c r="IQ130" s="1021"/>
      <c r="IR130" s="1021"/>
      <c r="IS130" s="1021"/>
      <c r="IT130" s="1021"/>
      <c r="IU130" s="1021"/>
      <c r="IV130" s="1021"/>
      <c r="IW130" s="1021"/>
      <c r="IX130" s="1021"/>
      <c r="IY130" s="1021"/>
      <c r="IZ130" s="1021"/>
      <c r="JA130" s="1021"/>
      <c r="JB130" s="1021"/>
      <c r="JC130" s="1021"/>
      <c r="JD130" s="1021"/>
      <c r="JE130" s="1021"/>
      <c r="JF130" s="1021"/>
      <c r="JG130" s="1021"/>
      <c r="JH130" s="1021"/>
      <c r="JI130" s="1021"/>
      <c r="JJ130" s="1021"/>
      <c r="JK130" s="1021"/>
      <c r="JL130" s="1021"/>
      <c r="JM130" s="1021"/>
      <c r="JN130" s="1021"/>
      <c r="JO130" s="1021"/>
      <c r="JP130" s="1021"/>
      <c r="JQ130" s="1021"/>
      <c r="JR130" s="1021"/>
      <c r="JS130" s="1021"/>
      <c r="JT130" s="1021"/>
      <c r="JU130" s="1021"/>
      <c r="JV130" s="1021"/>
      <c r="JW130" s="1021"/>
      <c r="JX130" s="1021"/>
      <c r="JY130" s="1021"/>
      <c r="JZ130" s="1021"/>
      <c r="KA130" s="1021"/>
      <c r="KB130" s="1021"/>
      <c r="KC130" s="1021"/>
      <c r="KD130" s="1021"/>
      <c r="KE130" s="1021"/>
      <c r="KF130" s="1021"/>
      <c r="KG130" s="1021"/>
      <c r="KH130" s="1021"/>
      <c r="KI130" s="1021"/>
      <c r="KJ130" s="1021"/>
      <c r="KK130" s="1021"/>
      <c r="KL130" s="1021"/>
      <c r="KM130" s="1021"/>
      <c r="KN130" s="1021"/>
      <c r="KO130" s="1021"/>
      <c r="KP130" s="1021"/>
      <c r="KQ130" s="1021"/>
      <c r="KR130" s="1021"/>
      <c r="KS130" s="1021"/>
      <c r="KT130" s="1021"/>
      <c r="KU130" s="1021"/>
      <c r="KV130" s="1021"/>
      <c r="KW130" s="1021"/>
      <c r="KX130" s="1021"/>
      <c r="KY130" s="1021"/>
      <c r="KZ130" s="1021"/>
      <c r="LA130" s="1021"/>
      <c r="LB130" s="1021"/>
      <c r="LC130" s="1021"/>
      <c r="LD130" s="1021"/>
      <c r="LE130" s="1021"/>
      <c r="LF130" s="1021"/>
      <c r="LG130" s="1021"/>
      <c r="LH130" s="1021"/>
      <c r="LI130" s="1021"/>
      <c r="LJ130" s="1021"/>
      <c r="LK130" s="1021"/>
      <c r="LL130" s="1021"/>
      <c r="LM130" s="1021"/>
      <c r="LN130" s="1021"/>
      <c r="LO130" s="1021"/>
      <c r="LP130" s="1021"/>
      <c r="LQ130" s="1021"/>
      <c r="LR130" s="1021"/>
      <c r="LS130" s="1021"/>
      <c r="LT130" s="1021"/>
      <c r="LU130" s="1021"/>
      <c r="LV130" s="1021"/>
      <c r="LW130" s="1021"/>
      <c r="LX130" s="1021"/>
      <c r="LY130" s="1021"/>
      <c r="LZ130" s="1021"/>
      <c r="MA130" s="1021"/>
      <c r="MB130" s="1021"/>
      <c r="MC130" s="1021"/>
      <c r="MD130" s="1021"/>
      <c r="ME130" s="1021"/>
      <c r="MF130" s="1021"/>
      <c r="MG130" s="1021"/>
      <c r="MH130" s="1021"/>
      <c r="MI130" s="1021"/>
      <c r="MJ130" s="1021"/>
      <c r="MK130" s="1021"/>
      <c r="ML130" s="1021"/>
      <c r="MM130" s="1021"/>
      <c r="MN130" s="1021"/>
      <c r="MO130" s="1021"/>
      <c r="MP130" s="1021"/>
      <c r="MQ130" s="1021"/>
      <c r="MR130" s="1021"/>
      <c r="MS130" s="1021"/>
      <c r="MT130" s="1021"/>
      <c r="MU130" s="1021"/>
      <c r="MV130" s="1021"/>
      <c r="MW130" s="1021"/>
      <c r="MX130" s="1021"/>
      <c r="MY130" s="1021"/>
      <c r="MZ130" s="1021"/>
      <c r="NA130" s="1021"/>
      <c r="NB130" s="1021"/>
      <c r="NC130" s="1021"/>
      <c r="ND130" s="1021"/>
      <c r="NE130" s="1021"/>
      <c r="NF130" s="1021"/>
      <c r="NG130" s="1021"/>
      <c r="NH130" s="1021"/>
      <c r="NI130" s="1021"/>
      <c r="NJ130" s="1021"/>
      <c r="NK130" s="1021"/>
      <c r="NL130" s="1021"/>
      <c r="NM130" s="1021"/>
      <c r="NN130" s="1021"/>
      <c r="NO130" s="1021"/>
      <c r="NP130" s="1021"/>
      <c r="NQ130" s="1021"/>
      <c r="NR130" s="1021"/>
      <c r="NS130" s="1021"/>
      <c r="NT130" s="1021"/>
      <c r="NU130" s="1021"/>
      <c r="NV130" s="1021"/>
      <c r="NW130" s="1021"/>
      <c r="NX130" s="1021"/>
      <c r="NY130" s="1021"/>
      <c r="NZ130" s="1021"/>
      <c r="OA130" s="1021"/>
      <c r="OB130" s="1021"/>
      <c r="OC130" s="1021"/>
      <c r="OD130" s="1021"/>
      <c r="OE130" s="1021"/>
      <c r="OF130" s="1021"/>
      <c r="OG130" s="1021"/>
      <c r="OH130" s="1021"/>
      <c r="OI130" s="1021"/>
      <c r="OJ130" s="1021"/>
      <c r="OK130" s="1021"/>
      <c r="OL130" s="1021"/>
      <c r="OM130" s="1021"/>
      <c r="ON130" s="1021"/>
      <c r="OO130" s="1021"/>
      <c r="OP130" s="1021"/>
      <c r="OQ130" s="1021"/>
      <c r="OR130" s="1021"/>
      <c r="OS130" s="1021"/>
      <c r="OT130" s="1021"/>
      <c r="OU130" s="1021"/>
      <c r="OV130" s="1021"/>
      <c r="OW130" s="1021"/>
      <c r="OX130" s="1021"/>
      <c r="OY130" s="1021"/>
      <c r="OZ130" s="1021"/>
      <c r="PA130" s="1021"/>
      <c r="PB130" s="1021"/>
      <c r="PC130" s="1021"/>
      <c r="PD130" s="1021"/>
      <c r="PE130" s="1021"/>
      <c r="PF130" s="1021"/>
      <c r="PG130" s="1021"/>
      <c r="PH130" s="1021"/>
      <c r="PI130" s="1021"/>
      <c r="PJ130" s="1021"/>
      <c r="PK130" s="1021"/>
      <c r="PL130" s="1021"/>
      <c r="PM130" s="1021"/>
      <c r="PN130" s="1021"/>
      <c r="PO130" s="1021"/>
      <c r="PP130" s="1021"/>
      <c r="PQ130" s="1021"/>
      <c r="PR130" s="1021"/>
      <c r="PS130" s="1021"/>
      <c r="PT130" s="1021"/>
      <c r="PU130" s="1021"/>
      <c r="PV130" s="1021"/>
      <c r="PW130" s="1021"/>
      <c r="PX130" s="1021"/>
      <c r="PY130" s="1021"/>
      <c r="PZ130" s="1021"/>
      <c r="QA130" s="1021"/>
      <c r="QB130" s="1021"/>
      <c r="QC130" s="1021"/>
      <c r="QD130" s="1021"/>
      <c r="QE130" s="1021"/>
      <c r="QF130" s="1021"/>
      <c r="QG130" s="1021"/>
      <c r="QH130" s="1021"/>
      <c r="QI130" s="1021"/>
      <c r="QJ130" s="1021"/>
      <c r="QK130" s="1021"/>
      <c r="QL130" s="1021"/>
      <c r="QM130" s="1021"/>
      <c r="QN130" s="1021"/>
      <c r="QO130" s="1021"/>
      <c r="QP130" s="1021"/>
      <c r="QQ130" s="1021"/>
      <c r="QR130" s="1021"/>
      <c r="QS130" s="1021"/>
      <c r="QT130" s="1021"/>
      <c r="QU130" s="1021"/>
      <c r="QV130" s="1021"/>
      <c r="QW130" s="1021"/>
      <c r="QX130" s="1021"/>
      <c r="QY130" s="1021"/>
      <c r="QZ130" s="1021"/>
      <c r="RA130" s="1021"/>
      <c r="RB130" s="1021"/>
      <c r="RC130" s="1021"/>
      <c r="RD130" s="1021"/>
      <c r="RE130" s="1021"/>
      <c r="RF130" s="1021"/>
      <c r="RG130" s="1021"/>
      <c r="RH130" s="1021"/>
      <c r="RI130" s="1021"/>
      <c r="RJ130" s="1021"/>
      <c r="RK130" s="1021"/>
      <c r="RL130" s="1021"/>
      <c r="RM130" s="1021"/>
      <c r="RN130" s="1021"/>
      <c r="RO130" s="1021"/>
      <c r="RP130" s="1021"/>
      <c r="RQ130" s="1021"/>
      <c r="RR130" s="1021"/>
      <c r="RS130" s="1021"/>
      <c r="RT130" s="1021"/>
      <c r="RU130" s="1021"/>
      <c r="RV130" s="1021"/>
      <c r="RW130" s="1021"/>
      <c r="RX130" s="1021"/>
      <c r="RY130" s="1021"/>
      <c r="RZ130" s="1021"/>
      <c r="SA130" s="1021"/>
      <c r="SB130" s="1021"/>
      <c r="SC130" s="1021"/>
      <c r="SD130" s="1021"/>
      <c r="SE130" s="1021"/>
      <c r="SF130" s="1021"/>
      <c r="SG130" s="1021"/>
      <c r="SH130" s="1021"/>
      <c r="SI130" s="1021"/>
      <c r="SJ130" s="1021"/>
      <c r="SK130" s="1021"/>
      <c r="SL130" s="1021"/>
      <c r="SM130" s="1021"/>
      <c r="SN130" s="1021"/>
      <c r="SO130" s="1021"/>
      <c r="SP130" s="1021"/>
      <c r="SQ130" s="1021"/>
      <c r="SR130" s="1021"/>
    </row>
    <row r="131" spans="1:512" s="1011" customFormat="1" ht="15" customHeight="1">
      <c r="A131"/>
      <c r="G131" s="1024"/>
      <c r="H131" s="1024"/>
      <c r="I131" s="1024"/>
      <c r="J131" s="1024"/>
      <c r="K131" s="1024"/>
      <c r="L131" s="1024"/>
      <c r="M131" s="1024"/>
      <c r="N131" s="1024"/>
      <c r="O131" s="1024"/>
      <c r="P131" s="1024"/>
      <c r="Q131" s="1024"/>
      <c r="R131" s="1024"/>
      <c r="S131" s="1024"/>
      <c r="T131" s="1024"/>
      <c r="U131" s="1024"/>
      <c r="V131" s="1024"/>
      <c r="W131" s="1024"/>
      <c r="X131" s="1024"/>
      <c r="Y131" s="1024"/>
      <c r="Z131" s="1024"/>
      <c r="AA131" s="1024"/>
      <c r="AB131" s="1024"/>
      <c r="AC131" s="1024"/>
      <c r="AD131" s="1024"/>
      <c r="AE131" s="1024"/>
      <c r="AF131" s="1024"/>
      <c r="AG131" s="1024"/>
      <c r="AH131" s="1024"/>
      <c r="AI131" s="1024"/>
      <c r="AJ131" s="1024"/>
      <c r="AK131" s="1024"/>
      <c r="AL131" s="1024"/>
      <c r="AM131" s="1024"/>
      <c r="AN131" s="1024"/>
      <c r="AO131" s="1024"/>
      <c r="AP131" s="1024"/>
      <c r="AQ131" s="1024"/>
      <c r="AR131" s="1024"/>
      <c r="AS131" s="1024"/>
      <c r="AT131" s="1024"/>
      <c r="AU131" s="1024"/>
      <c r="AV131" s="1024"/>
      <c r="AW131" s="1024"/>
      <c r="AX131" s="1024"/>
      <c r="AY131" s="1024"/>
      <c r="AZ131" s="1024"/>
      <c r="BA131" s="1024"/>
      <c r="BB131" s="1024"/>
      <c r="BC131" s="1024"/>
      <c r="BD131" s="1024"/>
      <c r="BE131" s="1024"/>
      <c r="BF131" s="1024"/>
      <c r="BG131" s="1024"/>
      <c r="BH131" s="1024"/>
      <c r="BI131" s="1024"/>
      <c r="BJ131" s="1024"/>
      <c r="BK131" s="1024"/>
      <c r="BL131" s="1024"/>
      <c r="BM131" s="1024"/>
      <c r="BN131" s="1024"/>
      <c r="BO131" s="1024"/>
      <c r="BP131" s="1024"/>
      <c r="BQ131" s="1024"/>
      <c r="BR131" s="1024"/>
      <c r="BS131" s="1024"/>
      <c r="BT131" s="1024"/>
      <c r="BU131" s="1024"/>
      <c r="BV131" s="1024"/>
      <c r="BW131" s="1024"/>
      <c r="BX131" s="1024"/>
      <c r="BY131" s="1024"/>
      <c r="BZ131" s="1024"/>
      <c r="CA131" s="1024"/>
      <c r="CB131" s="1024"/>
      <c r="CC131" s="1024"/>
      <c r="CD131" s="1024"/>
      <c r="CE131" s="1024"/>
      <c r="CF131" s="1024"/>
      <c r="CG131" s="1024"/>
      <c r="CH131" s="1024"/>
      <c r="CI131" s="1024"/>
      <c r="CJ131" s="1024"/>
      <c r="CK131" s="1024"/>
      <c r="CL131" s="1024"/>
      <c r="CM131" s="1024"/>
      <c r="CN131" s="1024"/>
      <c r="CO131" s="1024"/>
      <c r="CP131" s="1024"/>
      <c r="CQ131" s="1024"/>
      <c r="CR131" s="1024"/>
      <c r="CS131" s="1024"/>
      <c r="CT131" s="1024"/>
      <c r="CU131" s="1024"/>
      <c r="CV131" s="1024"/>
      <c r="CW131" s="1024"/>
      <c r="CX131" s="1024"/>
      <c r="CY131" s="1024"/>
      <c r="CZ131" s="1024"/>
      <c r="DA131" s="1024"/>
      <c r="DB131" s="1024"/>
      <c r="DC131" s="1024"/>
      <c r="DD131" s="1024"/>
      <c r="DE131" s="1024"/>
      <c r="DF131" s="1024"/>
      <c r="DG131" s="1024"/>
      <c r="DH131" s="1024"/>
      <c r="DI131" s="1024"/>
      <c r="DJ131" s="1024"/>
      <c r="DK131" s="1024"/>
      <c r="DL131" s="1024"/>
      <c r="DM131" s="1024"/>
      <c r="DN131" s="1024"/>
      <c r="DO131" s="1024"/>
      <c r="DP131" s="1024"/>
      <c r="DQ131" s="1024"/>
      <c r="DR131" s="1024"/>
      <c r="DS131" s="1024"/>
      <c r="DT131" s="1024"/>
      <c r="DU131" s="1024"/>
      <c r="DV131" s="1024"/>
      <c r="DW131" s="1024"/>
      <c r="DX131" s="1024"/>
      <c r="DY131" s="1024"/>
      <c r="DZ131" s="1024"/>
      <c r="EA131" s="1024"/>
      <c r="EB131" s="1024"/>
      <c r="EC131" s="1024"/>
      <c r="ED131" s="1024"/>
      <c r="EE131" s="1024"/>
      <c r="EF131" s="1024"/>
      <c r="EG131" s="1024"/>
      <c r="EH131" s="1024"/>
      <c r="EI131" s="1024"/>
      <c r="EJ131" s="1024"/>
      <c r="EK131" s="1024"/>
      <c r="EL131" s="1024"/>
      <c r="EM131" s="1024"/>
      <c r="EN131" s="1024"/>
      <c r="EO131" s="1024"/>
      <c r="EP131" s="1024"/>
      <c r="EQ131" s="1024"/>
      <c r="ER131" s="1024"/>
      <c r="ES131" s="1024"/>
      <c r="ET131" s="1024"/>
      <c r="EU131" s="1024"/>
      <c r="EV131" s="1024"/>
      <c r="EW131" s="1024"/>
      <c r="EX131" s="1024"/>
      <c r="EY131" s="1024"/>
      <c r="EZ131" s="1024"/>
      <c r="FA131" s="1024"/>
      <c r="FB131" s="1024"/>
      <c r="FC131" s="1024"/>
      <c r="FD131" s="1024"/>
      <c r="FE131" s="1024"/>
      <c r="FF131" s="1024"/>
      <c r="FG131" s="1024"/>
      <c r="FH131" s="1024"/>
      <c r="FI131" s="1024"/>
      <c r="FJ131" s="1024"/>
      <c r="FK131" s="1024"/>
      <c r="FL131" s="1024"/>
      <c r="FM131" s="1024"/>
      <c r="FN131" s="1024"/>
      <c r="FO131" s="1024"/>
      <c r="FP131" s="1024"/>
      <c r="FQ131" s="1024"/>
      <c r="FR131" s="1024"/>
      <c r="FS131" s="1024"/>
      <c r="FT131" s="1024"/>
      <c r="FU131" s="1024"/>
      <c r="FV131" s="1024"/>
      <c r="FW131" s="1024"/>
      <c r="FX131" s="1024"/>
      <c r="FY131" s="1024"/>
      <c r="FZ131" s="1024"/>
      <c r="GA131" s="1024"/>
      <c r="GB131" s="1024"/>
      <c r="GC131" s="1024"/>
      <c r="GD131" s="1024"/>
      <c r="GE131" s="1024"/>
      <c r="GF131" s="1024"/>
      <c r="GG131" s="1024"/>
      <c r="GH131" s="1024"/>
      <c r="GI131" s="1024"/>
      <c r="GJ131" s="1024"/>
      <c r="GK131" s="1024"/>
      <c r="GL131" s="1024"/>
      <c r="GM131" s="1024"/>
      <c r="GN131" s="1024"/>
      <c r="GO131" s="1024"/>
      <c r="GP131" s="1024"/>
      <c r="GQ131" s="1024"/>
      <c r="GR131" s="1024"/>
      <c r="GS131" s="1024"/>
      <c r="GT131" s="1024"/>
      <c r="GU131" s="1024"/>
      <c r="GV131" s="1024"/>
      <c r="GW131" s="1024"/>
      <c r="GX131" s="1024"/>
      <c r="GY131" s="1024"/>
      <c r="GZ131" s="1024"/>
      <c r="HA131" s="1024"/>
      <c r="HB131" s="1024"/>
      <c r="HC131" s="1024"/>
      <c r="HD131" s="1024"/>
      <c r="HE131" s="1024"/>
      <c r="HF131" s="1024"/>
      <c r="HG131" s="1024"/>
      <c r="HH131" s="1024"/>
      <c r="HI131" s="1024"/>
      <c r="HJ131" s="1024"/>
      <c r="HK131" s="1024"/>
      <c r="HL131" s="1024"/>
      <c r="HM131" s="1024"/>
      <c r="HN131" s="1024"/>
      <c r="HO131" s="1024"/>
      <c r="HP131" s="1024"/>
      <c r="HQ131" s="1024"/>
      <c r="HR131" s="1024"/>
      <c r="HS131" s="1024"/>
      <c r="HT131" s="1024"/>
      <c r="HU131" s="1024"/>
      <c r="HV131" s="1024"/>
      <c r="HW131" s="1024"/>
      <c r="HX131" s="1024"/>
      <c r="HY131" s="1024"/>
      <c r="HZ131" s="1024"/>
      <c r="IA131" s="1024"/>
      <c r="IB131" s="1024"/>
      <c r="IC131" s="1024"/>
      <c r="ID131" s="1024"/>
      <c r="IE131" s="1024"/>
      <c r="IF131" s="1024"/>
      <c r="IG131" s="1024"/>
      <c r="IH131" s="1024"/>
      <c r="II131" s="1024"/>
      <c r="IJ131" s="1024"/>
      <c r="IK131" s="1024"/>
      <c r="IL131" s="1024"/>
      <c r="IM131" s="1024"/>
      <c r="IN131" s="1024"/>
      <c r="IO131" s="1024"/>
      <c r="IP131" s="1024"/>
      <c r="IQ131" s="1024"/>
      <c r="IR131" s="1024"/>
      <c r="IS131" s="1024"/>
      <c r="IT131" s="1024"/>
      <c r="IU131" s="1024"/>
      <c r="IV131" s="1024"/>
      <c r="IW131" s="1024"/>
      <c r="IX131" s="1024"/>
      <c r="IY131" s="1024"/>
      <c r="IZ131" s="1024"/>
      <c r="JA131" s="1024"/>
      <c r="JB131" s="1024"/>
      <c r="JC131" s="1024"/>
      <c r="JD131" s="1024"/>
      <c r="JE131" s="1024"/>
      <c r="JF131" s="1024"/>
      <c r="JG131" s="1024"/>
      <c r="JH131" s="1024"/>
      <c r="JI131" s="1024"/>
      <c r="JJ131" s="1024"/>
      <c r="JK131" s="1024"/>
      <c r="JL131" s="1024"/>
      <c r="JM131" s="1024"/>
      <c r="JN131" s="1024"/>
      <c r="JO131" s="1024"/>
      <c r="JP131" s="1024"/>
      <c r="JQ131" s="1024"/>
      <c r="JR131" s="1024"/>
      <c r="JS131" s="1024"/>
      <c r="JT131" s="1024"/>
      <c r="JU131" s="1024"/>
      <c r="JV131" s="1024"/>
      <c r="JW131" s="1024"/>
      <c r="JX131" s="1024"/>
      <c r="JY131" s="1024"/>
      <c r="JZ131" s="1024"/>
      <c r="KA131" s="1024"/>
      <c r="KB131" s="1024"/>
      <c r="KC131" s="1024"/>
      <c r="KD131" s="1024"/>
      <c r="KE131" s="1024"/>
      <c r="KF131" s="1024"/>
      <c r="KG131" s="1024"/>
      <c r="KH131" s="1024"/>
      <c r="KI131" s="1024"/>
      <c r="KJ131" s="1024"/>
      <c r="KK131" s="1024"/>
      <c r="KL131" s="1024"/>
      <c r="KM131" s="1024"/>
      <c r="KN131" s="1024"/>
      <c r="KO131" s="1024"/>
      <c r="KP131" s="1024"/>
      <c r="KQ131" s="1024"/>
      <c r="KR131" s="1024"/>
      <c r="KS131" s="1024"/>
      <c r="KT131" s="1024"/>
      <c r="KU131" s="1024"/>
      <c r="KV131" s="1024"/>
      <c r="KW131" s="1024"/>
      <c r="KX131" s="1024"/>
      <c r="KY131" s="1024"/>
      <c r="KZ131" s="1024"/>
      <c r="LA131" s="1024"/>
      <c r="LB131" s="1024"/>
      <c r="LC131" s="1024"/>
      <c r="LD131" s="1024"/>
      <c r="LE131" s="1024"/>
      <c r="LF131" s="1024"/>
      <c r="LG131" s="1024"/>
      <c r="LH131" s="1024"/>
      <c r="LI131" s="1024"/>
      <c r="LJ131" s="1024"/>
      <c r="LK131" s="1024"/>
      <c r="LL131" s="1024"/>
      <c r="LM131" s="1024"/>
      <c r="LN131" s="1024"/>
      <c r="LO131" s="1024"/>
      <c r="LP131" s="1024"/>
      <c r="LQ131" s="1024"/>
      <c r="LR131" s="1024"/>
      <c r="LS131" s="1024"/>
      <c r="LT131" s="1024"/>
      <c r="LU131" s="1024"/>
      <c r="LV131" s="1024"/>
      <c r="LW131" s="1024"/>
      <c r="LX131" s="1024"/>
      <c r="LY131" s="1024"/>
      <c r="LZ131" s="1024"/>
      <c r="MA131" s="1024"/>
      <c r="MB131" s="1024"/>
      <c r="MC131" s="1024"/>
      <c r="MD131" s="1024"/>
      <c r="ME131" s="1024"/>
      <c r="MF131" s="1024"/>
      <c r="MG131" s="1024"/>
      <c r="MH131" s="1024"/>
      <c r="MI131" s="1024"/>
      <c r="MJ131" s="1024"/>
      <c r="MK131" s="1024"/>
      <c r="ML131" s="1024"/>
      <c r="MM131" s="1024"/>
      <c r="MN131" s="1024"/>
      <c r="MO131" s="1024"/>
      <c r="MP131" s="1024"/>
      <c r="MQ131" s="1024"/>
      <c r="MR131" s="1024"/>
      <c r="MS131" s="1024"/>
      <c r="MT131" s="1024"/>
      <c r="MU131" s="1024"/>
      <c r="MV131" s="1024"/>
      <c r="MW131" s="1024"/>
      <c r="MX131" s="1024"/>
      <c r="MY131" s="1024"/>
      <c r="MZ131" s="1024"/>
      <c r="NA131" s="1024"/>
      <c r="NB131" s="1024"/>
      <c r="NC131" s="1024"/>
      <c r="ND131" s="1024"/>
      <c r="NE131" s="1024"/>
      <c r="NF131" s="1024"/>
      <c r="NG131" s="1024"/>
      <c r="NH131" s="1024"/>
      <c r="NI131" s="1024"/>
      <c r="NJ131" s="1024"/>
      <c r="NK131" s="1024"/>
      <c r="NL131" s="1024"/>
      <c r="NM131" s="1024"/>
      <c r="NN131" s="1024"/>
      <c r="NO131" s="1024"/>
      <c r="NP131" s="1024"/>
      <c r="NQ131" s="1024"/>
      <c r="NR131" s="1024"/>
      <c r="NS131" s="1024"/>
      <c r="NT131" s="1024"/>
      <c r="NU131" s="1024"/>
      <c r="NV131" s="1024"/>
      <c r="NW131" s="1024"/>
      <c r="NX131" s="1024"/>
      <c r="NY131" s="1024"/>
      <c r="NZ131" s="1024"/>
      <c r="OA131" s="1024"/>
      <c r="OB131" s="1024"/>
      <c r="OC131" s="1024"/>
      <c r="OD131" s="1024"/>
      <c r="OE131" s="1024"/>
      <c r="OF131" s="1024"/>
      <c r="OG131" s="1024"/>
      <c r="OH131" s="1024"/>
      <c r="OI131" s="1024"/>
      <c r="OJ131" s="1024"/>
      <c r="OK131" s="1024"/>
      <c r="OL131" s="1024"/>
      <c r="OM131" s="1024"/>
      <c r="ON131" s="1024"/>
      <c r="OO131" s="1024"/>
      <c r="OP131" s="1024"/>
      <c r="OQ131" s="1024"/>
      <c r="OR131" s="1024"/>
      <c r="OS131" s="1024"/>
      <c r="OT131" s="1024"/>
      <c r="OU131" s="1024"/>
      <c r="OV131" s="1024"/>
      <c r="OW131" s="1024"/>
      <c r="OX131" s="1024"/>
      <c r="OY131" s="1024"/>
      <c r="OZ131" s="1024"/>
      <c r="PA131" s="1024"/>
      <c r="PB131" s="1024"/>
      <c r="PC131" s="1024"/>
      <c r="PD131" s="1024"/>
      <c r="PE131" s="1024"/>
      <c r="PF131" s="1024"/>
      <c r="PG131" s="1024"/>
      <c r="PH131" s="1024"/>
      <c r="PI131" s="1024"/>
      <c r="PJ131" s="1024"/>
      <c r="PK131" s="1024"/>
      <c r="PL131" s="1024"/>
      <c r="PM131" s="1024"/>
      <c r="PN131" s="1024"/>
      <c r="PO131" s="1024"/>
      <c r="PP131" s="1024"/>
      <c r="PQ131" s="1024"/>
      <c r="PR131" s="1024"/>
      <c r="PS131" s="1024"/>
      <c r="PT131" s="1024"/>
      <c r="PU131" s="1024"/>
      <c r="PV131" s="1024"/>
      <c r="PW131" s="1024"/>
      <c r="PX131" s="1024"/>
      <c r="PY131" s="1024"/>
      <c r="PZ131" s="1024"/>
      <c r="QA131" s="1024"/>
      <c r="QB131" s="1024"/>
      <c r="QC131" s="1024"/>
      <c r="QD131" s="1024"/>
      <c r="QE131" s="1024"/>
      <c r="QF131" s="1024"/>
      <c r="QG131" s="1024"/>
      <c r="QH131" s="1024"/>
      <c r="QI131" s="1024"/>
      <c r="QJ131" s="1024"/>
      <c r="QK131" s="1024"/>
      <c r="QL131" s="1024"/>
      <c r="QM131" s="1024"/>
      <c r="QN131" s="1024"/>
      <c r="QO131" s="1024"/>
      <c r="QP131" s="1024"/>
      <c r="QQ131" s="1024"/>
      <c r="QR131" s="1024"/>
      <c r="QS131" s="1024"/>
      <c r="QT131" s="1024"/>
      <c r="QU131" s="1024"/>
      <c r="QV131" s="1024"/>
      <c r="QW131" s="1024"/>
      <c r="QX131" s="1024"/>
      <c r="QY131" s="1024"/>
      <c r="QZ131" s="1024"/>
      <c r="RA131" s="1024"/>
      <c r="RB131" s="1024"/>
      <c r="RC131" s="1024"/>
      <c r="RD131" s="1024"/>
      <c r="RE131" s="1024"/>
      <c r="RF131" s="1024"/>
      <c r="RG131" s="1024"/>
      <c r="RH131" s="1024"/>
      <c r="RI131" s="1024"/>
      <c r="RJ131" s="1024"/>
      <c r="RK131" s="1024"/>
      <c r="RL131" s="1024"/>
      <c r="RM131" s="1024"/>
      <c r="RN131" s="1024"/>
      <c r="RO131" s="1024"/>
      <c r="RP131" s="1024"/>
      <c r="RQ131" s="1024"/>
      <c r="RR131" s="1024"/>
      <c r="RS131" s="1024"/>
      <c r="RT131" s="1024"/>
      <c r="RU131" s="1024"/>
      <c r="RV131" s="1024"/>
      <c r="RW131" s="1024"/>
      <c r="RX131" s="1024"/>
      <c r="RY131" s="1024"/>
      <c r="RZ131" s="1024"/>
      <c r="SA131" s="1024"/>
      <c r="SB131" s="1024"/>
      <c r="SC131" s="1024"/>
      <c r="SD131" s="1024"/>
      <c r="SE131" s="1024"/>
      <c r="SF131" s="1024"/>
      <c r="SG131" s="1024"/>
      <c r="SH131" s="1024"/>
      <c r="SI131" s="1024"/>
      <c r="SJ131" s="1024"/>
      <c r="SK131" s="1024"/>
      <c r="SL131" s="1024"/>
      <c r="SM131" s="1024"/>
      <c r="SN131" s="1024"/>
      <c r="SO131" s="1024"/>
      <c r="SP131" s="1024"/>
      <c r="SQ131" s="1024"/>
      <c r="SR131" s="1024"/>
    </row>
    <row r="132" spans="1:512" s="1011" customFormat="1" ht="15" customHeight="1">
      <c r="A132" s="1011" t="s">
        <v>2246</v>
      </c>
      <c r="G132" s="1024"/>
      <c r="H132" s="1024"/>
      <c r="I132" s="1024"/>
      <c r="J132" s="1024"/>
      <c r="K132" s="1024"/>
      <c r="L132" s="1024"/>
      <c r="M132" s="1024"/>
      <c r="N132" s="1024"/>
      <c r="O132" s="1024"/>
      <c r="P132" s="1024"/>
      <c r="Q132" s="1024"/>
      <c r="R132" s="1024"/>
      <c r="S132" s="1024"/>
      <c r="T132" s="1024"/>
      <c r="U132" s="1024"/>
      <c r="V132" s="1024"/>
      <c r="W132" s="1024"/>
      <c r="X132" s="1024"/>
      <c r="Y132" s="1024"/>
      <c r="Z132" s="1024"/>
      <c r="AA132" s="1024"/>
      <c r="AB132" s="1024"/>
      <c r="AC132" s="1024"/>
      <c r="AD132" s="1024"/>
      <c r="AE132" s="1024"/>
      <c r="AF132" s="1024"/>
      <c r="AG132" s="1024"/>
      <c r="AH132" s="1024"/>
      <c r="AI132" s="1024"/>
      <c r="AJ132" s="1024"/>
      <c r="AK132" s="1024"/>
      <c r="AL132" s="1024"/>
      <c r="AM132" s="1024"/>
      <c r="AN132" s="1024"/>
      <c r="AO132" s="1024"/>
      <c r="AP132" s="1024"/>
      <c r="AQ132" s="1024"/>
      <c r="AR132" s="1024"/>
      <c r="AS132" s="1024"/>
      <c r="AT132" s="1024"/>
      <c r="AU132" s="1024"/>
      <c r="AV132" s="1024"/>
      <c r="AW132" s="1024"/>
      <c r="AX132" s="1024"/>
      <c r="AY132" s="1024"/>
      <c r="AZ132" s="1024"/>
      <c r="BA132" s="1024"/>
      <c r="BB132" s="1024"/>
      <c r="BC132" s="1024"/>
      <c r="BD132" s="1024"/>
      <c r="BE132" s="1024"/>
      <c r="BF132" s="1024"/>
      <c r="BG132" s="1024"/>
      <c r="BH132" s="1024"/>
      <c r="BI132" s="1024"/>
      <c r="BJ132" s="1024"/>
      <c r="BK132" s="1024"/>
      <c r="BL132" s="1024"/>
      <c r="BM132" s="1024"/>
      <c r="BN132" s="1024"/>
      <c r="BO132" s="1024"/>
      <c r="BP132" s="1024"/>
      <c r="BQ132" s="1024"/>
      <c r="BR132" s="1024"/>
      <c r="BS132" s="1024"/>
      <c r="BT132" s="1024"/>
      <c r="BU132" s="1024"/>
      <c r="BV132" s="1024"/>
      <c r="BW132" s="1024"/>
      <c r="BX132" s="1024"/>
      <c r="BY132" s="1024"/>
      <c r="BZ132" s="1024"/>
      <c r="CA132" s="1024"/>
      <c r="CB132" s="1024"/>
      <c r="CC132" s="1024"/>
      <c r="CD132" s="1024"/>
      <c r="CE132" s="1024"/>
      <c r="CF132" s="1024"/>
      <c r="CG132" s="1024"/>
      <c r="CH132" s="1024"/>
      <c r="CI132" s="1024"/>
      <c r="CJ132" s="1024"/>
      <c r="CK132" s="1024"/>
      <c r="CL132" s="1024"/>
      <c r="CM132" s="1024"/>
      <c r="CN132" s="1024"/>
      <c r="CO132" s="1024"/>
      <c r="CP132" s="1024"/>
      <c r="CQ132" s="1024"/>
      <c r="CR132" s="1024"/>
      <c r="CS132" s="1024"/>
      <c r="CT132" s="1024"/>
      <c r="CU132" s="1024"/>
      <c r="CV132" s="1024"/>
      <c r="CW132" s="1024"/>
      <c r="CX132" s="1024"/>
      <c r="CY132" s="1024"/>
      <c r="CZ132" s="1024"/>
      <c r="DA132" s="1024"/>
      <c r="DB132" s="1024"/>
      <c r="DC132" s="1024"/>
      <c r="DD132" s="1024"/>
      <c r="DE132" s="1024"/>
      <c r="DF132" s="1024"/>
      <c r="DG132" s="1024"/>
      <c r="DH132" s="1024"/>
      <c r="DI132" s="1024"/>
      <c r="DJ132" s="1024"/>
      <c r="DK132" s="1024"/>
      <c r="DL132" s="1024"/>
      <c r="DM132" s="1024"/>
      <c r="DN132" s="1024"/>
      <c r="DO132" s="1024"/>
      <c r="DP132" s="1024"/>
      <c r="DQ132" s="1024"/>
      <c r="DR132" s="1024"/>
      <c r="DS132" s="1024"/>
      <c r="DT132" s="1024"/>
      <c r="DU132" s="1024"/>
      <c r="DV132" s="1024"/>
      <c r="DW132" s="1024"/>
      <c r="DX132" s="1024"/>
      <c r="DY132" s="1024"/>
      <c r="DZ132" s="1024"/>
      <c r="EA132" s="1024"/>
      <c r="EB132" s="1024"/>
      <c r="EC132" s="1024"/>
      <c r="ED132" s="1024"/>
      <c r="EE132" s="1024"/>
      <c r="EF132" s="1024"/>
      <c r="EG132" s="1024"/>
      <c r="EH132" s="1024"/>
      <c r="EI132" s="1024"/>
      <c r="EJ132" s="1024"/>
      <c r="EK132" s="1024"/>
      <c r="EL132" s="1024"/>
      <c r="EM132" s="1024"/>
      <c r="EN132" s="1024"/>
      <c r="EO132" s="1024"/>
      <c r="EP132" s="1024"/>
      <c r="EQ132" s="1024"/>
      <c r="ER132" s="1024"/>
      <c r="ES132" s="1024"/>
      <c r="ET132" s="1024"/>
      <c r="EU132" s="1024"/>
      <c r="EV132" s="1024"/>
      <c r="EW132" s="1024"/>
      <c r="EX132" s="1024"/>
      <c r="EY132" s="1024"/>
      <c r="EZ132" s="1024"/>
      <c r="FA132" s="1024"/>
      <c r="FB132" s="1024"/>
      <c r="FC132" s="1024"/>
      <c r="FD132" s="1024"/>
      <c r="FE132" s="1024"/>
      <c r="FF132" s="1024"/>
      <c r="FG132" s="1024"/>
      <c r="FH132" s="1024"/>
      <c r="FI132" s="1024"/>
      <c r="FJ132" s="1024"/>
      <c r="FK132" s="1024"/>
      <c r="FL132" s="1024"/>
      <c r="FM132" s="1024"/>
      <c r="FN132" s="1024"/>
      <c r="FO132" s="1024"/>
      <c r="FP132" s="1024"/>
      <c r="FQ132" s="1024"/>
      <c r="FR132" s="1024"/>
      <c r="FS132" s="1024"/>
      <c r="FT132" s="1024"/>
      <c r="FU132" s="1024"/>
      <c r="FV132" s="1024"/>
      <c r="FW132" s="1024"/>
      <c r="FX132" s="1024"/>
      <c r="FY132" s="1024"/>
      <c r="FZ132" s="1024"/>
      <c r="GA132" s="1024"/>
      <c r="GB132" s="1024"/>
      <c r="GC132" s="1024"/>
      <c r="GD132" s="1024"/>
      <c r="GE132" s="1024"/>
      <c r="GF132" s="1024"/>
      <c r="GG132" s="1024"/>
      <c r="GH132" s="1024"/>
      <c r="GI132" s="1024"/>
      <c r="GJ132" s="1024"/>
      <c r="GK132" s="1024"/>
      <c r="GL132" s="1024"/>
      <c r="GM132" s="1024"/>
      <c r="GN132" s="1024"/>
      <c r="GO132" s="1024"/>
      <c r="GP132" s="1024"/>
      <c r="GQ132" s="1024"/>
      <c r="GR132" s="1024"/>
      <c r="GS132" s="1024"/>
      <c r="GT132" s="1024"/>
      <c r="GU132" s="1024"/>
      <c r="GV132" s="1024"/>
      <c r="GW132" s="1024"/>
      <c r="GX132" s="1024"/>
      <c r="GY132" s="1024"/>
      <c r="GZ132" s="1024"/>
      <c r="HA132" s="1024"/>
      <c r="HB132" s="1024"/>
      <c r="HC132" s="1024"/>
      <c r="HD132" s="1024"/>
      <c r="HE132" s="1024"/>
      <c r="HF132" s="1024"/>
      <c r="HG132" s="1024"/>
      <c r="HH132" s="1024"/>
      <c r="HI132" s="1024"/>
      <c r="HJ132" s="1024"/>
      <c r="HK132" s="1024"/>
      <c r="HL132" s="1024"/>
      <c r="HM132" s="1024"/>
      <c r="HN132" s="1024"/>
      <c r="HO132" s="1024"/>
      <c r="HP132" s="1024"/>
      <c r="HQ132" s="1024"/>
      <c r="HR132" s="1024"/>
      <c r="HS132" s="1024"/>
      <c r="HT132" s="1024"/>
      <c r="HU132" s="1024"/>
      <c r="HV132" s="1024"/>
      <c r="HW132" s="1024"/>
      <c r="HX132" s="1024"/>
      <c r="HY132" s="1024"/>
      <c r="HZ132" s="1024"/>
      <c r="IA132" s="1024"/>
      <c r="IB132" s="1024"/>
      <c r="IC132" s="1024"/>
      <c r="ID132" s="1024"/>
      <c r="IE132" s="1024"/>
      <c r="IF132" s="1024"/>
      <c r="IG132" s="1024"/>
      <c r="IH132" s="1024"/>
      <c r="II132" s="1024"/>
      <c r="IJ132" s="1024"/>
      <c r="IK132" s="1024"/>
      <c r="IL132" s="1024"/>
      <c r="IM132" s="1024"/>
      <c r="IN132" s="1024"/>
      <c r="IO132" s="1024"/>
      <c r="IP132" s="1024"/>
      <c r="IQ132" s="1024"/>
      <c r="IR132" s="1024"/>
      <c r="IS132" s="1024"/>
      <c r="IT132" s="1024"/>
      <c r="IU132" s="1024"/>
      <c r="IV132" s="1024"/>
      <c r="IW132" s="1024"/>
      <c r="IX132" s="1024"/>
      <c r="IY132" s="1024"/>
      <c r="IZ132" s="1024"/>
      <c r="JA132" s="1024"/>
      <c r="JB132" s="1024"/>
      <c r="JC132" s="1024"/>
      <c r="JD132" s="1024"/>
      <c r="JE132" s="1024"/>
      <c r="JF132" s="1024"/>
      <c r="JG132" s="1024"/>
      <c r="JH132" s="1024"/>
      <c r="JI132" s="1024"/>
      <c r="JJ132" s="1024"/>
      <c r="JK132" s="1024"/>
      <c r="JL132" s="1024"/>
      <c r="JM132" s="1024"/>
      <c r="JN132" s="1024"/>
      <c r="JO132" s="1024"/>
      <c r="JP132" s="1024"/>
      <c r="JQ132" s="1024"/>
      <c r="JR132" s="1024"/>
      <c r="JS132" s="1024"/>
      <c r="JT132" s="1024"/>
      <c r="JU132" s="1024"/>
      <c r="JV132" s="1024"/>
      <c r="JW132" s="1024"/>
      <c r="JX132" s="1024"/>
      <c r="JY132" s="1024"/>
      <c r="JZ132" s="1024"/>
      <c r="KA132" s="1024"/>
      <c r="KB132" s="1024"/>
      <c r="KC132" s="1024"/>
      <c r="KD132" s="1024"/>
      <c r="KE132" s="1024"/>
      <c r="KF132" s="1024"/>
      <c r="KG132" s="1024"/>
      <c r="KH132" s="1024"/>
      <c r="KI132" s="1024"/>
      <c r="KJ132" s="1024"/>
      <c r="KK132" s="1024"/>
      <c r="KL132" s="1024"/>
      <c r="KM132" s="1024"/>
      <c r="KN132" s="1024"/>
      <c r="KO132" s="1024"/>
      <c r="KP132" s="1024"/>
      <c r="KQ132" s="1024"/>
      <c r="KR132" s="1024"/>
      <c r="KS132" s="1024"/>
      <c r="KT132" s="1024"/>
      <c r="KU132" s="1024"/>
      <c r="KV132" s="1024"/>
      <c r="KW132" s="1024"/>
      <c r="KX132" s="1024"/>
      <c r="KY132" s="1024"/>
      <c r="KZ132" s="1024"/>
      <c r="LA132" s="1024"/>
      <c r="LB132" s="1024"/>
      <c r="LC132" s="1024"/>
      <c r="LD132" s="1024"/>
      <c r="LE132" s="1024"/>
      <c r="LF132" s="1024"/>
      <c r="LG132" s="1024"/>
      <c r="LH132" s="1024"/>
      <c r="LI132" s="1024"/>
      <c r="LJ132" s="1024"/>
      <c r="LK132" s="1024"/>
      <c r="LL132" s="1024"/>
      <c r="LM132" s="1024"/>
      <c r="LN132" s="1024"/>
      <c r="LO132" s="1024"/>
      <c r="LP132" s="1024"/>
      <c r="LQ132" s="1024"/>
      <c r="LR132" s="1024"/>
      <c r="LS132" s="1024"/>
      <c r="LT132" s="1024"/>
      <c r="LU132" s="1024"/>
      <c r="LV132" s="1024"/>
      <c r="LW132" s="1024"/>
      <c r="LX132" s="1024"/>
      <c r="LY132" s="1024"/>
      <c r="LZ132" s="1024"/>
      <c r="MA132" s="1024"/>
      <c r="MB132" s="1024"/>
      <c r="MC132" s="1024"/>
      <c r="MD132" s="1024"/>
      <c r="ME132" s="1024"/>
      <c r="MF132" s="1024"/>
      <c r="MG132" s="1024"/>
      <c r="MH132" s="1024"/>
      <c r="MI132" s="1024"/>
      <c r="MJ132" s="1024"/>
      <c r="MK132" s="1024"/>
      <c r="ML132" s="1024"/>
      <c r="MM132" s="1024"/>
      <c r="MN132" s="1024"/>
      <c r="MO132" s="1024"/>
      <c r="MP132" s="1024"/>
      <c r="MQ132" s="1024"/>
      <c r="MR132" s="1024"/>
      <c r="MS132" s="1024"/>
      <c r="MT132" s="1024"/>
      <c r="MU132" s="1024"/>
      <c r="MV132" s="1024"/>
      <c r="MW132" s="1024"/>
      <c r="MX132" s="1024"/>
      <c r="MY132" s="1024"/>
      <c r="MZ132" s="1024"/>
      <c r="NA132" s="1024"/>
      <c r="NB132" s="1024"/>
      <c r="NC132" s="1024"/>
      <c r="ND132" s="1024"/>
      <c r="NE132" s="1024"/>
      <c r="NF132" s="1024"/>
      <c r="NG132" s="1024"/>
      <c r="NH132" s="1024"/>
      <c r="NI132" s="1024"/>
      <c r="NJ132" s="1024"/>
      <c r="NK132" s="1024"/>
      <c r="NL132" s="1024"/>
      <c r="NM132" s="1024"/>
      <c r="NN132" s="1024"/>
      <c r="NO132" s="1024"/>
      <c r="NP132" s="1024"/>
      <c r="NQ132" s="1024"/>
      <c r="NR132" s="1024"/>
      <c r="NS132" s="1024"/>
      <c r="NT132" s="1024"/>
      <c r="NU132" s="1024"/>
      <c r="NV132" s="1024"/>
      <c r="NW132" s="1024"/>
      <c r="NX132" s="1024"/>
      <c r="NY132" s="1024"/>
      <c r="NZ132" s="1024"/>
      <c r="OA132" s="1024"/>
      <c r="OB132" s="1024"/>
      <c r="OC132" s="1024"/>
      <c r="OD132" s="1024"/>
      <c r="OE132" s="1024"/>
      <c r="OF132" s="1024"/>
      <c r="OG132" s="1024"/>
      <c r="OH132" s="1024"/>
      <c r="OI132" s="1024"/>
      <c r="OJ132" s="1024"/>
      <c r="OK132" s="1024"/>
      <c r="OL132" s="1024"/>
      <c r="OM132" s="1024"/>
      <c r="ON132" s="1024"/>
      <c r="OO132" s="1024"/>
      <c r="OP132" s="1024"/>
      <c r="OQ132" s="1024"/>
      <c r="OR132" s="1024"/>
      <c r="OS132" s="1024"/>
      <c r="OT132" s="1024"/>
      <c r="OU132" s="1024"/>
      <c r="OV132" s="1024"/>
      <c r="OW132" s="1024"/>
      <c r="OX132" s="1024"/>
      <c r="OY132" s="1024"/>
      <c r="OZ132" s="1024"/>
      <c r="PA132" s="1024"/>
      <c r="PB132" s="1024"/>
      <c r="PC132" s="1024"/>
      <c r="PD132" s="1024"/>
      <c r="PE132" s="1024"/>
      <c r="PF132" s="1024"/>
      <c r="PG132" s="1024"/>
      <c r="PH132" s="1024"/>
      <c r="PI132" s="1024"/>
      <c r="PJ132" s="1024"/>
      <c r="PK132" s="1024"/>
      <c r="PL132" s="1024"/>
      <c r="PM132" s="1024"/>
      <c r="PN132" s="1024"/>
      <c r="PO132" s="1024"/>
      <c r="PP132" s="1024"/>
      <c r="PQ132" s="1024"/>
      <c r="PR132" s="1024"/>
      <c r="PS132" s="1024"/>
      <c r="PT132" s="1024"/>
      <c r="PU132" s="1024"/>
      <c r="PV132" s="1024"/>
      <c r="PW132" s="1024"/>
      <c r="PX132" s="1024"/>
      <c r="PY132" s="1024"/>
      <c r="PZ132" s="1024"/>
      <c r="QA132" s="1024"/>
      <c r="QB132" s="1024"/>
      <c r="QC132" s="1024"/>
      <c r="QD132" s="1024"/>
      <c r="QE132" s="1024"/>
      <c r="QF132" s="1024"/>
      <c r="QG132" s="1024"/>
      <c r="QH132" s="1024"/>
      <c r="QI132" s="1024"/>
      <c r="QJ132" s="1024"/>
      <c r="QK132" s="1024"/>
      <c r="QL132" s="1024"/>
      <c r="QM132" s="1024"/>
      <c r="QN132" s="1024"/>
      <c r="QO132" s="1024"/>
      <c r="QP132" s="1024"/>
      <c r="QQ132" s="1024"/>
      <c r="QR132" s="1024"/>
      <c r="QS132" s="1024"/>
      <c r="QT132" s="1024"/>
      <c r="QU132" s="1024"/>
      <c r="QV132" s="1024"/>
      <c r="QW132" s="1024"/>
      <c r="QX132" s="1024"/>
      <c r="QY132" s="1024"/>
      <c r="QZ132" s="1024"/>
      <c r="RA132" s="1024"/>
      <c r="RB132" s="1024"/>
      <c r="RC132" s="1024"/>
      <c r="RD132" s="1024"/>
      <c r="RE132" s="1024"/>
      <c r="RF132" s="1024"/>
      <c r="RG132" s="1024"/>
      <c r="RH132" s="1024"/>
      <c r="RI132" s="1024"/>
      <c r="RJ132" s="1024"/>
      <c r="RK132" s="1024"/>
      <c r="RL132" s="1024"/>
      <c r="RM132" s="1024"/>
      <c r="RN132" s="1024"/>
      <c r="RO132" s="1024"/>
      <c r="RP132" s="1024"/>
      <c r="RQ132" s="1024"/>
      <c r="RR132" s="1024"/>
      <c r="RS132" s="1024"/>
      <c r="RT132" s="1024"/>
      <c r="RU132" s="1024"/>
      <c r="RV132" s="1024"/>
      <c r="RW132" s="1024"/>
      <c r="RX132" s="1024"/>
      <c r="RY132" s="1024"/>
      <c r="RZ132" s="1024"/>
      <c r="SA132" s="1024"/>
      <c r="SB132" s="1024"/>
      <c r="SC132" s="1024"/>
      <c r="SD132" s="1024"/>
      <c r="SE132" s="1024"/>
      <c r="SF132" s="1024"/>
      <c r="SG132" s="1024"/>
      <c r="SH132" s="1024"/>
      <c r="SI132" s="1024"/>
      <c r="SJ132" s="1024"/>
      <c r="SK132" s="1024"/>
      <c r="SL132" s="1024"/>
      <c r="SM132" s="1024"/>
      <c r="SN132" s="1024"/>
      <c r="SO132" s="1024"/>
      <c r="SP132" s="1024"/>
      <c r="SQ132" s="1024"/>
      <c r="SR132" s="1024"/>
    </row>
    <row r="133" spans="1:512" ht="15" customHeight="1">
      <c r="A133"/>
      <c r="B133" t="s">
        <v>2247</v>
      </c>
      <c r="C133"/>
      <c r="D133"/>
      <c r="E133" t="s">
        <v>169</v>
      </c>
      <c r="F133"/>
      <c r="G133" s="1022">
        <v>0</v>
      </c>
      <c r="H133" s="1022">
        <v>0</v>
      </c>
      <c r="I133" s="1022"/>
      <c r="J133" s="1022"/>
      <c r="K133" s="1022"/>
      <c r="L133" s="1022"/>
      <c r="M133" s="1022"/>
      <c r="N133" s="1022"/>
      <c r="O133" s="1022"/>
      <c r="P133" s="1022"/>
      <c r="Q133" s="1022"/>
      <c r="R133" s="1022"/>
      <c r="S133" s="1022"/>
      <c r="T133" s="1022"/>
      <c r="U133" s="1021"/>
      <c r="V133" s="1021"/>
      <c r="W133" s="1021"/>
      <c r="X133" s="1021"/>
      <c r="Y133" s="1021"/>
      <c r="Z133" s="1021"/>
      <c r="AA133" s="1021"/>
      <c r="AB133" s="1021"/>
      <c r="AC133" s="1021"/>
      <c r="AD133" s="1021"/>
      <c r="AE133" s="1021"/>
      <c r="AF133" s="1021"/>
      <c r="AG133" s="1021"/>
      <c r="AH133" s="1021"/>
      <c r="AI133" s="1021"/>
      <c r="AJ133" s="1021"/>
      <c r="AK133" s="1021"/>
      <c r="AL133" s="1021"/>
      <c r="AM133" s="1021"/>
      <c r="AN133" s="1021"/>
      <c r="AO133" s="1021"/>
      <c r="AP133" s="1021"/>
      <c r="AQ133" s="1021"/>
      <c r="AR133" s="1021"/>
      <c r="AS133" s="1021"/>
      <c r="AT133" s="1021"/>
      <c r="AU133" s="1021"/>
      <c r="AV133" s="1021"/>
      <c r="AW133" s="1021"/>
      <c r="AX133" s="1021"/>
      <c r="AY133" s="1021"/>
      <c r="AZ133" s="1021"/>
      <c r="BA133" s="1021"/>
      <c r="BB133" s="1021"/>
      <c r="BC133" s="1021"/>
      <c r="BD133" s="1021"/>
      <c r="BE133" s="1021"/>
      <c r="BF133" s="1021"/>
      <c r="BG133" s="1021"/>
      <c r="BH133" s="1021"/>
      <c r="BI133" s="1021"/>
      <c r="BJ133" s="1021"/>
      <c r="BK133" s="1021"/>
      <c r="BL133" s="1021"/>
      <c r="BM133" s="1021"/>
      <c r="BN133" s="1021"/>
      <c r="BO133" s="1021"/>
      <c r="BP133" s="1021"/>
      <c r="BQ133" s="1021"/>
      <c r="BR133" s="1021"/>
      <c r="BS133" s="1021"/>
      <c r="BT133" s="1021"/>
      <c r="BU133" s="1021"/>
      <c r="BV133" s="1021"/>
      <c r="BW133" s="1021"/>
      <c r="BX133" s="1021"/>
      <c r="BY133" s="1021"/>
      <c r="BZ133" s="1021"/>
      <c r="CA133" s="1021"/>
      <c r="CB133" s="1021"/>
      <c r="CC133" s="1021"/>
      <c r="CD133" s="1021"/>
      <c r="CE133" s="1021"/>
      <c r="CF133" s="1021"/>
      <c r="CG133" s="1021"/>
      <c r="CH133" s="1021"/>
      <c r="CI133" s="1021"/>
      <c r="CJ133" s="1021"/>
      <c r="CK133" s="1021"/>
      <c r="CL133" s="1021"/>
      <c r="CM133" s="1021"/>
      <c r="CN133" s="1021"/>
      <c r="CO133" s="1021"/>
      <c r="CP133" s="1021"/>
      <c r="CQ133" s="1021"/>
      <c r="CR133" s="1021"/>
      <c r="CS133" s="1021"/>
      <c r="CT133" s="1021"/>
      <c r="CU133" s="1021"/>
      <c r="CV133" s="1021"/>
      <c r="CW133" s="1021"/>
      <c r="CX133" s="1021"/>
      <c r="CY133" s="1021"/>
      <c r="CZ133" s="1021"/>
      <c r="DA133" s="1021"/>
      <c r="DB133" s="1021"/>
      <c r="DC133" s="1021"/>
      <c r="DD133" s="1021"/>
      <c r="DE133" s="1021"/>
      <c r="DF133" s="1021"/>
      <c r="DG133" s="1021"/>
      <c r="DH133" s="1021"/>
      <c r="DI133" s="1021"/>
      <c r="DJ133" s="1021"/>
      <c r="DK133" s="1021"/>
      <c r="DL133" s="1021"/>
      <c r="DM133" s="1021"/>
      <c r="DN133" s="1021"/>
      <c r="DO133" s="1021"/>
      <c r="DP133" s="1021"/>
      <c r="DQ133" s="1021"/>
      <c r="DR133" s="1021"/>
      <c r="DS133" s="1021"/>
      <c r="DT133" s="1021"/>
      <c r="DU133" s="1021"/>
      <c r="DV133" s="1021"/>
      <c r="DW133" s="1021"/>
      <c r="DX133" s="1021"/>
      <c r="DY133" s="1021"/>
      <c r="DZ133" s="1021"/>
      <c r="EA133" s="1021"/>
      <c r="EB133" s="1021"/>
      <c r="EC133" s="1021"/>
      <c r="ED133" s="1021"/>
      <c r="EE133" s="1021"/>
      <c r="EF133" s="1021"/>
      <c r="EG133" s="1021"/>
      <c r="EH133" s="1021"/>
      <c r="EI133" s="1021"/>
      <c r="EJ133" s="1021"/>
      <c r="EK133" s="1021"/>
      <c r="EL133" s="1021"/>
      <c r="EM133" s="1021"/>
      <c r="EN133" s="1021"/>
      <c r="EO133" s="1021"/>
      <c r="EP133" s="1021"/>
      <c r="EQ133" s="1021"/>
      <c r="ER133" s="1021"/>
      <c r="ES133" s="1021"/>
      <c r="ET133" s="1021"/>
      <c r="EU133" s="1021"/>
      <c r="EV133" s="1021"/>
      <c r="EW133" s="1021"/>
      <c r="EX133" s="1021"/>
      <c r="EY133" s="1021"/>
      <c r="EZ133" s="1021"/>
      <c r="FA133" s="1021"/>
      <c r="FB133" s="1021"/>
      <c r="FC133" s="1021"/>
      <c r="FD133" s="1021"/>
      <c r="FE133" s="1021"/>
      <c r="FF133" s="1021"/>
      <c r="FG133" s="1021"/>
      <c r="FH133" s="1021"/>
      <c r="FI133" s="1021"/>
      <c r="FJ133" s="1021"/>
      <c r="FK133" s="1021"/>
      <c r="FL133" s="1021"/>
      <c r="FM133" s="1021"/>
      <c r="FN133" s="1021"/>
      <c r="FO133" s="1021"/>
      <c r="FP133" s="1021"/>
      <c r="FQ133" s="1021"/>
      <c r="FR133" s="1021"/>
      <c r="FS133" s="1021"/>
      <c r="FT133" s="1021"/>
      <c r="FU133" s="1021"/>
      <c r="FV133" s="1021"/>
      <c r="FW133" s="1021"/>
      <c r="FX133" s="1021"/>
      <c r="FY133" s="1021"/>
      <c r="FZ133" s="1021"/>
      <c r="GA133" s="1021"/>
      <c r="GB133" s="1021"/>
      <c r="GC133" s="1021"/>
      <c r="GD133" s="1021"/>
      <c r="GE133" s="1021"/>
      <c r="GF133" s="1021"/>
      <c r="GG133" s="1021"/>
      <c r="GH133" s="1021"/>
      <c r="GI133" s="1021"/>
      <c r="GJ133" s="1021"/>
      <c r="GK133" s="1021"/>
      <c r="GL133" s="1021"/>
      <c r="GM133" s="1021"/>
      <c r="GN133" s="1021"/>
      <c r="GO133" s="1021"/>
      <c r="GP133" s="1021"/>
      <c r="GQ133" s="1021"/>
      <c r="GR133" s="1021"/>
      <c r="GS133" s="1021"/>
      <c r="GT133" s="1021"/>
      <c r="GU133" s="1021"/>
      <c r="GV133" s="1021"/>
      <c r="GW133" s="1021"/>
      <c r="GX133" s="1021"/>
      <c r="GY133" s="1021"/>
      <c r="GZ133" s="1021"/>
      <c r="HA133" s="1021"/>
      <c r="HB133" s="1021"/>
      <c r="HC133" s="1021"/>
      <c r="HD133" s="1021"/>
      <c r="HE133" s="1021"/>
      <c r="HF133" s="1021"/>
      <c r="HG133" s="1021"/>
      <c r="HH133" s="1021"/>
      <c r="HI133" s="1021"/>
      <c r="HJ133" s="1021"/>
      <c r="HK133" s="1021"/>
      <c r="HL133" s="1021"/>
      <c r="HM133" s="1021"/>
      <c r="HN133" s="1021"/>
      <c r="HO133" s="1021"/>
      <c r="HP133" s="1021"/>
      <c r="HQ133" s="1021"/>
      <c r="HR133" s="1021"/>
      <c r="HS133" s="1021"/>
      <c r="HT133" s="1021"/>
      <c r="HU133" s="1021"/>
      <c r="HV133" s="1021"/>
      <c r="HW133" s="1021"/>
      <c r="HX133" s="1021"/>
      <c r="HY133" s="1021"/>
      <c r="HZ133" s="1021"/>
      <c r="IA133" s="1021"/>
      <c r="IB133" s="1021"/>
      <c r="IC133" s="1021"/>
      <c r="ID133" s="1021"/>
      <c r="IE133" s="1021"/>
      <c r="IF133" s="1021"/>
      <c r="IG133" s="1021"/>
      <c r="IH133" s="1021"/>
      <c r="II133" s="1021"/>
      <c r="IJ133" s="1021"/>
      <c r="IK133" s="1021"/>
      <c r="IL133" s="1021"/>
      <c r="IM133" s="1021"/>
      <c r="IN133" s="1021"/>
      <c r="IO133" s="1021"/>
      <c r="IP133" s="1021"/>
      <c r="IQ133" s="1021"/>
      <c r="IR133" s="1021"/>
      <c r="IS133" s="1021"/>
      <c r="IT133" s="1021"/>
      <c r="IU133" s="1021"/>
      <c r="IV133" s="1021"/>
      <c r="IW133" s="1021"/>
      <c r="IX133" s="1021"/>
      <c r="IY133" s="1021"/>
      <c r="IZ133" s="1021"/>
      <c r="JA133" s="1021"/>
      <c r="JB133" s="1021"/>
      <c r="JC133" s="1021"/>
      <c r="JD133" s="1021"/>
      <c r="JE133" s="1021"/>
      <c r="JF133" s="1021"/>
      <c r="JG133" s="1021"/>
      <c r="JH133" s="1021"/>
      <c r="JI133" s="1021"/>
      <c r="JJ133" s="1021"/>
      <c r="JK133" s="1021"/>
      <c r="JL133" s="1021"/>
      <c r="JM133" s="1021"/>
      <c r="JN133" s="1021"/>
      <c r="JO133" s="1021"/>
      <c r="JP133" s="1021"/>
      <c r="JQ133" s="1021"/>
      <c r="JR133" s="1021"/>
      <c r="JS133" s="1021"/>
      <c r="JT133" s="1021"/>
      <c r="JU133" s="1021"/>
      <c r="JV133" s="1021"/>
      <c r="JW133" s="1021"/>
      <c r="JX133" s="1021"/>
      <c r="JY133" s="1021"/>
      <c r="JZ133" s="1021"/>
      <c r="KA133" s="1021"/>
      <c r="KB133" s="1021"/>
      <c r="KC133" s="1021"/>
      <c r="KD133" s="1021"/>
      <c r="KE133" s="1021"/>
      <c r="KF133" s="1021"/>
      <c r="KG133" s="1021"/>
      <c r="KH133" s="1021"/>
      <c r="KI133" s="1021"/>
      <c r="KJ133" s="1021"/>
      <c r="KK133" s="1021"/>
      <c r="KL133" s="1021"/>
      <c r="KM133" s="1021"/>
      <c r="KN133" s="1021"/>
      <c r="KO133" s="1021"/>
      <c r="KP133" s="1021"/>
      <c r="KQ133" s="1021"/>
      <c r="KR133" s="1021"/>
      <c r="KS133" s="1021"/>
      <c r="KT133" s="1021"/>
      <c r="KU133" s="1021"/>
      <c r="KV133" s="1021"/>
      <c r="KW133" s="1021"/>
      <c r="KX133" s="1021"/>
      <c r="KY133" s="1021"/>
      <c r="KZ133" s="1021"/>
      <c r="LA133" s="1021"/>
      <c r="LB133" s="1021"/>
      <c r="LC133" s="1021"/>
      <c r="LD133" s="1021"/>
      <c r="LE133" s="1021"/>
      <c r="LF133" s="1021"/>
      <c r="LG133" s="1021"/>
      <c r="LH133" s="1021"/>
      <c r="LI133" s="1021"/>
      <c r="LJ133" s="1021"/>
      <c r="LK133" s="1021"/>
      <c r="LL133" s="1021"/>
      <c r="LM133" s="1021"/>
      <c r="LN133" s="1021"/>
      <c r="LO133" s="1021"/>
      <c r="LP133" s="1021"/>
      <c r="LQ133" s="1021"/>
      <c r="LR133" s="1021"/>
      <c r="LS133" s="1021"/>
      <c r="LT133" s="1021"/>
      <c r="LU133" s="1021"/>
      <c r="LV133" s="1021"/>
      <c r="LW133" s="1021"/>
      <c r="LX133" s="1021"/>
      <c r="LY133" s="1021"/>
      <c r="LZ133" s="1021"/>
      <c r="MA133" s="1021"/>
      <c r="MB133" s="1021"/>
      <c r="MC133" s="1021"/>
      <c r="MD133" s="1021"/>
      <c r="ME133" s="1021"/>
      <c r="MF133" s="1021"/>
      <c r="MG133" s="1021"/>
      <c r="MH133" s="1021"/>
      <c r="MI133" s="1021"/>
      <c r="MJ133" s="1021"/>
      <c r="MK133" s="1021"/>
      <c r="ML133" s="1021"/>
      <c r="MM133" s="1021"/>
      <c r="MN133" s="1021"/>
      <c r="MO133" s="1021"/>
      <c r="MP133" s="1021"/>
      <c r="MQ133" s="1021"/>
      <c r="MR133" s="1021"/>
      <c r="MS133" s="1021"/>
      <c r="MT133" s="1021"/>
      <c r="MU133" s="1021"/>
      <c r="MV133" s="1021"/>
      <c r="MW133" s="1021"/>
      <c r="MX133" s="1021"/>
      <c r="MY133" s="1021"/>
      <c r="MZ133" s="1021"/>
      <c r="NA133" s="1021"/>
      <c r="NB133" s="1021"/>
      <c r="NC133" s="1021"/>
      <c r="ND133" s="1021"/>
      <c r="NE133" s="1021"/>
      <c r="NF133" s="1021"/>
      <c r="NG133" s="1021"/>
      <c r="NH133" s="1021"/>
      <c r="NI133" s="1021"/>
      <c r="NJ133" s="1021"/>
      <c r="NK133" s="1021"/>
      <c r="NL133" s="1021"/>
      <c r="NM133" s="1021"/>
      <c r="NN133" s="1021"/>
      <c r="NO133" s="1021"/>
      <c r="NP133" s="1021"/>
      <c r="NQ133" s="1021"/>
      <c r="NR133" s="1021"/>
      <c r="NS133" s="1021"/>
      <c r="NT133" s="1021"/>
      <c r="NU133" s="1021"/>
      <c r="NV133" s="1021"/>
      <c r="NW133" s="1021"/>
      <c r="NX133" s="1021"/>
      <c r="NY133" s="1021"/>
      <c r="NZ133" s="1021"/>
      <c r="OA133" s="1021"/>
      <c r="OB133" s="1021"/>
      <c r="OC133" s="1021"/>
      <c r="OD133" s="1021"/>
      <c r="OE133" s="1021"/>
      <c r="OF133" s="1021"/>
      <c r="OG133" s="1021"/>
      <c r="OH133" s="1021"/>
      <c r="OI133" s="1021"/>
      <c r="OJ133" s="1021"/>
      <c r="OK133" s="1021"/>
      <c r="OL133" s="1021"/>
      <c r="OM133" s="1021"/>
      <c r="ON133" s="1021"/>
      <c r="OO133" s="1021"/>
      <c r="OP133" s="1021"/>
      <c r="OQ133" s="1021"/>
      <c r="OR133" s="1021"/>
      <c r="OS133" s="1021"/>
      <c r="OT133" s="1021"/>
      <c r="OU133" s="1021"/>
      <c r="OV133" s="1021"/>
      <c r="OW133" s="1021"/>
      <c r="OX133" s="1021"/>
      <c r="OY133" s="1021"/>
      <c r="OZ133" s="1021"/>
      <c r="PA133" s="1021"/>
      <c r="PB133" s="1021"/>
      <c r="PC133" s="1021"/>
      <c r="PD133" s="1021"/>
      <c r="PE133" s="1021"/>
      <c r="PF133" s="1021"/>
      <c r="PG133" s="1021"/>
      <c r="PH133" s="1021"/>
      <c r="PI133" s="1021"/>
      <c r="PJ133" s="1021"/>
      <c r="PK133" s="1021"/>
      <c r="PL133" s="1021"/>
      <c r="PM133" s="1021"/>
      <c r="PN133" s="1021"/>
      <c r="PO133" s="1021"/>
      <c r="PP133" s="1021"/>
      <c r="PQ133" s="1021"/>
      <c r="PR133" s="1021"/>
      <c r="PS133" s="1021"/>
      <c r="PT133" s="1021"/>
      <c r="PU133" s="1021"/>
      <c r="PV133" s="1021"/>
      <c r="PW133" s="1021"/>
      <c r="PX133" s="1021"/>
      <c r="PY133" s="1021"/>
      <c r="PZ133" s="1021"/>
      <c r="QA133" s="1021"/>
      <c r="QB133" s="1021"/>
      <c r="QC133" s="1021"/>
      <c r="QD133" s="1021"/>
      <c r="QE133" s="1021"/>
      <c r="QF133" s="1021"/>
      <c r="QG133" s="1021"/>
      <c r="QH133" s="1021"/>
      <c r="QI133" s="1021"/>
      <c r="QJ133" s="1021"/>
      <c r="QK133" s="1021"/>
      <c r="QL133" s="1021"/>
      <c r="QM133" s="1021"/>
      <c r="QN133" s="1021"/>
      <c r="QO133" s="1021"/>
      <c r="QP133" s="1021"/>
      <c r="QQ133" s="1021"/>
      <c r="QR133" s="1021"/>
      <c r="QS133" s="1021"/>
      <c r="QT133" s="1021"/>
      <c r="QU133" s="1021"/>
      <c r="QV133" s="1021"/>
      <c r="QW133" s="1021"/>
      <c r="QX133" s="1021"/>
      <c r="QY133" s="1021"/>
      <c r="QZ133" s="1021"/>
      <c r="RA133" s="1021"/>
      <c r="RB133" s="1021"/>
      <c r="RC133" s="1021"/>
      <c r="RD133" s="1021"/>
      <c r="RE133" s="1021"/>
      <c r="RF133" s="1021"/>
      <c r="RG133" s="1021"/>
      <c r="RH133" s="1021"/>
      <c r="RI133" s="1021"/>
      <c r="RJ133" s="1021"/>
      <c r="RK133" s="1021"/>
      <c r="RL133" s="1021"/>
      <c r="RM133" s="1021"/>
      <c r="RN133" s="1021"/>
      <c r="RO133" s="1021"/>
      <c r="RP133" s="1021"/>
      <c r="RQ133" s="1021"/>
      <c r="RR133" s="1021"/>
      <c r="RS133" s="1021"/>
      <c r="RT133" s="1021"/>
      <c r="RU133" s="1021"/>
      <c r="RV133" s="1021"/>
      <c r="RW133" s="1021"/>
      <c r="RX133" s="1021"/>
      <c r="RY133" s="1021"/>
      <c r="RZ133" s="1021"/>
      <c r="SA133" s="1021"/>
      <c r="SB133" s="1021"/>
      <c r="SC133" s="1021"/>
      <c r="SD133" s="1021"/>
      <c r="SE133" s="1021"/>
      <c r="SF133" s="1021"/>
      <c r="SG133" s="1021"/>
      <c r="SH133" s="1021"/>
      <c r="SI133" s="1021"/>
      <c r="SJ133" s="1021"/>
      <c r="SK133" s="1021"/>
      <c r="SL133" s="1021"/>
      <c r="SM133" s="1021"/>
      <c r="SN133" s="1021"/>
      <c r="SO133" s="1021"/>
      <c r="SP133" s="1021"/>
      <c r="SQ133" s="1021"/>
      <c r="SR133" s="1021"/>
    </row>
    <row r="134" spans="1:512" ht="15" customHeight="1">
      <c r="A134"/>
      <c r="B134" t="s">
        <v>2248</v>
      </c>
      <c r="C134"/>
      <c r="D134"/>
      <c r="E134" t="s">
        <v>3848</v>
      </c>
      <c r="F134"/>
      <c r="G134" s="1023">
        <v>0</v>
      </c>
      <c r="H134" s="1023">
        <v>0</v>
      </c>
      <c r="I134" s="1023"/>
      <c r="J134" s="1023"/>
      <c r="K134" s="1023"/>
      <c r="L134" s="1023"/>
      <c r="M134" s="1023"/>
      <c r="N134" s="1023"/>
      <c r="O134" s="1023"/>
      <c r="P134" s="1023"/>
      <c r="Q134" s="1023"/>
      <c r="R134" s="1023"/>
      <c r="S134" s="1023"/>
      <c r="T134" s="1023"/>
      <c r="U134" s="1021"/>
      <c r="V134" s="1021"/>
      <c r="W134" s="1021"/>
      <c r="X134" s="1021"/>
      <c r="Y134" s="1021"/>
      <c r="Z134" s="1021"/>
      <c r="AA134" s="1021"/>
      <c r="AB134" s="1021"/>
      <c r="AC134" s="1021"/>
      <c r="AD134" s="1021"/>
      <c r="AE134" s="1021"/>
      <c r="AF134" s="1021"/>
      <c r="AG134" s="1021"/>
      <c r="AH134" s="1021"/>
      <c r="AI134" s="1021"/>
      <c r="AJ134" s="1021"/>
      <c r="AK134" s="1021"/>
      <c r="AL134" s="1021"/>
      <c r="AM134" s="1021"/>
      <c r="AN134" s="1021"/>
      <c r="AO134" s="1021"/>
      <c r="AP134" s="1021"/>
      <c r="AQ134" s="1021"/>
      <c r="AR134" s="1021"/>
      <c r="AS134" s="1021"/>
      <c r="AT134" s="1021"/>
      <c r="AU134" s="1021"/>
      <c r="AV134" s="1021"/>
      <c r="AW134" s="1021"/>
      <c r="AX134" s="1021"/>
      <c r="AY134" s="1021"/>
      <c r="AZ134" s="1021"/>
      <c r="BA134" s="1021"/>
      <c r="BB134" s="1021"/>
      <c r="BC134" s="1021"/>
      <c r="BD134" s="1021"/>
      <c r="BE134" s="1021"/>
      <c r="BF134" s="1021"/>
      <c r="BG134" s="1021"/>
      <c r="BH134" s="1021"/>
      <c r="BI134" s="1021"/>
      <c r="BJ134" s="1021"/>
      <c r="BK134" s="1021"/>
      <c r="BL134" s="1021"/>
      <c r="BM134" s="1021"/>
      <c r="BN134" s="1021"/>
      <c r="BO134" s="1021"/>
      <c r="BP134" s="1021"/>
      <c r="BQ134" s="1021"/>
      <c r="BR134" s="1021"/>
      <c r="BS134" s="1021"/>
      <c r="BT134" s="1021"/>
      <c r="BU134" s="1021"/>
      <c r="BV134" s="1021"/>
      <c r="BW134" s="1021"/>
      <c r="BX134" s="1021"/>
      <c r="BY134" s="1021"/>
      <c r="BZ134" s="1021"/>
      <c r="CA134" s="1021"/>
      <c r="CB134" s="1021"/>
      <c r="CC134" s="1021"/>
      <c r="CD134" s="1021"/>
      <c r="CE134" s="1021"/>
      <c r="CF134" s="1021"/>
      <c r="CG134" s="1021"/>
      <c r="CH134" s="1021"/>
      <c r="CI134" s="1021"/>
      <c r="CJ134" s="1021"/>
      <c r="CK134" s="1021"/>
      <c r="CL134" s="1021"/>
      <c r="CM134" s="1021"/>
      <c r="CN134" s="1021"/>
      <c r="CO134" s="1021"/>
      <c r="CP134" s="1021"/>
      <c r="CQ134" s="1021"/>
      <c r="CR134" s="1021"/>
      <c r="CS134" s="1021"/>
      <c r="CT134" s="1021"/>
      <c r="CU134" s="1021"/>
      <c r="CV134" s="1021"/>
      <c r="CW134" s="1021"/>
      <c r="CX134" s="1021"/>
      <c r="CY134" s="1021"/>
      <c r="CZ134" s="1021"/>
      <c r="DA134" s="1021"/>
      <c r="DB134" s="1021"/>
      <c r="DC134" s="1021"/>
      <c r="DD134" s="1021"/>
      <c r="DE134" s="1021"/>
      <c r="DF134" s="1021"/>
      <c r="DG134" s="1021"/>
      <c r="DH134" s="1021"/>
      <c r="DI134" s="1021"/>
      <c r="DJ134" s="1021"/>
      <c r="DK134" s="1021"/>
      <c r="DL134" s="1021"/>
      <c r="DM134" s="1021"/>
      <c r="DN134" s="1021"/>
      <c r="DO134" s="1021"/>
      <c r="DP134" s="1021"/>
      <c r="DQ134" s="1021"/>
      <c r="DR134" s="1021"/>
      <c r="DS134" s="1021"/>
      <c r="DT134" s="1021"/>
      <c r="DU134" s="1021"/>
      <c r="DV134" s="1021"/>
      <c r="DW134" s="1021"/>
      <c r="DX134" s="1021"/>
      <c r="DY134" s="1021"/>
      <c r="DZ134" s="1021"/>
      <c r="EA134" s="1021"/>
      <c r="EB134" s="1021"/>
      <c r="EC134" s="1021"/>
      <c r="ED134" s="1021"/>
      <c r="EE134" s="1021"/>
      <c r="EF134" s="1021"/>
      <c r="EG134" s="1021"/>
      <c r="EH134" s="1021"/>
      <c r="EI134" s="1021"/>
      <c r="EJ134" s="1021"/>
      <c r="EK134" s="1021"/>
      <c r="EL134" s="1021"/>
      <c r="EM134" s="1021"/>
      <c r="EN134" s="1021"/>
      <c r="EO134" s="1021"/>
      <c r="EP134" s="1021"/>
      <c r="EQ134" s="1021"/>
      <c r="ER134" s="1021"/>
      <c r="ES134" s="1021"/>
      <c r="ET134" s="1021"/>
      <c r="EU134" s="1021"/>
      <c r="EV134" s="1021"/>
      <c r="EW134" s="1021"/>
      <c r="EX134" s="1021"/>
      <c r="EY134" s="1021"/>
      <c r="EZ134" s="1021"/>
      <c r="FA134" s="1021"/>
      <c r="FB134" s="1021"/>
      <c r="FC134" s="1021"/>
      <c r="FD134" s="1021"/>
      <c r="FE134" s="1021"/>
      <c r="FF134" s="1021"/>
      <c r="FG134" s="1021"/>
      <c r="FH134" s="1021"/>
      <c r="FI134" s="1021"/>
      <c r="FJ134" s="1021"/>
      <c r="FK134" s="1021"/>
      <c r="FL134" s="1021"/>
      <c r="FM134" s="1021"/>
      <c r="FN134" s="1021"/>
      <c r="FO134" s="1021"/>
      <c r="FP134" s="1021"/>
      <c r="FQ134" s="1021"/>
      <c r="FR134" s="1021"/>
      <c r="FS134" s="1021"/>
      <c r="FT134" s="1021"/>
      <c r="FU134" s="1021"/>
      <c r="FV134" s="1021"/>
      <c r="FW134" s="1021"/>
      <c r="FX134" s="1021"/>
      <c r="FY134" s="1021"/>
      <c r="FZ134" s="1021"/>
      <c r="GA134" s="1021"/>
      <c r="GB134" s="1021"/>
      <c r="GC134" s="1021"/>
      <c r="GD134" s="1021"/>
      <c r="GE134" s="1021"/>
      <c r="GF134" s="1021"/>
      <c r="GG134" s="1021"/>
      <c r="GH134" s="1021"/>
      <c r="GI134" s="1021"/>
      <c r="GJ134" s="1021"/>
      <c r="GK134" s="1021"/>
      <c r="GL134" s="1021"/>
      <c r="GM134" s="1021"/>
      <c r="GN134" s="1021"/>
      <c r="GO134" s="1021"/>
      <c r="GP134" s="1021"/>
      <c r="GQ134" s="1021"/>
      <c r="GR134" s="1021"/>
      <c r="GS134" s="1021"/>
      <c r="GT134" s="1021"/>
      <c r="GU134" s="1021"/>
      <c r="GV134" s="1021"/>
      <c r="GW134" s="1021"/>
      <c r="GX134" s="1021"/>
      <c r="GY134" s="1021"/>
      <c r="GZ134" s="1021"/>
      <c r="HA134" s="1021"/>
      <c r="HB134" s="1021"/>
      <c r="HC134" s="1021"/>
      <c r="HD134" s="1021"/>
      <c r="HE134" s="1021"/>
      <c r="HF134" s="1021"/>
      <c r="HG134" s="1021"/>
      <c r="HH134" s="1021"/>
      <c r="HI134" s="1021"/>
      <c r="HJ134" s="1021"/>
      <c r="HK134" s="1021"/>
      <c r="HL134" s="1021"/>
      <c r="HM134" s="1021"/>
      <c r="HN134" s="1021"/>
      <c r="HO134" s="1021"/>
      <c r="HP134" s="1021"/>
      <c r="HQ134" s="1021"/>
      <c r="HR134" s="1021"/>
      <c r="HS134" s="1021"/>
      <c r="HT134" s="1021"/>
      <c r="HU134" s="1021"/>
      <c r="HV134" s="1021"/>
      <c r="HW134" s="1021"/>
      <c r="HX134" s="1021"/>
      <c r="HY134" s="1021"/>
      <c r="HZ134" s="1021"/>
      <c r="IA134" s="1021"/>
      <c r="IB134" s="1021"/>
      <c r="IC134" s="1021"/>
      <c r="ID134" s="1021"/>
      <c r="IE134" s="1021"/>
      <c r="IF134" s="1021"/>
      <c r="IG134" s="1021"/>
      <c r="IH134" s="1021"/>
      <c r="II134" s="1021"/>
      <c r="IJ134" s="1021"/>
      <c r="IK134" s="1021"/>
      <c r="IL134" s="1021"/>
      <c r="IM134" s="1021"/>
      <c r="IN134" s="1021"/>
      <c r="IO134" s="1021"/>
      <c r="IP134" s="1021"/>
      <c r="IQ134" s="1021"/>
      <c r="IR134" s="1021"/>
      <c r="IS134" s="1021"/>
      <c r="IT134" s="1021"/>
      <c r="IU134" s="1021"/>
      <c r="IV134" s="1021"/>
      <c r="IW134" s="1021"/>
      <c r="IX134" s="1021"/>
      <c r="IY134" s="1021"/>
      <c r="IZ134" s="1021"/>
      <c r="JA134" s="1021"/>
      <c r="JB134" s="1021"/>
      <c r="JC134" s="1021"/>
      <c r="JD134" s="1021"/>
      <c r="JE134" s="1021"/>
      <c r="JF134" s="1021"/>
      <c r="JG134" s="1021"/>
      <c r="JH134" s="1021"/>
      <c r="JI134" s="1021"/>
      <c r="JJ134" s="1021"/>
      <c r="JK134" s="1021"/>
      <c r="JL134" s="1021"/>
      <c r="JM134" s="1021"/>
      <c r="JN134" s="1021"/>
      <c r="JO134" s="1021"/>
      <c r="JP134" s="1021"/>
      <c r="JQ134" s="1021"/>
      <c r="JR134" s="1021"/>
      <c r="JS134" s="1021"/>
      <c r="JT134" s="1021"/>
      <c r="JU134" s="1021"/>
      <c r="JV134" s="1021"/>
      <c r="JW134" s="1021"/>
      <c r="JX134" s="1021"/>
      <c r="JY134" s="1021"/>
      <c r="JZ134" s="1021"/>
      <c r="KA134" s="1021"/>
      <c r="KB134" s="1021"/>
      <c r="KC134" s="1021"/>
      <c r="KD134" s="1021"/>
      <c r="KE134" s="1021"/>
      <c r="KF134" s="1021"/>
      <c r="KG134" s="1021"/>
      <c r="KH134" s="1021"/>
      <c r="KI134" s="1021"/>
      <c r="KJ134" s="1021"/>
      <c r="KK134" s="1021"/>
      <c r="KL134" s="1021"/>
      <c r="KM134" s="1021"/>
      <c r="KN134" s="1021"/>
      <c r="KO134" s="1021"/>
      <c r="KP134" s="1021"/>
      <c r="KQ134" s="1021"/>
      <c r="KR134" s="1021"/>
      <c r="KS134" s="1021"/>
      <c r="KT134" s="1021"/>
      <c r="KU134" s="1021"/>
      <c r="KV134" s="1021"/>
      <c r="KW134" s="1021"/>
      <c r="KX134" s="1021"/>
      <c r="KY134" s="1021"/>
      <c r="KZ134" s="1021"/>
      <c r="LA134" s="1021"/>
      <c r="LB134" s="1021"/>
      <c r="LC134" s="1021"/>
      <c r="LD134" s="1021"/>
      <c r="LE134" s="1021"/>
      <c r="LF134" s="1021"/>
      <c r="LG134" s="1021"/>
      <c r="LH134" s="1021"/>
      <c r="LI134" s="1021"/>
      <c r="LJ134" s="1021"/>
      <c r="LK134" s="1021"/>
      <c r="LL134" s="1021"/>
      <c r="LM134" s="1021"/>
      <c r="LN134" s="1021"/>
      <c r="LO134" s="1021"/>
      <c r="LP134" s="1021"/>
      <c r="LQ134" s="1021"/>
      <c r="LR134" s="1021"/>
      <c r="LS134" s="1021"/>
      <c r="LT134" s="1021"/>
      <c r="LU134" s="1021"/>
      <c r="LV134" s="1021"/>
      <c r="LW134" s="1021"/>
      <c r="LX134" s="1021"/>
      <c r="LY134" s="1021"/>
      <c r="LZ134" s="1021"/>
      <c r="MA134" s="1021"/>
      <c r="MB134" s="1021"/>
      <c r="MC134" s="1021"/>
      <c r="MD134" s="1021"/>
      <c r="ME134" s="1021"/>
      <c r="MF134" s="1021"/>
      <c r="MG134" s="1021"/>
      <c r="MH134" s="1021"/>
      <c r="MI134" s="1021"/>
      <c r="MJ134" s="1021"/>
      <c r="MK134" s="1021"/>
      <c r="ML134" s="1021"/>
      <c r="MM134" s="1021"/>
      <c r="MN134" s="1021"/>
      <c r="MO134" s="1021"/>
      <c r="MP134" s="1021"/>
      <c r="MQ134" s="1021"/>
      <c r="MR134" s="1021"/>
      <c r="MS134" s="1021"/>
      <c r="MT134" s="1021"/>
      <c r="MU134" s="1021"/>
      <c r="MV134" s="1021"/>
      <c r="MW134" s="1021"/>
      <c r="MX134" s="1021"/>
      <c r="MY134" s="1021"/>
      <c r="MZ134" s="1021"/>
      <c r="NA134" s="1021"/>
      <c r="NB134" s="1021"/>
      <c r="NC134" s="1021"/>
      <c r="ND134" s="1021"/>
      <c r="NE134" s="1021"/>
      <c r="NF134" s="1021"/>
      <c r="NG134" s="1021"/>
      <c r="NH134" s="1021"/>
      <c r="NI134" s="1021"/>
      <c r="NJ134" s="1021"/>
      <c r="NK134" s="1021"/>
      <c r="NL134" s="1021"/>
      <c r="NM134" s="1021"/>
      <c r="NN134" s="1021"/>
      <c r="NO134" s="1021"/>
      <c r="NP134" s="1021"/>
      <c r="NQ134" s="1021"/>
      <c r="NR134" s="1021"/>
      <c r="NS134" s="1021"/>
      <c r="NT134" s="1021"/>
      <c r="NU134" s="1021"/>
      <c r="NV134" s="1021"/>
      <c r="NW134" s="1021"/>
      <c r="NX134" s="1021"/>
      <c r="NY134" s="1021"/>
      <c r="NZ134" s="1021"/>
      <c r="OA134" s="1021"/>
      <c r="OB134" s="1021"/>
      <c r="OC134" s="1021"/>
      <c r="OD134" s="1021"/>
      <c r="OE134" s="1021"/>
      <c r="OF134" s="1021"/>
      <c r="OG134" s="1021"/>
      <c r="OH134" s="1021"/>
      <c r="OI134" s="1021"/>
      <c r="OJ134" s="1021"/>
      <c r="OK134" s="1021"/>
      <c r="OL134" s="1021"/>
      <c r="OM134" s="1021"/>
      <c r="ON134" s="1021"/>
      <c r="OO134" s="1021"/>
      <c r="OP134" s="1021"/>
      <c r="OQ134" s="1021"/>
      <c r="OR134" s="1021"/>
      <c r="OS134" s="1021"/>
      <c r="OT134" s="1021"/>
      <c r="OU134" s="1021"/>
      <c r="OV134" s="1021"/>
      <c r="OW134" s="1021"/>
      <c r="OX134" s="1021"/>
      <c r="OY134" s="1021"/>
      <c r="OZ134" s="1021"/>
      <c r="PA134" s="1021"/>
      <c r="PB134" s="1021"/>
      <c r="PC134" s="1021"/>
      <c r="PD134" s="1021"/>
      <c r="PE134" s="1021"/>
      <c r="PF134" s="1021"/>
      <c r="PG134" s="1021"/>
      <c r="PH134" s="1021"/>
      <c r="PI134" s="1021"/>
      <c r="PJ134" s="1021"/>
      <c r="PK134" s="1021"/>
      <c r="PL134" s="1021"/>
      <c r="PM134" s="1021"/>
      <c r="PN134" s="1021"/>
      <c r="PO134" s="1021"/>
      <c r="PP134" s="1021"/>
      <c r="PQ134" s="1021"/>
      <c r="PR134" s="1021"/>
      <c r="PS134" s="1021"/>
      <c r="PT134" s="1021"/>
      <c r="PU134" s="1021"/>
      <c r="PV134" s="1021"/>
      <c r="PW134" s="1021"/>
      <c r="PX134" s="1021"/>
      <c r="PY134" s="1021"/>
      <c r="PZ134" s="1021"/>
      <c r="QA134" s="1021"/>
      <c r="QB134" s="1021"/>
      <c r="QC134" s="1021"/>
      <c r="QD134" s="1021"/>
      <c r="QE134" s="1021"/>
      <c r="QF134" s="1021"/>
      <c r="QG134" s="1021"/>
      <c r="QH134" s="1021"/>
      <c r="QI134" s="1021"/>
      <c r="QJ134" s="1021"/>
      <c r="QK134" s="1021"/>
      <c r="QL134" s="1021"/>
      <c r="QM134" s="1021"/>
      <c r="QN134" s="1021"/>
      <c r="QO134" s="1021"/>
      <c r="QP134" s="1021"/>
      <c r="QQ134" s="1021"/>
      <c r="QR134" s="1021"/>
      <c r="QS134" s="1021"/>
      <c r="QT134" s="1021"/>
      <c r="QU134" s="1021"/>
      <c r="QV134" s="1021"/>
      <c r="QW134" s="1021"/>
      <c r="QX134" s="1021"/>
      <c r="QY134" s="1021"/>
      <c r="QZ134" s="1021"/>
      <c r="RA134" s="1021"/>
      <c r="RB134" s="1021"/>
      <c r="RC134" s="1021"/>
      <c r="RD134" s="1021"/>
      <c r="RE134" s="1021"/>
      <c r="RF134" s="1021"/>
      <c r="RG134" s="1021"/>
      <c r="RH134" s="1021"/>
      <c r="RI134" s="1021"/>
      <c r="RJ134" s="1021"/>
      <c r="RK134" s="1021"/>
      <c r="RL134" s="1021"/>
      <c r="RM134" s="1021"/>
      <c r="RN134" s="1021"/>
      <c r="RO134" s="1021"/>
      <c r="RP134" s="1021"/>
      <c r="RQ134" s="1021"/>
      <c r="RR134" s="1021"/>
      <c r="RS134" s="1021"/>
      <c r="RT134" s="1021"/>
      <c r="RU134" s="1021"/>
      <c r="RV134" s="1021"/>
      <c r="RW134" s="1021"/>
      <c r="RX134" s="1021"/>
      <c r="RY134" s="1021"/>
      <c r="RZ134" s="1021"/>
      <c r="SA134" s="1021"/>
      <c r="SB134" s="1021"/>
      <c r="SC134" s="1021"/>
      <c r="SD134" s="1021"/>
      <c r="SE134" s="1021"/>
      <c r="SF134" s="1021"/>
      <c r="SG134" s="1021"/>
      <c r="SH134" s="1021"/>
      <c r="SI134" s="1021"/>
      <c r="SJ134" s="1021"/>
      <c r="SK134" s="1021"/>
      <c r="SL134" s="1021"/>
      <c r="SM134" s="1021"/>
      <c r="SN134" s="1021"/>
      <c r="SO134" s="1021"/>
      <c r="SP134" s="1021"/>
      <c r="SQ134" s="1021"/>
      <c r="SR134" s="1021"/>
    </row>
    <row r="135" spans="1:512" ht="15" customHeight="1">
      <c r="A135"/>
      <c r="B135"/>
      <c r="C135" t="s">
        <v>2249</v>
      </c>
      <c r="D135"/>
      <c r="E135" t="s">
        <v>3848</v>
      </c>
      <c r="F135"/>
      <c r="G135" s="1023">
        <v>0</v>
      </c>
      <c r="H135" s="1023">
        <v>0</v>
      </c>
      <c r="I135" s="1023"/>
      <c r="J135" s="1023"/>
      <c r="K135" s="1023"/>
      <c r="L135" s="1023"/>
      <c r="M135" s="1023"/>
      <c r="N135" s="1023"/>
      <c r="O135" s="1023"/>
      <c r="P135" s="1023"/>
      <c r="Q135" s="1023"/>
      <c r="R135" s="1023"/>
      <c r="S135" s="1023"/>
      <c r="T135" s="1023"/>
      <c r="U135" s="1021"/>
      <c r="V135" s="1021"/>
      <c r="W135" s="1021"/>
      <c r="X135" s="1021"/>
      <c r="Y135" s="1021"/>
      <c r="Z135" s="1021"/>
      <c r="AA135" s="1021"/>
      <c r="AB135" s="1021"/>
      <c r="AC135" s="1021"/>
      <c r="AD135" s="1021"/>
      <c r="AE135" s="1021"/>
      <c r="AF135" s="1021"/>
      <c r="AG135" s="1021"/>
      <c r="AH135" s="1021"/>
      <c r="AI135" s="1021"/>
      <c r="AJ135" s="1021"/>
      <c r="AK135" s="1021"/>
      <c r="AL135" s="1021"/>
      <c r="AM135" s="1021"/>
      <c r="AN135" s="1021"/>
      <c r="AO135" s="1021"/>
      <c r="AP135" s="1021"/>
      <c r="AQ135" s="1021"/>
      <c r="AR135" s="1021"/>
      <c r="AS135" s="1021"/>
      <c r="AT135" s="1021"/>
      <c r="AU135" s="1021"/>
      <c r="AV135" s="1021"/>
      <c r="AW135" s="1021"/>
      <c r="AX135" s="1021"/>
      <c r="AY135" s="1021"/>
      <c r="AZ135" s="1021"/>
      <c r="BA135" s="1021"/>
      <c r="BB135" s="1021"/>
      <c r="BC135" s="1021"/>
      <c r="BD135" s="1021"/>
      <c r="BE135" s="1021"/>
      <c r="BF135" s="1021"/>
      <c r="BG135" s="1021"/>
      <c r="BH135" s="1021"/>
      <c r="BI135" s="1021"/>
      <c r="BJ135" s="1021"/>
      <c r="BK135" s="1021"/>
      <c r="BL135" s="1021"/>
      <c r="BM135" s="1021"/>
      <c r="BN135" s="1021"/>
      <c r="BO135" s="1021"/>
      <c r="BP135" s="1021"/>
      <c r="BQ135" s="1021"/>
      <c r="BR135" s="1021"/>
      <c r="BS135" s="1021"/>
      <c r="BT135" s="1021"/>
      <c r="BU135" s="1021"/>
      <c r="BV135" s="1021"/>
      <c r="BW135" s="1021"/>
      <c r="BX135" s="1021"/>
      <c r="BY135" s="1021"/>
      <c r="BZ135" s="1021"/>
      <c r="CA135" s="1021"/>
      <c r="CB135" s="1021"/>
      <c r="CC135" s="1021"/>
      <c r="CD135" s="1021"/>
      <c r="CE135" s="1021"/>
      <c r="CF135" s="1021"/>
      <c r="CG135" s="1021"/>
      <c r="CH135" s="1021"/>
      <c r="CI135" s="1021"/>
      <c r="CJ135" s="1021"/>
      <c r="CK135" s="1021"/>
      <c r="CL135" s="1021"/>
      <c r="CM135" s="1021"/>
      <c r="CN135" s="1021"/>
      <c r="CO135" s="1021"/>
      <c r="CP135" s="1021"/>
      <c r="CQ135" s="1021"/>
      <c r="CR135" s="1021"/>
      <c r="CS135" s="1021"/>
      <c r="CT135" s="1021"/>
      <c r="CU135" s="1021"/>
      <c r="CV135" s="1021"/>
      <c r="CW135" s="1021"/>
      <c r="CX135" s="1021"/>
      <c r="CY135" s="1021"/>
      <c r="CZ135" s="1021"/>
      <c r="DA135" s="1021"/>
      <c r="DB135" s="1021"/>
      <c r="DC135" s="1021"/>
      <c r="DD135" s="1021"/>
      <c r="DE135" s="1021"/>
      <c r="DF135" s="1021"/>
      <c r="DG135" s="1021"/>
      <c r="DH135" s="1021"/>
      <c r="DI135" s="1021"/>
      <c r="DJ135" s="1021"/>
      <c r="DK135" s="1021"/>
      <c r="DL135" s="1021"/>
      <c r="DM135" s="1021"/>
      <c r="DN135" s="1021"/>
      <c r="DO135" s="1021"/>
      <c r="DP135" s="1021"/>
      <c r="DQ135" s="1021"/>
      <c r="DR135" s="1021"/>
      <c r="DS135" s="1021"/>
      <c r="DT135" s="1021"/>
      <c r="DU135" s="1021"/>
      <c r="DV135" s="1021"/>
      <c r="DW135" s="1021"/>
      <c r="DX135" s="1021"/>
      <c r="DY135" s="1021"/>
      <c r="DZ135" s="1021"/>
      <c r="EA135" s="1021"/>
      <c r="EB135" s="1021"/>
      <c r="EC135" s="1021"/>
      <c r="ED135" s="1021"/>
      <c r="EE135" s="1021"/>
      <c r="EF135" s="1021"/>
      <c r="EG135" s="1021"/>
      <c r="EH135" s="1021"/>
      <c r="EI135" s="1021"/>
      <c r="EJ135" s="1021"/>
      <c r="EK135" s="1021"/>
      <c r="EL135" s="1021"/>
      <c r="EM135" s="1021"/>
      <c r="EN135" s="1021"/>
      <c r="EO135" s="1021"/>
      <c r="EP135" s="1021"/>
      <c r="EQ135" s="1021"/>
      <c r="ER135" s="1021"/>
      <c r="ES135" s="1021"/>
      <c r="ET135" s="1021"/>
      <c r="EU135" s="1021"/>
      <c r="EV135" s="1021"/>
      <c r="EW135" s="1021"/>
      <c r="EX135" s="1021"/>
      <c r="EY135" s="1021"/>
      <c r="EZ135" s="1021"/>
      <c r="FA135" s="1021"/>
      <c r="FB135" s="1021"/>
      <c r="FC135" s="1021"/>
      <c r="FD135" s="1021"/>
      <c r="FE135" s="1021"/>
      <c r="FF135" s="1021"/>
      <c r="FG135" s="1021"/>
      <c r="FH135" s="1021"/>
      <c r="FI135" s="1021"/>
      <c r="FJ135" s="1021"/>
      <c r="FK135" s="1021"/>
      <c r="FL135" s="1021"/>
      <c r="FM135" s="1021"/>
      <c r="FN135" s="1021"/>
      <c r="FO135" s="1021"/>
      <c r="FP135" s="1021"/>
      <c r="FQ135" s="1021"/>
      <c r="FR135" s="1021"/>
      <c r="FS135" s="1021"/>
      <c r="FT135" s="1021"/>
      <c r="FU135" s="1021"/>
      <c r="FV135" s="1021"/>
      <c r="FW135" s="1021"/>
      <c r="FX135" s="1021"/>
      <c r="FY135" s="1021"/>
      <c r="FZ135" s="1021"/>
      <c r="GA135" s="1021"/>
      <c r="GB135" s="1021"/>
      <c r="GC135" s="1021"/>
      <c r="GD135" s="1021"/>
      <c r="GE135" s="1021"/>
      <c r="GF135" s="1021"/>
      <c r="GG135" s="1021"/>
      <c r="GH135" s="1021"/>
      <c r="GI135" s="1021"/>
      <c r="GJ135" s="1021"/>
      <c r="GK135" s="1021"/>
      <c r="GL135" s="1021"/>
      <c r="GM135" s="1021"/>
      <c r="GN135" s="1021"/>
      <c r="GO135" s="1021"/>
      <c r="GP135" s="1021"/>
      <c r="GQ135" s="1021"/>
      <c r="GR135" s="1021"/>
      <c r="GS135" s="1021"/>
      <c r="GT135" s="1021"/>
      <c r="GU135" s="1021"/>
      <c r="GV135" s="1021"/>
      <c r="GW135" s="1021"/>
      <c r="GX135" s="1021"/>
      <c r="GY135" s="1021"/>
      <c r="GZ135" s="1021"/>
      <c r="HA135" s="1021"/>
      <c r="HB135" s="1021"/>
      <c r="HC135" s="1021"/>
      <c r="HD135" s="1021"/>
      <c r="HE135" s="1021"/>
      <c r="HF135" s="1021"/>
      <c r="HG135" s="1021"/>
      <c r="HH135" s="1021"/>
      <c r="HI135" s="1021"/>
      <c r="HJ135" s="1021"/>
      <c r="HK135" s="1021"/>
      <c r="HL135" s="1021"/>
      <c r="HM135" s="1021"/>
      <c r="HN135" s="1021"/>
      <c r="HO135" s="1021"/>
      <c r="HP135" s="1021"/>
      <c r="HQ135" s="1021"/>
      <c r="HR135" s="1021"/>
      <c r="HS135" s="1021"/>
      <c r="HT135" s="1021"/>
      <c r="HU135" s="1021"/>
      <c r="HV135" s="1021"/>
      <c r="HW135" s="1021"/>
      <c r="HX135" s="1021"/>
      <c r="HY135" s="1021"/>
      <c r="HZ135" s="1021"/>
      <c r="IA135" s="1021"/>
      <c r="IB135" s="1021"/>
      <c r="IC135" s="1021"/>
      <c r="ID135" s="1021"/>
      <c r="IE135" s="1021"/>
      <c r="IF135" s="1021"/>
      <c r="IG135" s="1021"/>
      <c r="IH135" s="1021"/>
      <c r="II135" s="1021"/>
      <c r="IJ135" s="1021"/>
      <c r="IK135" s="1021"/>
      <c r="IL135" s="1021"/>
      <c r="IM135" s="1021"/>
      <c r="IN135" s="1021"/>
      <c r="IO135" s="1021"/>
      <c r="IP135" s="1021"/>
      <c r="IQ135" s="1021"/>
      <c r="IR135" s="1021"/>
      <c r="IS135" s="1021"/>
      <c r="IT135" s="1021"/>
      <c r="IU135" s="1021"/>
      <c r="IV135" s="1021"/>
      <c r="IW135" s="1021"/>
      <c r="IX135" s="1021"/>
      <c r="IY135" s="1021"/>
      <c r="IZ135" s="1021"/>
      <c r="JA135" s="1021"/>
      <c r="JB135" s="1021"/>
      <c r="JC135" s="1021"/>
      <c r="JD135" s="1021"/>
      <c r="JE135" s="1021"/>
      <c r="JF135" s="1021"/>
      <c r="JG135" s="1021"/>
      <c r="JH135" s="1021"/>
      <c r="JI135" s="1021"/>
      <c r="JJ135" s="1021"/>
      <c r="JK135" s="1021"/>
      <c r="JL135" s="1021"/>
      <c r="JM135" s="1021"/>
      <c r="JN135" s="1021"/>
      <c r="JO135" s="1021"/>
      <c r="JP135" s="1021"/>
      <c r="JQ135" s="1021"/>
      <c r="JR135" s="1021"/>
      <c r="JS135" s="1021"/>
      <c r="JT135" s="1021"/>
      <c r="JU135" s="1021"/>
      <c r="JV135" s="1021"/>
      <c r="JW135" s="1021"/>
      <c r="JX135" s="1021"/>
      <c r="JY135" s="1021"/>
      <c r="JZ135" s="1021"/>
      <c r="KA135" s="1021"/>
      <c r="KB135" s="1021"/>
      <c r="KC135" s="1021"/>
      <c r="KD135" s="1021"/>
      <c r="KE135" s="1021"/>
      <c r="KF135" s="1021"/>
      <c r="KG135" s="1021"/>
      <c r="KH135" s="1021"/>
      <c r="KI135" s="1021"/>
      <c r="KJ135" s="1021"/>
      <c r="KK135" s="1021"/>
      <c r="KL135" s="1021"/>
      <c r="KM135" s="1021"/>
      <c r="KN135" s="1021"/>
      <c r="KO135" s="1021"/>
      <c r="KP135" s="1021"/>
      <c r="KQ135" s="1021"/>
      <c r="KR135" s="1021"/>
      <c r="KS135" s="1021"/>
      <c r="KT135" s="1021"/>
      <c r="KU135" s="1021"/>
      <c r="KV135" s="1021"/>
      <c r="KW135" s="1021"/>
      <c r="KX135" s="1021"/>
      <c r="KY135" s="1021"/>
      <c r="KZ135" s="1021"/>
      <c r="LA135" s="1021"/>
      <c r="LB135" s="1021"/>
      <c r="LC135" s="1021"/>
      <c r="LD135" s="1021"/>
      <c r="LE135" s="1021"/>
      <c r="LF135" s="1021"/>
      <c r="LG135" s="1021"/>
      <c r="LH135" s="1021"/>
      <c r="LI135" s="1021"/>
      <c r="LJ135" s="1021"/>
      <c r="LK135" s="1021"/>
      <c r="LL135" s="1021"/>
      <c r="LM135" s="1021"/>
      <c r="LN135" s="1021"/>
      <c r="LO135" s="1021"/>
      <c r="LP135" s="1021"/>
      <c r="LQ135" s="1021"/>
      <c r="LR135" s="1021"/>
      <c r="LS135" s="1021"/>
      <c r="LT135" s="1021"/>
      <c r="LU135" s="1021"/>
      <c r="LV135" s="1021"/>
      <c r="LW135" s="1021"/>
      <c r="LX135" s="1021"/>
      <c r="LY135" s="1021"/>
      <c r="LZ135" s="1021"/>
      <c r="MA135" s="1021"/>
      <c r="MB135" s="1021"/>
      <c r="MC135" s="1021"/>
      <c r="MD135" s="1021"/>
      <c r="ME135" s="1021"/>
      <c r="MF135" s="1021"/>
      <c r="MG135" s="1021"/>
      <c r="MH135" s="1021"/>
      <c r="MI135" s="1021"/>
      <c r="MJ135" s="1021"/>
      <c r="MK135" s="1021"/>
      <c r="ML135" s="1021"/>
      <c r="MM135" s="1021"/>
      <c r="MN135" s="1021"/>
      <c r="MO135" s="1021"/>
      <c r="MP135" s="1021"/>
      <c r="MQ135" s="1021"/>
      <c r="MR135" s="1021"/>
      <c r="MS135" s="1021"/>
      <c r="MT135" s="1021"/>
      <c r="MU135" s="1021"/>
      <c r="MV135" s="1021"/>
      <c r="MW135" s="1021"/>
      <c r="MX135" s="1021"/>
      <c r="MY135" s="1021"/>
      <c r="MZ135" s="1021"/>
      <c r="NA135" s="1021"/>
      <c r="NB135" s="1021"/>
      <c r="NC135" s="1021"/>
      <c r="ND135" s="1021"/>
      <c r="NE135" s="1021"/>
      <c r="NF135" s="1021"/>
      <c r="NG135" s="1021"/>
      <c r="NH135" s="1021"/>
      <c r="NI135" s="1021"/>
      <c r="NJ135" s="1021"/>
      <c r="NK135" s="1021"/>
      <c r="NL135" s="1021"/>
      <c r="NM135" s="1021"/>
      <c r="NN135" s="1021"/>
      <c r="NO135" s="1021"/>
      <c r="NP135" s="1021"/>
      <c r="NQ135" s="1021"/>
      <c r="NR135" s="1021"/>
      <c r="NS135" s="1021"/>
      <c r="NT135" s="1021"/>
      <c r="NU135" s="1021"/>
      <c r="NV135" s="1021"/>
      <c r="NW135" s="1021"/>
      <c r="NX135" s="1021"/>
      <c r="NY135" s="1021"/>
      <c r="NZ135" s="1021"/>
      <c r="OA135" s="1021"/>
      <c r="OB135" s="1021"/>
      <c r="OC135" s="1021"/>
      <c r="OD135" s="1021"/>
      <c r="OE135" s="1021"/>
      <c r="OF135" s="1021"/>
      <c r="OG135" s="1021"/>
      <c r="OH135" s="1021"/>
      <c r="OI135" s="1021"/>
      <c r="OJ135" s="1021"/>
      <c r="OK135" s="1021"/>
      <c r="OL135" s="1021"/>
      <c r="OM135" s="1021"/>
      <c r="ON135" s="1021"/>
      <c r="OO135" s="1021"/>
      <c r="OP135" s="1021"/>
      <c r="OQ135" s="1021"/>
      <c r="OR135" s="1021"/>
      <c r="OS135" s="1021"/>
      <c r="OT135" s="1021"/>
      <c r="OU135" s="1021"/>
      <c r="OV135" s="1021"/>
      <c r="OW135" s="1021"/>
      <c r="OX135" s="1021"/>
      <c r="OY135" s="1021"/>
      <c r="OZ135" s="1021"/>
      <c r="PA135" s="1021"/>
      <c r="PB135" s="1021"/>
      <c r="PC135" s="1021"/>
      <c r="PD135" s="1021"/>
      <c r="PE135" s="1021"/>
      <c r="PF135" s="1021"/>
      <c r="PG135" s="1021"/>
      <c r="PH135" s="1021"/>
      <c r="PI135" s="1021"/>
      <c r="PJ135" s="1021"/>
      <c r="PK135" s="1021"/>
      <c r="PL135" s="1021"/>
      <c r="PM135" s="1021"/>
      <c r="PN135" s="1021"/>
      <c r="PO135" s="1021"/>
      <c r="PP135" s="1021"/>
      <c r="PQ135" s="1021"/>
      <c r="PR135" s="1021"/>
      <c r="PS135" s="1021"/>
      <c r="PT135" s="1021"/>
      <c r="PU135" s="1021"/>
      <c r="PV135" s="1021"/>
      <c r="PW135" s="1021"/>
      <c r="PX135" s="1021"/>
      <c r="PY135" s="1021"/>
      <c r="PZ135" s="1021"/>
      <c r="QA135" s="1021"/>
      <c r="QB135" s="1021"/>
      <c r="QC135" s="1021"/>
      <c r="QD135" s="1021"/>
      <c r="QE135" s="1021"/>
      <c r="QF135" s="1021"/>
      <c r="QG135" s="1021"/>
      <c r="QH135" s="1021"/>
      <c r="QI135" s="1021"/>
      <c r="QJ135" s="1021"/>
      <c r="QK135" s="1021"/>
      <c r="QL135" s="1021"/>
      <c r="QM135" s="1021"/>
      <c r="QN135" s="1021"/>
      <c r="QO135" s="1021"/>
      <c r="QP135" s="1021"/>
      <c r="QQ135" s="1021"/>
      <c r="QR135" s="1021"/>
      <c r="QS135" s="1021"/>
      <c r="QT135" s="1021"/>
      <c r="QU135" s="1021"/>
      <c r="QV135" s="1021"/>
      <c r="QW135" s="1021"/>
      <c r="QX135" s="1021"/>
      <c r="QY135" s="1021"/>
      <c r="QZ135" s="1021"/>
      <c r="RA135" s="1021"/>
      <c r="RB135" s="1021"/>
      <c r="RC135" s="1021"/>
      <c r="RD135" s="1021"/>
      <c r="RE135" s="1021"/>
      <c r="RF135" s="1021"/>
      <c r="RG135" s="1021"/>
      <c r="RH135" s="1021"/>
      <c r="RI135" s="1021"/>
      <c r="RJ135" s="1021"/>
      <c r="RK135" s="1021"/>
      <c r="RL135" s="1021"/>
      <c r="RM135" s="1021"/>
      <c r="RN135" s="1021"/>
      <c r="RO135" s="1021"/>
      <c r="RP135" s="1021"/>
      <c r="RQ135" s="1021"/>
      <c r="RR135" s="1021"/>
      <c r="RS135" s="1021"/>
      <c r="RT135" s="1021"/>
      <c r="RU135" s="1021"/>
      <c r="RV135" s="1021"/>
      <c r="RW135" s="1021"/>
      <c r="RX135" s="1021"/>
      <c r="RY135" s="1021"/>
      <c r="RZ135" s="1021"/>
      <c r="SA135" s="1021"/>
      <c r="SB135" s="1021"/>
      <c r="SC135" s="1021"/>
      <c r="SD135" s="1021"/>
      <c r="SE135" s="1021"/>
      <c r="SF135" s="1021"/>
      <c r="SG135" s="1021"/>
      <c r="SH135" s="1021"/>
      <c r="SI135" s="1021"/>
      <c r="SJ135" s="1021"/>
      <c r="SK135" s="1021"/>
      <c r="SL135" s="1021"/>
      <c r="SM135" s="1021"/>
      <c r="SN135" s="1021"/>
      <c r="SO135" s="1021"/>
      <c r="SP135" s="1021"/>
      <c r="SQ135" s="1021"/>
      <c r="SR135" s="1021"/>
    </row>
    <row r="136" spans="1:512" ht="15" customHeight="1">
      <c r="A136"/>
      <c r="B136"/>
      <c r="C136" t="s">
        <v>2250</v>
      </c>
      <c r="D136"/>
      <c r="E136" t="s">
        <v>3848</v>
      </c>
      <c r="F136"/>
      <c r="G136" s="1023">
        <v>0</v>
      </c>
      <c r="H136" s="1023">
        <v>0</v>
      </c>
      <c r="I136" s="1023"/>
      <c r="J136" s="1023"/>
      <c r="K136" s="1023"/>
      <c r="L136" s="1023"/>
      <c r="M136" s="1023"/>
      <c r="N136" s="1023"/>
      <c r="O136" s="1023"/>
      <c r="P136" s="1023"/>
      <c r="Q136" s="1023"/>
      <c r="R136" s="1023"/>
      <c r="S136" s="1023"/>
      <c r="T136" s="1023"/>
      <c r="U136" s="1021"/>
      <c r="V136" s="1021"/>
      <c r="W136" s="1021"/>
      <c r="X136" s="1021"/>
      <c r="Y136" s="1021"/>
      <c r="Z136" s="1021"/>
      <c r="AA136" s="1021"/>
      <c r="AB136" s="1021"/>
      <c r="AC136" s="1021"/>
      <c r="AD136" s="1021"/>
      <c r="AE136" s="1021"/>
      <c r="AF136" s="1021"/>
      <c r="AG136" s="1021"/>
      <c r="AH136" s="1021"/>
      <c r="AI136" s="1021"/>
      <c r="AJ136" s="1021"/>
      <c r="AK136" s="1021"/>
      <c r="AL136" s="1021"/>
      <c r="AM136" s="1021"/>
      <c r="AN136" s="1021"/>
      <c r="AO136" s="1021"/>
      <c r="AP136" s="1021"/>
      <c r="AQ136" s="1021"/>
      <c r="AR136" s="1021"/>
      <c r="AS136" s="1021"/>
      <c r="AT136" s="1021"/>
      <c r="AU136" s="1021"/>
      <c r="AV136" s="1021"/>
      <c r="AW136" s="1021"/>
      <c r="AX136" s="1021"/>
      <c r="AY136" s="1021"/>
      <c r="AZ136" s="1021"/>
      <c r="BA136" s="1021"/>
      <c r="BB136" s="1021"/>
      <c r="BC136" s="1021"/>
      <c r="BD136" s="1021"/>
      <c r="BE136" s="1021"/>
      <c r="BF136" s="1021"/>
      <c r="BG136" s="1021"/>
      <c r="BH136" s="1021"/>
      <c r="BI136" s="1021"/>
      <c r="BJ136" s="1021"/>
      <c r="BK136" s="1021"/>
      <c r="BL136" s="1021"/>
      <c r="BM136" s="1021"/>
      <c r="BN136" s="1021"/>
      <c r="BO136" s="1021"/>
      <c r="BP136" s="1021"/>
      <c r="BQ136" s="1021"/>
      <c r="BR136" s="1021"/>
      <c r="BS136" s="1021"/>
      <c r="BT136" s="1021"/>
      <c r="BU136" s="1021"/>
      <c r="BV136" s="1021"/>
      <c r="BW136" s="1021"/>
      <c r="BX136" s="1021"/>
      <c r="BY136" s="1021"/>
      <c r="BZ136" s="1021"/>
      <c r="CA136" s="1021"/>
      <c r="CB136" s="1021"/>
      <c r="CC136" s="1021"/>
      <c r="CD136" s="1021"/>
      <c r="CE136" s="1021"/>
      <c r="CF136" s="1021"/>
      <c r="CG136" s="1021"/>
      <c r="CH136" s="1021"/>
      <c r="CI136" s="1021"/>
      <c r="CJ136" s="1021"/>
      <c r="CK136" s="1021"/>
      <c r="CL136" s="1021"/>
      <c r="CM136" s="1021"/>
      <c r="CN136" s="1021"/>
      <c r="CO136" s="1021"/>
      <c r="CP136" s="1021"/>
      <c r="CQ136" s="1021"/>
      <c r="CR136" s="1021"/>
      <c r="CS136" s="1021"/>
      <c r="CT136" s="1021"/>
      <c r="CU136" s="1021"/>
      <c r="CV136" s="1021"/>
      <c r="CW136" s="1021"/>
      <c r="CX136" s="1021"/>
      <c r="CY136" s="1021"/>
      <c r="CZ136" s="1021"/>
      <c r="DA136" s="1021"/>
      <c r="DB136" s="1021"/>
      <c r="DC136" s="1021"/>
      <c r="DD136" s="1021"/>
      <c r="DE136" s="1021"/>
      <c r="DF136" s="1021"/>
      <c r="DG136" s="1021"/>
      <c r="DH136" s="1021"/>
      <c r="DI136" s="1021"/>
      <c r="DJ136" s="1021"/>
      <c r="DK136" s="1021"/>
      <c r="DL136" s="1021"/>
      <c r="DM136" s="1021"/>
      <c r="DN136" s="1021"/>
      <c r="DO136" s="1021"/>
      <c r="DP136" s="1021"/>
      <c r="DQ136" s="1021"/>
      <c r="DR136" s="1021"/>
      <c r="DS136" s="1021"/>
      <c r="DT136" s="1021"/>
      <c r="DU136" s="1021"/>
      <c r="DV136" s="1021"/>
      <c r="DW136" s="1021"/>
      <c r="DX136" s="1021"/>
      <c r="DY136" s="1021"/>
      <c r="DZ136" s="1021"/>
      <c r="EA136" s="1021"/>
      <c r="EB136" s="1021"/>
      <c r="EC136" s="1021"/>
      <c r="ED136" s="1021"/>
      <c r="EE136" s="1021"/>
      <c r="EF136" s="1021"/>
      <c r="EG136" s="1021"/>
      <c r="EH136" s="1021"/>
      <c r="EI136" s="1021"/>
      <c r="EJ136" s="1021"/>
      <c r="EK136" s="1021"/>
      <c r="EL136" s="1021"/>
      <c r="EM136" s="1021"/>
      <c r="EN136" s="1021"/>
      <c r="EO136" s="1021"/>
      <c r="EP136" s="1021"/>
      <c r="EQ136" s="1021"/>
      <c r="ER136" s="1021"/>
      <c r="ES136" s="1021"/>
      <c r="ET136" s="1021"/>
      <c r="EU136" s="1021"/>
      <c r="EV136" s="1021"/>
      <c r="EW136" s="1021"/>
      <c r="EX136" s="1021"/>
      <c r="EY136" s="1021"/>
      <c r="EZ136" s="1021"/>
      <c r="FA136" s="1021"/>
      <c r="FB136" s="1021"/>
      <c r="FC136" s="1021"/>
      <c r="FD136" s="1021"/>
      <c r="FE136" s="1021"/>
      <c r="FF136" s="1021"/>
      <c r="FG136" s="1021"/>
      <c r="FH136" s="1021"/>
      <c r="FI136" s="1021"/>
      <c r="FJ136" s="1021"/>
      <c r="FK136" s="1021"/>
      <c r="FL136" s="1021"/>
      <c r="FM136" s="1021"/>
      <c r="FN136" s="1021"/>
      <c r="FO136" s="1021"/>
      <c r="FP136" s="1021"/>
      <c r="FQ136" s="1021"/>
      <c r="FR136" s="1021"/>
      <c r="FS136" s="1021"/>
      <c r="FT136" s="1021"/>
      <c r="FU136" s="1021"/>
      <c r="FV136" s="1021"/>
      <c r="FW136" s="1021"/>
      <c r="FX136" s="1021"/>
      <c r="FY136" s="1021"/>
      <c r="FZ136" s="1021"/>
      <c r="GA136" s="1021"/>
      <c r="GB136" s="1021"/>
      <c r="GC136" s="1021"/>
      <c r="GD136" s="1021"/>
      <c r="GE136" s="1021"/>
      <c r="GF136" s="1021"/>
      <c r="GG136" s="1021"/>
      <c r="GH136" s="1021"/>
      <c r="GI136" s="1021"/>
      <c r="GJ136" s="1021"/>
      <c r="GK136" s="1021"/>
      <c r="GL136" s="1021"/>
      <c r="GM136" s="1021"/>
      <c r="GN136" s="1021"/>
      <c r="GO136" s="1021"/>
      <c r="GP136" s="1021"/>
      <c r="GQ136" s="1021"/>
      <c r="GR136" s="1021"/>
      <c r="GS136" s="1021"/>
      <c r="GT136" s="1021"/>
      <c r="GU136" s="1021"/>
      <c r="GV136" s="1021"/>
      <c r="GW136" s="1021"/>
      <c r="GX136" s="1021"/>
      <c r="GY136" s="1021"/>
      <c r="GZ136" s="1021"/>
      <c r="HA136" s="1021"/>
      <c r="HB136" s="1021"/>
      <c r="HC136" s="1021"/>
      <c r="HD136" s="1021"/>
      <c r="HE136" s="1021"/>
      <c r="HF136" s="1021"/>
      <c r="HG136" s="1021"/>
      <c r="HH136" s="1021"/>
      <c r="HI136" s="1021"/>
      <c r="HJ136" s="1021"/>
      <c r="HK136" s="1021"/>
      <c r="HL136" s="1021"/>
      <c r="HM136" s="1021"/>
      <c r="HN136" s="1021"/>
      <c r="HO136" s="1021"/>
      <c r="HP136" s="1021"/>
      <c r="HQ136" s="1021"/>
      <c r="HR136" s="1021"/>
      <c r="HS136" s="1021"/>
      <c r="HT136" s="1021"/>
      <c r="HU136" s="1021"/>
      <c r="HV136" s="1021"/>
      <c r="HW136" s="1021"/>
      <c r="HX136" s="1021"/>
      <c r="HY136" s="1021"/>
      <c r="HZ136" s="1021"/>
      <c r="IA136" s="1021"/>
      <c r="IB136" s="1021"/>
      <c r="IC136" s="1021"/>
      <c r="ID136" s="1021"/>
      <c r="IE136" s="1021"/>
      <c r="IF136" s="1021"/>
      <c r="IG136" s="1021"/>
      <c r="IH136" s="1021"/>
      <c r="II136" s="1021"/>
      <c r="IJ136" s="1021"/>
      <c r="IK136" s="1021"/>
      <c r="IL136" s="1021"/>
      <c r="IM136" s="1021"/>
      <c r="IN136" s="1021"/>
      <c r="IO136" s="1021"/>
      <c r="IP136" s="1021"/>
      <c r="IQ136" s="1021"/>
      <c r="IR136" s="1021"/>
      <c r="IS136" s="1021"/>
      <c r="IT136" s="1021"/>
      <c r="IU136" s="1021"/>
      <c r="IV136" s="1021"/>
      <c r="IW136" s="1021"/>
      <c r="IX136" s="1021"/>
      <c r="IY136" s="1021"/>
      <c r="IZ136" s="1021"/>
      <c r="JA136" s="1021"/>
      <c r="JB136" s="1021"/>
      <c r="JC136" s="1021"/>
      <c r="JD136" s="1021"/>
      <c r="JE136" s="1021"/>
      <c r="JF136" s="1021"/>
      <c r="JG136" s="1021"/>
      <c r="JH136" s="1021"/>
      <c r="JI136" s="1021"/>
      <c r="JJ136" s="1021"/>
      <c r="JK136" s="1021"/>
      <c r="JL136" s="1021"/>
      <c r="JM136" s="1021"/>
      <c r="JN136" s="1021"/>
      <c r="JO136" s="1021"/>
      <c r="JP136" s="1021"/>
      <c r="JQ136" s="1021"/>
      <c r="JR136" s="1021"/>
      <c r="JS136" s="1021"/>
      <c r="JT136" s="1021"/>
      <c r="JU136" s="1021"/>
      <c r="JV136" s="1021"/>
      <c r="JW136" s="1021"/>
      <c r="JX136" s="1021"/>
      <c r="JY136" s="1021"/>
      <c r="JZ136" s="1021"/>
      <c r="KA136" s="1021"/>
      <c r="KB136" s="1021"/>
      <c r="KC136" s="1021"/>
      <c r="KD136" s="1021"/>
      <c r="KE136" s="1021"/>
      <c r="KF136" s="1021"/>
      <c r="KG136" s="1021"/>
      <c r="KH136" s="1021"/>
      <c r="KI136" s="1021"/>
      <c r="KJ136" s="1021"/>
      <c r="KK136" s="1021"/>
      <c r="KL136" s="1021"/>
      <c r="KM136" s="1021"/>
      <c r="KN136" s="1021"/>
      <c r="KO136" s="1021"/>
      <c r="KP136" s="1021"/>
      <c r="KQ136" s="1021"/>
      <c r="KR136" s="1021"/>
      <c r="KS136" s="1021"/>
      <c r="KT136" s="1021"/>
      <c r="KU136" s="1021"/>
      <c r="KV136" s="1021"/>
      <c r="KW136" s="1021"/>
      <c r="KX136" s="1021"/>
      <c r="KY136" s="1021"/>
      <c r="KZ136" s="1021"/>
      <c r="LA136" s="1021"/>
      <c r="LB136" s="1021"/>
      <c r="LC136" s="1021"/>
      <c r="LD136" s="1021"/>
      <c r="LE136" s="1021"/>
      <c r="LF136" s="1021"/>
      <c r="LG136" s="1021"/>
      <c r="LH136" s="1021"/>
      <c r="LI136" s="1021"/>
      <c r="LJ136" s="1021"/>
      <c r="LK136" s="1021"/>
      <c r="LL136" s="1021"/>
      <c r="LM136" s="1021"/>
      <c r="LN136" s="1021"/>
      <c r="LO136" s="1021"/>
      <c r="LP136" s="1021"/>
      <c r="LQ136" s="1021"/>
      <c r="LR136" s="1021"/>
      <c r="LS136" s="1021"/>
      <c r="LT136" s="1021"/>
      <c r="LU136" s="1021"/>
      <c r="LV136" s="1021"/>
      <c r="LW136" s="1021"/>
      <c r="LX136" s="1021"/>
      <c r="LY136" s="1021"/>
      <c r="LZ136" s="1021"/>
      <c r="MA136" s="1021"/>
      <c r="MB136" s="1021"/>
      <c r="MC136" s="1021"/>
      <c r="MD136" s="1021"/>
      <c r="ME136" s="1021"/>
      <c r="MF136" s="1021"/>
      <c r="MG136" s="1021"/>
      <c r="MH136" s="1021"/>
      <c r="MI136" s="1021"/>
      <c r="MJ136" s="1021"/>
      <c r="MK136" s="1021"/>
      <c r="ML136" s="1021"/>
      <c r="MM136" s="1021"/>
      <c r="MN136" s="1021"/>
      <c r="MO136" s="1021"/>
      <c r="MP136" s="1021"/>
      <c r="MQ136" s="1021"/>
      <c r="MR136" s="1021"/>
      <c r="MS136" s="1021"/>
      <c r="MT136" s="1021"/>
      <c r="MU136" s="1021"/>
      <c r="MV136" s="1021"/>
      <c r="MW136" s="1021"/>
      <c r="MX136" s="1021"/>
      <c r="MY136" s="1021"/>
      <c r="MZ136" s="1021"/>
      <c r="NA136" s="1021"/>
      <c r="NB136" s="1021"/>
      <c r="NC136" s="1021"/>
      <c r="ND136" s="1021"/>
      <c r="NE136" s="1021"/>
      <c r="NF136" s="1021"/>
      <c r="NG136" s="1021"/>
      <c r="NH136" s="1021"/>
      <c r="NI136" s="1021"/>
      <c r="NJ136" s="1021"/>
      <c r="NK136" s="1021"/>
      <c r="NL136" s="1021"/>
      <c r="NM136" s="1021"/>
      <c r="NN136" s="1021"/>
      <c r="NO136" s="1021"/>
      <c r="NP136" s="1021"/>
      <c r="NQ136" s="1021"/>
      <c r="NR136" s="1021"/>
      <c r="NS136" s="1021"/>
      <c r="NT136" s="1021"/>
      <c r="NU136" s="1021"/>
      <c r="NV136" s="1021"/>
      <c r="NW136" s="1021"/>
      <c r="NX136" s="1021"/>
      <c r="NY136" s="1021"/>
      <c r="NZ136" s="1021"/>
      <c r="OA136" s="1021"/>
      <c r="OB136" s="1021"/>
      <c r="OC136" s="1021"/>
      <c r="OD136" s="1021"/>
      <c r="OE136" s="1021"/>
      <c r="OF136" s="1021"/>
      <c r="OG136" s="1021"/>
      <c r="OH136" s="1021"/>
      <c r="OI136" s="1021"/>
      <c r="OJ136" s="1021"/>
      <c r="OK136" s="1021"/>
      <c r="OL136" s="1021"/>
      <c r="OM136" s="1021"/>
      <c r="ON136" s="1021"/>
      <c r="OO136" s="1021"/>
      <c r="OP136" s="1021"/>
      <c r="OQ136" s="1021"/>
      <c r="OR136" s="1021"/>
      <c r="OS136" s="1021"/>
      <c r="OT136" s="1021"/>
      <c r="OU136" s="1021"/>
      <c r="OV136" s="1021"/>
      <c r="OW136" s="1021"/>
      <c r="OX136" s="1021"/>
      <c r="OY136" s="1021"/>
      <c r="OZ136" s="1021"/>
      <c r="PA136" s="1021"/>
      <c r="PB136" s="1021"/>
      <c r="PC136" s="1021"/>
      <c r="PD136" s="1021"/>
      <c r="PE136" s="1021"/>
      <c r="PF136" s="1021"/>
      <c r="PG136" s="1021"/>
      <c r="PH136" s="1021"/>
      <c r="PI136" s="1021"/>
      <c r="PJ136" s="1021"/>
      <c r="PK136" s="1021"/>
      <c r="PL136" s="1021"/>
      <c r="PM136" s="1021"/>
      <c r="PN136" s="1021"/>
      <c r="PO136" s="1021"/>
      <c r="PP136" s="1021"/>
      <c r="PQ136" s="1021"/>
      <c r="PR136" s="1021"/>
      <c r="PS136" s="1021"/>
      <c r="PT136" s="1021"/>
      <c r="PU136" s="1021"/>
      <c r="PV136" s="1021"/>
      <c r="PW136" s="1021"/>
      <c r="PX136" s="1021"/>
      <c r="PY136" s="1021"/>
      <c r="PZ136" s="1021"/>
      <c r="QA136" s="1021"/>
      <c r="QB136" s="1021"/>
      <c r="QC136" s="1021"/>
      <c r="QD136" s="1021"/>
      <c r="QE136" s="1021"/>
      <c r="QF136" s="1021"/>
      <c r="QG136" s="1021"/>
      <c r="QH136" s="1021"/>
      <c r="QI136" s="1021"/>
      <c r="QJ136" s="1021"/>
      <c r="QK136" s="1021"/>
      <c r="QL136" s="1021"/>
      <c r="QM136" s="1021"/>
      <c r="QN136" s="1021"/>
      <c r="QO136" s="1021"/>
      <c r="QP136" s="1021"/>
      <c r="QQ136" s="1021"/>
      <c r="QR136" s="1021"/>
      <c r="QS136" s="1021"/>
      <c r="QT136" s="1021"/>
      <c r="QU136" s="1021"/>
      <c r="QV136" s="1021"/>
      <c r="QW136" s="1021"/>
      <c r="QX136" s="1021"/>
      <c r="QY136" s="1021"/>
      <c r="QZ136" s="1021"/>
      <c r="RA136" s="1021"/>
      <c r="RB136" s="1021"/>
      <c r="RC136" s="1021"/>
      <c r="RD136" s="1021"/>
      <c r="RE136" s="1021"/>
      <c r="RF136" s="1021"/>
      <c r="RG136" s="1021"/>
      <c r="RH136" s="1021"/>
      <c r="RI136" s="1021"/>
      <c r="RJ136" s="1021"/>
      <c r="RK136" s="1021"/>
      <c r="RL136" s="1021"/>
      <c r="RM136" s="1021"/>
      <c r="RN136" s="1021"/>
      <c r="RO136" s="1021"/>
      <c r="RP136" s="1021"/>
      <c r="RQ136" s="1021"/>
      <c r="RR136" s="1021"/>
      <c r="RS136" s="1021"/>
      <c r="RT136" s="1021"/>
      <c r="RU136" s="1021"/>
      <c r="RV136" s="1021"/>
      <c r="RW136" s="1021"/>
      <c r="RX136" s="1021"/>
      <c r="RY136" s="1021"/>
      <c r="RZ136" s="1021"/>
      <c r="SA136" s="1021"/>
      <c r="SB136" s="1021"/>
      <c r="SC136" s="1021"/>
      <c r="SD136" s="1021"/>
      <c r="SE136" s="1021"/>
      <c r="SF136" s="1021"/>
      <c r="SG136" s="1021"/>
      <c r="SH136" s="1021"/>
      <c r="SI136" s="1021"/>
      <c r="SJ136" s="1021"/>
      <c r="SK136" s="1021"/>
      <c r="SL136" s="1021"/>
      <c r="SM136" s="1021"/>
      <c r="SN136" s="1021"/>
      <c r="SO136" s="1021"/>
      <c r="SP136" s="1021"/>
      <c r="SQ136" s="1021"/>
      <c r="SR136" s="1021"/>
    </row>
    <row r="137" spans="1:512" s="1011" customFormat="1" ht="15" customHeight="1">
      <c r="G137" s="1024"/>
      <c r="H137" s="1024"/>
      <c r="I137" s="1024"/>
      <c r="J137" s="1024"/>
      <c r="K137" s="1024"/>
      <c r="L137" s="1024"/>
      <c r="M137" s="1024"/>
      <c r="N137" s="1024"/>
      <c r="O137" s="1024"/>
      <c r="P137" s="1024"/>
      <c r="Q137" s="1024"/>
      <c r="R137" s="1024"/>
      <c r="S137" s="1024"/>
      <c r="T137" s="1024"/>
      <c r="U137" s="1024"/>
      <c r="V137" s="1024"/>
      <c r="W137" s="1024"/>
      <c r="X137" s="1024"/>
      <c r="Y137" s="1024"/>
      <c r="Z137" s="1024"/>
      <c r="AA137" s="1024"/>
      <c r="AB137" s="1024"/>
      <c r="AC137" s="1024"/>
      <c r="AD137" s="1024"/>
      <c r="AE137" s="1024"/>
      <c r="AF137" s="1024"/>
      <c r="AG137" s="1024"/>
      <c r="AH137" s="1024"/>
      <c r="AI137" s="1024"/>
      <c r="AJ137" s="1024"/>
      <c r="AK137" s="1024"/>
      <c r="AL137" s="1024"/>
      <c r="AM137" s="1024"/>
      <c r="AN137" s="1024"/>
      <c r="AO137" s="1024"/>
      <c r="AP137" s="1024"/>
      <c r="AQ137" s="1024"/>
      <c r="AR137" s="1024"/>
      <c r="AS137" s="1024"/>
      <c r="AT137" s="1024"/>
      <c r="AU137" s="1024"/>
      <c r="AV137" s="1024"/>
      <c r="AW137" s="1024"/>
      <c r="AX137" s="1024"/>
      <c r="AY137" s="1024"/>
      <c r="AZ137" s="1024"/>
      <c r="BA137" s="1024"/>
      <c r="BB137" s="1024"/>
      <c r="BC137" s="1024"/>
      <c r="BD137" s="1024"/>
      <c r="BE137" s="1024"/>
      <c r="BF137" s="1024"/>
      <c r="BG137" s="1024"/>
      <c r="BH137" s="1024"/>
      <c r="BI137" s="1024"/>
      <c r="BJ137" s="1024"/>
      <c r="BK137" s="1024"/>
      <c r="BL137" s="1024"/>
      <c r="BM137" s="1024"/>
      <c r="BN137" s="1024"/>
      <c r="BO137" s="1024"/>
      <c r="BP137" s="1024"/>
      <c r="BQ137" s="1024"/>
      <c r="BR137" s="1024"/>
      <c r="BS137" s="1024"/>
      <c r="BT137" s="1024"/>
      <c r="BU137" s="1024"/>
      <c r="BV137" s="1024"/>
      <c r="BW137" s="1024"/>
      <c r="BX137" s="1024"/>
      <c r="BY137" s="1024"/>
      <c r="BZ137" s="1024"/>
      <c r="CA137" s="1024"/>
      <c r="CB137" s="1024"/>
      <c r="CC137" s="1024"/>
      <c r="CD137" s="1024"/>
      <c r="CE137" s="1024"/>
      <c r="CF137" s="1024"/>
      <c r="CG137" s="1024"/>
      <c r="CH137" s="1024"/>
      <c r="CI137" s="1024"/>
      <c r="CJ137" s="1024"/>
      <c r="CK137" s="1024"/>
      <c r="CL137" s="1024"/>
      <c r="CM137" s="1024"/>
      <c r="CN137" s="1024"/>
      <c r="CO137" s="1024"/>
      <c r="CP137" s="1024"/>
      <c r="CQ137" s="1024"/>
      <c r="CR137" s="1024"/>
      <c r="CS137" s="1024"/>
      <c r="CT137" s="1024"/>
      <c r="CU137" s="1024"/>
      <c r="CV137" s="1024"/>
      <c r="CW137" s="1024"/>
      <c r="CX137" s="1024"/>
      <c r="CY137" s="1024"/>
      <c r="CZ137" s="1024"/>
      <c r="DA137" s="1024"/>
      <c r="DB137" s="1024"/>
      <c r="DC137" s="1024"/>
      <c r="DD137" s="1024"/>
      <c r="DE137" s="1024"/>
      <c r="DF137" s="1024"/>
      <c r="DG137" s="1024"/>
      <c r="DH137" s="1024"/>
      <c r="DI137" s="1024"/>
      <c r="DJ137" s="1024"/>
      <c r="DK137" s="1024"/>
      <c r="DL137" s="1024"/>
      <c r="DM137" s="1024"/>
      <c r="DN137" s="1024"/>
      <c r="DO137" s="1024"/>
      <c r="DP137" s="1024"/>
      <c r="DQ137" s="1024"/>
      <c r="DR137" s="1024"/>
      <c r="DS137" s="1024"/>
      <c r="DT137" s="1024"/>
      <c r="DU137" s="1024"/>
      <c r="DV137" s="1024"/>
      <c r="DW137" s="1024"/>
      <c r="DX137" s="1024"/>
      <c r="DY137" s="1024"/>
      <c r="DZ137" s="1024"/>
      <c r="EA137" s="1024"/>
      <c r="EB137" s="1024"/>
      <c r="EC137" s="1024"/>
      <c r="ED137" s="1024"/>
      <c r="EE137" s="1024"/>
      <c r="EF137" s="1024"/>
      <c r="EG137" s="1024"/>
      <c r="EH137" s="1024"/>
      <c r="EI137" s="1024"/>
      <c r="EJ137" s="1024"/>
      <c r="EK137" s="1024"/>
      <c r="EL137" s="1024"/>
      <c r="EM137" s="1024"/>
      <c r="EN137" s="1024"/>
      <c r="EO137" s="1024"/>
      <c r="EP137" s="1024"/>
      <c r="EQ137" s="1024"/>
      <c r="ER137" s="1024"/>
      <c r="ES137" s="1024"/>
      <c r="ET137" s="1024"/>
      <c r="EU137" s="1024"/>
      <c r="EV137" s="1024"/>
      <c r="EW137" s="1024"/>
      <c r="EX137" s="1024"/>
      <c r="EY137" s="1024"/>
      <c r="EZ137" s="1024"/>
      <c r="FA137" s="1024"/>
      <c r="FB137" s="1024"/>
      <c r="FC137" s="1024"/>
      <c r="FD137" s="1024"/>
      <c r="FE137" s="1024"/>
      <c r="FF137" s="1024"/>
      <c r="FG137" s="1024"/>
      <c r="FH137" s="1024"/>
      <c r="FI137" s="1024"/>
      <c r="FJ137" s="1024"/>
      <c r="FK137" s="1024"/>
      <c r="FL137" s="1024"/>
      <c r="FM137" s="1024"/>
      <c r="FN137" s="1024"/>
      <c r="FO137" s="1024"/>
      <c r="FP137" s="1024"/>
      <c r="FQ137" s="1024"/>
      <c r="FR137" s="1024"/>
      <c r="FS137" s="1024"/>
      <c r="FT137" s="1024"/>
      <c r="FU137" s="1024"/>
      <c r="FV137" s="1024"/>
      <c r="FW137" s="1024"/>
      <c r="FX137" s="1024"/>
      <c r="FY137" s="1024"/>
      <c r="FZ137" s="1024"/>
      <c r="GA137" s="1024"/>
      <c r="GB137" s="1024"/>
      <c r="GC137" s="1024"/>
      <c r="GD137" s="1024"/>
      <c r="GE137" s="1024"/>
      <c r="GF137" s="1024"/>
      <c r="GG137" s="1024"/>
      <c r="GH137" s="1024"/>
      <c r="GI137" s="1024"/>
      <c r="GJ137" s="1024"/>
      <c r="GK137" s="1024"/>
      <c r="GL137" s="1024"/>
      <c r="GM137" s="1024"/>
      <c r="GN137" s="1024"/>
      <c r="GO137" s="1024"/>
      <c r="GP137" s="1024"/>
      <c r="GQ137" s="1024"/>
      <c r="GR137" s="1024"/>
      <c r="GS137" s="1024"/>
      <c r="GT137" s="1024"/>
      <c r="GU137" s="1024"/>
      <c r="GV137" s="1024"/>
      <c r="GW137" s="1024"/>
      <c r="GX137" s="1024"/>
      <c r="GY137" s="1024"/>
      <c r="GZ137" s="1024"/>
      <c r="HA137" s="1024"/>
      <c r="HB137" s="1024"/>
      <c r="HC137" s="1024"/>
      <c r="HD137" s="1024"/>
      <c r="HE137" s="1024"/>
      <c r="HF137" s="1024"/>
      <c r="HG137" s="1024"/>
      <c r="HH137" s="1024"/>
      <c r="HI137" s="1024"/>
      <c r="HJ137" s="1024"/>
      <c r="HK137" s="1024"/>
      <c r="HL137" s="1024"/>
      <c r="HM137" s="1024"/>
      <c r="HN137" s="1024"/>
      <c r="HO137" s="1024"/>
      <c r="HP137" s="1024"/>
      <c r="HQ137" s="1024"/>
      <c r="HR137" s="1024"/>
      <c r="HS137" s="1024"/>
      <c r="HT137" s="1024"/>
      <c r="HU137" s="1024"/>
      <c r="HV137" s="1024"/>
      <c r="HW137" s="1024"/>
      <c r="HX137" s="1024"/>
      <c r="HY137" s="1024"/>
      <c r="HZ137" s="1024"/>
      <c r="IA137" s="1024"/>
      <c r="IB137" s="1024"/>
      <c r="IC137" s="1024"/>
      <c r="ID137" s="1024"/>
      <c r="IE137" s="1024"/>
      <c r="IF137" s="1024"/>
      <c r="IG137" s="1024"/>
      <c r="IH137" s="1024"/>
      <c r="II137" s="1024"/>
      <c r="IJ137" s="1024"/>
      <c r="IK137" s="1024"/>
      <c r="IL137" s="1024"/>
      <c r="IM137" s="1024"/>
      <c r="IN137" s="1024"/>
      <c r="IO137" s="1024"/>
      <c r="IP137" s="1024"/>
      <c r="IQ137" s="1024"/>
      <c r="IR137" s="1024"/>
      <c r="IS137" s="1024"/>
      <c r="IT137" s="1024"/>
      <c r="IU137" s="1024"/>
      <c r="IV137" s="1024"/>
      <c r="IW137" s="1024"/>
      <c r="IX137" s="1024"/>
      <c r="IY137" s="1024"/>
      <c r="IZ137" s="1024"/>
      <c r="JA137" s="1024"/>
      <c r="JB137" s="1024"/>
      <c r="JC137" s="1024"/>
      <c r="JD137" s="1024"/>
      <c r="JE137" s="1024"/>
      <c r="JF137" s="1024"/>
      <c r="JG137" s="1024"/>
      <c r="JH137" s="1024"/>
      <c r="JI137" s="1024"/>
      <c r="JJ137" s="1024"/>
      <c r="JK137" s="1024"/>
      <c r="JL137" s="1024"/>
      <c r="JM137" s="1024"/>
      <c r="JN137" s="1024"/>
      <c r="JO137" s="1024"/>
      <c r="JP137" s="1024"/>
      <c r="JQ137" s="1024"/>
      <c r="JR137" s="1024"/>
      <c r="JS137" s="1024"/>
      <c r="JT137" s="1024"/>
      <c r="JU137" s="1024"/>
      <c r="JV137" s="1024"/>
      <c r="JW137" s="1024"/>
      <c r="JX137" s="1024"/>
      <c r="JY137" s="1024"/>
      <c r="JZ137" s="1024"/>
      <c r="KA137" s="1024"/>
      <c r="KB137" s="1024"/>
      <c r="KC137" s="1024"/>
      <c r="KD137" s="1024"/>
      <c r="KE137" s="1024"/>
      <c r="KF137" s="1024"/>
      <c r="KG137" s="1024"/>
      <c r="KH137" s="1024"/>
      <c r="KI137" s="1024"/>
      <c r="KJ137" s="1024"/>
      <c r="KK137" s="1024"/>
      <c r="KL137" s="1024"/>
      <c r="KM137" s="1024"/>
      <c r="KN137" s="1024"/>
      <c r="KO137" s="1024"/>
      <c r="KP137" s="1024"/>
      <c r="KQ137" s="1024"/>
      <c r="KR137" s="1024"/>
      <c r="KS137" s="1024"/>
      <c r="KT137" s="1024"/>
      <c r="KU137" s="1024"/>
      <c r="KV137" s="1024"/>
      <c r="KW137" s="1024"/>
      <c r="KX137" s="1024"/>
      <c r="KY137" s="1024"/>
      <c r="KZ137" s="1024"/>
      <c r="LA137" s="1024"/>
      <c r="LB137" s="1024"/>
      <c r="LC137" s="1024"/>
      <c r="LD137" s="1024"/>
      <c r="LE137" s="1024"/>
      <c r="LF137" s="1024"/>
      <c r="LG137" s="1024"/>
      <c r="LH137" s="1024"/>
      <c r="LI137" s="1024"/>
      <c r="LJ137" s="1024"/>
      <c r="LK137" s="1024"/>
      <c r="LL137" s="1024"/>
      <c r="LM137" s="1024"/>
      <c r="LN137" s="1024"/>
      <c r="LO137" s="1024"/>
      <c r="LP137" s="1024"/>
      <c r="LQ137" s="1024"/>
      <c r="LR137" s="1024"/>
      <c r="LS137" s="1024"/>
      <c r="LT137" s="1024"/>
      <c r="LU137" s="1024"/>
      <c r="LV137" s="1024"/>
      <c r="LW137" s="1024"/>
      <c r="LX137" s="1024"/>
      <c r="LY137" s="1024"/>
      <c r="LZ137" s="1024"/>
      <c r="MA137" s="1024"/>
      <c r="MB137" s="1024"/>
      <c r="MC137" s="1024"/>
      <c r="MD137" s="1024"/>
      <c r="ME137" s="1024"/>
      <c r="MF137" s="1024"/>
      <c r="MG137" s="1024"/>
      <c r="MH137" s="1024"/>
      <c r="MI137" s="1024"/>
      <c r="MJ137" s="1024"/>
      <c r="MK137" s="1024"/>
      <c r="ML137" s="1024"/>
      <c r="MM137" s="1024"/>
      <c r="MN137" s="1024"/>
      <c r="MO137" s="1024"/>
      <c r="MP137" s="1024"/>
      <c r="MQ137" s="1024"/>
      <c r="MR137" s="1024"/>
      <c r="MS137" s="1024"/>
      <c r="MT137" s="1024"/>
      <c r="MU137" s="1024"/>
      <c r="MV137" s="1024"/>
      <c r="MW137" s="1024"/>
      <c r="MX137" s="1024"/>
      <c r="MY137" s="1024"/>
      <c r="MZ137" s="1024"/>
      <c r="NA137" s="1024"/>
      <c r="NB137" s="1024"/>
      <c r="NC137" s="1024"/>
      <c r="ND137" s="1024"/>
      <c r="NE137" s="1024"/>
      <c r="NF137" s="1024"/>
      <c r="NG137" s="1024"/>
      <c r="NH137" s="1024"/>
      <c r="NI137" s="1024"/>
      <c r="NJ137" s="1024"/>
      <c r="NK137" s="1024"/>
      <c r="NL137" s="1024"/>
      <c r="NM137" s="1024"/>
      <c r="NN137" s="1024"/>
      <c r="NO137" s="1024"/>
      <c r="NP137" s="1024"/>
      <c r="NQ137" s="1024"/>
      <c r="NR137" s="1024"/>
      <c r="NS137" s="1024"/>
      <c r="NT137" s="1024"/>
      <c r="NU137" s="1024"/>
      <c r="NV137" s="1024"/>
      <c r="NW137" s="1024"/>
      <c r="NX137" s="1024"/>
      <c r="NY137" s="1024"/>
      <c r="NZ137" s="1024"/>
      <c r="OA137" s="1024"/>
      <c r="OB137" s="1024"/>
      <c r="OC137" s="1024"/>
      <c r="OD137" s="1024"/>
      <c r="OE137" s="1024"/>
      <c r="OF137" s="1024"/>
      <c r="OG137" s="1024"/>
      <c r="OH137" s="1024"/>
      <c r="OI137" s="1024"/>
      <c r="OJ137" s="1024"/>
      <c r="OK137" s="1024"/>
      <c r="OL137" s="1024"/>
      <c r="OM137" s="1024"/>
      <c r="ON137" s="1024"/>
      <c r="OO137" s="1024"/>
      <c r="OP137" s="1024"/>
      <c r="OQ137" s="1024"/>
      <c r="OR137" s="1024"/>
      <c r="OS137" s="1024"/>
      <c r="OT137" s="1024"/>
      <c r="OU137" s="1024"/>
      <c r="OV137" s="1024"/>
      <c r="OW137" s="1024"/>
      <c r="OX137" s="1024"/>
      <c r="OY137" s="1024"/>
      <c r="OZ137" s="1024"/>
      <c r="PA137" s="1024"/>
      <c r="PB137" s="1024"/>
      <c r="PC137" s="1024"/>
      <c r="PD137" s="1024"/>
      <c r="PE137" s="1024"/>
      <c r="PF137" s="1024"/>
      <c r="PG137" s="1024"/>
      <c r="PH137" s="1024"/>
      <c r="PI137" s="1024"/>
      <c r="PJ137" s="1024"/>
      <c r="PK137" s="1024"/>
      <c r="PL137" s="1024"/>
      <c r="PM137" s="1024"/>
      <c r="PN137" s="1024"/>
      <c r="PO137" s="1024"/>
      <c r="PP137" s="1024"/>
      <c r="PQ137" s="1024"/>
      <c r="PR137" s="1024"/>
      <c r="PS137" s="1024"/>
      <c r="PT137" s="1024"/>
      <c r="PU137" s="1024"/>
      <c r="PV137" s="1024"/>
      <c r="PW137" s="1024"/>
      <c r="PX137" s="1024"/>
      <c r="PY137" s="1024"/>
      <c r="PZ137" s="1024"/>
      <c r="QA137" s="1024"/>
      <c r="QB137" s="1024"/>
      <c r="QC137" s="1024"/>
      <c r="QD137" s="1024"/>
      <c r="QE137" s="1024"/>
      <c r="QF137" s="1024"/>
      <c r="QG137" s="1024"/>
      <c r="QH137" s="1024"/>
      <c r="QI137" s="1024"/>
      <c r="QJ137" s="1024"/>
      <c r="QK137" s="1024"/>
      <c r="QL137" s="1024"/>
      <c r="QM137" s="1024"/>
      <c r="QN137" s="1024"/>
      <c r="QO137" s="1024"/>
      <c r="QP137" s="1024"/>
      <c r="QQ137" s="1024"/>
      <c r="QR137" s="1024"/>
      <c r="QS137" s="1024"/>
      <c r="QT137" s="1024"/>
      <c r="QU137" s="1024"/>
      <c r="QV137" s="1024"/>
      <c r="QW137" s="1024"/>
      <c r="QX137" s="1024"/>
      <c r="QY137" s="1024"/>
      <c r="QZ137" s="1024"/>
      <c r="RA137" s="1024"/>
      <c r="RB137" s="1024"/>
      <c r="RC137" s="1024"/>
      <c r="RD137" s="1024"/>
      <c r="RE137" s="1024"/>
      <c r="RF137" s="1024"/>
      <c r="RG137" s="1024"/>
      <c r="RH137" s="1024"/>
      <c r="RI137" s="1024"/>
      <c r="RJ137" s="1024"/>
      <c r="RK137" s="1024"/>
      <c r="RL137" s="1024"/>
      <c r="RM137" s="1024"/>
      <c r="RN137" s="1024"/>
      <c r="RO137" s="1024"/>
      <c r="RP137" s="1024"/>
      <c r="RQ137" s="1024"/>
      <c r="RR137" s="1024"/>
      <c r="RS137" s="1024"/>
      <c r="RT137" s="1024"/>
      <c r="RU137" s="1024"/>
      <c r="RV137" s="1024"/>
      <c r="RW137" s="1024"/>
      <c r="RX137" s="1024"/>
      <c r="RY137" s="1024"/>
      <c r="RZ137" s="1024"/>
      <c r="SA137" s="1024"/>
      <c r="SB137" s="1024"/>
      <c r="SC137" s="1024"/>
      <c r="SD137" s="1024"/>
      <c r="SE137" s="1024"/>
      <c r="SF137" s="1024"/>
      <c r="SG137" s="1024"/>
      <c r="SH137" s="1024"/>
      <c r="SI137" s="1024"/>
      <c r="SJ137" s="1024"/>
      <c r="SK137" s="1024"/>
      <c r="SL137" s="1024"/>
      <c r="SM137" s="1024"/>
      <c r="SN137" s="1024"/>
      <c r="SO137" s="1024"/>
      <c r="SP137" s="1024"/>
      <c r="SQ137" s="1024"/>
      <c r="SR137" s="1024"/>
    </row>
    <row r="138" spans="1:512" s="1011" customFormat="1" ht="15" customHeight="1">
      <c r="A138" s="1011" t="s">
        <v>2783</v>
      </c>
      <c r="G138" s="1024"/>
      <c r="H138" s="1024"/>
      <c r="I138" s="1024"/>
      <c r="J138" s="1024"/>
      <c r="K138" s="1024"/>
      <c r="L138" s="1024"/>
      <c r="M138" s="1024"/>
      <c r="N138" s="1024"/>
      <c r="O138" s="1024"/>
      <c r="P138" s="1024"/>
      <c r="Q138" s="1024"/>
      <c r="R138" s="1024"/>
      <c r="S138" s="1024"/>
      <c r="T138" s="1024"/>
      <c r="U138" s="1024"/>
      <c r="V138" s="1024"/>
      <c r="W138" s="1024"/>
      <c r="X138" s="1024"/>
      <c r="Y138" s="1024"/>
      <c r="Z138" s="1024"/>
      <c r="AA138" s="1024"/>
      <c r="AB138" s="1024"/>
      <c r="AC138" s="1024"/>
      <c r="AD138" s="1024"/>
      <c r="AE138" s="1024"/>
      <c r="AF138" s="1024"/>
      <c r="AG138" s="1024"/>
      <c r="AH138" s="1024"/>
      <c r="AI138" s="1024"/>
      <c r="AJ138" s="1024"/>
      <c r="AK138" s="1024"/>
      <c r="AL138" s="1024"/>
      <c r="AM138" s="1024"/>
      <c r="AN138" s="1024"/>
      <c r="AO138" s="1024"/>
      <c r="AP138" s="1024"/>
      <c r="AQ138" s="1024"/>
      <c r="AR138" s="1024"/>
      <c r="AS138" s="1024"/>
      <c r="AT138" s="1024"/>
      <c r="AU138" s="1024"/>
      <c r="AV138" s="1024"/>
      <c r="AW138" s="1024"/>
      <c r="AX138" s="1024"/>
      <c r="AY138" s="1024"/>
      <c r="AZ138" s="1024"/>
      <c r="BA138" s="1024"/>
      <c r="BB138" s="1024"/>
      <c r="BC138" s="1024"/>
      <c r="BD138" s="1024"/>
      <c r="BE138" s="1024"/>
      <c r="BF138" s="1024"/>
      <c r="BG138" s="1024"/>
      <c r="BH138" s="1024"/>
      <c r="BI138" s="1024"/>
      <c r="BJ138" s="1024"/>
      <c r="BK138" s="1024"/>
      <c r="BL138" s="1024"/>
      <c r="BM138" s="1024"/>
      <c r="BN138" s="1024"/>
      <c r="BO138" s="1024"/>
      <c r="BP138" s="1024"/>
      <c r="BQ138" s="1024"/>
      <c r="BR138" s="1024"/>
      <c r="BS138" s="1024"/>
      <c r="BT138" s="1024"/>
      <c r="BU138" s="1024"/>
      <c r="BV138" s="1024"/>
      <c r="BW138" s="1024"/>
      <c r="BX138" s="1024"/>
      <c r="BY138" s="1024"/>
      <c r="BZ138" s="1024"/>
      <c r="CA138" s="1024"/>
      <c r="CB138" s="1024"/>
      <c r="CC138" s="1024"/>
      <c r="CD138" s="1024"/>
      <c r="CE138" s="1024"/>
      <c r="CF138" s="1024"/>
      <c r="CG138" s="1024"/>
      <c r="CH138" s="1024"/>
      <c r="CI138" s="1024"/>
      <c r="CJ138" s="1024"/>
      <c r="CK138" s="1024"/>
      <c r="CL138" s="1024"/>
      <c r="CM138" s="1024"/>
      <c r="CN138" s="1024"/>
      <c r="CO138" s="1024"/>
      <c r="CP138" s="1024"/>
      <c r="CQ138" s="1024"/>
      <c r="CR138" s="1024"/>
      <c r="CS138" s="1024"/>
      <c r="CT138" s="1024"/>
      <c r="CU138" s="1024"/>
      <c r="CV138" s="1024"/>
      <c r="CW138" s="1024"/>
      <c r="CX138" s="1024"/>
      <c r="CY138" s="1024"/>
      <c r="CZ138" s="1024"/>
      <c r="DA138" s="1024"/>
      <c r="DB138" s="1024"/>
      <c r="DC138" s="1024"/>
      <c r="DD138" s="1024"/>
      <c r="DE138" s="1024"/>
      <c r="DF138" s="1024"/>
      <c r="DG138" s="1024"/>
      <c r="DH138" s="1024"/>
      <c r="DI138" s="1024"/>
      <c r="DJ138" s="1024"/>
      <c r="DK138" s="1024"/>
      <c r="DL138" s="1024"/>
      <c r="DM138" s="1024"/>
      <c r="DN138" s="1024"/>
      <c r="DO138" s="1024"/>
      <c r="DP138" s="1024"/>
      <c r="DQ138" s="1024"/>
      <c r="DR138" s="1024"/>
      <c r="DS138" s="1024"/>
      <c r="DT138" s="1024"/>
      <c r="DU138" s="1024"/>
      <c r="DV138" s="1024"/>
      <c r="DW138" s="1024"/>
      <c r="DX138" s="1024"/>
      <c r="DY138" s="1024"/>
      <c r="DZ138" s="1024"/>
      <c r="EA138" s="1024"/>
      <c r="EB138" s="1024"/>
      <c r="EC138" s="1024"/>
      <c r="ED138" s="1024"/>
      <c r="EE138" s="1024"/>
      <c r="EF138" s="1024"/>
      <c r="EG138" s="1024"/>
      <c r="EH138" s="1024"/>
      <c r="EI138" s="1024"/>
      <c r="EJ138" s="1024"/>
      <c r="EK138" s="1024"/>
      <c r="EL138" s="1024"/>
      <c r="EM138" s="1024"/>
      <c r="EN138" s="1024"/>
      <c r="EO138" s="1024"/>
      <c r="EP138" s="1024"/>
      <c r="EQ138" s="1024"/>
      <c r="ER138" s="1024"/>
      <c r="ES138" s="1024"/>
      <c r="ET138" s="1024"/>
      <c r="EU138" s="1024"/>
      <c r="EV138" s="1024"/>
      <c r="EW138" s="1024"/>
      <c r="EX138" s="1024"/>
      <c r="EY138" s="1024"/>
      <c r="EZ138" s="1024"/>
      <c r="FA138" s="1024"/>
      <c r="FB138" s="1024"/>
      <c r="FC138" s="1024"/>
      <c r="FD138" s="1024"/>
      <c r="FE138" s="1024"/>
      <c r="FF138" s="1024"/>
      <c r="FG138" s="1024"/>
      <c r="FH138" s="1024"/>
      <c r="FI138" s="1024"/>
      <c r="FJ138" s="1024"/>
      <c r="FK138" s="1024"/>
      <c r="FL138" s="1024"/>
      <c r="FM138" s="1024"/>
      <c r="FN138" s="1024"/>
      <c r="FO138" s="1024"/>
      <c r="FP138" s="1024"/>
      <c r="FQ138" s="1024"/>
      <c r="FR138" s="1024"/>
      <c r="FS138" s="1024"/>
      <c r="FT138" s="1024"/>
      <c r="FU138" s="1024"/>
      <c r="FV138" s="1024"/>
      <c r="FW138" s="1024"/>
      <c r="FX138" s="1024"/>
      <c r="FY138" s="1024"/>
      <c r="FZ138" s="1024"/>
      <c r="GA138" s="1024"/>
      <c r="GB138" s="1024"/>
      <c r="GC138" s="1024"/>
      <c r="GD138" s="1024"/>
      <c r="GE138" s="1024"/>
      <c r="GF138" s="1024"/>
      <c r="GG138" s="1024"/>
      <c r="GH138" s="1024"/>
      <c r="GI138" s="1024"/>
      <c r="GJ138" s="1024"/>
      <c r="GK138" s="1024"/>
      <c r="GL138" s="1024"/>
      <c r="GM138" s="1024"/>
      <c r="GN138" s="1024"/>
      <c r="GO138" s="1024"/>
      <c r="GP138" s="1024"/>
      <c r="GQ138" s="1024"/>
      <c r="GR138" s="1024"/>
      <c r="GS138" s="1024"/>
      <c r="GT138" s="1024"/>
      <c r="GU138" s="1024"/>
      <c r="GV138" s="1024"/>
      <c r="GW138" s="1024"/>
      <c r="GX138" s="1024"/>
      <c r="GY138" s="1024"/>
      <c r="GZ138" s="1024"/>
      <c r="HA138" s="1024"/>
      <c r="HB138" s="1024"/>
      <c r="HC138" s="1024"/>
      <c r="HD138" s="1024"/>
      <c r="HE138" s="1024"/>
      <c r="HF138" s="1024"/>
      <c r="HG138" s="1024"/>
      <c r="HH138" s="1024"/>
      <c r="HI138" s="1024"/>
      <c r="HJ138" s="1024"/>
      <c r="HK138" s="1024"/>
      <c r="HL138" s="1024"/>
      <c r="HM138" s="1024"/>
      <c r="HN138" s="1024"/>
      <c r="HO138" s="1024"/>
      <c r="HP138" s="1024"/>
      <c r="HQ138" s="1024"/>
      <c r="HR138" s="1024"/>
      <c r="HS138" s="1024"/>
      <c r="HT138" s="1024"/>
      <c r="HU138" s="1024"/>
      <c r="HV138" s="1024"/>
      <c r="HW138" s="1024"/>
      <c r="HX138" s="1024"/>
      <c r="HY138" s="1024"/>
      <c r="HZ138" s="1024"/>
      <c r="IA138" s="1024"/>
      <c r="IB138" s="1024"/>
      <c r="IC138" s="1024"/>
      <c r="ID138" s="1024"/>
      <c r="IE138" s="1024"/>
      <c r="IF138" s="1024"/>
      <c r="IG138" s="1024"/>
      <c r="IH138" s="1024"/>
      <c r="II138" s="1024"/>
      <c r="IJ138" s="1024"/>
      <c r="IK138" s="1024"/>
      <c r="IL138" s="1024"/>
      <c r="IM138" s="1024"/>
      <c r="IN138" s="1024"/>
      <c r="IO138" s="1024"/>
      <c r="IP138" s="1024"/>
      <c r="IQ138" s="1024"/>
      <c r="IR138" s="1024"/>
      <c r="IS138" s="1024"/>
      <c r="IT138" s="1024"/>
      <c r="IU138" s="1024"/>
      <c r="IV138" s="1024"/>
      <c r="IW138" s="1024"/>
      <c r="IX138" s="1024"/>
      <c r="IY138" s="1024"/>
      <c r="IZ138" s="1024"/>
      <c r="JA138" s="1024"/>
      <c r="JB138" s="1024"/>
      <c r="JC138" s="1024"/>
      <c r="JD138" s="1024"/>
      <c r="JE138" s="1024"/>
      <c r="JF138" s="1024"/>
      <c r="JG138" s="1024"/>
      <c r="JH138" s="1024"/>
      <c r="JI138" s="1024"/>
      <c r="JJ138" s="1024"/>
      <c r="JK138" s="1024"/>
      <c r="JL138" s="1024"/>
      <c r="JM138" s="1024"/>
      <c r="JN138" s="1024"/>
      <c r="JO138" s="1024"/>
      <c r="JP138" s="1024"/>
      <c r="JQ138" s="1024"/>
      <c r="JR138" s="1024"/>
      <c r="JS138" s="1024"/>
      <c r="JT138" s="1024"/>
      <c r="JU138" s="1024"/>
      <c r="JV138" s="1024"/>
      <c r="JW138" s="1024"/>
      <c r="JX138" s="1024"/>
      <c r="JY138" s="1024"/>
      <c r="JZ138" s="1024"/>
      <c r="KA138" s="1024"/>
      <c r="KB138" s="1024"/>
      <c r="KC138" s="1024"/>
      <c r="KD138" s="1024"/>
      <c r="KE138" s="1024"/>
      <c r="KF138" s="1024"/>
      <c r="KG138" s="1024"/>
      <c r="KH138" s="1024"/>
      <c r="KI138" s="1024"/>
      <c r="KJ138" s="1024"/>
      <c r="KK138" s="1024"/>
      <c r="KL138" s="1024"/>
      <c r="KM138" s="1024"/>
      <c r="KN138" s="1024"/>
      <c r="KO138" s="1024"/>
      <c r="KP138" s="1024"/>
      <c r="KQ138" s="1024"/>
      <c r="KR138" s="1024"/>
      <c r="KS138" s="1024"/>
      <c r="KT138" s="1024"/>
      <c r="KU138" s="1024"/>
      <c r="KV138" s="1024"/>
      <c r="KW138" s="1024"/>
      <c r="KX138" s="1024"/>
      <c r="KY138" s="1024"/>
      <c r="KZ138" s="1024"/>
      <c r="LA138" s="1024"/>
      <c r="LB138" s="1024"/>
      <c r="LC138" s="1024"/>
      <c r="LD138" s="1024"/>
      <c r="LE138" s="1024"/>
      <c r="LF138" s="1024"/>
      <c r="LG138" s="1024"/>
      <c r="LH138" s="1024"/>
      <c r="LI138" s="1024"/>
      <c r="LJ138" s="1024"/>
      <c r="LK138" s="1024"/>
      <c r="LL138" s="1024"/>
      <c r="LM138" s="1024"/>
      <c r="LN138" s="1024"/>
      <c r="LO138" s="1024"/>
      <c r="LP138" s="1024"/>
      <c r="LQ138" s="1024"/>
      <c r="LR138" s="1024"/>
      <c r="LS138" s="1024"/>
      <c r="LT138" s="1024"/>
      <c r="LU138" s="1024"/>
      <c r="LV138" s="1024"/>
      <c r="LW138" s="1024"/>
      <c r="LX138" s="1024"/>
      <c r="LY138" s="1024"/>
      <c r="LZ138" s="1024"/>
      <c r="MA138" s="1024"/>
      <c r="MB138" s="1024"/>
      <c r="MC138" s="1024"/>
      <c r="MD138" s="1024"/>
      <c r="ME138" s="1024"/>
      <c r="MF138" s="1024"/>
      <c r="MG138" s="1024"/>
      <c r="MH138" s="1024"/>
      <c r="MI138" s="1024"/>
      <c r="MJ138" s="1024"/>
      <c r="MK138" s="1024"/>
      <c r="ML138" s="1024"/>
      <c r="MM138" s="1024"/>
      <c r="MN138" s="1024"/>
      <c r="MO138" s="1024"/>
      <c r="MP138" s="1024"/>
      <c r="MQ138" s="1024"/>
      <c r="MR138" s="1024"/>
      <c r="MS138" s="1024"/>
      <c r="MT138" s="1024"/>
      <c r="MU138" s="1024"/>
      <c r="MV138" s="1024"/>
      <c r="MW138" s="1024"/>
      <c r="MX138" s="1024"/>
      <c r="MY138" s="1024"/>
      <c r="MZ138" s="1024"/>
      <c r="NA138" s="1024"/>
      <c r="NB138" s="1024"/>
      <c r="NC138" s="1024"/>
      <c r="ND138" s="1024"/>
      <c r="NE138" s="1024"/>
      <c r="NF138" s="1024"/>
      <c r="NG138" s="1024"/>
      <c r="NH138" s="1024"/>
      <c r="NI138" s="1024"/>
      <c r="NJ138" s="1024"/>
      <c r="NK138" s="1024"/>
      <c r="NL138" s="1024"/>
      <c r="NM138" s="1024"/>
      <c r="NN138" s="1024"/>
      <c r="NO138" s="1024"/>
      <c r="NP138" s="1024"/>
      <c r="NQ138" s="1024"/>
      <c r="NR138" s="1024"/>
      <c r="NS138" s="1024"/>
      <c r="NT138" s="1024"/>
      <c r="NU138" s="1024"/>
      <c r="NV138" s="1024"/>
      <c r="NW138" s="1024"/>
      <c r="NX138" s="1024"/>
      <c r="NY138" s="1024"/>
      <c r="NZ138" s="1024"/>
      <c r="OA138" s="1024"/>
      <c r="OB138" s="1024"/>
      <c r="OC138" s="1024"/>
      <c r="OD138" s="1024"/>
      <c r="OE138" s="1024"/>
      <c r="OF138" s="1024"/>
      <c r="OG138" s="1024"/>
      <c r="OH138" s="1024"/>
      <c r="OI138" s="1024"/>
      <c r="OJ138" s="1024"/>
      <c r="OK138" s="1024"/>
      <c r="OL138" s="1024"/>
      <c r="OM138" s="1024"/>
      <c r="ON138" s="1024"/>
      <c r="OO138" s="1024"/>
      <c r="OP138" s="1024"/>
      <c r="OQ138" s="1024"/>
      <c r="OR138" s="1024"/>
      <c r="OS138" s="1024"/>
      <c r="OT138" s="1024"/>
      <c r="OU138" s="1024"/>
      <c r="OV138" s="1024"/>
      <c r="OW138" s="1024"/>
      <c r="OX138" s="1024"/>
      <c r="OY138" s="1024"/>
      <c r="OZ138" s="1024"/>
      <c r="PA138" s="1024"/>
      <c r="PB138" s="1024"/>
      <c r="PC138" s="1024"/>
      <c r="PD138" s="1024"/>
      <c r="PE138" s="1024"/>
      <c r="PF138" s="1024"/>
      <c r="PG138" s="1024"/>
      <c r="PH138" s="1024"/>
      <c r="PI138" s="1024"/>
      <c r="PJ138" s="1024"/>
      <c r="PK138" s="1024"/>
      <c r="PL138" s="1024"/>
      <c r="PM138" s="1024"/>
      <c r="PN138" s="1024"/>
      <c r="PO138" s="1024"/>
      <c r="PP138" s="1024"/>
      <c r="PQ138" s="1024"/>
      <c r="PR138" s="1024"/>
      <c r="PS138" s="1024"/>
      <c r="PT138" s="1024"/>
      <c r="PU138" s="1024"/>
      <c r="PV138" s="1024"/>
      <c r="PW138" s="1024"/>
      <c r="PX138" s="1024"/>
      <c r="PY138" s="1024"/>
      <c r="PZ138" s="1024"/>
      <c r="QA138" s="1024"/>
      <c r="QB138" s="1024"/>
      <c r="QC138" s="1024"/>
      <c r="QD138" s="1024"/>
      <c r="QE138" s="1024"/>
      <c r="QF138" s="1024"/>
      <c r="QG138" s="1024"/>
      <c r="QH138" s="1024"/>
      <c r="QI138" s="1024"/>
      <c r="QJ138" s="1024"/>
      <c r="QK138" s="1024"/>
      <c r="QL138" s="1024"/>
      <c r="QM138" s="1024"/>
      <c r="QN138" s="1024"/>
      <c r="QO138" s="1024"/>
      <c r="QP138" s="1024"/>
      <c r="QQ138" s="1024"/>
      <c r="QR138" s="1024"/>
      <c r="QS138" s="1024"/>
      <c r="QT138" s="1024"/>
      <c r="QU138" s="1024"/>
      <c r="QV138" s="1024"/>
      <c r="QW138" s="1024"/>
      <c r="QX138" s="1024"/>
      <c r="QY138" s="1024"/>
      <c r="QZ138" s="1024"/>
      <c r="RA138" s="1024"/>
      <c r="RB138" s="1024"/>
      <c r="RC138" s="1024"/>
      <c r="RD138" s="1024"/>
      <c r="RE138" s="1024"/>
      <c r="RF138" s="1024"/>
      <c r="RG138" s="1024"/>
      <c r="RH138" s="1024"/>
      <c r="RI138" s="1024"/>
      <c r="RJ138" s="1024"/>
      <c r="RK138" s="1024"/>
      <c r="RL138" s="1024"/>
      <c r="RM138" s="1024"/>
      <c r="RN138" s="1024"/>
      <c r="RO138" s="1024"/>
      <c r="RP138" s="1024"/>
      <c r="RQ138" s="1024"/>
      <c r="RR138" s="1024"/>
      <c r="RS138" s="1024"/>
      <c r="RT138" s="1024"/>
      <c r="RU138" s="1024"/>
      <c r="RV138" s="1024"/>
      <c r="RW138" s="1024"/>
      <c r="RX138" s="1024"/>
      <c r="RY138" s="1024"/>
      <c r="RZ138" s="1024"/>
      <c r="SA138" s="1024"/>
      <c r="SB138" s="1024"/>
      <c r="SC138" s="1024"/>
      <c r="SD138" s="1024"/>
      <c r="SE138" s="1024"/>
      <c r="SF138" s="1024"/>
      <c r="SG138" s="1024"/>
      <c r="SH138" s="1024"/>
      <c r="SI138" s="1024"/>
      <c r="SJ138" s="1024"/>
      <c r="SK138" s="1024"/>
      <c r="SL138" s="1024"/>
      <c r="SM138" s="1024"/>
      <c r="SN138" s="1024"/>
      <c r="SO138" s="1024"/>
      <c r="SP138" s="1024"/>
      <c r="SQ138" s="1024"/>
      <c r="SR138" s="1024"/>
    </row>
    <row r="139" spans="1:512" s="778" customFormat="1" ht="15" customHeight="1">
      <c r="A139"/>
      <c r="B139" t="s">
        <v>2251</v>
      </c>
      <c r="C139"/>
      <c r="D139"/>
      <c r="E139" t="s">
        <v>169</v>
      </c>
      <c r="F139"/>
      <c r="G139" s="1022">
        <v>0</v>
      </c>
      <c r="H139" s="1022">
        <v>0</v>
      </c>
      <c r="I139" s="1022"/>
      <c r="J139" s="1022"/>
      <c r="K139" s="1022"/>
      <c r="L139" s="1022"/>
      <c r="M139" s="1022"/>
      <c r="N139" s="1022"/>
      <c r="O139" s="1022"/>
      <c r="P139" s="1022"/>
      <c r="Q139" s="1022"/>
      <c r="R139" s="1022"/>
      <c r="S139" s="1022"/>
      <c r="T139" s="1022"/>
      <c r="U139" s="1021"/>
      <c r="V139" s="1021"/>
      <c r="W139" s="1021"/>
      <c r="X139" s="1021"/>
      <c r="Y139" s="1021"/>
      <c r="Z139" s="1021"/>
      <c r="AA139" s="1021"/>
      <c r="AB139" s="1021"/>
      <c r="AC139" s="1021"/>
      <c r="AD139" s="1021"/>
      <c r="AE139" s="1021"/>
      <c r="AF139" s="1021"/>
      <c r="AG139" s="1021"/>
      <c r="AH139" s="1021"/>
      <c r="AI139" s="1021"/>
      <c r="AJ139" s="1021"/>
      <c r="AK139" s="1021"/>
      <c r="AL139" s="1021"/>
      <c r="AM139" s="1021"/>
      <c r="AN139" s="1021"/>
      <c r="AO139" s="1021"/>
      <c r="AP139" s="1021"/>
      <c r="AQ139" s="1021"/>
      <c r="AR139" s="1021"/>
      <c r="AS139" s="1021"/>
      <c r="AT139" s="1021"/>
      <c r="AU139" s="1021"/>
      <c r="AV139" s="1021"/>
      <c r="AW139" s="1021"/>
      <c r="AX139" s="1021"/>
      <c r="AY139" s="1021"/>
      <c r="AZ139" s="1021"/>
      <c r="BA139" s="1021"/>
      <c r="BB139" s="1021"/>
      <c r="BC139" s="1021"/>
      <c r="BD139" s="1021"/>
      <c r="BE139" s="1021"/>
      <c r="BF139" s="1021"/>
      <c r="BG139" s="1021"/>
      <c r="BH139" s="1021"/>
      <c r="BI139" s="1021"/>
      <c r="BJ139" s="1021"/>
      <c r="BK139" s="1021"/>
      <c r="BL139" s="1021"/>
      <c r="BM139" s="1021"/>
      <c r="BN139" s="1021"/>
      <c r="BO139" s="1021"/>
      <c r="BP139" s="1021"/>
      <c r="BQ139" s="1021"/>
      <c r="BR139" s="1021"/>
      <c r="BS139" s="1021"/>
      <c r="BT139" s="1021"/>
      <c r="BU139" s="1021"/>
      <c r="BV139" s="1021"/>
      <c r="BW139" s="1021"/>
      <c r="BX139" s="1021"/>
      <c r="BY139" s="1021"/>
      <c r="BZ139" s="1021"/>
      <c r="CA139" s="1021"/>
      <c r="CB139" s="1021"/>
      <c r="CC139" s="1021"/>
      <c r="CD139" s="1021"/>
      <c r="CE139" s="1021"/>
      <c r="CF139" s="1021"/>
      <c r="CG139" s="1021"/>
      <c r="CH139" s="1021"/>
      <c r="CI139" s="1021"/>
      <c r="CJ139" s="1021"/>
      <c r="CK139" s="1021"/>
      <c r="CL139" s="1021"/>
      <c r="CM139" s="1021"/>
      <c r="CN139" s="1021"/>
      <c r="CO139" s="1021"/>
      <c r="CP139" s="1021"/>
      <c r="CQ139" s="1021"/>
      <c r="CR139" s="1021"/>
      <c r="CS139" s="1021"/>
      <c r="CT139" s="1021"/>
      <c r="CU139" s="1021"/>
      <c r="CV139" s="1021"/>
      <c r="CW139" s="1021"/>
      <c r="CX139" s="1021"/>
      <c r="CY139" s="1021"/>
      <c r="CZ139" s="1021"/>
      <c r="DA139" s="1021"/>
      <c r="DB139" s="1021"/>
      <c r="DC139" s="1021"/>
      <c r="DD139" s="1021"/>
      <c r="DE139" s="1021"/>
      <c r="DF139" s="1021"/>
      <c r="DG139" s="1021"/>
      <c r="DH139" s="1021"/>
      <c r="DI139" s="1021"/>
      <c r="DJ139" s="1021"/>
      <c r="DK139" s="1021"/>
      <c r="DL139" s="1021"/>
      <c r="DM139" s="1021"/>
      <c r="DN139" s="1021"/>
      <c r="DO139" s="1021"/>
      <c r="DP139" s="1021"/>
      <c r="DQ139" s="1021"/>
      <c r="DR139" s="1021"/>
      <c r="DS139" s="1021"/>
      <c r="DT139" s="1021"/>
      <c r="DU139" s="1021"/>
      <c r="DV139" s="1021"/>
      <c r="DW139" s="1021"/>
      <c r="DX139" s="1021"/>
      <c r="DY139" s="1021"/>
      <c r="DZ139" s="1021"/>
      <c r="EA139" s="1021"/>
      <c r="EB139" s="1021"/>
      <c r="EC139" s="1021"/>
      <c r="ED139" s="1021"/>
      <c r="EE139" s="1021"/>
      <c r="EF139" s="1021"/>
      <c r="EG139" s="1021"/>
      <c r="EH139" s="1021"/>
      <c r="EI139" s="1021"/>
      <c r="EJ139" s="1021"/>
      <c r="EK139" s="1021"/>
      <c r="EL139" s="1021"/>
      <c r="EM139" s="1021"/>
      <c r="EN139" s="1021"/>
      <c r="EO139" s="1021"/>
      <c r="EP139" s="1021"/>
      <c r="EQ139" s="1021"/>
      <c r="ER139" s="1021"/>
      <c r="ES139" s="1021"/>
      <c r="ET139" s="1021"/>
      <c r="EU139" s="1021"/>
      <c r="EV139" s="1021"/>
      <c r="EW139" s="1021"/>
      <c r="EX139" s="1021"/>
      <c r="EY139" s="1021"/>
      <c r="EZ139" s="1021"/>
      <c r="FA139" s="1021"/>
      <c r="FB139" s="1021"/>
      <c r="FC139" s="1021"/>
      <c r="FD139" s="1021"/>
      <c r="FE139" s="1021"/>
      <c r="FF139" s="1021"/>
      <c r="FG139" s="1021"/>
      <c r="FH139" s="1021"/>
      <c r="FI139" s="1021"/>
      <c r="FJ139" s="1021"/>
      <c r="FK139" s="1021"/>
      <c r="FL139" s="1021"/>
      <c r="FM139" s="1021"/>
      <c r="FN139" s="1021"/>
      <c r="FO139" s="1021"/>
      <c r="FP139" s="1021"/>
      <c r="FQ139" s="1021"/>
      <c r="FR139" s="1021"/>
      <c r="FS139" s="1021"/>
      <c r="FT139" s="1021"/>
      <c r="FU139" s="1021"/>
      <c r="FV139" s="1021"/>
      <c r="FW139" s="1021"/>
      <c r="FX139" s="1021"/>
      <c r="FY139" s="1021"/>
      <c r="FZ139" s="1021"/>
      <c r="GA139" s="1021"/>
      <c r="GB139" s="1021"/>
      <c r="GC139" s="1021"/>
      <c r="GD139" s="1021"/>
      <c r="GE139" s="1021"/>
      <c r="GF139" s="1021"/>
      <c r="GG139" s="1021"/>
      <c r="GH139" s="1021"/>
      <c r="GI139" s="1021"/>
      <c r="GJ139" s="1021"/>
      <c r="GK139" s="1021"/>
      <c r="GL139" s="1021"/>
      <c r="GM139" s="1021"/>
      <c r="GN139" s="1021"/>
      <c r="GO139" s="1021"/>
      <c r="GP139" s="1021"/>
      <c r="GQ139" s="1021"/>
      <c r="GR139" s="1021"/>
      <c r="GS139" s="1021"/>
      <c r="GT139" s="1021"/>
      <c r="GU139" s="1021"/>
      <c r="GV139" s="1021"/>
      <c r="GW139" s="1021"/>
      <c r="GX139" s="1021"/>
      <c r="GY139" s="1021"/>
      <c r="GZ139" s="1021"/>
      <c r="HA139" s="1021"/>
      <c r="HB139" s="1021"/>
      <c r="HC139" s="1021"/>
      <c r="HD139" s="1021"/>
      <c r="HE139" s="1021"/>
      <c r="HF139" s="1021"/>
      <c r="HG139" s="1021"/>
      <c r="HH139" s="1021"/>
      <c r="HI139" s="1021"/>
      <c r="HJ139" s="1021"/>
      <c r="HK139" s="1021"/>
      <c r="HL139" s="1021"/>
      <c r="HM139" s="1021"/>
      <c r="HN139" s="1021"/>
      <c r="HO139" s="1021"/>
      <c r="HP139" s="1021"/>
      <c r="HQ139" s="1021"/>
      <c r="HR139" s="1021"/>
      <c r="HS139" s="1021"/>
      <c r="HT139" s="1021"/>
      <c r="HU139" s="1021"/>
      <c r="HV139" s="1021"/>
      <c r="HW139" s="1021"/>
      <c r="HX139" s="1021"/>
      <c r="HY139" s="1021"/>
      <c r="HZ139" s="1021"/>
      <c r="IA139" s="1021"/>
      <c r="IB139" s="1021"/>
      <c r="IC139" s="1021"/>
      <c r="ID139" s="1021"/>
      <c r="IE139" s="1021"/>
      <c r="IF139" s="1021"/>
      <c r="IG139" s="1021"/>
      <c r="IH139" s="1021"/>
      <c r="II139" s="1021"/>
      <c r="IJ139" s="1021"/>
      <c r="IK139" s="1021"/>
      <c r="IL139" s="1021"/>
      <c r="IM139" s="1021"/>
      <c r="IN139" s="1021"/>
      <c r="IO139" s="1021"/>
      <c r="IP139" s="1021"/>
      <c r="IQ139" s="1021"/>
      <c r="IR139" s="1021"/>
      <c r="IS139" s="1021"/>
      <c r="IT139" s="1021"/>
      <c r="IU139" s="1021"/>
      <c r="IV139" s="1021"/>
      <c r="IW139" s="1021"/>
      <c r="IX139" s="1021"/>
      <c r="IY139" s="1021"/>
      <c r="IZ139" s="1021"/>
      <c r="JA139" s="1021"/>
      <c r="JB139" s="1021"/>
      <c r="JC139" s="1021"/>
      <c r="JD139" s="1021"/>
      <c r="JE139" s="1021"/>
      <c r="JF139" s="1021"/>
      <c r="JG139" s="1021"/>
      <c r="JH139" s="1021"/>
      <c r="JI139" s="1021"/>
      <c r="JJ139" s="1021"/>
      <c r="JK139" s="1021"/>
      <c r="JL139" s="1021"/>
      <c r="JM139" s="1021"/>
      <c r="JN139" s="1021"/>
      <c r="JO139" s="1021"/>
      <c r="JP139" s="1021"/>
      <c r="JQ139" s="1021"/>
      <c r="JR139" s="1021"/>
      <c r="JS139" s="1021"/>
      <c r="JT139" s="1021"/>
      <c r="JU139" s="1021"/>
      <c r="JV139" s="1021"/>
      <c r="JW139" s="1021"/>
      <c r="JX139" s="1021"/>
      <c r="JY139" s="1021"/>
      <c r="JZ139" s="1021"/>
      <c r="KA139" s="1021"/>
      <c r="KB139" s="1021"/>
      <c r="KC139" s="1021"/>
      <c r="KD139" s="1021"/>
      <c r="KE139" s="1021"/>
      <c r="KF139" s="1021"/>
      <c r="KG139" s="1021"/>
      <c r="KH139" s="1021"/>
      <c r="KI139" s="1021"/>
      <c r="KJ139" s="1021"/>
      <c r="KK139" s="1021"/>
      <c r="KL139" s="1021"/>
      <c r="KM139" s="1021"/>
      <c r="KN139" s="1021"/>
      <c r="KO139" s="1021"/>
      <c r="KP139" s="1021"/>
      <c r="KQ139" s="1021"/>
      <c r="KR139" s="1021"/>
      <c r="KS139" s="1021"/>
      <c r="KT139" s="1021"/>
      <c r="KU139" s="1021"/>
      <c r="KV139" s="1021"/>
      <c r="KW139" s="1021"/>
      <c r="KX139" s="1021"/>
      <c r="KY139" s="1021"/>
      <c r="KZ139" s="1021"/>
      <c r="LA139" s="1021"/>
      <c r="LB139" s="1021"/>
      <c r="LC139" s="1021"/>
      <c r="LD139" s="1021"/>
      <c r="LE139" s="1021"/>
      <c r="LF139" s="1021"/>
      <c r="LG139" s="1021"/>
      <c r="LH139" s="1021"/>
      <c r="LI139" s="1021"/>
      <c r="LJ139" s="1021"/>
      <c r="LK139" s="1021"/>
      <c r="LL139" s="1021"/>
      <c r="LM139" s="1021"/>
      <c r="LN139" s="1021"/>
      <c r="LO139" s="1021"/>
      <c r="LP139" s="1021"/>
      <c r="LQ139" s="1021"/>
      <c r="LR139" s="1021"/>
      <c r="LS139" s="1021"/>
      <c r="LT139" s="1021"/>
      <c r="LU139" s="1021"/>
      <c r="LV139" s="1021"/>
      <c r="LW139" s="1021"/>
      <c r="LX139" s="1021"/>
      <c r="LY139" s="1021"/>
      <c r="LZ139" s="1021"/>
      <c r="MA139" s="1021"/>
      <c r="MB139" s="1021"/>
      <c r="MC139" s="1021"/>
      <c r="MD139" s="1021"/>
      <c r="ME139" s="1021"/>
      <c r="MF139" s="1021"/>
      <c r="MG139" s="1021"/>
      <c r="MH139" s="1021"/>
      <c r="MI139" s="1021"/>
      <c r="MJ139" s="1021"/>
      <c r="MK139" s="1021"/>
      <c r="ML139" s="1021"/>
      <c r="MM139" s="1021"/>
      <c r="MN139" s="1021"/>
      <c r="MO139" s="1021"/>
      <c r="MP139" s="1021"/>
      <c r="MQ139" s="1021"/>
      <c r="MR139" s="1021"/>
      <c r="MS139" s="1021"/>
      <c r="MT139" s="1021"/>
      <c r="MU139" s="1021"/>
      <c r="MV139" s="1021"/>
      <c r="MW139" s="1021"/>
      <c r="MX139" s="1021"/>
      <c r="MY139" s="1021"/>
      <c r="MZ139" s="1021"/>
      <c r="NA139" s="1021"/>
      <c r="NB139" s="1021"/>
      <c r="NC139" s="1021"/>
      <c r="ND139" s="1021"/>
      <c r="NE139" s="1021"/>
      <c r="NF139" s="1021"/>
      <c r="NG139" s="1021"/>
      <c r="NH139" s="1021"/>
      <c r="NI139" s="1021"/>
      <c r="NJ139" s="1021"/>
      <c r="NK139" s="1021"/>
      <c r="NL139" s="1021"/>
      <c r="NM139" s="1021"/>
      <c r="NN139" s="1021"/>
      <c r="NO139" s="1021"/>
      <c r="NP139" s="1021"/>
      <c r="NQ139" s="1021"/>
      <c r="NR139" s="1021"/>
      <c r="NS139" s="1021"/>
      <c r="NT139" s="1021"/>
      <c r="NU139" s="1021"/>
      <c r="NV139" s="1021"/>
      <c r="NW139" s="1021"/>
      <c r="NX139" s="1021"/>
      <c r="NY139" s="1021"/>
      <c r="NZ139" s="1021"/>
      <c r="OA139" s="1021"/>
      <c r="OB139" s="1021"/>
      <c r="OC139" s="1021"/>
      <c r="OD139" s="1021"/>
      <c r="OE139" s="1021"/>
      <c r="OF139" s="1021"/>
      <c r="OG139" s="1021"/>
      <c r="OH139" s="1021"/>
      <c r="OI139" s="1021"/>
      <c r="OJ139" s="1021"/>
      <c r="OK139" s="1021"/>
      <c r="OL139" s="1021"/>
      <c r="OM139" s="1021"/>
      <c r="ON139" s="1021"/>
      <c r="OO139" s="1021"/>
      <c r="OP139" s="1021"/>
      <c r="OQ139" s="1021"/>
      <c r="OR139" s="1021"/>
      <c r="OS139" s="1021"/>
      <c r="OT139" s="1021"/>
      <c r="OU139" s="1021"/>
      <c r="OV139" s="1021"/>
      <c r="OW139" s="1021"/>
      <c r="OX139" s="1021"/>
      <c r="OY139" s="1021"/>
      <c r="OZ139" s="1021"/>
      <c r="PA139" s="1021"/>
      <c r="PB139" s="1021"/>
      <c r="PC139" s="1021"/>
      <c r="PD139" s="1021"/>
      <c r="PE139" s="1021"/>
      <c r="PF139" s="1021"/>
      <c r="PG139" s="1021"/>
      <c r="PH139" s="1021"/>
      <c r="PI139" s="1021"/>
      <c r="PJ139" s="1021"/>
      <c r="PK139" s="1021"/>
      <c r="PL139" s="1021"/>
      <c r="PM139" s="1021"/>
      <c r="PN139" s="1021"/>
      <c r="PO139" s="1021"/>
      <c r="PP139" s="1021"/>
      <c r="PQ139" s="1021"/>
      <c r="PR139" s="1021"/>
      <c r="PS139" s="1021"/>
      <c r="PT139" s="1021"/>
      <c r="PU139" s="1021"/>
      <c r="PV139" s="1021"/>
      <c r="PW139" s="1021"/>
      <c r="PX139" s="1021"/>
      <c r="PY139" s="1021"/>
      <c r="PZ139" s="1021"/>
      <c r="QA139" s="1021"/>
      <c r="QB139" s="1021"/>
      <c r="QC139" s="1021"/>
      <c r="QD139" s="1021"/>
      <c r="QE139" s="1021"/>
      <c r="QF139" s="1021"/>
      <c r="QG139" s="1021"/>
      <c r="QH139" s="1021"/>
      <c r="QI139" s="1021"/>
      <c r="QJ139" s="1021"/>
      <c r="QK139" s="1021"/>
      <c r="QL139" s="1021"/>
      <c r="QM139" s="1021"/>
      <c r="QN139" s="1021"/>
      <c r="QO139" s="1021"/>
      <c r="QP139" s="1021"/>
      <c r="QQ139" s="1021"/>
      <c r="QR139" s="1021"/>
      <c r="QS139" s="1021"/>
      <c r="QT139" s="1021"/>
      <c r="QU139" s="1021"/>
      <c r="QV139" s="1021"/>
      <c r="QW139" s="1021"/>
      <c r="QX139" s="1021"/>
      <c r="QY139" s="1021"/>
      <c r="QZ139" s="1021"/>
      <c r="RA139" s="1021"/>
      <c r="RB139" s="1021"/>
      <c r="RC139" s="1021"/>
      <c r="RD139" s="1021"/>
      <c r="RE139" s="1021"/>
      <c r="RF139" s="1021"/>
      <c r="RG139" s="1021"/>
      <c r="RH139" s="1021"/>
      <c r="RI139" s="1021"/>
      <c r="RJ139" s="1021"/>
      <c r="RK139" s="1021"/>
      <c r="RL139" s="1021"/>
      <c r="RM139" s="1021"/>
      <c r="RN139" s="1021"/>
      <c r="RO139" s="1021"/>
      <c r="RP139" s="1021"/>
      <c r="RQ139" s="1021"/>
      <c r="RR139" s="1021"/>
      <c r="RS139" s="1021"/>
      <c r="RT139" s="1021"/>
      <c r="RU139" s="1021"/>
      <c r="RV139" s="1021"/>
      <c r="RW139" s="1021"/>
      <c r="RX139" s="1021"/>
      <c r="RY139" s="1021"/>
      <c r="RZ139" s="1021"/>
      <c r="SA139" s="1021"/>
      <c r="SB139" s="1021"/>
      <c r="SC139" s="1021"/>
      <c r="SD139" s="1021"/>
      <c r="SE139" s="1021"/>
      <c r="SF139" s="1021"/>
      <c r="SG139" s="1021"/>
      <c r="SH139" s="1021"/>
      <c r="SI139" s="1021"/>
      <c r="SJ139" s="1021"/>
      <c r="SK139" s="1021"/>
      <c r="SL139" s="1021"/>
      <c r="SM139" s="1021"/>
      <c r="SN139" s="1021"/>
      <c r="SO139" s="1021"/>
      <c r="SP139" s="1021"/>
      <c r="SQ139" s="1021"/>
      <c r="SR139" s="1021"/>
    </row>
    <row r="140" spans="1:512" s="778" customFormat="1" ht="15" customHeight="1">
      <c r="A140"/>
      <c r="B140" t="s">
        <v>2252</v>
      </c>
      <c r="C140"/>
      <c r="D140"/>
      <c r="E140" t="s">
        <v>3848</v>
      </c>
      <c r="F140"/>
      <c r="G140" s="1023">
        <v>0</v>
      </c>
      <c r="H140" s="1023">
        <v>0</v>
      </c>
      <c r="I140" s="1023"/>
      <c r="J140" s="1023"/>
      <c r="K140" s="1023"/>
      <c r="L140" s="1023"/>
      <c r="M140" s="1023"/>
      <c r="N140" s="1023"/>
      <c r="O140" s="1023"/>
      <c r="P140" s="1023"/>
      <c r="Q140" s="1023"/>
      <c r="R140" s="1023"/>
      <c r="S140" s="1023"/>
      <c r="T140" s="1023"/>
      <c r="U140" s="1021"/>
      <c r="V140" s="1021"/>
      <c r="W140" s="1021"/>
      <c r="X140" s="1021"/>
      <c r="Y140" s="1021"/>
      <c r="Z140" s="1021"/>
      <c r="AA140" s="1021"/>
      <c r="AB140" s="1021"/>
      <c r="AC140" s="1021"/>
      <c r="AD140" s="1021"/>
      <c r="AE140" s="1021"/>
      <c r="AF140" s="1021"/>
      <c r="AG140" s="1021"/>
      <c r="AH140" s="1021"/>
      <c r="AI140" s="1021"/>
      <c r="AJ140" s="1021"/>
      <c r="AK140" s="1021"/>
      <c r="AL140" s="1021"/>
      <c r="AM140" s="1021"/>
      <c r="AN140" s="1021"/>
      <c r="AO140" s="1021"/>
      <c r="AP140" s="1021"/>
      <c r="AQ140" s="1021"/>
      <c r="AR140" s="1021"/>
      <c r="AS140" s="1021"/>
      <c r="AT140" s="1021"/>
      <c r="AU140" s="1021"/>
      <c r="AV140" s="1021"/>
      <c r="AW140" s="1021"/>
      <c r="AX140" s="1021"/>
      <c r="AY140" s="1021"/>
      <c r="AZ140" s="1021"/>
      <c r="BA140" s="1021"/>
      <c r="BB140" s="1021"/>
      <c r="BC140" s="1021"/>
      <c r="BD140" s="1021"/>
      <c r="BE140" s="1021"/>
      <c r="BF140" s="1021"/>
      <c r="BG140" s="1021"/>
      <c r="BH140" s="1021"/>
      <c r="BI140" s="1021"/>
      <c r="BJ140" s="1021"/>
      <c r="BK140" s="1021"/>
      <c r="BL140" s="1021"/>
      <c r="BM140" s="1021"/>
      <c r="BN140" s="1021"/>
      <c r="BO140" s="1021"/>
      <c r="BP140" s="1021"/>
      <c r="BQ140" s="1021"/>
      <c r="BR140" s="1021"/>
      <c r="BS140" s="1021"/>
      <c r="BT140" s="1021"/>
      <c r="BU140" s="1021"/>
      <c r="BV140" s="1021"/>
      <c r="BW140" s="1021"/>
      <c r="BX140" s="1021"/>
      <c r="BY140" s="1021"/>
      <c r="BZ140" s="1021"/>
      <c r="CA140" s="1021"/>
      <c r="CB140" s="1021"/>
      <c r="CC140" s="1021"/>
      <c r="CD140" s="1021"/>
      <c r="CE140" s="1021"/>
      <c r="CF140" s="1021"/>
      <c r="CG140" s="1021"/>
      <c r="CH140" s="1021"/>
      <c r="CI140" s="1021"/>
      <c r="CJ140" s="1021"/>
      <c r="CK140" s="1021"/>
      <c r="CL140" s="1021"/>
      <c r="CM140" s="1021"/>
      <c r="CN140" s="1021"/>
      <c r="CO140" s="1021"/>
      <c r="CP140" s="1021"/>
      <c r="CQ140" s="1021"/>
      <c r="CR140" s="1021"/>
      <c r="CS140" s="1021"/>
      <c r="CT140" s="1021"/>
      <c r="CU140" s="1021"/>
      <c r="CV140" s="1021"/>
      <c r="CW140" s="1021"/>
      <c r="CX140" s="1021"/>
      <c r="CY140" s="1021"/>
      <c r="CZ140" s="1021"/>
      <c r="DA140" s="1021"/>
      <c r="DB140" s="1021"/>
      <c r="DC140" s="1021"/>
      <c r="DD140" s="1021"/>
      <c r="DE140" s="1021"/>
      <c r="DF140" s="1021"/>
      <c r="DG140" s="1021"/>
      <c r="DH140" s="1021"/>
      <c r="DI140" s="1021"/>
      <c r="DJ140" s="1021"/>
      <c r="DK140" s="1021"/>
      <c r="DL140" s="1021"/>
      <c r="DM140" s="1021"/>
      <c r="DN140" s="1021"/>
      <c r="DO140" s="1021"/>
      <c r="DP140" s="1021"/>
      <c r="DQ140" s="1021"/>
      <c r="DR140" s="1021"/>
      <c r="DS140" s="1021"/>
      <c r="DT140" s="1021"/>
      <c r="DU140" s="1021"/>
      <c r="DV140" s="1021"/>
      <c r="DW140" s="1021"/>
      <c r="DX140" s="1021"/>
      <c r="DY140" s="1021"/>
      <c r="DZ140" s="1021"/>
      <c r="EA140" s="1021"/>
      <c r="EB140" s="1021"/>
      <c r="EC140" s="1021"/>
      <c r="ED140" s="1021"/>
      <c r="EE140" s="1021"/>
      <c r="EF140" s="1021"/>
      <c r="EG140" s="1021"/>
      <c r="EH140" s="1021"/>
      <c r="EI140" s="1021"/>
      <c r="EJ140" s="1021"/>
      <c r="EK140" s="1021"/>
      <c r="EL140" s="1021"/>
      <c r="EM140" s="1021"/>
      <c r="EN140" s="1021"/>
      <c r="EO140" s="1021"/>
      <c r="EP140" s="1021"/>
      <c r="EQ140" s="1021"/>
      <c r="ER140" s="1021"/>
      <c r="ES140" s="1021"/>
      <c r="ET140" s="1021"/>
      <c r="EU140" s="1021"/>
      <c r="EV140" s="1021"/>
      <c r="EW140" s="1021"/>
      <c r="EX140" s="1021"/>
      <c r="EY140" s="1021"/>
      <c r="EZ140" s="1021"/>
      <c r="FA140" s="1021"/>
      <c r="FB140" s="1021"/>
      <c r="FC140" s="1021"/>
      <c r="FD140" s="1021"/>
      <c r="FE140" s="1021"/>
      <c r="FF140" s="1021"/>
      <c r="FG140" s="1021"/>
      <c r="FH140" s="1021"/>
      <c r="FI140" s="1021"/>
      <c r="FJ140" s="1021"/>
      <c r="FK140" s="1021"/>
      <c r="FL140" s="1021"/>
      <c r="FM140" s="1021"/>
      <c r="FN140" s="1021"/>
      <c r="FO140" s="1021"/>
      <c r="FP140" s="1021"/>
      <c r="FQ140" s="1021"/>
      <c r="FR140" s="1021"/>
      <c r="FS140" s="1021"/>
      <c r="FT140" s="1021"/>
      <c r="FU140" s="1021"/>
      <c r="FV140" s="1021"/>
      <c r="FW140" s="1021"/>
      <c r="FX140" s="1021"/>
      <c r="FY140" s="1021"/>
      <c r="FZ140" s="1021"/>
      <c r="GA140" s="1021"/>
      <c r="GB140" s="1021"/>
      <c r="GC140" s="1021"/>
      <c r="GD140" s="1021"/>
      <c r="GE140" s="1021"/>
      <c r="GF140" s="1021"/>
      <c r="GG140" s="1021"/>
      <c r="GH140" s="1021"/>
      <c r="GI140" s="1021"/>
      <c r="GJ140" s="1021"/>
      <c r="GK140" s="1021"/>
      <c r="GL140" s="1021"/>
      <c r="GM140" s="1021"/>
      <c r="GN140" s="1021"/>
      <c r="GO140" s="1021"/>
      <c r="GP140" s="1021"/>
      <c r="GQ140" s="1021"/>
      <c r="GR140" s="1021"/>
      <c r="GS140" s="1021"/>
      <c r="GT140" s="1021"/>
      <c r="GU140" s="1021"/>
      <c r="GV140" s="1021"/>
      <c r="GW140" s="1021"/>
      <c r="GX140" s="1021"/>
      <c r="GY140" s="1021"/>
      <c r="GZ140" s="1021"/>
      <c r="HA140" s="1021"/>
      <c r="HB140" s="1021"/>
      <c r="HC140" s="1021"/>
      <c r="HD140" s="1021"/>
      <c r="HE140" s="1021"/>
      <c r="HF140" s="1021"/>
      <c r="HG140" s="1021"/>
      <c r="HH140" s="1021"/>
      <c r="HI140" s="1021"/>
      <c r="HJ140" s="1021"/>
      <c r="HK140" s="1021"/>
      <c r="HL140" s="1021"/>
      <c r="HM140" s="1021"/>
      <c r="HN140" s="1021"/>
      <c r="HO140" s="1021"/>
      <c r="HP140" s="1021"/>
      <c r="HQ140" s="1021"/>
      <c r="HR140" s="1021"/>
      <c r="HS140" s="1021"/>
      <c r="HT140" s="1021"/>
      <c r="HU140" s="1021"/>
      <c r="HV140" s="1021"/>
      <c r="HW140" s="1021"/>
      <c r="HX140" s="1021"/>
      <c r="HY140" s="1021"/>
      <c r="HZ140" s="1021"/>
      <c r="IA140" s="1021"/>
      <c r="IB140" s="1021"/>
      <c r="IC140" s="1021"/>
      <c r="ID140" s="1021"/>
      <c r="IE140" s="1021"/>
      <c r="IF140" s="1021"/>
      <c r="IG140" s="1021"/>
      <c r="IH140" s="1021"/>
      <c r="II140" s="1021"/>
      <c r="IJ140" s="1021"/>
      <c r="IK140" s="1021"/>
      <c r="IL140" s="1021"/>
      <c r="IM140" s="1021"/>
      <c r="IN140" s="1021"/>
      <c r="IO140" s="1021"/>
      <c r="IP140" s="1021"/>
      <c r="IQ140" s="1021"/>
      <c r="IR140" s="1021"/>
      <c r="IS140" s="1021"/>
      <c r="IT140" s="1021"/>
      <c r="IU140" s="1021"/>
      <c r="IV140" s="1021"/>
      <c r="IW140" s="1021"/>
      <c r="IX140" s="1021"/>
      <c r="IY140" s="1021"/>
      <c r="IZ140" s="1021"/>
      <c r="JA140" s="1021"/>
      <c r="JB140" s="1021"/>
      <c r="JC140" s="1021"/>
      <c r="JD140" s="1021"/>
      <c r="JE140" s="1021"/>
      <c r="JF140" s="1021"/>
      <c r="JG140" s="1021"/>
      <c r="JH140" s="1021"/>
      <c r="JI140" s="1021"/>
      <c r="JJ140" s="1021"/>
      <c r="JK140" s="1021"/>
      <c r="JL140" s="1021"/>
      <c r="JM140" s="1021"/>
      <c r="JN140" s="1021"/>
      <c r="JO140" s="1021"/>
      <c r="JP140" s="1021"/>
      <c r="JQ140" s="1021"/>
      <c r="JR140" s="1021"/>
      <c r="JS140" s="1021"/>
      <c r="JT140" s="1021"/>
      <c r="JU140" s="1021"/>
      <c r="JV140" s="1021"/>
      <c r="JW140" s="1021"/>
      <c r="JX140" s="1021"/>
      <c r="JY140" s="1021"/>
      <c r="JZ140" s="1021"/>
      <c r="KA140" s="1021"/>
      <c r="KB140" s="1021"/>
      <c r="KC140" s="1021"/>
      <c r="KD140" s="1021"/>
      <c r="KE140" s="1021"/>
      <c r="KF140" s="1021"/>
      <c r="KG140" s="1021"/>
      <c r="KH140" s="1021"/>
      <c r="KI140" s="1021"/>
      <c r="KJ140" s="1021"/>
      <c r="KK140" s="1021"/>
      <c r="KL140" s="1021"/>
      <c r="KM140" s="1021"/>
      <c r="KN140" s="1021"/>
      <c r="KO140" s="1021"/>
      <c r="KP140" s="1021"/>
      <c r="KQ140" s="1021"/>
      <c r="KR140" s="1021"/>
      <c r="KS140" s="1021"/>
      <c r="KT140" s="1021"/>
      <c r="KU140" s="1021"/>
      <c r="KV140" s="1021"/>
      <c r="KW140" s="1021"/>
      <c r="KX140" s="1021"/>
      <c r="KY140" s="1021"/>
      <c r="KZ140" s="1021"/>
      <c r="LA140" s="1021"/>
      <c r="LB140" s="1021"/>
      <c r="LC140" s="1021"/>
      <c r="LD140" s="1021"/>
      <c r="LE140" s="1021"/>
      <c r="LF140" s="1021"/>
      <c r="LG140" s="1021"/>
      <c r="LH140" s="1021"/>
      <c r="LI140" s="1021"/>
      <c r="LJ140" s="1021"/>
      <c r="LK140" s="1021"/>
      <c r="LL140" s="1021"/>
      <c r="LM140" s="1021"/>
      <c r="LN140" s="1021"/>
      <c r="LO140" s="1021"/>
      <c r="LP140" s="1021"/>
      <c r="LQ140" s="1021"/>
      <c r="LR140" s="1021"/>
      <c r="LS140" s="1021"/>
      <c r="LT140" s="1021"/>
      <c r="LU140" s="1021"/>
      <c r="LV140" s="1021"/>
      <c r="LW140" s="1021"/>
      <c r="LX140" s="1021"/>
      <c r="LY140" s="1021"/>
      <c r="LZ140" s="1021"/>
      <c r="MA140" s="1021"/>
      <c r="MB140" s="1021"/>
      <c r="MC140" s="1021"/>
      <c r="MD140" s="1021"/>
      <c r="ME140" s="1021"/>
      <c r="MF140" s="1021"/>
      <c r="MG140" s="1021"/>
      <c r="MH140" s="1021"/>
      <c r="MI140" s="1021"/>
      <c r="MJ140" s="1021"/>
      <c r="MK140" s="1021"/>
      <c r="ML140" s="1021"/>
      <c r="MM140" s="1021"/>
      <c r="MN140" s="1021"/>
      <c r="MO140" s="1021"/>
      <c r="MP140" s="1021"/>
      <c r="MQ140" s="1021"/>
      <c r="MR140" s="1021"/>
      <c r="MS140" s="1021"/>
      <c r="MT140" s="1021"/>
      <c r="MU140" s="1021"/>
      <c r="MV140" s="1021"/>
      <c r="MW140" s="1021"/>
      <c r="MX140" s="1021"/>
      <c r="MY140" s="1021"/>
      <c r="MZ140" s="1021"/>
      <c r="NA140" s="1021"/>
      <c r="NB140" s="1021"/>
      <c r="NC140" s="1021"/>
      <c r="ND140" s="1021"/>
      <c r="NE140" s="1021"/>
      <c r="NF140" s="1021"/>
      <c r="NG140" s="1021"/>
      <c r="NH140" s="1021"/>
      <c r="NI140" s="1021"/>
      <c r="NJ140" s="1021"/>
      <c r="NK140" s="1021"/>
      <c r="NL140" s="1021"/>
      <c r="NM140" s="1021"/>
      <c r="NN140" s="1021"/>
      <c r="NO140" s="1021"/>
      <c r="NP140" s="1021"/>
      <c r="NQ140" s="1021"/>
      <c r="NR140" s="1021"/>
      <c r="NS140" s="1021"/>
      <c r="NT140" s="1021"/>
      <c r="NU140" s="1021"/>
      <c r="NV140" s="1021"/>
      <c r="NW140" s="1021"/>
      <c r="NX140" s="1021"/>
      <c r="NY140" s="1021"/>
      <c r="NZ140" s="1021"/>
      <c r="OA140" s="1021"/>
      <c r="OB140" s="1021"/>
      <c r="OC140" s="1021"/>
      <c r="OD140" s="1021"/>
      <c r="OE140" s="1021"/>
      <c r="OF140" s="1021"/>
      <c r="OG140" s="1021"/>
      <c r="OH140" s="1021"/>
      <c r="OI140" s="1021"/>
      <c r="OJ140" s="1021"/>
      <c r="OK140" s="1021"/>
      <c r="OL140" s="1021"/>
      <c r="OM140" s="1021"/>
      <c r="ON140" s="1021"/>
      <c r="OO140" s="1021"/>
      <c r="OP140" s="1021"/>
      <c r="OQ140" s="1021"/>
      <c r="OR140" s="1021"/>
      <c r="OS140" s="1021"/>
      <c r="OT140" s="1021"/>
      <c r="OU140" s="1021"/>
      <c r="OV140" s="1021"/>
      <c r="OW140" s="1021"/>
      <c r="OX140" s="1021"/>
      <c r="OY140" s="1021"/>
      <c r="OZ140" s="1021"/>
      <c r="PA140" s="1021"/>
      <c r="PB140" s="1021"/>
      <c r="PC140" s="1021"/>
      <c r="PD140" s="1021"/>
      <c r="PE140" s="1021"/>
      <c r="PF140" s="1021"/>
      <c r="PG140" s="1021"/>
      <c r="PH140" s="1021"/>
      <c r="PI140" s="1021"/>
      <c r="PJ140" s="1021"/>
      <c r="PK140" s="1021"/>
      <c r="PL140" s="1021"/>
      <c r="PM140" s="1021"/>
      <c r="PN140" s="1021"/>
      <c r="PO140" s="1021"/>
      <c r="PP140" s="1021"/>
      <c r="PQ140" s="1021"/>
      <c r="PR140" s="1021"/>
      <c r="PS140" s="1021"/>
      <c r="PT140" s="1021"/>
      <c r="PU140" s="1021"/>
      <c r="PV140" s="1021"/>
      <c r="PW140" s="1021"/>
      <c r="PX140" s="1021"/>
      <c r="PY140" s="1021"/>
      <c r="PZ140" s="1021"/>
      <c r="QA140" s="1021"/>
      <c r="QB140" s="1021"/>
      <c r="QC140" s="1021"/>
      <c r="QD140" s="1021"/>
      <c r="QE140" s="1021"/>
      <c r="QF140" s="1021"/>
      <c r="QG140" s="1021"/>
      <c r="QH140" s="1021"/>
      <c r="QI140" s="1021"/>
      <c r="QJ140" s="1021"/>
      <c r="QK140" s="1021"/>
      <c r="QL140" s="1021"/>
      <c r="QM140" s="1021"/>
      <c r="QN140" s="1021"/>
      <c r="QO140" s="1021"/>
      <c r="QP140" s="1021"/>
      <c r="QQ140" s="1021"/>
      <c r="QR140" s="1021"/>
      <c r="QS140" s="1021"/>
      <c r="QT140" s="1021"/>
      <c r="QU140" s="1021"/>
      <c r="QV140" s="1021"/>
      <c r="QW140" s="1021"/>
      <c r="QX140" s="1021"/>
      <c r="QY140" s="1021"/>
      <c r="QZ140" s="1021"/>
      <c r="RA140" s="1021"/>
      <c r="RB140" s="1021"/>
      <c r="RC140" s="1021"/>
      <c r="RD140" s="1021"/>
      <c r="RE140" s="1021"/>
      <c r="RF140" s="1021"/>
      <c r="RG140" s="1021"/>
      <c r="RH140" s="1021"/>
      <c r="RI140" s="1021"/>
      <c r="RJ140" s="1021"/>
      <c r="RK140" s="1021"/>
      <c r="RL140" s="1021"/>
      <c r="RM140" s="1021"/>
      <c r="RN140" s="1021"/>
      <c r="RO140" s="1021"/>
      <c r="RP140" s="1021"/>
      <c r="RQ140" s="1021"/>
      <c r="RR140" s="1021"/>
      <c r="RS140" s="1021"/>
      <c r="RT140" s="1021"/>
      <c r="RU140" s="1021"/>
      <c r="RV140" s="1021"/>
      <c r="RW140" s="1021"/>
      <c r="RX140" s="1021"/>
      <c r="RY140" s="1021"/>
      <c r="RZ140" s="1021"/>
      <c r="SA140" s="1021"/>
      <c r="SB140" s="1021"/>
      <c r="SC140" s="1021"/>
      <c r="SD140" s="1021"/>
      <c r="SE140" s="1021"/>
      <c r="SF140" s="1021"/>
      <c r="SG140" s="1021"/>
      <c r="SH140" s="1021"/>
      <c r="SI140" s="1021"/>
      <c r="SJ140" s="1021"/>
      <c r="SK140" s="1021"/>
      <c r="SL140" s="1021"/>
      <c r="SM140" s="1021"/>
      <c r="SN140" s="1021"/>
      <c r="SO140" s="1021"/>
      <c r="SP140" s="1021"/>
      <c r="SQ140" s="1021"/>
      <c r="SR140" s="1021"/>
    </row>
    <row r="141" spans="1:512" s="1011" customFormat="1" ht="15" customHeight="1">
      <c r="A141"/>
      <c r="G141" s="1024"/>
      <c r="H141" s="1024"/>
      <c r="I141" s="1024"/>
      <c r="J141" s="1024"/>
      <c r="K141" s="1024"/>
      <c r="L141" s="1024"/>
      <c r="M141" s="1024"/>
      <c r="N141" s="1024"/>
      <c r="O141" s="1024"/>
      <c r="P141" s="1024"/>
      <c r="Q141" s="1024"/>
      <c r="R141" s="1024"/>
      <c r="S141" s="1024"/>
      <c r="T141" s="1024"/>
      <c r="U141" s="1024"/>
      <c r="V141" s="1024"/>
      <c r="W141" s="1024"/>
      <c r="X141" s="1024"/>
      <c r="Y141" s="1024"/>
      <c r="Z141" s="1024"/>
      <c r="AA141" s="1024"/>
      <c r="AB141" s="1024"/>
      <c r="AC141" s="1024"/>
      <c r="AD141" s="1024"/>
      <c r="AE141" s="1024"/>
      <c r="AF141" s="1024"/>
      <c r="AG141" s="1024"/>
      <c r="AH141" s="1024"/>
      <c r="AI141" s="1024"/>
      <c r="AJ141" s="1024"/>
      <c r="AK141" s="1024"/>
      <c r="AL141" s="1024"/>
      <c r="AM141" s="1024"/>
      <c r="AN141" s="1024"/>
      <c r="AO141" s="1024"/>
      <c r="AP141" s="1024"/>
      <c r="AQ141" s="1024"/>
      <c r="AR141" s="1024"/>
      <c r="AS141" s="1024"/>
      <c r="AT141" s="1024"/>
      <c r="AU141" s="1024"/>
      <c r="AV141" s="1024"/>
      <c r="AW141" s="1024"/>
      <c r="AX141" s="1024"/>
      <c r="AY141" s="1024"/>
      <c r="AZ141" s="1024"/>
      <c r="BA141" s="1024"/>
      <c r="BB141" s="1024"/>
      <c r="BC141" s="1024"/>
      <c r="BD141" s="1024"/>
      <c r="BE141" s="1024"/>
      <c r="BF141" s="1024"/>
      <c r="BG141" s="1024"/>
      <c r="BH141" s="1024"/>
      <c r="BI141" s="1024"/>
      <c r="BJ141" s="1024"/>
      <c r="BK141" s="1024"/>
      <c r="BL141" s="1024"/>
      <c r="BM141" s="1024"/>
      <c r="BN141" s="1024"/>
      <c r="BO141" s="1024"/>
      <c r="BP141" s="1024"/>
      <c r="BQ141" s="1024"/>
      <c r="BR141" s="1024"/>
      <c r="BS141" s="1024"/>
      <c r="BT141" s="1024"/>
      <c r="BU141" s="1024"/>
      <c r="BV141" s="1024"/>
      <c r="BW141" s="1024"/>
      <c r="BX141" s="1024"/>
      <c r="BY141" s="1024"/>
      <c r="BZ141" s="1024"/>
      <c r="CA141" s="1024"/>
      <c r="CB141" s="1024"/>
      <c r="CC141" s="1024"/>
      <c r="CD141" s="1024"/>
      <c r="CE141" s="1024"/>
      <c r="CF141" s="1024"/>
      <c r="CG141" s="1024"/>
      <c r="CH141" s="1024"/>
      <c r="CI141" s="1024"/>
      <c r="CJ141" s="1024"/>
      <c r="CK141" s="1024"/>
      <c r="CL141" s="1024"/>
      <c r="CM141" s="1024"/>
      <c r="CN141" s="1024"/>
      <c r="CO141" s="1024"/>
      <c r="CP141" s="1024"/>
      <c r="CQ141" s="1024"/>
      <c r="CR141" s="1024"/>
      <c r="CS141" s="1024"/>
      <c r="CT141" s="1024"/>
      <c r="CU141" s="1024"/>
      <c r="CV141" s="1024"/>
      <c r="CW141" s="1024"/>
      <c r="CX141" s="1024"/>
      <c r="CY141" s="1024"/>
      <c r="CZ141" s="1024"/>
      <c r="DA141" s="1024"/>
      <c r="DB141" s="1024"/>
      <c r="DC141" s="1024"/>
      <c r="DD141" s="1024"/>
      <c r="DE141" s="1024"/>
      <c r="DF141" s="1024"/>
      <c r="DG141" s="1024"/>
      <c r="DH141" s="1024"/>
      <c r="DI141" s="1024"/>
      <c r="DJ141" s="1024"/>
      <c r="DK141" s="1024"/>
      <c r="DL141" s="1024"/>
      <c r="DM141" s="1024"/>
      <c r="DN141" s="1024"/>
      <c r="DO141" s="1024"/>
      <c r="DP141" s="1024"/>
      <c r="DQ141" s="1024"/>
      <c r="DR141" s="1024"/>
      <c r="DS141" s="1024"/>
      <c r="DT141" s="1024"/>
      <c r="DU141" s="1024"/>
      <c r="DV141" s="1024"/>
      <c r="DW141" s="1024"/>
      <c r="DX141" s="1024"/>
      <c r="DY141" s="1024"/>
      <c r="DZ141" s="1024"/>
      <c r="EA141" s="1024"/>
      <c r="EB141" s="1024"/>
      <c r="EC141" s="1024"/>
      <c r="ED141" s="1024"/>
      <c r="EE141" s="1024"/>
      <c r="EF141" s="1024"/>
      <c r="EG141" s="1024"/>
      <c r="EH141" s="1024"/>
      <c r="EI141" s="1024"/>
      <c r="EJ141" s="1024"/>
      <c r="EK141" s="1024"/>
      <c r="EL141" s="1024"/>
      <c r="EM141" s="1024"/>
      <c r="EN141" s="1024"/>
      <c r="EO141" s="1024"/>
      <c r="EP141" s="1024"/>
      <c r="EQ141" s="1024"/>
      <c r="ER141" s="1024"/>
      <c r="ES141" s="1024"/>
      <c r="ET141" s="1024"/>
      <c r="EU141" s="1024"/>
      <c r="EV141" s="1024"/>
      <c r="EW141" s="1024"/>
      <c r="EX141" s="1024"/>
      <c r="EY141" s="1024"/>
      <c r="EZ141" s="1024"/>
      <c r="FA141" s="1024"/>
      <c r="FB141" s="1024"/>
      <c r="FC141" s="1024"/>
      <c r="FD141" s="1024"/>
      <c r="FE141" s="1024"/>
      <c r="FF141" s="1024"/>
      <c r="FG141" s="1024"/>
      <c r="FH141" s="1024"/>
      <c r="FI141" s="1024"/>
      <c r="FJ141" s="1024"/>
      <c r="FK141" s="1024"/>
      <c r="FL141" s="1024"/>
      <c r="FM141" s="1024"/>
      <c r="FN141" s="1024"/>
      <c r="FO141" s="1024"/>
      <c r="FP141" s="1024"/>
      <c r="FQ141" s="1024"/>
      <c r="FR141" s="1024"/>
      <c r="FS141" s="1024"/>
      <c r="FT141" s="1024"/>
      <c r="FU141" s="1024"/>
      <c r="FV141" s="1024"/>
      <c r="FW141" s="1024"/>
      <c r="FX141" s="1024"/>
      <c r="FY141" s="1024"/>
      <c r="FZ141" s="1024"/>
      <c r="GA141" s="1024"/>
      <c r="GB141" s="1024"/>
      <c r="GC141" s="1024"/>
      <c r="GD141" s="1024"/>
      <c r="GE141" s="1024"/>
      <c r="GF141" s="1024"/>
      <c r="GG141" s="1024"/>
      <c r="GH141" s="1024"/>
      <c r="GI141" s="1024"/>
      <c r="GJ141" s="1024"/>
      <c r="GK141" s="1024"/>
      <c r="GL141" s="1024"/>
      <c r="GM141" s="1024"/>
      <c r="GN141" s="1024"/>
      <c r="GO141" s="1024"/>
      <c r="GP141" s="1024"/>
      <c r="GQ141" s="1024"/>
      <c r="GR141" s="1024"/>
      <c r="GS141" s="1024"/>
      <c r="GT141" s="1024"/>
      <c r="GU141" s="1024"/>
      <c r="GV141" s="1024"/>
      <c r="GW141" s="1024"/>
      <c r="GX141" s="1024"/>
      <c r="GY141" s="1024"/>
      <c r="GZ141" s="1024"/>
      <c r="HA141" s="1024"/>
      <c r="HB141" s="1024"/>
      <c r="HC141" s="1024"/>
      <c r="HD141" s="1024"/>
      <c r="HE141" s="1024"/>
      <c r="HF141" s="1024"/>
      <c r="HG141" s="1024"/>
      <c r="HH141" s="1024"/>
      <c r="HI141" s="1024"/>
      <c r="HJ141" s="1024"/>
      <c r="HK141" s="1024"/>
      <c r="HL141" s="1024"/>
      <c r="HM141" s="1024"/>
      <c r="HN141" s="1024"/>
      <c r="HO141" s="1024"/>
      <c r="HP141" s="1024"/>
      <c r="HQ141" s="1024"/>
      <c r="HR141" s="1024"/>
      <c r="HS141" s="1024"/>
      <c r="HT141" s="1024"/>
      <c r="HU141" s="1024"/>
      <c r="HV141" s="1024"/>
      <c r="HW141" s="1024"/>
      <c r="HX141" s="1024"/>
      <c r="HY141" s="1024"/>
      <c r="HZ141" s="1024"/>
      <c r="IA141" s="1024"/>
      <c r="IB141" s="1024"/>
      <c r="IC141" s="1024"/>
      <c r="ID141" s="1024"/>
      <c r="IE141" s="1024"/>
      <c r="IF141" s="1024"/>
      <c r="IG141" s="1024"/>
      <c r="IH141" s="1024"/>
      <c r="II141" s="1024"/>
      <c r="IJ141" s="1024"/>
      <c r="IK141" s="1024"/>
      <c r="IL141" s="1024"/>
      <c r="IM141" s="1024"/>
      <c r="IN141" s="1024"/>
      <c r="IO141" s="1024"/>
      <c r="IP141" s="1024"/>
      <c r="IQ141" s="1024"/>
      <c r="IR141" s="1024"/>
      <c r="IS141" s="1024"/>
      <c r="IT141" s="1024"/>
      <c r="IU141" s="1024"/>
      <c r="IV141" s="1024"/>
      <c r="IW141" s="1024"/>
      <c r="IX141" s="1024"/>
      <c r="IY141" s="1024"/>
      <c r="IZ141" s="1024"/>
      <c r="JA141" s="1024"/>
      <c r="JB141" s="1024"/>
      <c r="JC141" s="1024"/>
      <c r="JD141" s="1024"/>
      <c r="JE141" s="1024"/>
      <c r="JF141" s="1024"/>
      <c r="JG141" s="1024"/>
      <c r="JH141" s="1024"/>
      <c r="JI141" s="1024"/>
      <c r="JJ141" s="1024"/>
      <c r="JK141" s="1024"/>
      <c r="JL141" s="1024"/>
      <c r="JM141" s="1024"/>
      <c r="JN141" s="1024"/>
      <c r="JO141" s="1024"/>
      <c r="JP141" s="1024"/>
      <c r="JQ141" s="1024"/>
      <c r="JR141" s="1024"/>
      <c r="JS141" s="1024"/>
      <c r="JT141" s="1024"/>
      <c r="JU141" s="1024"/>
      <c r="JV141" s="1024"/>
      <c r="JW141" s="1024"/>
      <c r="JX141" s="1024"/>
      <c r="JY141" s="1024"/>
      <c r="JZ141" s="1024"/>
      <c r="KA141" s="1024"/>
      <c r="KB141" s="1024"/>
      <c r="KC141" s="1024"/>
      <c r="KD141" s="1024"/>
      <c r="KE141" s="1024"/>
      <c r="KF141" s="1024"/>
      <c r="KG141" s="1024"/>
      <c r="KH141" s="1024"/>
      <c r="KI141" s="1024"/>
      <c r="KJ141" s="1024"/>
      <c r="KK141" s="1024"/>
      <c r="KL141" s="1024"/>
      <c r="KM141" s="1024"/>
      <c r="KN141" s="1024"/>
      <c r="KO141" s="1024"/>
      <c r="KP141" s="1024"/>
      <c r="KQ141" s="1024"/>
      <c r="KR141" s="1024"/>
      <c r="KS141" s="1024"/>
      <c r="KT141" s="1024"/>
      <c r="KU141" s="1024"/>
      <c r="KV141" s="1024"/>
      <c r="KW141" s="1024"/>
      <c r="KX141" s="1024"/>
      <c r="KY141" s="1024"/>
      <c r="KZ141" s="1024"/>
      <c r="LA141" s="1024"/>
      <c r="LB141" s="1024"/>
      <c r="LC141" s="1024"/>
      <c r="LD141" s="1024"/>
      <c r="LE141" s="1024"/>
      <c r="LF141" s="1024"/>
      <c r="LG141" s="1024"/>
      <c r="LH141" s="1024"/>
      <c r="LI141" s="1024"/>
      <c r="LJ141" s="1024"/>
      <c r="LK141" s="1024"/>
      <c r="LL141" s="1024"/>
      <c r="LM141" s="1024"/>
      <c r="LN141" s="1024"/>
      <c r="LO141" s="1024"/>
      <c r="LP141" s="1024"/>
      <c r="LQ141" s="1024"/>
      <c r="LR141" s="1024"/>
      <c r="LS141" s="1024"/>
      <c r="LT141" s="1024"/>
      <c r="LU141" s="1024"/>
      <c r="LV141" s="1024"/>
      <c r="LW141" s="1024"/>
      <c r="LX141" s="1024"/>
      <c r="LY141" s="1024"/>
      <c r="LZ141" s="1024"/>
      <c r="MA141" s="1024"/>
      <c r="MB141" s="1024"/>
      <c r="MC141" s="1024"/>
      <c r="MD141" s="1024"/>
      <c r="ME141" s="1024"/>
      <c r="MF141" s="1024"/>
      <c r="MG141" s="1024"/>
      <c r="MH141" s="1024"/>
      <c r="MI141" s="1024"/>
      <c r="MJ141" s="1024"/>
      <c r="MK141" s="1024"/>
      <c r="ML141" s="1024"/>
      <c r="MM141" s="1024"/>
      <c r="MN141" s="1024"/>
      <c r="MO141" s="1024"/>
      <c r="MP141" s="1024"/>
      <c r="MQ141" s="1024"/>
      <c r="MR141" s="1024"/>
      <c r="MS141" s="1024"/>
      <c r="MT141" s="1024"/>
      <c r="MU141" s="1024"/>
      <c r="MV141" s="1024"/>
      <c r="MW141" s="1024"/>
      <c r="MX141" s="1024"/>
      <c r="MY141" s="1024"/>
      <c r="MZ141" s="1024"/>
      <c r="NA141" s="1024"/>
      <c r="NB141" s="1024"/>
      <c r="NC141" s="1024"/>
      <c r="ND141" s="1024"/>
      <c r="NE141" s="1024"/>
      <c r="NF141" s="1024"/>
      <c r="NG141" s="1024"/>
      <c r="NH141" s="1024"/>
      <c r="NI141" s="1024"/>
      <c r="NJ141" s="1024"/>
      <c r="NK141" s="1024"/>
      <c r="NL141" s="1024"/>
      <c r="NM141" s="1024"/>
      <c r="NN141" s="1024"/>
      <c r="NO141" s="1024"/>
      <c r="NP141" s="1024"/>
      <c r="NQ141" s="1024"/>
      <c r="NR141" s="1024"/>
      <c r="NS141" s="1024"/>
      <c r="NT141" s="1024"/>
      <c r="NU141" s="1024"/>
      <c r="NV141" s="1024"/>
      <c r="NW141" s="1024"/>
      <c r="NX141" s="1024"/>
      <c r="NY141" s="1024"/>
      <c r="NZ141" s="1024"/>
      <c r="OA141" s="1024"/>
      <c r="OB141" s="1024"/>
      <c r="OC141" s="1024"/>
      <c r="OD141" s="1024"/>
      <c r="OE141" s="1024"/>
      <c r="OF141" s="1024"/>
      <c r="OG141" s="1024"/>
      <c r="OH141" s="1024"/>
      <c r="OI141" s="1024"/>
      <c r="OJ141" s="1024"/>
      <c r="OK141" s="1024"/>
      <c r="OL141" s="1024"/>
      <c r="OM141" s="1024"/>
      <c r="ON141" s="1024"/>
      <c r="OO141" s="1024"/>
      <c r="OP141" s="1024"/>
      <c r="OQ141" s="1024"/>
      <c r="OR141" s="1024"/>
      <c r="OS141" s="1024"/>
      <c r="OT141" s="1024"/>
      <c r="OU141" s="1024"/>
      <c r="OV141" s="1024"/>
      <c r="OW141" s="1024"/>
      <c r="OX141" s="1024"/>
      <c r="OY141" s="1024"/>
      <c r="OZ141" s="1024"/>
      <c r="PA141" s="1024"/>
      <c r="PB141" s="1024"/>
      <c r="PC141" s="1024"/>
      <c r="PD141" s="1024"/>
      <c r="PE141" s="1024"/>
      <c r="PF141" s="1024"/>
      <c r="PG141" s="1024"/>
      <c r="PH141" s="1024"/>
      <c r="PI141" s="1024"/>
      <c r="PJ141" s="1024"/>
      <c r="PK141" s="1024"/>
      <c r="PL141" s="1024"/>
      <c r="PM141" s="1024"/>
      <c r="PN141" s="1024"/>
      <c r="PO141" s="1024"/>
      <c r="PP141" s="1024"/>
      <c r="PQ141" s="1024"/>
      <c r="PR141" s="1024"/>
      <c r="PS141" s="1024"/>
      <c r="PT141" s="1024"/>
      <c r="PU141" s="1024"/>
      <c r="PV141" s="1024"/>
      <c r="PW141" s="1024"/>
      <c r="PX141" s="1024"/>
      <c r="PY141" s="1024"/>
      <c r="PZ141" s="1024"/>
      <c r="QA141" s="1024"/>
      <c r="QB141" s="1024"/>
      <c r="QC141" s="1024"/>
      <c r="QD141" s="1024"/>
      <c r="QE141" s="1024"/>
      <c r="QF141" s="1024"/>
      <c r="QG141" s="1024"/>
      <c r="QH141" s="1024"/>
      <c r="QI141" s="1024"/>
      <c r="QJ141" s="1024"/>
      <c r="QK141" s="1024"/>
      <c r="QL141" s="1024"/>
      <c r="QM141" s="1024"/>
      <c r="QN141" s="1024"/>
      <c r="QO141" s="1024"/>
      <c r="QP141" s="1024"/>
      <c r="QQ141" s="1024"/>
      <c r="QR141" s="1024"/>
      <c r="QS141" s="1024"/>
      <c r="QT141" s="1024"/>
      <c r="QU141" s="1024"/>
      <c r="QV141" s="1024"/>
      <c r="QW141" s="1024"/>
      <c r="QX141" s="1024"/>
      <c r="QY141" s="1024"/>
      <c r="QZ141" s="1024"/>
      <c r="RA141" s="1024"/>
      <c r="RB141" s="1024"/>
      <c r="RC141" s="1024"/>
      <c r="RD141" s="1024"/>
      <c r="RE141" s="1024"/>
      <c r="RF141" s="1024"/>
      <c r="RG141" s="1024"/>
      <c r="RH141" s="1024"/>
      <c r="RI141" s="1024"/>
      <c r="RJ141" s="1024"/>
      <c r="RK141" s="1024"/>
      <c r="RL141" s="1024"/>
      <c r="RM141" s="1024"/>
      <c r="RN141" s="1024"/>
      <c r="RO141" s="1024"/>
      <c r="RP141" s="1024"/>
      <c r="RQ141" s="1024"/>
      <c r="RR141" s="1024"/>
      <c r="RS141" s="1024"/>
      <c r="RT141" s="1024"/>
      <c r="RU141" s="1024"/>
      <c r="RV141" s="1024"/>
      <c r="RW141" s="1024"/>
      <c r="RX141" s="1024"/>
      <c r="RY141" s="1024"/>
      <c r="RZ141" s="1024"/>
      <c r="SA141" s="1024"/>
      <c r="SB141" s="1024"/>
      <c r="SC141" s="1024"/>
      <c r="SD141" s="1024"/>
      <c r="SE141" s="1024"/>
      <c r="SF141" s="1024"/>
      <c r="SG141" s="1024"/>
      <c r="SH141" s="1024"/>
      <c r="SI141" s="1024"/>
      <c r="SJ141" s="1024"/>
      <c r="SK141" s="1024"/>
      <c r="SL141" s="1024"/>
      <c r="SM141" s="1024"/>
      <c r="SN141" s="1024"/>
      <c r="SO141" s="1024"/>
      <c r="SP141" s="1024"/>
      <c r="SQ141" s="1024"/>
      <c r="SR141" s="1024"/>
    </row>
    <row r="142" spans="1:512" s="1011" customFormat="1" ht="15" customHeight="1">
      <c r="A142" s="1011" t="s">
        <v>2784</v>
      </c>
      <c r="G142" s="1024"/>
      <c r="H142" s="1024"/>
      <c r="I142" s="1024"/>
      <c r="J142" s="1024"/>
      <c r="K142" s="1024"/>
      <c r="L142" s="1024"/>
      <c r="M142" s="1024"/>
      <c r="N142" s="1024"/>
      <c r="O142" s="1024"/>
      <c r="P142" s="1024"/>
      <c r="Q142" s="1024"/>
      <c r="R142" s="1024"/>
      <c r="S142" s="1024"/>
      <c r="T142" s="1024"/>
      <c r="U142" s="1024"/>
      <c r="V142" s="1024"/>
      <c r="W142" s="1024"/>
      <c r="X142" s="1024"/>
      <c r="Y142" s="1024"/>
      <c r="Z142" s="1024"/>
      <c r="AA142" s="1024"/>
      <c r="AB142" s="1024"/>
      <c r="AC142" s="1024"/>
      <c r="AD142" s="1024"/>
      <c r="AE142" s="1024"/>
      <c r="AF142" s="1024"/>
      <c r="AG142" s="1024"/>
      <c r="AH142" s="1024"/>
      <c r="AI142" s="1024"/>
      <c r="AJ142" s="1024"/>
      <c r="AK142" s="1024"/>
      <c r="AL142" s="1024"/>
      <c r="AM142" s="1024"/>
      <c r="AN142" s="1024"/>
      <c r="AO142" s="1024"/>
      <c r="AP142" s="1024"/>
      <c r="AQ142" s="1024"/>
      <c r="AR142" s="1024"/>
      <c r="AS142" s="1024"/>
      <c r="AT142" s="1024"/>
      <c r="AU142" s="1024"/>
      <c r="AV142" s="1024"/>
      <c r="AW142" s="1024"/>
      <c r="AX142" s="1024"/>
      <c r="AY142" s="1024"/>
      <c r="AZ142" s="1024"/>
      <c r="BA142" s="1024"/>
      <c r="BB142" s="1024"/>
      <c r="BC142" s="1024"/>
      <c r="BD142" s="1024"/>
      <c r="BE142" s="1024"/>
      <c r="BF142" s="1024"/>
      <c r="BG142" s="1024"/>
      <c r="BH142" s="1024"/>
      <c r="BI142" s="1024"/>
      <c r="BJ142" s="1024"/>
      <c r="BK142" s="1024"/>
      <c r="BL142" s="1024"/>
      <c r="BM142" s="1024"/>
      <c r="BN142" s="1024"/>
      <c r="BO142" s="1024"/>
      <c r="BP142" s="1024"/>
      <c r="BQ142" s="1024"/>
      <c r="BR142" s="1024"/>
      <c r="BS142" s="1024"/>
      <c r="BT142" s="1024"/>
      <c r="BU142" s="1024"/>
      <c r="BV142" s="1024"/>
      <c r="BW142" s="1024"/>
      <c r="BX142" s="1024"/>
      <c r="BY142" s="1024"/>
      <c r="BZ142" s="1024"/>
      <c r="CA142" s="1024"/>
      <c r="CB142" s="1024"/>
      <c r="CC142" s="1024"/>
      <c r="CD142" s="1024"/>
      <c r="CE142" s="1024"/>
      <c r="CF142" s="1024"/>
      <c r="CG142" s="1024"/>
      <c r="CH142" s="1024"/>
      <c r="CI142" s="1024"/>
      <c r="CJ142" s="1024"/>
      <c r="CK142" s="1024"/>
      <c r="CL142" s="1024"/>
      <c r="CM142" s="1024"/>
      <c r="CN142" s="1024"/>
      <c r="CO142" s="1024"/>
      <c r="CP142" s="1024"/>
      <c r="CQ142" s="1024"/>
      <c r="CR142" s="1024"/>
      <c r="CS142" s="1024"/>
      <c r="CT142" s="1024"/>
      <c r="CU142" s="1024"/>
      <c r="CV142" s="1024"/>
      <c r="CW142" s="1024"/>
      <c r="CX142" s="1024"/>
      <c r="CY142" s="1024"/>
      <c r="CZ142" s="1024"/>
      <c r="DA142" s="1024"/>
      <c r="DB142" s="1024"/>
      <c r="DC142" s="1024"/>
      <c r="DD142" s="1024"/>
      <c r="DE142" s="1024"/>
      <c r="DF142" s="1024"/>
      <c r="DG142" s="1024"/>
      <c r="DH142" s="1024"/>
      <c r="DI142" s="1024"/>
      <c r="DJ142" s="1024"/>
      <c r="DK142" s="1024"/>
      <c r="DL142" s="1024"/>
      <c r="DM142" s="1024"/>
      <c r="DN142" s="1024"/>
      <c r="DO142" s="1024"/>
      <c r="DP142" s="1024"/>
      <c r="DQ142" s="1024"/>
      <c r="DR142" s="1024"/>
      <c r="DS142" s="1024"/>
      <c r="DT142" s="1024"/>
      <c r="DU142" s="1024"/>
      <c r="DV142" s="1024"/>
      <c r="DW142" s="1024"/>
      <c r="DX142" s="1024"/>
      <c r="DY142" s="1024"/>
      <c r="DZ142" s="1024"/>
      <c r="EA142" s="1024"/>
      <c r="EB142" s="1024"/>
      <c r="EC142" s="1024"/>
      <c r="ED142" s="1024"/>
      <c r="EE142" s="1024"/>
      <c r="EF142" s="1024"/>
      <c r="EG142" s="1024"/>
      <c r="EH142" s="1024"/>
      <c r="EI142" s="1024"/>
      <c r="EJ142" s="1024"/>
      <c r="EK142" s="1024"/>
      <c r="EL142" s="1024"/>
      <c r="EM142" s="1024"/>
      <c r="EN142" s="1024"/>
      <c r="EO142" s="1024"/>
      <c r="EP142" s="1024"/>
      <c r="EQ142" s="1024"/>
      <c r="ER142" s="1024"/>
      <c r="ES142" s="1024"/>
      <c r="ET142" s="1024"/>
      <c r="EU142" s="1024"/>
      <c r="EV142" s="1024"/>
      <c r="EW142" s="1024"/>
      <c r="EX142" s="1024"/>
      <c r="EY142" s="1024"/>
      <c r="EZ142" s="1024"/>
      <c r="FA142" s="1024"/>
      <c r="FB142" s="1024"/>
      <c r="FC142" s="1024"/>
      <c r="FD142" s="1024"/>
      <c r="FE142" s="1024"/>
      <c r="FF142" s="1024"/>
      <c r="FG142" s="1024"/>
      <c r="FH142" s="1024"/>
      <c r="FI142" s="1024"/>
      <c r="FJ142" s="1024"/>
      <c r="FK142" s="1024"/>
      <c r="FL142" s="1024"/>
      <c r="FM142" s="1024"/>
      <c r="FN142" s="1024"/>
      <c r="FO142" s="1024"/>
      <c r="FP142" s="1024"/>
      <c r="FQ142" s="1024"/>
      <c r="FR142" s="1024"/>
      <c r="FS142" s="1024"/>
      <c r="FT142" s="1024"/>
      <c r="FU142" s="1024"/>
      <c r="FV142" s="1024"/>
      <c r="FW142" s="1024"/>
      <c r="FX142" s="1024"/>
      <c r="FY142" s="1024"/>
      <c r="FZ142" s="1024"/>
      <c r="GA142" s="1024"/>
      <c r="GB142" s="1024"/>
      <c r="GC142" s="1024"/>
      <c r="GD142" s="1024"/>
      <c r="GE142" s="1024"/>
      <c r="GF142" s="1024"/>
      <c r="GG142" s="1024"/>
      <c r="GH142" s="1024"/>
      <c r="GI142" s="1024"/>
      <c r="GJ142" s="1024"/>
      <c r="GK142" s="1024"/>
      <c r="GL142" s="1024"/>
      <c r="GM142" s="1024"/>
      <c r="GN142" s="1024"/>
      <c r="GO142" s="1024"/>
      <c r="GP142" s="1024"/>
      <c r="GQ142" s="1024"/>
      <c r="GR142" s="1024"/>
      <c r="GS142" s="1024"/>
      <c r="GT142" s="1024"/>
      <c r="GU142" s="1024"/>
      <c r="GV142" s="1024"/>
      <c r="GW142" s="1024"/>
      <c r="GX142" s="1024"/>
      <c r="GY142" s="1024"/>
      <c r="GZ142" s="1024"/>
      <c r="HA142" s="1024"/>
      <c r="HB142" s="1024"/>
      <c r="HC142" s="1024"/>
      <c r="HD142" s="1024"/>
      <c r="HE142" s="1024"/>
      <c r="HF142" s="1024"/>
      <c r="HG142" s="1024"/>
      <c r="HH142" s="1024"/>
      <c r="HI142" s="1024"/>
      <c r="HJ142" s="1024"/>
      <c r="HK142" s="1024"/>
      <c r="HL142" s="1024"/>
      <c r="HM142" s="1024"/>
      <c r="HN142" s="1024"/>
      <c r="HO142" s="1024"/>
      <c r="HP142" s="1024"/>
      <c r="HQ142" s="1024"/>
      <c r="HR142" s="1024"/>
      <c r="HS142" s="1024"/>
      <c r="HT142" s="1024"/>
      <c r="HU142" s="1024"/>
      <c r="HV142" s="1024"/>
      <c r="HW142" s="1024"/>
      <c r="HX142" s="1024"/>
      <c r="HY142" s="1024"/>
      <c r="HZ142" s="1024"/>
      <c r="IA142" s="1024"/>
      <c r="IB142" s="1024"/>
      <c r="IC142" s="1024"/>
      <c r="ID142" s="1024"/>
      <c r="IE142" s="1024"/>
      <c r="IF142" s="1024"/>
      <c r="IG142" s="1024"/>
      <c r="IH142" s="1024"/>
      <c r="II142" s="1024"/>
      <c r="IJ142" s="1024"/>
      <c r="IK142" s="1024"/>
      <c r="IL142" s="1024"/>
      <c r="IM142" s="1024"/>
      <c r="IN142" s="1024"/>
      <c r="IO142" s="1024"/>
      <c r="IP142" s="1024"/>
      <c r="IQ142" s="1024"/>
      <c r="IR142" s="1024"/>
      <c r="IS142" s="1024"/>
      <c r="IT142" s="1024"/>
      <c r="IU142" s="1024"/>
      <c r="IV142" s="1024"/>
      <c r="IW142" s="1024"/>
      <c r="IX142" s="1024"/>
      <c r="IY142" s="1024"/>
      <c r="IZ142" s="1024"/>
      <c r="JA142" s="1024"/>
      <c r="JB142" s="1024"/>
      <c r="JC142" s="1024"/>
      <c r="JD142" s="1024"/>
      <c r="JE142" s="1024"/>
      <c r="JF142" s="1024"/>
      <c r="JG142" s="1024"/>
      <c r="JH142" s="1024"/>
      <c r="JI142" s="1024"/>
      <c r="JJ142" s="1024"/>
      <c r="JK142" s="1024"/>
      <c r="JL142" s="1024"/>
      <c r="JM142" s="1024"/>
      <c r="JN142" s="1024"/>
      <c r="JO142" s="1024"/>
      <c r="JP142" s="1024"/>
      <c r="JQ142" s="1024"/>
      <c r="JR142" s="1024"/>
      <c r="JS142" s="1024"/>
      <c r="JT142" s="1024"/>
      <c r="JU142" s="1024"/>
      <c r="JV142" s="1024"/>
      <c r="JW142" s="1024"/>
      <c r="JX142" s="1024"/>
      <c r="JY142" s="1024"/>
      <c r="JZ142" s="1024"/>
      <c r="KA142" s="1024"/>
      <c r="KB142" s="1024"/>
      <c r="KC142" s="1024"/>
      <c r="KD142" s="1024"/>
      <c r="KE142" s="1024"/>
      <c r="KF142" s="1024"/>
      <c r="KG142" s="1024"/>
      <c r="KH142" s="1024"/>
      <c r="KI142" s="1024"/>
      <c r="KJ142" s="1024"/>
      <c r="KK142" s="1024"/>
      <c r="KL142" s="1024"/>
      <c r="KM142" s="1024"/>
      <c r="KN142" s="1024"/>
      <c r="KO142" s="1024"/>
      <c r="KP142" s="1024"/>
      <c r="KQ142" s="1024"/>
      <c r="KR142" s="1024"/>
      <c r="KS142" s="1024"/>
      <c r="KT142" s="1024"/>
      <c r="KU142" s="1024"/>
      <c r="KV142" s="1024"/>
      <c r="KW142" s="1024"/>
      <c r="KX142" s="1024"/>
      <c r="KY142" s="1024"/>
      <c r="KZ142" s="1024"/>
      <c r="LA142" s="1024"/>
      <c r="LB142" s="1024"/>
      <c r="LC142" s="1024"/>
      <c r="LD142" s="1024"/>
      <c r="LE142" s="1024"/>
      <c r="LF142" s="1024"/>
      <c r="LG142" s="1024"/>
      <c r="LH142" s="1024"/>
      <c r="LI142" s="1024"/>
      <c r="LJ142" s="1024"/>
      <c r="LK142" s="1024"/>
      <c r="LL142" s="1024"/>
      <c r="LM142" s="1024"/>
      <c r="LN142" s="1024"/>
      <c r="LO142" s="1024"/>
      <c r="LP142" s="1024"/>
      <c r="LQ142" s="1024"/>
      <c r="LR142" s="1024"/>
      <c r="LS142" s="1024"/>
      <c r="LT142" s="1024"/>
      <c r="LU142" s="1024"/>
      <c r="LV142" s="1024"/>
      <c r="LW142" s="1024"/>
      <c r="LX142" s="1024"/>
      <c r="LY142" s="1024"/>
      <c r="LZ142" s="1024"/>
      <c r="MA142" s="1024"/>
      <c r="MB142" s="1024"/>
      <c r="MC142" s="1024"/>
      <c r="MD142" s="1024"/>
      <c r="ME142" s="1024"/>
      <c r="MF142" s="1024"/>
      <c r="MG142" s="1024"/>
      <c r="MH142" s="1024"/>
      <c r="MI142" s="1024"/>
      <c r="MJ142" s="1024"/>
      <c r="MK142" s="1024"/>
      <c r="ML142" s="1024"/>
      <c r="MM142" s="1024"/>
      <c r="MN142" s="1024"/>
      <c r="MO142" s="1024"/>
      <c r="MP142" s="1024"/>
      <c r="MQ142" s="1024"/>
      <c r="MR142" s="1024"/>
      <c r="MS142" s="1024"/>
      <c r="MT142" s="1024"/>
      <c r="MU142" s="1024"/>
      <c r="MV142" s="1024"/>
      <c r="MW142" s="1024"/>
      <c r="MX142" s="1024"/>
      <c r="MY142" s="1024"/>
      <c r="MZ142" s="1024"/>
      <c r="NA142" s="1024"/>
      <c r="NB142" s="1024"/>
      <c r="NC142" s="1024"/>
      <c r="ND142" s="1024"/>
      <c r="NE142" s="1024"/>
      <c r="NF142" s="1024"/>
      <c r="NG142" s="1024"/>
      <c r="NH142" s="1024"/>
      <c r="NI142" s="1024"/>
      <c r="NJ142" s="1024"/>
      <c r="NK142" s="1024"/>
      <c r="NL142" s="1024"/>
      <c r="NM142" s="1024"/>
      <c r="NN142" s="1024"/>
      <c r="NO142" s="1024"/>
      <c r="NP142" s="1024"/>
      <c r="NQ142" s="1024"/>
      <c r="NR142" s="1024"/>
      <c r="NS142" s="1024"/>
      <c r="NT142" s="1024"/>
      <c r="NU142" s="1024"/>
      <c r="NV142" s="1024"/>
      <c r="NW142" s="1024"/>
      <c r="NX142" s="1024"/>
      <c r="NY142" s="1024"/>
      <c r="NZ142" s="1024"/>
      <c r="OA142" s="1024"/>
      <c r="OB142" s="1024"/>
      <c r="OC142" s="1024"/>
      <c r="OD142" s="1024"/>
      <c r="OE142" s="1024"/>
      <c r="OF142" s="1024"/>
      <c r="OG142" s="1024"/>
      <c r="OH142" s="1024"/>
      <c r="OI142" s="1024"/>
      <c r="OJ142" s="1024"/>
      <c r="OK142" s="1024"/>
      <c r="OL142" s="1024"/>
      <c r="OM142" s="1024"/>
      <c r="ON142" s="1024"/>
      <c r="OO142" s="1024"/>
      <c r="OP142" s="1024"/>
      <c r="OQ142" s="1024"/>
      <c r="OR142" s="1024"/>
      <c r="OS142" s="1024"/>
      <c r="OT142" s="1024"/>
      <c r="OU142" s="1024"/>
      <c r="OV142" s="1024"/>
      <c r="OW142" s="1024"/>
      <c r="OX142" s="1024"/>
      <c r="OY142" s="1024"/>
      <c r="OZ142" s="1024"/>
      <c r="PA142" s="1024"/>
      <c r="PB142" s="1024"/>
      <c r="PC142" s="1024"/>
      <c r="PD142" s="1024"/>
      <c r="PE142" s="1024"/>
      <c r="PF142" s="1024"/>
      <c r="PG142" s="1024"/>
      <c r="PH142" s="1024"/>
      <c r="PI142" s="1024"/>
      <c r="PJ142" s="1024"/>
      <c r="PK142" s="1024"/>
      <c r="PL142" s="1024"/>
      <c r="PM142" s="1024"/>
      <c r="PN142" s="1024"/>
      <c r="PO142" s="1024"/>
      <c r="PP142" s="1024"/>
      <c r="PQ142" s="1024"/>
      <c r="PR142" s="1024"/>
      <c r="PS142" s="1024"/>
      <c r="PT142" s="1024"/>
      <c r="PU142" s="1024"/>
      <c r="PV142" s="1024"/>
      <c r="PW142" s="1024"/>
      <c r="PX142" s="1024"/>
      <c r="PY142" s="1024"/>
      <c r="PZ142" s="1024"/>
      <c r="QA142" s="1024"/>
      <c r="QB142" s="1024"/>
      <c r="QC142" s="1024"/>
      <c r="QD142" s="1024"/>
      <c r="QE142" s="1024"/>
      <c r="QF142" s="1024"/>
      <c r="QG142" s="1024"/>
      <c r="QH142" s="1024"/>
      <c r="QI142" s="1024"/>
      <c r="QJ142" s="1024"/>
      <c r="QK142" s="1024"/>
      <c r="QL142" s="1024"/>
      <c r="QM142" s="1024"/>
      <c r="QN142" s="1024"/>
      <c r="QO142" s="1024"/>
      <c r="QP142" s="1024"/>
      <c r="QQ142" s="1024"/>
      <c r="QR142" s="1024"/>
      <c r="QS142" s="1024"/>
      <c r="QT142" s="1024"/>
      <c r="QU142" s="1024"/>
      <c r="QV142" s="1024"/>
      <c r="QW142" s="1024"/>
      <c r="QX142" s="1024"/>
      <c r="QY142" s="1024"/>
      <c r="QZ142" s="1024"/>
      <c r="RA142" s="1024"/>
      <c r="RB142" s="1024"/>
      <c r="RC142" s="1024"/>
      <c r="RD142" s="1024"/>
      <c r="RE142" s="1024"/>
      <c r="RF142" s="1024"/>
      <c r="RG142" s="1024"/>
      <c r="RH142" s="1024"/>
      <c r="RI142" s="1024"/>
      <c r="RJ142" s="1024"/>
      <c r="RK142" s="1024"/>
      <c r="RL142" s="1024"/>
      <c r="RM142" s="1024"/>
      <c r="RN142" s="1024"/>
      <c r="RO142" s="1024"/>
      <c r="RP142" s="1024"/>
      <c r="RQ142" s="1024"/>
      <c r="RR142" s="1024"/>
      <c r="RS142" s="1024"/>
      <c r="RT142" s="1024"/>
      <c r="RU142" s="1024"/>
      <c r="RV142" s="1024"/>
      <c r="RW142" s="1024"/>
      <c r="RX142" s="1024"/>
      <c r="RY142" s="1024"/>
      <c r="RZ142" s="1024"/>
      <c r="SA142" s="1024"/>
      <c r="SB142" s="1024"/>
      <c r="SC142" s="1024"/>
      <c r="SD142" s="1024"/>
      <c r="SE142" s="1024"/>
      <c r="SF142" s="1024"/>
      <c r="SG142" s="1024"/>
      <c r="SH142" s="1024"/>
      <c r="SI142" s="1024"/>
      <c r="SJ142" s="1024"/>
      <c r="SK142" s="1024"/>
      <c r="SL142" s="1024"/>
      <c r="SM142" s="1024"/>
      <c r="SN142" s="1024"/>
      <c r="SO142" s="1024"/>
      <c r="SP142" s="1024"/>
      <c r="SQ142" s="1024"/>
      <c r="SR142" s="1024"/>
    </row>
    <row r="143" spans="1:512" ht="15" customHeight="1">
      <c r="A143"/>
      <c r="B143" t="s">
        <v>2724</v>
      </c>
      <c r="C143"/>
      <c r="D143"/>
      <c r="E143" t="s">
        <v>169</v>
      </c>
      <c r="F143"/>
      <c r="G143" s="1022">
        <v>0</v>
      </c>
      <c r="H143" s="1022">
        <v>0</v>
      </c>
      <c r="I143" s="1022"/>
      <c r="J143" s="1022"/>
      <c r="K143" s="1022"/>
      <c r="L143" s="1022"/>
      <c r="M143" s="1022"/>
      <c r="N143" s="1022"/>
      <c r="O143" s="1022"/>
      <c r="P143" s="1022"/>
      <c r="Q143" s="1022"/>
      <c r="R143" s="1022"/>
      <c r="S143" s="1022"/>
      <c r="T143" s="1022"/>
      <c r="U143" s="1021"/>
      <c r="V143" s="1021"/>
      <c r="W143" s="1021"/>
      <c r="X143" s="1021"/>
      <c r="Y143" s="1021"/>
      <c r="Z143" s="1021"/>
      <c r="AA143" s="1021"/>
      <c r="AB143" s="1021"/>
      <c r="AC143" s="1021"/>
      <c r="AD143" s="1021"/>
      <c r="AE143" s="1021"/>
      <c r="AF143" s="1021"/>
      <c r="AG143" s="1021"/>
      <c r="AH143" s="1021"/>
      <c r="AI143" s="1021"/>
      <c r="AJ143" s="1021"/>
      <c r="AK143" s="1021"/>
      <c r="AL143" s="1021"/>
      <c r="AM143" s="1021"/>
      <c r="AN143" s="1021"/>
      <c r="AO143" s="1021"/>
      <c r="AP143" s="1021"/>
      <c r="AQ143" s="1021"/>
      <c r="AR143" s="1021"/>
      <c r="AS143" s="1021"/>
      <c r="AT143" s="1021"/>
      <c r="AU143" s="1021"/>
      <c r="AV143" s="1021"/>
      <c r="AW143" s="1021"/>
      <c r="AX143" s="1021"/>
      <c r="AY143" s="1021"/>
      <c r="AZ143" s="1021"/>
      <c r="BA143" s="1021"/>
      <c r="BB143" s="1021"/>
      <c r="BC143" s="1021"/>
      <c r="BD143" s="1021"/>
      <c r="BE143" s="1021"/>
      <c r="BF143" s="1021"/>
      <c r="BG143" s="1021"/>
      <c r="BH143" s="1021"/>
      <c r="BI143" s="1021"/>
      <c r="BJ143" s="1021"/>
      <c r="BK143" s="1021"/>
      <c r="BL143" s="1021"/>
      <c r="BM143" s="1021"/>
      <c r="BN143" s="1021"/>
      <c r="BO143" s="1021"/>
      <c r="BP143" s="1021"/>
      <c r="BQ143" s="1021"/>
      <c r="BR143" s="1021"/>
      <c r="BS143" s="1021"/>
      <c r="BT143" s="1021"/>
      <c r="BU143" s="1021"/>
      <c r="BV143" s="1021"/>
      <c r="BW143" s="1021"/>
      <c r="BX143" s="1021"/>
      <c r="BY143" s="1021"/>
      <c r="BZ143" s="1021"/>
      <c r="CA143" s="1021"/>
      <c r="CB143" s="1021"/>
      <c r="CC143" s="1021"/>
      <c r="CD143" s="1021"/>
      <c r="CE143" s="1021"/>
      <c r="CF143" s="1021"/>
      <c r="CG143" s="1021"/>
      <c r="CH143" s="1021"/>
      <c r="CI143" s="1021"/>
      <c r="CJ143" s="1021"/>
      <c r="CK143" s="1021"/>
      <c r="CL143" s="1021"/>
      <c r="CM143" s="1021"/>
      <c r="CN143" s="1021"/>
      <c r="CO143" s="1021"/>
      <c r="CP143" s="1021"/>
      <c r="CQ143" s="1021"/>
      <c r="CR143" s="1021"/>
      <c r="CS143" s="1021"/>
      <c r="CT143" s="1021"/>
      <c r="CU143" s="1021"/>
      <c r="CV143" s="1021"/>
      <c r="CW143" s="1021"/>
      <c r="CX143" s="1021"/>
      <c r="CY143" s="1021"/>
      <c r="CZ143" s="1021"/>
      <c r="DA143" s="1021"/>
      <c r="DB143" s="1021"/>
      <c r="DC143" s="1021"/>
      <c r="DD143" s="1021"/>
      <c r="DE143" s="1021"/>
      <c r="DF143" s="1021"/>
      <c r="DG143" s="1021"/>
      <c r="DH143" s="1021"/>
      <c r="DI143" s="1021"/>
      <c r="DJ143" s="1021"/>
      <c r="DK143" s="1021"/>
      <c r="DL143" s="1021"/>
      <c r="DM143" s="1021"/>
      <c r="DN143" s="1021"/>
      <c r="DO143" s="1021"/>
      <c r="DP143" s="1021"/>
      <c r="DQ143" s="1021"/>
      <c r="DR143" s="1021"/>
      <c r="DS143" s="1021"/>
      <c r="DT143" s="1021"/>
      <c r="DU143" s="1021"/>
      <c r="DV143" s="1021"/>
      <c r="DW143" s="1021"/>
      <c r="DX143" s="1021"/>
      <c r="DY143" s="1021"/>
      <c r="DZ143" s="1021"/>
      <c r="EA143" s="1021"/>
      <c r="EB143" s="1021"/>
      <c r="EC143" s="1021"/>
      <c r="ED143" s="1021"/>
      <c r="EE143" s="1021"/>
      <c r="EF143" s="1021"/>
      <c r="EG143" s="1021"/>
      <c r="EH143" s="1021"/>
      <c r="EI143" s="1021"/>
      <c r="EJ143" s="1021"/>
      <c r="EK143" s="1021"/>
      <c r="EL143" s="1021"/>
      <c r="EM143" s="1021"/>
      <c r="EN143" s="1021"/>
      <c r="EO143" s="1021"/>
      <c r="EP143" s="1021"/>
      <c r="EQ143" s="1021"/>
      <c r="ER143" s="1021"/>
      <c r="ES143" s="1021"/>
      <c r="ET143" s="1021"/>
      <c r="EU143" s="1021"/>
      <c r="EV143" s="1021"/>
      <c r="EW143" s="1021"/>
      <c r="EX143" s="1021"/>
      <c r="EY143" s="1021"/>
      <c r="EZ143" s="1021"/>
      <c r="FA143" s="1021"/>
      <c r="FB143" s="1021"/>
      <c r="FC143" s="1021"/>
      <c r="FD143" s="1021"/>
      <c r="FE143" s="1021"/>
      <c r="FF143" s="1021"/>
      <c r="FG143" s="1021"/>
      <c r="FH143" s="1021"/>
      <c r="FI143" s="1021"/>
      <c r="FJ143" s="1021"/>
      <c r="FK143" s="1021"/>
      <c r="FL143" s="1021"/>
      <c r="FM143" s="1021"/>
      <c r="FN143" s="1021"/>
      <c r="FO143" s="1021"/>
      <c r="FP143" s="1021"/>
      <c r="FQ143" s="1021"/>
      <c r="FR143" s="1021"/>
      <c r="FS143" s="1021"/>
      <c r="FT143" s="1021"/>
      <c r="FU143" s="1021"/>
      <c r="FV143" s="1021"/>
      <c r="FW143" s="1021"/>
      <c r="FX143" s="1021"/>
      <c r="FY143" s="1021"/>
      <c r="FZ143" s="1021"/>
      <c r="GA143" s="1021"/>
      <c r="GB143" s="1021"/>
      <c r="GC143" s="1021"/>
      <c r="GD143" s="1021"/>
      <c r="GE143" s="1021"/>
      <c r="GF143" s="1021"/>
      <c r="GG143" s="1021"/>
      <c r="GH143" s="1021"/>
      <c r="GI143" s="1021"/>
      <c r="GJ143" s="1021"/>
      <c r="GK143" s="1021"/>
      <c r="GL143" s="1021"/>
      <c r="GM143" s="1021"/>
      <c r="GN143" s="1021"/>
      <c r="GO143" s="1021"/>
      <c r="GP143" s="1021"/>
      <c r="GQ143" s="1021"/>
      <c r="GR143" s="1021"/>
      <c r="GS143" s="1021"/>
      <c r="GT143" s="1021"/>
      <c r="GU143" s="1021"/>
      <c r="GV143" s="1021"/>
      <c r="GW143" s="1021"/>
      <c r="GX143" s="1021"/>
      <c r="GY143" s="1021"/>
      <c r="GZ143" s="1021"/>
      <c r="HA143" s="1021"/>
      <c r="HB143" s="1021"/>
      <c r="HC143" s="1021"/>
      <c r="HD143" s="1021"/>
      <c r="HE143" s="1021"/>
      <c r="HF143" s="1021"/>
      <c r="HG143" s="1021"/>
      <c r="HH143" s="1021"/>
      <c r="HI143" s="1021"/>
      <c r="HJ143" s="1021"/>
      <c r="HK143" s="1021"/>
      <c r="HL143" s="1021"/>
      <c r="HM143" s="1021"/>
      <c r="HN143" s="1021"/>
      <c r="HO143" s="1021"/>
      <c r="HP143" s="1021"/>
      <c r="HQ143" s="1021"/>
      <c r="HR143" s="1021"/>
      <c r="HS143" s="1021"/>
      <c r="HT143" s="1021"/>
      <c r="HU143" s="1021"/>
      <c r="HV143" s="1021"/>
      <c r="HW143" s="1021"/>
      <c r="HX143" s="1021"/>
      <c r="HY143" s="1021"/>
      <c r="HZ143" s="1021"/>
      <c r="IA143" s="1021"/>
      <c r="IB143" s="1021"/>
      <c r="IC143" s="1021"/>
      <c r="ID143" s="1021"/>
      <c r="IE143" s="1021"/>
      <c r="IF143" s="1021"/>
      <c r="IG143" s="1021"/>
      <c r="IH143" s="1021"/>
      <c r="II143" s="1021"/>
      <c r="IJ143" s="1021"/>
      <c r="IK143" s="1021"/>
      <c r="IL143" s="1021"/>
      <c r="IM143" s="1021"/>
      <c r="IN143" s="1021"/>
      <c r="IO143" s="1021"/>
      <c r="IP143" s="1021"/>
      <c r="IQ143" s="1021"/>
      <c r="IR143" s="1021"/>
      <c r="IS143" s="1021"/>
      <c r="IT143" s="1021"/>
      <c r="IU143" s="1021"/>
      <c r="IV143" s="1021"/>
      <c r="IW143" s="1021"/>
      <c r="IX143" s="1021"/>
      <c r="IY143" s="1021"/>
      <c r="IZ143" s="1021"/>
      <c r="JA143" s="1021"/>
      <c r="JB143" s="1021"/>
      <c r="JC143" s="1021"/>
      <c r="JD143" s="1021"/>
      <c r="JE143" s="1021"/>
      <c r="JF143" s="1021"/>
      <c r="JG143" s="1021"/>
      <c r="JH143" s="1021"/>
      <c r="JI143" s="1021"/>
      <c r="JJ143" s="1021"/>
      <c r="JK143" s="1021"/>
      <c r="JL143" s="1021"/>
      <c r="JM143" s="1021"/>
      <c r="JN143" s="1021"/>
      <c r="JO143" s="1021"/>
      <c r="JP143" s="1021"/>
      <c r="JQ143" s="1021"/>
      <c r="JR143" s="1021"/>
      <c r="JS143" s="1021"/>
      <c r="JT143" s="1021"/>
      <c r="JU143" s="1021"/>
      <c r="JV143" s="1021"/>
      <c r="JW143" s="1021"/>
      <c r="JX143" s="1021"/>
      <c r="JY143" s="1021"/>
      <c r="JZ143" s="1021"/>
      <c r="KA143" s="1021"/>
      <c r="KB143" s="1021"/>
      <c r="KC143" s="1021"/>
      <c r="KD143" s="1021"/>
      <c r="KE143" s="1021"/>
      <c r="KF143" s="1021"/>
      <c r="KG143" s="1021"/>
      <c r="KH143" s="1021"/>
      <c r="KI143" s="1021"/>
      <c r="KJ143" s="1021"/>
      <c r="KK143" s="1021"/>
      <c r="KL143" s="1021"/>
      <c r="KM143" s="1021"/>
      <c r="KN143" s="1021"/>
      <c r="KO143" s="1021"/>
      <c r="KP143" s="1021"/>
      <c r="KQ143" s="1021"/>
      <c r="KR143" s="1021"/>
      <c r="KS143" s="1021"/>
      <c r="KT143" s="1021"/>
      <c r="KU143" s="1021"/>
      <c r="KV143" s="1021"/>
      <c r="KW143" s="1021"/>
      <c r="KX143" s="1021"/>
      <c r="KY143" s="1021"/>
      <c r="KZ143" s="1021"/>
      <c r="LA143" s="1021"/>
      <c r="LB143" s="1021"/>
      <c r="LC143" s="1021"/>
      <c r="LD143" s="1021"/>
      <c r="LE143" s="1021"/>
      <c r="LF143" s="1021"/>
      <c r="LG143" s="1021"/>
      <c r="LH143" s="1021"/>
      <c r="LI143" s="1021"/>
      <c r="LJ143" s="1021"/>
      <c r="LK143" s="1021"/>
      <c r="LL143" s="1021"/>
      <c r="LM143" s="1021"/>
      <c r="LN143" s="1021"/>
      <c r="LO143" s="1021"/>
      <c r="LP143" s="1021"/>
      <c r="LQ143" s="1021"/>
      <c r="LR143" s="1021"/>
      <c r="LS143" s="1021"/>
      <c r="LT143" s="1021"/>
      <c r="LU143" s="1021"/>
      <c r="LV143" s="1021"/>
      <c r="LW143" s="1021"/>
      <c r="LX143" s="1021"/>
      <c r="LY143" s="1021"/>
      <c r="LZ143" s="1021"/>
      <c r="MA143" s="1021"/>
      <c r="MB143" s="1021"/>
      <c r="MC143" s="1021"/>
      <c r="MD143" s="1021"/>
      <c r="ME143" s="1021"/>
      <c r="MF143" s="1021"/>
      <c r="MG143" s="1021"/>
      <c r="MH143" s="1021"/>
      <c r="MI143" s="1021"/>
      <c r="MJ143" s="1021"/>
      <c r="MK143" s="1021"/>
      <c r="ML143" s="1021"/>
      <c r="MM143" s="1021"/>
      <c r="MN143" s="1021"/>
      <c r="MO143" s="1021"/>
      <c r="MP143" s="1021"/>
      <c r="MQ143" s="1021"/>
      <c r="MR143" s="1021"/>
      <c r="MS143" s="1021"/>
      <c r="MT143" s="1021"/>
      <c r="MU143" s="1021"/>
      <c r="MV143" s="1021"/>
      <c r="MW143" s="1021"/>
      <c r="MX143" s="1021"/>
      <c r="MY143" s="1021"/>
      <c r="MZ143" s="1021"/>
      <c r="NA143" s="1021"/>
      <c r="NB143" s="1021"/>
      <c r="NC143" s="1021"/>
      <c r="ND143" s="1021"/>
      <c r="NE143" s="1021"/>
      <c r="NF143" s="1021"/>
      <c r="NG143" s="1021"/>
      <c r="NH143" s="1021"/>
      <c r="NI143" s="1021"/>
      <c r="NJ143" s="1021"/>
      <c r="NK143" s="1021"/>
      <c r="NL143" s="1021"/>
      <c r="NM143" s="1021"/>
      <c r="NN143" s="1021"/>
      <c r="NO143" s="1021"/>
      <c r="NP143" s="1021"/>
      <c r="NQ143" s="1021"/>
      <c r="NR143" s="1021"/>
      <c r="NS143" s="1021"/>
      <c r="NT143" s="1021"/>
      <c r="NU143" s="1021"/>
      <c r="NV143" s="1021"/>
      <c r="NW143" s="1021"/>
      <c r="NX143" s="1021"/>
      <c r="NY143" s="1021"/>
      <c r="NZ143" s="1021"/>
      <c r="OA143" s="1021"/>
      <c r="OB143" s="1021"/>
      <c r="OC143" s="1021"/>
      <c r="OD143" s="1021"/>
      <c r="OE143" s="1021"/>
      <c r="OF143" s="1021"/>
      <c r="OG143" s="1021"/>
      <c r="OH143" s="1021"/>
      <c r="OI143" s="1021"/>
      <c r="OJ143" s="1021"/>
      <c r="OK143" s="1021"/>
      <c r="OL143" s="1021"/>
      <c r="OM143" s="1021"/>
      <c r="ON143" s="1021"/>
      <c r="OO143" s="1021"/>
      <c r="OP143" s="1021"/>
      <c r="OQ143" s="1021"/>
      <c r="OR143" s="1021"/>
      <c r="OS143" s="1021"/>
      <c r="OT143" s="1021"/>
      <c r="OU143" s="1021"/>
      <c r="OV143" s="1021"/>
      <c r="OW143" s="1021"/>
      <c r="OX143" s="1021"/>
      <c r="OY143" s="1021"/>
      <c r="OZ143" s="1021"/>
      <c r="PA143" s="1021"/>
      <c r="PB143" s="1021"/>
      <c r="PC143" s="1021"/>
      <c r="PD143" s="1021"/>
      <c r="PE143" s="1021"/>
      <c r="PF143" s="1021"/>
      <c r="PG143" s="1021"/>
      <c r="PH143" s="1021"/>
      <c r="PI143" s="1021"/>
      <c r="PJ143" s="1021"/>
      <c r="PK143" s="1021"/>
      <c r="PL143" s="1021"/>
      <c r="PM143" s="1021"/>
      <c r="PN143" s="1021"/>
      <c r="PO143" s="1021"/>
      <c r="PP143" s="1021"/>
      <c r="PQ143" s="1021"/>
      <c r="PR143" s="1021"/>
      <c r="PS143" s="1021"/>
      <c r="PT143" s="1021"/>
      <c r="PU143" s="1021"/>
      <c r="PV143" s="1021"/>
      <c r="PW143" s="1021"/>
      <c r="PX143" s="1021"/>
      <c r="PY143" s="1021"/>
      <c r="PZ143" s="1021"/>
      <c r="QA143" s="1021"/>
      <c r="QB143" s="1021"/>
      <c r="QC143" s="1021"/>
      <c r="QD143" s="1021"/>
      <c r="QE143" s="1021"/>
      <c r="QF143" s="1021"/>
      <c r="QG143" s="1021"/>
      <c r="QH143" s="1021"/>
      <c r="QI143" s="1021"/>
      <c r="QJ143" s="1021"/>
      <c r="QK143" s="1021"/>
      <c r="QL143" s="1021"/>
      <c r="QM143" s="1021"/>
      <c r="QN143" s="1021"/>
      <c r="QO143" s="1021"/>
      <c r="QP143" s="1021"/>
      <c r="QQ143" s="1021"/>
      <c r="QR143" s="1021"/>
      <c r="QS143" s="1021"/>
      <c r="QT143" s="1021"/>
      <c r="QU143" s="1021"/>
      <c r="QV143" s="1021"/>
      <c r="QW143" s="1021"/>
      <c r="QX143" s="1021"/>
      <c r="QY143" s="1021"/>
      <c r="QZ143" s="1021"/>
      <c r="RA143" s="1021"/>
      <c r="RB143" s="1021"/>
      <c r="RC143" s="1021"/>
      <c r="RD143" s="1021"/>
      <c r="RE143" s="1021"/>
      <c r="RF143" s="1021"/>
      <c r="RG143" s="1021"/>
      <c r="RH143" s="1021"/>
      <c r="RI143" s="1021"/>
      <c r="RJ143" s="1021"/>
      <c r="RK143" s="1021"/>
      <c r="RL143" s="1021"/>
      <c r="RM143" s="1021"/>
      <c r="RN143" s="1021"/>
      <c r="RO143" s="1021"/>
      <c r="RP143" s="1021"/>
      <c r="RQ143" s="1021"/>
      <c r="RR143" s="1021"/>
      <c r="RS143" s="1021"/>
      <c r="RT143" s="1021"/>
      <c r="RU143" s="1021"/>
      <c r="RV143" s="1021"/>
      <c r="RW143" s="1021"/>
      <c r="RX143" s="1021"/>
      <c r="RY143" s="1021"/>
      <c r="RZ143" s="1021"/>
      <c r="SA143" s="1021"/>
      <c r="SB143" s="1021"/>
      <c r="SC143" s="1021"/>
      <c r="SD143" s="1021"/>
      <c r="SE143" s="1021"/>
      <c r="SF143" s="1021"/>
      <c r="SG143" s="1021"/>
      <c r="SH143" s="1021"/>
      <c r="SI143" s="1021"/>
      <c r="SJ143" s="1021"/>
      <c r="SK143" s="1021"/>
      <c r="SL143" s="1021"/>
      <c r="SM143" s="1021"/>
      <c r="SN143" s="1021"/>
      <c r="SO143" s="1021"/>
      <c r="SP143" s="1021"/>
      <c r="SQ143" s="1021"/>
      <c r="SR143" s="1021"/>
    </row>
    <row r="144" spans="1:512" ht="15" customHeight="1">
      <c r="A144"/>
      <c r="B144" t="s">
        <v>2725</v>
      </c>
      <c r="C144"/>
      <c r="D144"/>
      <c r="E144" t="s">
        <v>3848</v>
      </c>
      <c r="F144"/>
      <c r="G144" s="1023">
        <v>0</v>
      </c>
      <c r="H144" s="1023">
        <v>0</v>
      </c>
      <c r="I144" s="1023"/>
      <c r="J144" s="1023"/>
      <c r="K144" s="1023"/>
      <c r="L144" s="1023"/>
      <c r="M144" s="1023"/>
      <c r="N144" s="1023"/>
      <c r="O144" s="1023"/>
      <c r="P144" s="1023"/>
      <c r="Q144" s="1023"/>
      <c r="R144" s="1023"/>
      <c r="S144" s="1023"/>
      <c r="T144" s="1023"/>
      <c r="U144" s="1021"/>
      <c r="V144" s="1021"/>
      <c r="W144" s="1021"/>
      <c r="X144" s="1021"/>
      <c r="Y144" s="1021"/>
      <c r="Z144" s="1021"/>
      <c r="AA144" s="1021"/>
      <c r="AB144" s="1021"/>
      <c r="AC144" s="1021"/>
      <c r="AD144" s="1021"/>
      <c r="AE144" s="1021"/>
      <c r="AF144" s="1021"/>
      <c r="AG144" s="1021"/>
      <c r="AH144" s="1021"/>
      <c r="AI144" s="1021"/>
      <c r="AJ144" s="1021"/>
      <c r="AK144" s="1021"/>
      <c r="AL144" s="1021"/>
      <c r="AM144" s="1021"/>
      <c r="AN144" s="1021"/>
      <c r="AO144" s="1021"/>
      <c r="AP144" s="1021"/>
      <c r="AQ144" s="1021"/>
      <c r="AR144" s="1021"/>
      <c r="AS144" s="1021"/>
      <c r="AT144" s="1021"/>
      <c r="AU144" s="1021"/>
      <c r="AV144" s="1021"/>
      <c r="AW144" s="1021"/>
      <c r="AX144" s="1021"/>
      <c r="AY144" s="1021"/>
      <c r="AZ144" s="1021"/>
      <c r="BA144" s="1021"/>
      <c r="BB144" s="1021"/>
      <c r="BC144" s="1021"/>
      <c r="BD144" s="1021"/>
      <c r="BE144" s="1021"/>
      <c r="BF144" s="1021"/>
      <c r="BG144" s="1021"/>
      <c r="BH144" s="1021"/>
      <c r="BI144" s="1021"/>
      <c r="BJ144" s="1021"/>
      <c r="BK144" s="1021"/>
      <c r="BL144" s="1021"/>
      <c r="BM144" s="1021"/>
      <c r="BN144" s="1021"/>
      <c r="BO144" s="1021"/>
      <c r="BP144" s="1021"/>
      <c r="BQ144" s="1021"/>
      <c r="BR144" s="1021"/>
      <c r="BS144" s="1021"/>
      <c r="BT144" s="1021"/>
      <c r="BU144" s="1021"/>
      <c r="BV144" s="1021"/>
      <c r="BW144" s="1021"/>
      <c r="BX144" s="1021"/>
      <c r="BY144" s="1021"/>
      <c r="BZ144" s="1021"/>
      <c r="CA144" s="1021"/>
      <c r="CB144" s="1021"/>
      <c r="CC144" s="1021"/>
      <c r="CD144" s="1021"/>
      <c r="CE144" s="1021"/>
      <c r="CF144" s="1021"/>
      <c r="CG144" s="1021"/>
      <c r="CH144" s="1021"/>
      <c r="CI144" s="1021"/>
      <c r="CJ144" s="1021"/>
      <c r="CK144" s="1021"/>
      <c r="CL144" s="1021"/>
      <c r="CM144" s="1021"/>
      <c r="CN144" s="1021"/>
      <c r="CO144" s="1021"/>
      <c r="CP144" s="1021"/>
      <c r="CQ144" s="1021"/>
      <c r="CR144" s="1021"/>
      <c r="CS144" s="1021"/>
      <c r="CT144" s="1021"/>
      <c r="CU144" s="1021"/>
      <c r="CV144" s="1021"/>
      <c r="CW144" s="1021"/>
      <c r="CX144" s="1021"/>
      <c r="CY144" s="1021"/>
      <c r="CZ144" s="1021"/>
      <c r="DA144" s="1021"/>
      <c r="DB144" s="1021"/>
      <c r="DC144" s="1021"/>
      <c r="DD144" s="1021"/>
      <c r="DE144" s="1021"/>
      <c r="DF144" s="1021"/>
      <c r="DG144" s="1021"/>
      <c r="DH144" s="1021"/>
      <c r="DI144" s="1021"/>
      <c r="DJ144" s="1021"/>
      <c r="DK144" s="1021"/>
      <c r="DL144" s="1021"/>
      <c r="DM144" s="1021"/>
      <c r="DN144" s="1021"/>
      <c r="DO144" s="1021"/>
      <c r="DP144" s="1021"/>
      <c r="DQ144" s="1021"/>
      <c r="DR144" s="1021"/>
      <c r="DS144" s="1021"/>
      <c r="DT144" s="1021"/>
      <c r="DU144" s="1021"/>
      <c r="DV144" s="1021"/>
      <c r="DW144" s="1021"/>
      <c r="DX144" s="1021"/>
      <c r="DY144" s="1021"/>
      <c r="DZ144" s="1021"/>
      <c r="EA144" s="1021"/>
      <c r="EB144" s="1021"/>
      <c r="EC144" s="1021"/>
      <c r="ED144" s="1021"/>
      <c r="EE144" s="1021"/>
      <c r="EF144" s="1021"/>
      <c r="EG144" s="1021"/>
      <c r="EH144" s="1021"/>
      <c r="EI144" s="1021"/>
      <c r="EJ144" s="1021"/>
      <c r="EK144" s="1021"/>
      <c r="EL144" s="1021"/>
      <c r="EM144" s="1021"/>
      <c r="EN144" s="1021"/>
      <c r="EO144" s="1021"/>
      <c r="EP144" s="1021"/>
      <c r="EQ144" s="1021"/>
      <c r="ER144" s="1021"/>
      <c r="ES144" s="1021"/>
      <c r="ET144" s="1021"/>
      <c r="EU144" s="1021"/>
      <c r="EV144" s="1021"/>
      <c r="EW144" s="1021"/>
      <c r="EX144" s="1021"/>
      <c r="EY144" s="1021"/>
      <c r="EZ144" s="1021"/>
      <c r="FA144" s="1021"/>
      <c r="FB144" s="1021"/>
      <c r="FC144" s="1021"/>
      <c r="FD144" s="1021"/>
      <c r="FE144" s="1021"/>
      <c r="FF144" s="1021"/>
      <c r="FG144" s="1021"/>
      <c r="FH144" s="1021"/>
      <c r="FI144" s="1021"/>
      <c r="FJ144" s="1021"/>
      <c r="FK144" s="1021"/>
      <c r="FL144" s="1021"/>
      <c r="FM144" s="1021"/>
      <c r="FN144" s="1021"/>
      <c r="FO144" s="1021"/>
      <c r="FP144" s="1021"/>
      <c r="FQ144" s="1021"/>
      <c r="FR144" s="1021"/>
      <c r="FS144" s="1021"/>
      <c r="FT144" s="1021"/>
      <c r="FU144" s="1021"/>
      <c r="FV144" s="1021"/>
      <c r="FW144" s="1021"/>
      <c r="FX144" s="1021"/>
      <c r="FY144" s="1021"/>
      <c r="FZ144" s="1021"/>
      <c r="GA144" s="1021"/>
      <c r="GB144" s="1021"/>
      <c r="GC144" s="1021"/>
      <c r="GD144" s="1021"/>
      <c r="GE144" s="1021"/>
      <c r="GF144" s="1021"/>
      <c r="GG144" s="1021"/>
      <c r="GH144" s="1021"/>
      <c r="GI144" s="1021"/>
      <c r="GJ144" s="1021"/>
      <c r="GK144" s="1021"/>
      <c r="GL144" s="1021"/>
      <c r="GM144" s="1021"/>
      <c r="GN144" s="1021"/>
      <c r="GO144" s="1021"/>
      <c r="GP144" s="1021"/>
      <c r="GQ144" s="1021"/>
      <c r="GR144" s="1021"/>
      <c r="GS144" s="1021"/>
      <c r="GT144" s="1021"/>
      <c r="GU144" s="1021"/>
      <c r="GV144" s="1021"/>
      <c r="GW144" s="1021"/>
      <c r="GX144" s="1021"/>
      <c r="GY144" s="1021"/>
      <c r="GZ144" s="1021"/>
      <c r="HA144" s="1021"/>
      <c r="HB144" s="1021"/>
      <c r="HC144" s="1021"/>
      <c r="HD144" s="1021"/>
      <c r="HE144" s="1021"/>
      <c r="HF144" s="1021"/>
      <c r="HG144" s="1021"/>
      <c r="HH144" s="1021"/>
      <c r="HI144" s="1021"/>
      <c r="HJ144" s="1021"/>
      <c r="HK144" s="1021"/>
      <c r="HL144" s="1021"/>
      <c r="HM144" s="1021"/>
      <c r="HN144" s="1021"/>
      <c r="HO144" s="1021"/>
      <c r="HP144" s="1021"/>
      <c r="HQ144" s="1021"/>
      <c r="HR144" s="1021"/>
      <c r="HS144" s="1021"/>
      <c r="HT144" s="1021"/>
      <c r="HU144" s="1021"/>
      <c r="HV144" s="1021"/>
      <c r="HW144" s="1021"/>
      <c r="HX144" s="1021"/>
      <c r="HY144" s="1021"/>
      <c r="HZ144" s="1021"/>
      <c r="IA144" s="1021"/>
      <c r="IB144" s="1021"/>
      <c r="IC144" s="1021"/>
      <c r="ID144" s="1021"/>
      <c r="IE144" s="1021"/>
      <c r="IF144" s="1021"/>
      <c r="IG144" s="1021"/>
      <c r="IH144" s="1021"/>
      <c r="II144" s="1021"/>
      <c r="IJ144" s="1021"/>
      <c r="IK144" s="1021"/>
      <c r="IL144" s="1021"/>
      <c r="IM144" s="1021"/>
      <c r="IN144" s="1021"/>
      <c r="IO144" s="1021"/>
      <c r="IP144" s="1021"/>
      <c r="IQ144" s="1021"/>
      <c r="IR144" s="1021"/>
      <c r="IS144" s="1021"/>
      <c r="IT144" s="1021"/>
      <c r="IU144" s="1021"/>
      <c r="IV144" s="1021"/>
      <c r="IW144" s="1021"/>
      <c r="IX144" s="1021"/>
      <c r="IY144" s="1021"/>
      <c r="IZ144" s="1021"/>
      <c r="JA144" s="1021"/>
      <c r="JB144" s="1021"/>
      <c r="JC144" s="1021"/>
      <c r="JD144" s="1021"/>
      <c r="JE144" s="1021"/>
      <c r="JF144" s="1021"/>
      <c r="JG144" s="1021"/>
      <c r="JH144" s="1021"/>
      <c r="JI144" s="1021"/>
      <c r="JJ144" s="1021"/>
      <c r="JK144" s="1021"/>
      <c r="JL144" s="1021"/>
      <c r="JM144" s="1021"/>
      <c r="JN144" s="1021"/>
      <c r="JO144" s="1021"/>
      <c r="JP144" s="1021"/>
      <c r="JQ144" s="1021"/>
      <c r="JR144" s="1021"/>
      <c r="JS144" s="1021"/>
      <c r="JT144" s="1021"/>
      <c r="JU144" s="1021"/>
      <c r="JV144" s="1021"/>
      <c r="JW144" s="1021"/>
      <c r="JX144" s="1021"/>
      <c r="JY144" s="1021"/>
      <c r="JZ144" s="1021"/>
      <c r="KA144" s="1021"/>
      <c r="KB144" s="1021"/>
      <c r="KC144" s="1021"/>
      <c r="KD144" s="1021"/>
      <c r="KE144" s="1021"/>
      <c r="KF144" s="1021"/>
      <c r="KG144" s="1021"/>
      <c r="KH144" s="1021"/>
      <c r="KI144" s="1021"/>
      <c r="KJ144" s="1021"/>
      <c r="KK144" s="1021"/>
      <c r="KL144" s="1021"/>
      <c r="KM144" s="1021"/>
      <c r="KN144" s="1021"/>
      <c r="KO144" s="1021"/>
      <c r="KP144" s="1021"/>
      <c r="KQ144" s="1021"/>
      <c r="KR144" s="1021"/>
      <c r="KS144" s="1021"/>
      <c r="KT144" s="1021"/>
      <c r="KU144" s="1021"/>
      <c r="KV144" s="1021"/>
      <c r="KW144" s="1021"/>
      <c r="KX144" s="1021"/>
      <c r="KY144" s="1021"/>
      <c r="KZ144" s="1021"/>
      <c r="LA144" s="1021"/>
      <c r="LB144" s="1021"/>
      <c r="LC144" s="1021"/>
      <c r="LD144" s="1021"/>
      <c r="LE144" s="1021"/>
      <c r="LF144" s="1021"/>
      <c r="LG144" s="1021"/>
      <c r="LH144" s="1021"/>
      <c r="LI144" s="1021"/>
      <c r="LJ144" s="1021"/>
      <c r="LK144" s="1021"/>
      <c r="LL144" s="1021"/>
      <c r="LM144" s="1021"/>
      <c r="LN144" s="1021"/>
      <c r="LO144" s="1021"/>
      <c r="LP144" s="1021"/>
      <c r="LQ144" s="1021"/>
      <c r="LR144" s="1021"/>
      <c r="LS144" s="1021"/>
      <c r="LT144" s="1021"/>
      <c r="LU144" s="1021"/>
      <c r="LV144" s="1021"/>
      <c r="LW144" s="1021"/>
      <c r="LX144" s="1021"/>
      <c r="LY144" s="1021"/>
      <c r="LZ144" s="1021"/>
      <c r="MA144" s="1021"/>
      <c r="MB144" s="1021"/>
      <c r="MC144" s="1021"/>
      <c r="MD144" s="1021"/>
      <c r="ME144" s="1021"/>
      <c r="MF144" s="1021"/>
      <c r="MG144" s="1021"/>
      <c r="MH144" s="1021"/>
      <c r="MI144" s="1021"/>
      <c r="MJ144" s="1021"/>
      <c r="MK144" s="1021"/>
      <c r="ML144" s="1021"/>
      <c r="MM144" s="1021"/>
      <c r="MN144" s="1021"/>
      <c r="MO144" s="1021"/>
      <c r="MP144" s="1021"/>
      <c r="MQ144" s="1021"/>
      <c r="MR144" s="1021"/>
      <c r="MS144" s="1021"/>
      <c r="MT144" s="1021"/>
      <c r="MU144" s="1021"/>
      <c r="MV144" s="1021"/>
      <c r="MW144" s="1021"/>
      <c r="MX144" s="1021"/>
      <c r="MY144" s="1021"/>
      <c r="MZ144" s="1021"/>
      <c r="NA144" s="1021"/>
      <c r="NB144" s="1021"/>
      <c r="NC144" s="1021"/>
      <c r="ND144" s="1021"/>
      <c r="NE144" s="1021"/>
      <c r="NF144" s="1021"/>
      <c r="NG144" s="1021"/>
      <c r="NH144" s="1021"/>
      <c r="NI144" s="1021"/>
      <c r="NJ144" s="1021"/>
      <c r="NK144" s="1021"/>
      <c r="NL144" s="1021"/>
      <c r="NM144" s="1021"/>
      <c r="NN144" s="1021"/>
      <c r="NO144" s="1021"/>
      <c r="NP144" s="1021"/>
      <c r="NQ144" s="1021"/>
      <c r="NR144" s="1021"/>
      <c r="NS144" s="1021"/>
      <c r="NT144" s="1021"/>
      <c r="NU144" s="1021"/>
      <c r="NV144" s="1021"/>
      <c r="NW144" s="1021"/>
      <c r="NX144" s="1021"/>
      <c r="NY144" s="1021"/>
      <c r="NZ144" s="1021"/>
      <c r="OA144" s="1021"/>
      <c r="OB144" s="1021"/>
      <c r="OC144" s="1021"/>
      <c r="OD144" s="1021"/>
      <c r="OE144" s="1021"/>
      <c r="OF144" s="1021"/>
      <c r="OG144" s="1021"/>
      <c r="OH144" s="1021"/>
      <c r="OI144" s="1021"/>
      <c r="OJ144" s="1021"/>
      <c r="OK144" s="1021"/>
      <c r="OL144" s="1021"/>
      <c r="OM144" s="1021"/>
      <c r="ON144" s="1021"/>
      <c r="OO144" s="1021"/>
      <c r="OP144" s="1021"/>
      <c r="OQ144" s="1021"/>
      <c r="OR144" s="1021"/>
      <c r="OS144" s="1021"/>
      <c r="OT144" s="1021"/>
      <c r="OU144" s="1021"/>
      <c r="OV144" s="1021"/>
      <c r="OW144" s="1021"/>
      <c r="OX144" s="1021"/>
      <c r="OY144" s="1021"/>
      <c r="OZ144" s="1021"/>
      <c r="PA144" s="1021"/>
      <c r="PB144" s="1021"/>
      <c r="PC144" s="1021"/>
      <c r="PD144" s="1021"/>
      <c r="PE144" s="1021"/>
      <c r="PF144" s="1021"/>
      <c r="PG144" s="1021"/>
      <c r="PH144" s="1021"/>
      <c r="PI144" s="1021"/>
      <c r="PJ144" s="1021"/>
      <c r="PK144" s="1021"/>
      <c r="PL144" s="1021"/>
      <c r="PM144" s="1021"/>
      <c r="PN144" s="1021"/>
      <c r="PO144" s="1021"/>
      <c r="PP144" s="1021"/>
      <c r="PQ144" s="1021"/>
      <c r="PR144" s="1021"/>
      <c r="PS144" s="1021"/>
      <c r="PT144" s="1021"/>
      <c r="PU144" s="1021"/>
      <c r="PV144" s="1021"/>
      <c r="PW144" s="1021"/>
      <c r="PX144" s="1021"/>
      <c r="PY144" s="1021"/>
      <c r="PZ144" s="1021"/>
      <c r="QA144" s="1021"/>
      <c r="QB144" s="1021"/>
      <c r="QC144" s="1021"/>
      <c r="QD144" s="1021"/>
      <c r="QE144" s="1021"/>
      <c r="QF144" s="1021"/>
      <c r="QG144" s="1021"/>
      <c r="QH144" s="1021"/>
      <c r="QI144" s="1021"/>
      <c r="QJ144" s="1021"/>
      <c r="QK144" s="1021"/>
      <c r="QL144" s="1021"/>
      <c r="QM144" s="1021"/>
      <c r="QN144" s="1021"/>
      <c r="QO144" s="1021"/>
      <c r="QP144" s="1021"/>
      <c r="QQ144" s="1021"/>
      <c r="QR144" s="1021"/>
      <c r="QS144" s="1021"/>
      <c r="QT144" s="1021"/>
      <c r="QU144" s="1021"/>
      <c r="QV144" s="1021"/>
      <c r="QW144" s="1021"/>
      <c r="QX144" s="1021"/>
      <c r="QY144" s="1021"/>
      <c r="QZ144" s="1021"/>
      <c r="RA144" s="1021"/>
      <c r="RB144" s="1021"/>
      <c r="RC144" s="1021"/>
      <c r="RD144" s="1021"/>
      <c r="RE144" s="1021"/>
      <c r="RF144" s="1021"/>
      <c r="RG144" s="1021"/>
      <c r="RH144" s="1021"/>
      <c r="RI144" s="1021"/>
      <c r="RJ144" s="1021"/>
      <c r="RK144" s="1021"/>
      <c r="RL144" s="1021"/>
      <c r="RM144" s="1021"/>
      <c r="RN144" s="1021"/>
      <c r="RO144" s="1021"/>
      <c r="RP144" s="1021"/>
      <c r="RQ144" s="1021"/>
      <c r="RR144" s="1021"/>
      <c r="RS144" s="1021"/>
      <c r="RT144" s="1021"/>
      <c r="RU144" s="1021"/>
      <c r="RV144" s="1021"/>
      <c r="RW144" s="1021"/>
      <c r="RX144" s="1021"/>
      <c r="RY144" s="1021"/>
      <c r="RZ144" s="1021"/>
      <c r="SA144" s="1021"/>
      <c r="SB144" s="1021"/>
      <c r="SC144" s="1021"/>
      <c r="SD144" s="1021"/>
      <c r="SE144" s="1021"/>
      <c r="SF144" s="1021"/>
      <c r="SG144" s="1021"/>
      <c r="SH144" s="1021"/>
      <c r="SI144" s="1021"/>
      <c r="SJ144" s="1021"/>
      <c r="SK144" s="1021"/>
      <c r="SL144" s="1021"/>
      <c r="SM144" s="1021"/>
      <c r="SN144" s="1021"/>
      <c r="SO144" s="1021"/>
      <c r="SP144" s="1021"/>
      <c r="SQ144" s="1021"/>
      <c r="SR144" s="1021"/>
    </row>
    <row r="145" spans="1:512" s="1011" customFormat="1" ht="15" customHeight="1">
      <c r="A145"/>
      <c r="G145" s="1024"/>
      <c r="H145" s="1024"/>
      <c r="I145" s="1024"/>
      <c r="J145" s="1024"/>
      <c r="K145" s="1024"/>
      <c r="L145" s="1024"/>
      <c r="M145" s="1024"/>
      <c r="N145" s="1024"/>
      <c r="O145" s="1024"/>
      <c r="P145" s="1024"/>
      <c r="Q145" s="1024"/>
      <c r="R145" s="1024"/>
      <c r="S145" s="1024"/>
      <c r="T145" s="1024"/>
      <c r="U145" s="1024"/>
      <c r="V145" s="1024"/>
      <c r="W145" s="1024"/>
      <c r="X145" s="1024"/>
      <c r="Y145" s="1024"/>
      <c r="Z145" s="1024"/>
      <c r="AA145" s="1024"/>
      <c r="AB145" s="1024"/>
      <c r="AC145" s="1024"/>
      <c r="AD145" s="1024"/>
      <c r="AE145" s="1024"/>
      <c r="AF145" s="1024"/>
      <c r="AG145" s="1024"/>
      <c r="AH145" s="1024"/>
      <c r="AI145" s="1024"/>
      <c r="AJ145" s="1024"/>
      <c r="AK145" s="1024"/>
      <c r="AL145" s="1024"/>
      <c r="AM145" s="1024"/>
      <c r="AN145" s="1024"/>
      <c r="AO145" s="1024"/>
      <c r="AP145" s="1024"/>
      <c r="AQ145" s="1024"/>
      <c r="AR145" s="1024"/>
      <c r="AS145" s="1024"/>
      <c r="AT145" s="1024"/>
      <c r="AU145" s="1024"/>
      <c r="AV145" s="1024"/>
      <c r="AW145" s="1024"/>
      <c r="AX145" s="1024"/>
      <c r="AY145" s="1024"/>
      <c r="AZ145" s="1024"/>
      <c r="BA145" s="1024"/>
      <c r="BB145" s="1024"/>
      <c r="BC145" s="1024"/>
      <c r="BD145" s="1024"/>
      <c r="BE145" s="1024"/>
      <c r="BF145" s="1024"/>
      <c r="BG145" s="1024"/>
      <c r="BH145" s="1024"/>
      <c r="BI145" s="1024"/>
      <c r="BJ145" s="1024"/>
      <c r="BK145" s="1024"/>
      <c r="BL145" s="1024"/>
      <c r="BM145" s="1024"/>
      <c r="BN145" s="1024"/>
      <c r="BO145" s="1024"/>
      <c r="BP145" s="1024"/>
      <c r="BQ145" s="1024"/>
      <c r="BR145" s="1024"/>
      <c r="BS145" s="1024"/>
      <c r="BT145" s="1024"/>
      <c r="BU145" s="1024"/>
      <c r="BV145" s="1024"/>
      <c r="BW145" s="1024"/>
      <c r="BX145" s="1024"/>
      <c r="BY145" s="1024"/>
      <c r="BZ145" s="1024"/>
      <c r="CA145" s="1024"/>
      <c r="CB145" s="1024"/>
      <c r="CC145" s="1024"/>
      <c r="CD145" s="1024"/>
      <c r="CE145" s="1024"/>
      <c r="CF145" s="1024"/>
      <c r="CG145" s="1024"/>
      <c r="CH145" s="1024"/>
      <c r="CI145" s="1024"/>
      <c r="CJ145" s="1024"/>
      <c r="CK145" s="1024"/>
      <c r="CL145" s="1024"/>
      <c r="CM145" s="1024"/>
      <c r="CN145" s="1024"/>
      <c r="CO145" s="1024"/>
      <c r="CP145" s="1024"/>
      <c r="CQ145" s="1024"/>
      <c r="CR145" s="1024"/>
      <c r="CS145" s="1024"/>
      <c r="CT145" s="1024"/>
      <c r="CU145" s="1024"/>
      <c r="CV145" s="1024"/>
      <c r="CW145" s="1024"/>
      <c r="CX145" s="1024"/>
      <c r="CY145" s="1024"/>
      <c r="CZ145" s="1024"/>
      <c r="DA145" s="1024"/>
      <c r="DB145" s="1024"/>
      <c r="DC145" s="1024"/>
      <c r="DD145" s="1024"/>
      <c r="DE145" s="1024"/>
      <c r="DF145" s="1024"/>
      <c r="DG145" s="1024"/>
      <c r="DH145" s="1024"/>
      <c r="DI145" s="1024"/>
      <c r="DJ145" s="1024"/>
      <c r="DK145" s="1024"/>
      <c r="DL145" s="1024"/>
      <c r="DM145" s="1024"/>
      <c r="DN145" s="1024"/>
      <c r="DO145" s="1024"/>
      <c r="DP145" s="1024"/>
      <c r="DQ145" s="1024"/>
      <c r="DR145" s="1024"/>
      <c r="DS145" s="1024"/>
      <c r="DT145" s="1024"/>
      <c r="DU145" s="1024"/>
      <c r="DV145" s="1024"/>
      <c r="DW145" s="1024"/>
      <c r="DX145" s="1024"/>
      <c r="DY145" s="1024"/>
      <c r="DZ145" s="1024"/>
      <c r="EA145" s="1024"/>
      <c r="EB145" s="1024"/>
      <c r="EC145" s="1024"/>
      <c r="ED145" s="1024"/>
      <c r="EE145" s="1024"/>
      <c r="EF145" s="1024"/>
      <c r="EG145" s="1024"/>
      <c r="EH145" s="1024"/>
      <c r="EI145" s="1024"/>
      <c r="EJ145" s="1024"/>
      <c r="EK145" s="1024"/>
      <c r="EL145" s="1024"/>
      <c r="EM145" s="1024"/>
      <c r="EN145" s="1024"/>
      <c r="EO145" s="1024"/>
      <c r="EP145" s="1024"/>
      <c r="EQ145" s="1024"/>
      <c r="ER145" s="1024"/>
      <c r="ES145" s="1024"/>
      <c r="ET145" s="1024"/>
      <c r="EU145" s="1024"/>
      <c r="EV145" s="1024"/>
      <c r="EW145" s="1024"/>
      <c r="EX145" s="1024"/>
      <c r="EY145" s="1024"/>
      <c r="EZ145" s="1024"/>
      <c r="FA145" s="1024"/>
      <c r="FB145" s="1024"/>
      <c r="FC145" s="1024"/>
      <c r="FD145" s="1024"/>
      <c r="FE145" s="1024"/>
      <c r="FF145" s="1024"/>
      <c r="FG145" s="1024"/>
      <c r="FH145" s="1024"/>
      <c r="FI145" s="1024"/>
      <c r="FJ145" s="1024"/>
      <c r="FK145" s="1024"/>
      <c r="FL145" s="1024"/>
      <c r="FM145" s="1024"/>
      <c r="FN145" s="1024"/>
      <c r="FO145" s="1024"/>
      <c r="FP145" s="1024"/>
      <c r="FQ145" s="1024"/>
      <c r="FR145" s="1024"/>
      <c r="FS145" s="1024"/>
      <c r="FT145" s="1024"/>
      <c r="FU145" s="1024"/>
      <c r="FV145" s="1024"/>
      <c r="FW145" s="1024"/>
      <c r="FX145" s="1024"/>
      <c r="FY145" s="1024"/>
      <c r="FZ145" s="1024"/>
      <c r="GA145" s="1024"/>
      <c r="GB145" s="1024"/>
      <c r="GC145" s="1024"/>
      <c r="GD145" s="1024"/>
      <c r="GE145" s="1024"/>
      <c r="GF145" s="1024"/>
      <c r="GG145" s="1024"/>
      <c r="GH145" s="1024"/>
      <c r="GI145" s="1024"/>
      <c r="GJ145" s="1024"/>
      <c r="GK145" s="1024"/>
      <c r="GL145" s="1024"/>
      <c r="GM145" s="1024"/>
      <c r="GN145" s="1024"/>
      <c r="GO145" s="1024"/>
      <c r="GP145" s="1024"/>
      <c r="GQ145" s="1024"/>
      <c r="GR145" s="1024"/>
      <c r="GS145" s="1024"/>
      <c r="GT145" s="1024"/>
      <c r="GU145" s="1024"/>
      <c r="GV145" s="1024"/>
      <c r="GW145" s="1024"/>
      <c r="GX145" s="1024"/>
      <c r="GY145" s="1024"/>
      <c r="GZ145" s="1024"/>
      <c r="HA145" s="1024"/>
      <c r="HB145" s="1024"/>
      <c r="HC145" s="1024"/>
      <c r="HD145" s="1024"/>
      <c r="HE145" s="1024"/>
      <c r="HF145" s="1024"/>
      <c r="HG145" s="1024"/>
      <c r="HH145" s="1024"/>
      <c r="HI145" s="1024"/>
      <c r="HJ145" s="1024"/>
      <c r="HK145" s="1024"/>
      <c r="HL145" s="1024"/>
      <c r="HM145" s="1024"/>
      <c r="HN145" s="1024"/>
      <c r="HO145" s="1024"/>
      <c r="HP145" s="1024"/>
      <c r="HQ145" s="1024"/>
      <c r="HR145" s="1024"/>
      <c r="HS145" s="1024"/>
      <c r="HT145" s="1024"/>
      <c r="HU145" s="1024"/>
      <c r="HV145" s="1024"/>
      <c r="HW145" s="1024"/>
      <c r="HX145" s="1024"/>
      <c r="HY145" s="1024"/>
      <c r="HZ145" s="1024"/>
      <c r="IA145" s="1024"/>
      <c r="IB145" s="1024"/>
      <c r="IC145" s="1024"/>
      <c r="ID145" s="1024"/>
      <c r="IE145" s="1024"/>
      <c r="IF145" s="1024"/>
      <c r="IG145" s="1024"/>
      <c r="IH145" s="1024"/>
      <c r="II145" s="1024"/>
      <c r="IJ145" s="1024"/>
      <c r="IK145" s="1024"/>
      <c r="IL145" s="1024"/>
      <c r="IM145" s="1024"/>
      <c r="IN145" s="1024"/>
      <c r="IO145" s="1024"/>
      <c r="IP145" s="1024"/>
      <c r="IQ145" s="1024"/>
      <c r="IR145" s="1024"/>
      <c r="IS145" s="1024"/>
      <c r="IT145" s="1024"/>
      <c r="IU145" s="1024"/>
      <c r="IV145" s="1024"/>
      <c r="IW145" s="1024"/>
      <c r="IX145" s="1024"/>
      <c r="IY145" s="1024"/>
      <c r="IZ145" s="1024"/>
      <c r="JA145" s="1024"/>
      <c r="JB145" s="1024"/>
      <c r="JC145" s="1024"/>
      <c r="JD145" s="1024"/>
      <c r="JE145" s="1024"/>
      <c r="JF145" s="1024"/>
      <c r="JG145" s="1024"/>
      <c r="JH145" s="1024"/>
      <c r="JI145" s="1024"/>
      <c r="JJ145" s="1024"/>
      <c r="JK145" s="1024"/>
      <c r="JL145" s="1024"/>
      <c r="JM145" s="1024"/>
      <c r="JN145" s="1024"/>
      <c r="JO145" s="1024"/>
      <c r="JP145" s="1024"/>
      <c r="JQ145" s="1024"/>
      <c r="JR145" s="1024"/>
      <c r="JS145" s="1024"/>
      <c r="JT145" s="1024"/>
      <c r="JU145" s="1024"/>
      <c r="JV145" s="1024"/>
      <c r="JW145" s="1024"/>
      <c r="JX145" s="1024"/>
      <c r="JY145" s="1024"/>
      <c r="JZ145" s="1024"/>
      <c r="KA145" s="1024"/>
      <c r="KB145" s="1024"/>
      <c r="KC145" s="1024"/>
      <c r="KD145" s="1024"/>
      <c r="KE145" s="1024"/>
      <c r="KF145" s="1024"/>
      <c r="KG145" s="1024"/>
      <c r="KH145" s="1024"/>
      <c r="KI145" s="1024"/>
      <c r="KJ145" s="1024"/>
      <c r="KK145" s="1024"/>
      <c r="KL145" s="1024"/>
      <c r="KM145" s="1024"/>
      <c r="KN145" s="1024"/>
      <c r="KO145" s="1024"/>
      <c r="KP145" s="1024"/>
      <c r="KQ145" s="1024"/>
      <c r="KR145" s="1024"/>
      <c r="KS145" s="1024"/>
      <c r="KT145" s="1024"/>
      <c r="KU145" s="1024"/>
      <c r="KV145" s="1024"/>
      <c r="KW145" s="1024"/>
      <c r="KX145" s="1024"/>
      <c r="KY145" s="1024"/>
      <c r="KZ145" s="1024"/>
      <c r="LA145" s="1024"/>
      <c r="LB145" s="1024"/>
      <c r="LC145" s="1024"/>
      <c r="LD145" s="1024"/>
      <c r="LE145" s="1024"/>
      <c r="LF145" s="1024"/>
      <c r="LG145" s="1024"/>
      <c r="LH145" s="1024"/>
      <c r="LI145" s="1024"/>
      <c r="LJ145" s="1024"/>
      <c r="LK145" s="1024"/>
      <c r="LL145" s="1024"/>
      <c r="LM145" s="1024"/>
      <c r="LN145" s="1024"/>
      <c r="LO145" s="1024"/>
      <c r="LP145" s="1024"/>
      <c r="LQ145" s="1024"/>
      <c r="LR145" s="1024"/>
      <c r="LS145" s="1024"/>
      <c r="LT145" s="1024"/>
      <c r="LU145" s="1024"/>
      <c r="LV145" s="1024"/>
      <c r="LW145" s="1024"/>
      <c r="LX145" s="1024"/>
      <c r="LY145" s="1024"/>
      <c r="LZ145" s="1024"/>
      <c r="MA145" s="1024"/>
      <c r="MB145" s="1024"/>
      <c r="MC145" s="1024"/>
      <c r="MD145" s="1024"/>
      <c r="ME145" s="1024"/>
      <c r="MF145" s="1024"/>
      <c r="MG145" s="1024"/>
      <c r="MH145" s="1024"/>
      <c r="MI145" s="1024"/>
      <c r="MJ145" s="1024"/>
      <c r="MK145" s="1024"/>
      <c r="ML145" s="1024"/>
      <c r="MM145" s="1024"/>
      <c r="MN145" s="1024"/>
      <c r="MO145" s="1024"/>
      <c r="MP145" s="1024"/>
      <c r="MQ145" s="1024"/>
      <c r="MR145" s="1024"/>
      <c r="MS145" s="1024"/>
      <c r="MT145" s="1024"/>
      <c r="MU145" s="1024"/>
      <c r="MV145" s="1024"/>
      <c r="MW145" s="1024"/>
      <c r="MX145" s="1024"/>
      <c r="MY145" s="1024"/>
      <c r="MZ145" s="1024"/>
      <c r="NA145" s="1024"/>
      <c r="NB145" s="1024"/>
      <c r="NC145" s="1024"/>
      <c r="ND145" s="1024"/>
      <c r="NE145" s="1024"/>
      <c r="NF145" s="1024"/>
      <c r="NG145" s="1024"/>
      <c r="NH145" s="1024"/>
      <c r="NI145" s="1024"/>
      <c r="NJ145" s="1024"/>
      <c r="NK145" s="1024"/>
      <c r="NL145" s="1024"/>
      <c r="NM145" s="1024"/>
      <c r="NN145" s="1024"/>
      <c r="NO145" s="1024"/>
      <c r="NP145" s="1024"/>
      <c r="NQ145" s="1024"/>
      <c r="NR145" s="1024"/>
      <c r="NS145" s="1024"/>
      <c r="NT145" s="1024"/>
      <c r="NU145" s="1024"/>
      <c r="NV145" s="1024"/>
      <c r="NW145" s="1024"/>
      <c r="NX145" s="1024"/>
      <c r="NY145" s="1024"/>
      <c r="NZ145" s="1024"/>
      <c r="OA145" s="1024"/>
      <c r="OB145" s="1024"/>
      <c r="OC145" s="1024"/>
      <c r="OD145" s="1024"/>
      <c r="OE145" s="1024"/>
      <c r="OF145" s="1024"/>
      <c r="OG145" s="1024"/>
      <c r="OH145" s="1024"/>
      <c r="OI145" s="1024"/>
      <c r="OJ145" s="1024"/>
      <c r="OK145" s="1024"/>
      <c r="OL145" s="1024"/>
      <c r="OM145" s="1024"/>
      <c r="ON145" s="1024"/>
      <c r="OO145" s="1024"/>
      <c r="OP145" s="1024"/>
      <c r="OQ145" s="1024"/>
      <c r="OR145" s="1024"/>
      <c r="OS145" s="1024"/>
      <c r="OT145" s="1024"/>
      <c r="OU145" s="1024"/>
      <c r="OV145" s="1024"/>
      <c r="OW145" s="1024"/>
      <c r="OX145" s="1024"/>
      <c r="OY145" s="1024"/>
      <c r="OZ145" s="1024"/>
      <c r="PA145" s="1024"/>
      <c r="PB145" s="1024"/>
      <c r="PC145" s="1024"/>
      <c r="PD145" s="1024"/>
      <c r="PE145" s="1024"/>
      <c r="PF145" s="1024"/>
      <c r="PG145" s="1024"/>
      <c r="PH145" s="1024"/>
      <c r="PI145" s="1024"/>
      <c r="PJ145" s="1024"/>
      <c r="PK145" s="1024"/>
      <c r="PL145" s="1024"/>
      <c r="PM145" s="1024"/>
      <c r="PN145" s="1024"/>
      <c r="PO145" s="1024"/>
      <c r="PP145" s="1024"/>
      <c r="PQ145" s="1024"/>
      <c r="PR145" s="1024"/>
      <c r="PS145" s="1024"/>
      <c r="PT145" s="1024"/>
      <c r="PU145" s="1024"/>
      <c r="PV145" s="1024"/>
      <c r="PW145" s="1024"/>
      <c r="PX145" s="1024"/>
      <c r="PY145" s="1024"/>
      <c r="PZ145" s="1024"/>
      <c r="QA145" s="1024"/>
      <c r="QB145" s="1024"/>
      <c r="QC145" s="1024"/>
      <c r="QD145" s="1024"/>
      <c r="QE145" s="1024"/>
      <c r="QF145" s="1024"/>
      <c r="QG145" s="1024"/>
      <c r="QH145" s="1024"/>
      <c r="QI145" s="1024"/>
      <c r="QJ145" s="1024"/>
      <c r="QK145" s="1024"/>
      <c r="QL145" s="1024"/>
      <c r="QM145" s="1024"/>
      <c r="QN145" s="1024"/>
      <c r="QO145" s="1024"/>
      <c r="QP145" s="1024"/>
      <c r="QQ145" s="1024"/>
      <c r="QR145" s="1024"/>
      <c r="QS145" s="1024"/>
      <c r="QT145" s="1024"/>
      <c r="QU145" s="1024"/>
      <c r="QV145" s="1024"/>
      <c r="QW145" s="1024"/>
      <c r="QX145" s="1024"/>
      <c r="QY145" s="1024"/>
      <c r="QZ145" s="1024"/>
      <c r="RA145" s="1024"/>
      <c r="RB145" s="1024"/>
      <c r="RC145" s="1024"/>
      <c r="RD145" s="1024"/>
      <c r="RE145" s="1024"/>
      <c r="RF145" s="1024"/>
      <c r="RG145" s="1024"/>
      <c r="RH145" s="1024"/>
      <c r="RI145" s="1024"/>
      <c r="RJ145" s="1024"/>
      <c r="RK145" s="1024"/>
      <c r="RL145" s="1024"/>
      <c r="RM145" s="1024"/>
      <c r="RN145" s="1024"/>
      <c r="RO145" s="1024"/>
      <c r="RP145" s="1024"/>
      <c r="RQ145" s="1024"/>
      <c r="RR145" s="1024"/>
      <c r="RS145" s="1024"/>
      <c r="RT145" s="1024"/>
      <c r="RU145" s="1024"/>
      <c r="RV145" s="1024"/>
      <c r="RW145" s="1024"/>
      <c r="RX145" s="1024"/>
      <c r="RY145" s="1024"/>
      <c r="RZ145" s="1024"/>
      <c r="SA145" s="1024"/>
      <c r="SB145" s="1024"/>
      <c r="SC145" s="1024"/>
      <c r="SD145" s="1024"/>
      <c r="SE145" s="1024"/>
      <c r="SF145" s="1024"/>
      <c r="SG145" s="1024"/>
      <c r="SH145" s="1024"/>
      <c r="SI145" s="1024"/>
      <c r="SJ145" s="1024"/>
      <c r="SK145" s="1024"/>
      <c r="SL145" s="1024"/>
      <c r="SM145" s="1024"/>
      <c r="SN145" s="1024"/>
      <c r="SO145" s="1024"/>
      <c r="SP145" s="1024"/>
      <c r="SQ145" s="1024"/>
      <c r="SR145" s="1024"/>
    </row>
    <row r="146" spans="1:512" s="1011" customFormat="1" ht="15" customHeight="1">
      <c r="A146" s="1011" t="s">
        <v>2785</v>
      </c>
      <c r="G146" s="1024"/>
      <c r="H146" s="1024"/>
      <c r="I146" s="1024"/>
      <c r="J146" s="1024"/>
      <c r="K146" s="1024"/>
      <c r="L146" s="1024"/>
      <c r="M146" s="1024"/>
      <c r="N146" s="1024"/>
      <c r="O146" s="1024"/>
      <c r="P146" s="1024"/>
      <c r="Q146" s="1024"/>
      <c r="R146" s="1024"/>
      <c r="S146" s="1024"/>
      <c r="T146" s="1024"/>
      <c r="U146" s="1024"/>
      <c r="V146" s="1024"/>
      <c r="W146" s="1024"/>
      <c r="X146" s="1024"/>
      <c r="Y146" s="1024"/>
      <c r="Z146" s="1024"/>
      <c r="AA146" s="1024"/>
      <c r="AB146" s="1024"/>
      <c r="AC146" s="1024"/>
      <c r="AD146" s="1024"/>
      <c r="AE146" s="1024"/>
      <c r="AF146" s="1024"/>
      <c r="AG146" s="1024"/>
      <c r="AH146" s="1024"/>
      <c r="AI146" s="1024"/>
      <c r="AJ146" s="1024"/>
      <c r="AK146" s="1024"/>
      <c r="AL146" s="1024"/>
      <c r="AM146" s="1024"/>
      <c r="AN146" s="1024"/>
      <c r="AO146" s="1024"/>
      <c r="AP146" s="1024"/>
      <c r="AQ146" s="1024"/>
      <c r="AR146" s="1024"/>
      <c r="AS146" s="1024"/>
      <c r="AT146" s="1024"/>
      <c r="AU146" s="1024"/>
      <c r="AV146" s="1024"/>
      <c r="AW146" s="1024"/>
      <c r="AX146" s="1024"/>
      <c r="AY146" s="1024"/>
      <c r="AZ146" s="1024"/>
      <c r="BA146" s="1024"/>
      <c r="BB146" s="1024"/>
      <c r="BC146" s="1024"/>
      <c r="BD146" s="1024"/>
      <c r="BE146" s="1024"/>
      <c r="BF146" s="1024"/>
      <c r="BG146" s="1024"/>
      <c r="BH146" s="1024"/>
      <c r="BI146" s="1024"/>
      <c r="BJ146" s="1024"/>
      <c r="BK146" s="1024"/>
      <c r="BL146" s="1024"/>
      <c r="BM146" s="1024"/>
      <c r="BN146" s="1024"/>
      <c r="BO146" s="1024"/>
      <c r="BP146" s="1024"/>
      <c r="BQ146" s="1024"/>
      <c r="BR146" s="1024"/>
      <c r="BS146" s="1024"/>
      <c r="BT146" s="1024"/>
      <c r="BU146" s="1024"/>
      <c r="BV146" s="1024"/>
      <c r="BW146" s="1024"/>
      <c r="BX146" s="1024"/>
      <c r="BY146" s="1024"/>
      <c r="BZ146" s="1024"/>
      <c r="CA146" s="1024"/>
      <c r="CB146" s="1024"/>
      <c r="CC146" s="1024"/>
      <c r="CD146" s="1024"/>
      <c r="CE146" s="1024"/>
      <c r="CF146" s="1024"/>
      <c r="CG146" s="1024"/>
      <c r="CH146" s="1024"/>
      <c r="CI146" s="1024"/>
      <c r="CJ146" s="1024"/>
      <c r="CK146" s="1024"/>
      <c r="CL146" s="1024"/>
      <c r="CM146" s="1024"/>
      <c r="CN146" s="1024"/>
      <c r="CO146" s="1024"/>
      <c r="CP146" s="1024"/>
      <c r="CQ146" s="1024"/>
      <c r="CR146" s="1024"/>
      <c r="CS146" s="1024"/>
      <c r="CT146" s="1024"/>
      <c r="CU146" s="1024"/>
      <c r="CV146" s="1024"/>
      <c r="CW146" s="1024"/>
      <c r="CX146" s="1024"/>
      <c r="CY146" s="1024"/>
      <c r="CZ146" s="1024"/>
      <c r="DA146" s="1024"/>
      <c r="DB146" s="1024"/>
      <c r="DC146" s="1024"/>
      <c r="DD146" s="1024"/>
      <c r="DE146" s="1024"/>
      <c r="DF146" s="1024"/>
      <c r="DG146" s="1024"/>
      <c r="DH146" s="1024"/>
      <c r="DI146" s="1024"/>
      <c r="DJ146" s="1024"/>
      <c r="DK146" s="1024"/>
      <c r="DL146" s="1024"/>
      <c r="DM146" s="1024"/>
      <c r="DN146" s="1024"/>
      <c r="DO146" s="1024"/>
      <c r="DP146" s="1024"/>
      <c r="DQ146" s="1024"/>
      <c r="DR146" s="1024"/>
      <c r="DS146" s="1024"/>
      <c r="DT146" s="1024"/>
      <c r="DU146" s="1024"/>
      <c r="DV146" s="1024"/>
      <c r="DW146" s="1024"/>
      <c r="DX146" s="1024"/>
      <c r="DY146" s="1024"/>
      <c r="DZ146" s="1024"/>
      <c r="EA146" s="1024"/>
      <c r="EB146" s="1024"/>
      <c r="EC146" s="1024"/>
      <c r="ED146" s="1024"/>
      <c r="EE146" s="1024"/>
      <c r="EF146" s="1024"/>
      <c r="EG146" s="1024"/>
      <c r="EH146" s="1024"/>
      <c r="EI146" s="1024"/>
      <c r="EJ146" s="1024"/>
      <c r="EK146" s="1024"/>
      <c r="EL146" s="1024"/>
      <c r="EM146" s="1024"/>
      <c r="EN146" s="1024"/>
      <c r="EO146" s="1024"/>
      <c r="EP146" s="1024"/>
      <c r="EQ146" s="1024"/>
      <c r="ER146" s="1024"/>
      <c r="ES146" s="1024"/>
      <c r="ET146" s="1024"/>
      <c r="EU146" s="1024"/>
      <c r="EV146" s="1024"/>
      <c r="EW146" s="1024"/>
      <c r="EX146" s="1024"/>
      <c r="EY146" s="1024"/>
      <c r="EZ146" s="1024"/>
      <c r="FA146" s="1024"/>
      <c r="FB146" s="1024"/>
      <c r="FC146" s="1024"/>
      <c r="FD146" s="1024"/>
      <c r="FE146" s="1024"/>
      <c r="FF146" s="1024"/>
      <c r="FG146" s="1024"/>
      <c r="FH146" s="1024"/>
      <c r="FI146" s="1024"/>
      <c r="FJ146" s="1024"/>
      <c r="FK146" s="1024"/>
      <c r="FL146" s="1024"/>
      <c r="FM146" s="1024"/>
      <c r="FN146" s="1024"/>
      <c r="FO146" s="1024"/>
      <c r="FP146" s="1024"/>
      <c r="FQ146" s="1024"/>
      <c r="FR146" s="1024"/>
      <c r="FS146" s="1024"/>
      <c r="FT146" s="1024"/>
      <c r="FU146" s="1024"/>
      <c r="FV146" s="1024"/>
      <c r="FW146" s="1024"/>
      <c r="FX146" s="1024"/>
      <c r="FY146" s="1024"/>
      <c r="FZ146" s="1024"/>
      <c r="GA146" s="1024"/>
      <c r="GB146" s="1024"/>
      <c r="GC146" s="1024"/>
      <c r="GD146" s="1024"/>
      <c r="GE146" s="1024"/>
      <c r="GF146" s="1024"/>
      <c r="GG146" s="1024"/>
      <c r="GH146" s="1024"/>
      <c r="GI146" s="1024"/>
      <c r="GJ146" s="1024"/>
      <c r="GK146" s="1024"/>
      <c r="GL146" s="1024"/>
      <c r="GM146" s="1024"/>
      <c r="GN146" s="1024"/>
      <c r="GO146" s="1024"/>
      <c r="GP146" s="1024"/>
      <c r="GQ146" s="1024"/>
      <c r="GR146" s="1024"/>
      <c r="GS146" s="1024"/>
      <c r="GT146" s="1024"/>
      <c r="GU146" s="1024"/>
      <c r="GV146" s="1024"/>
      <c r="GW146" s="1024"/>
      <c r="GX146" s="1024"/>
      <c r="GY146" s="1024"/>
      <c r="GZ146" s="1024"/>
      <c r="HA146" s="1024"/>
      <c r="HB146" s="1024"/>
      <c r="HC146" s="1024"/>
      <c r="HD146" s="1024"/>
      <c r="HE146" s="1024"/>
      <c r="HF146" s="1024"/>
      <c r="HG146" s="1024"/>
      <c r="HH146" s="1024"/>
      <c r="HI146" s="1024"/>
      <c r="HJ146" s="1024"/>
      <c r="HK146" s="1024"/>
      <c r="HL146" s="1024"/>
      <c r="HM146" s="1024"/>
      <c r="HN146" s="1024"/>
      <c r="HO146" s="1024"/>
      <c r="HP146" s="1024"/>
      <c r="HQ146" s="1024"/>
      <c r="HR146" s="1024"/>
      <c r="HS146" s="1024"/>
      <c r="HT146" s="1024"/>
      <c r="HU146" s="1024"/>
      <c r="HV146" s="1024"/>
      <c r="HW146" s="1024"/>
      <c r="HX146" s="1024"/>
      <c r="HY146" s="1024"/>
      <c r="HZ146" s="1024"/>
      <c r="IA146" s="1024"/>
      <c r="IB146" s="1024"/>
      <c r="IC146" s="1024"/>
      <c r="ID146" s="1024"/>
      <c r="IE146" s="1024"/>
      <c r="IF146" s="1024"/>
      <c r="IG146" s="1024"/>
      <c r="IH146" s="1024"/>
      <c r="II146" s="1024"/>
      <c r="IJ146" s="1024"/>
      <c r="IK146" s="1024"/>
      <c r="IL146" s="1024"/>
      <c r="IM146" s="1024"/>
      <c r="IN146" s="1024"/>
      <c r="IO146" s="1024"/>
      <c r="IP146" s="1024"/>
      <c r="IQ146" s="1024"/>
      <c r="IR146" s="1024"/>
      <c r="IS146" s="1024"/>
      <c r="IT146" s="1024"/>
      <c r="IU146" s="1024"/>
      <c r="IV146" s="1024"/>
      <c r="IW146" s="1024"/>
      <c r="IX146" s="1024"/>
      <c r="IY146" s="1024"/>
      <c r="IZ146" s="1024"/>
      <c r="JA146" s="1024"/>
      <c r="JB146" s="1024"/>
      <c r="JC146" s="1024"/>
      <c r="JD146" s="1024"/>
      <c r="JE146" s="1024"/>
      <c r="JF146" s="1024"/>
      <c r="JG146" s="1024"/>
      <c r="JH146" s="1024"/>
      <c r="JI146" s="1024"/>
      <c r="JJ146" s="1024"/>
      <c r="JK146" s="1024"/>
      <c r="JL146" s="1024"/>
      <c r="JM146" s="1024"/>
      <c r="JN146" s="1024"/>
      <c r="JO146" s="1024"/>
      <c r="JP146" s="1024"/>
      <c r="JQ146" s="1024"/>
      <c r="JR146" s="1024"/>
      <c r="JS146" s="1024"/>
      <c r="JT146" s="1024"/>
      <c r="JU146" s="1024"/>
      <c r="JV146" s="1024"/>
      <c r="JW146" s="1024"/>
      <c r="JX146" s="1024"/>
      <c r="JY146" s="1024"/>
      <c r="JZ146" s="1024"/>
      <c r="KA146" s="1024"/>
      <c r="KB146" s="1024"/>
      <c r="KC146" s="1024"/>
      <c r="KD146" s="1024"/>
      <c r="KE146" s="1024"/>
      <c r="KF146" s="1024"/>
      <c r="KG146" s="1024"/>
      <c r="KH146" s="1024"/>
      <c r="KI146" s="1024"/>
      <c r="KJ146" s="1024"/>
      <c r="KK146" s="1024"/>
      <c r="KL146" s="1024"/>
      <c r="KM146" s="1024"/>
      <c r="KN146" s="1024"/>
      <c r="KO146" s="1024"/>
      <c r="KP146" s="1024"/>
      <c r="KQ146" s="1024"/>
      <c r="KR146" s="1024"/>
      <c r="KS146" s="1024"/>
      <c r="KT146" s="1024"/>
      <c r="KU146" s="1024"/>
      <c r="KV146" s="1024"/>
      <c r="KW146" s="1024"/>
      <c r="KX146" s="1024"/>
      <c r="KY146" s="1024"/>
      <c r="KZ146" s="1024"/>
      <c r="LA146" s="1024"/>
      <c r="LB146" s="1024"/>
      <c r="LC146" s="1024"/>
      <c r="LD146" s="1024"/>
      <c r="LE146" s="1024"/>
      <c r="LF146" s="1024"/>
      <c r="LG146" s="1024"/>
      <c r="LH146" s="1024"/>
      <c r="LI146" s="1024"/>
      <c r="LJ146" s="1024"/>
      <c r="LK146" s="1024"/>
      <c r="LL146" s="1024"/>
      <c r="LM146" s="1024"/>
      <c r="LN146" s="1024"/>
      <c r="LO146" s="1024"/>
      <c r="LP146" s="1024"/>
      <c r="LQ146" s="1024"/>
      <c r="LR146" s="1024"/>
      <c r="LS146" s="1024"/>
      <c r="LT146" s="1024"/>
      <c r="LU146" s="1024"/>
      <c r="LV146" s="1024"/>
      <c r="LW146" s="1024"/>
      <c r="LX146" s="1024"/>
      <c r="LY146" s="1024"/>
      <c r="LZ146" s="1024"/>
      <c r="MA146" s="1024"/>
      <c r="MB146" s="1024"/>
      <c r="MC146" s="1024"/>
      <c r="MD146" s="1024"/>
      <c r="ME146" s="1024"/>
      <c r="MF146" s="1024"/>
      <c r="MG146" s="1024"/>
      <c r="MH146" s="1024"/>
      <c r="MI146" s="1024"/>
      <c r="MJ146" s="1024"/>
      <c r="MK146" s="1024"/>
      <c r="ML146" s="1024"/>
      <c r="MM146" s="1024"/>
      <c r="MN146" s="1024"/>
      <c r="MO146" s="1024"/>
      <c r="MP146" s="1024"/>
      <c r="MQ146" s="1024"/>
      <c r="MR146" s="1024"/>
      <c r="MS146" s="1024"/>
      <c r="MT146" s="1024"/>
      <c r="MU146" s="1024"/>
      <c r="MV146" s="1024"/>
      <c r="MW146" s="1024"/>
      <c r="MX146" s="1024"/>
      <c r="MY146" s="1024"/>
      <c r="MZ146" s="1024"/>
      <c r="NA146" s="1024"/>
      <c r="NB146" s="1024"/>
      <c r="NC146" s="1024"/>
      <c r="ND146" s="1024"/>
      <c r="NE146" s="1024"/>
      <c r="NF146" s="1024"/>
      <c r="NG146" s="1024"/>
      <c r="NH146" s="1024"/>
      <c r="NI146" s="1024"/>
      <c r="NJ146" s="1024"/>
      <c r="NK146" s="1024"/>
      <c r="NL146" s="1024"/>
      <c r="NM146" s="1024"/>
      <c r="NN146" s="1024"/>
      <c r="NO146" s="1024"/>
      <c r="NP146" s="1024"/>
      <c r="NQ146" s="1024"/>
      <c r="NR146" s="1024"/>
      <c r="NS146" s="1024"/>
      <c r="NT146" s="1024"/>
      <c r="NU146" s="1024"/>
      <c r="NV146" s="1024"/>
      <c r="NW146" s="1024"/>
      <c r="NX146" s="1024"/>
      <c r="NY146" s="1024"/>
      <c r="NZ146" s="1024"/>
      <c r="OA146" s="1024"/>
      <c r="OB146" s="1024"/>
      <c r="OC146" s="1024"/>
      <c r="OD146" s="1024"/>
      <c r="OE146" s="1024"/>
      <c r="OF146" s="1024"/>
      <c r="OG146" s="1024"/>
      <c r="OH146" s="1024"/>
      <c r="OI146" s="1024"/>
      <c r="OJ146" s="1024"/>
      <c r="OK146" s="1024"/>
      <c r="OL146" s="1024"/>
      <c r="OM146" s="1024"/>
      <c r="ON146" s="1024"/>
      <c r="OO146" s="1024"/>
      <c r="OP146" s="1024"/>
      <c r="OQ146" s="1024"/>
      <c r="OR146" s="1024"/>
      <c r="OS146" s="1024"/>
      <c r="OT146" s="1024"/>
      <c r="OU146" s="1024"/>
      <c r="OV146" s="1024"/>
      <c r="OW146" s="1024"/>
      <c r="OX146" s="1024"/>
      <c r="OY146" s="1024"/>
      <c r="OZ146" s="1024"/>
      <c r="PA146" s="1024"/>
      <c r="PB146" s="1024"/>
      <c r="PC146" s="1024"/>
      <c r="PD146" s="1024"/>
      <c r="PE146" s="1024"/>
      <c r="PF146" s="1024"/>
      <c r="PG146" s="1024"/>
      <c r="PH146" s="1024"/>
      <c r="PI146" s="1024"/>
      <c r="PJ146" s="1024"/>
      <c r="PK146" s="1024"/>
      <c r="PL146" s="1024"/>
      <c r="PM146" s="1024"/>
      <c r="PN146" s="1024"/>
      <c r="PO146" s="1024"/>
      <c r="PP146" s="1024"/>
      <c r="PQ146" s="1024"/>
      <c r="PR146" s="1024"/>
      <c r="PS146" s="1024"/>
      <c r="PT146" s="1024"/>
      <c r="PU146" s="1024"/>
      <c r="PV146" s="1024"/>
      <c r="PW146" s="1024"/>
      <c r="PX146" s="1024"/>
      <c r="PY146" s="1024"/>
      <c r="PZ146" s="1024"/>
      <c r="QA146" s="1024"/>
      <c r="QB146" s="1024"/>
      <c r="QC146" s="1024"/>
      <c r="QD146" s="1024"/>
      <c r="QE146" s="1024"/>
      <c r="QF146" s="1024"/>
      <c r="QG146" s="1024"/>
      <c r="QH146" s="1024"/>
      <c r="QI146" s="1024"/>
      <c r="QJ146" s="1024"/>
      <c r="QK146" s="1024"/>
      <c r="QL146" s="1024"/>
      <c r="QM146" s="1024"/>
      <c r="QN146" s="1024"/>
      <c r="QO146" s="1024"/>
      <c r="QP146" s="1024"/>
      <c r="QQ146" s="1024"/>
      <c r="QR146" s="1024"/>
      <c r="QS146" s="1024"/>
      <c r="QT146" s="1024"/>
      <c r="QU146" s="1024"/>
      <c r="QV146" s="1024"/>
      <c r="QW146" s="1024"/>
      <c r="QX146" s="1024"/>
      <c r="QY146" s="1024"/>
      <c r="QZ146" s="1024"/>
      <c r="RA146" s="1024"/>
      <c r="RB146" s="1024"/>
      <c r="RC146" s="1024"/>
      <c r="RD146" s="1024"/>
      <c r="RE146" s="1024"/>
      <c r="RF146" s="1024"/>
      <c r="RG146" s="1024"/>
      <c r="RH146" s="1024"/>
      <c r="RI146" s="1024"/>
      <c r="RJ146" s="1024"/>
      <c r="RK146" s="1024"/>
      <c r="RL146" s="1024"/>
      <c r="RM146" s="1024"/>
      <c r="RN146" s="1024"/>
      <c r="RO146" s="1024"/>
      <c r="RP146" s="1024"/>
      <c r="RQ146" s="1024"/>
      <c r="RR146" s="1024"/>
      <c r="RS146" s="1024"/>
      <c r="RT146" s="1024"/>
      <c r="RU146" s="1024"/>
      <c r="RV146" s="1024"/>
      <c r="RW146" s="1024"/>
      <c r="RX146" s="1024"/>
      <c r="RY146" s="1024"/>
      <c r="RZ146" s="1024"/>
      <c r="SA146" s="1024"/>
      <c r="SB146" s="1024"/>
      <c r="SC146" s="1024"/>
      <c r="SD146" s="1024"/>
      <c r="SE146" s="1024"/>
      <c r="SF146" s="1024"/>
      <c r="SG146" s="1024"/>
      <c r="SH146" s="1024"/>
      <c r="SI146" s="1024"/>
      <c r="SJ146" s="1024"/>
      <c r="SK146" s="1024"/>
      <c r="SL146" s="1024"/>
      <c r="SM146" s="1024"/>
      <c r="SN146" s="1024"/>
      <c r="SO146" s="1024"/>
      <c r="SP146" s="1024"/>
      <c r="SQ146" s="1024"/>
      <c r="SR146" s="1024"/>
    </row>
    <row r="147" spans="1:512" ht="15" customHeight="1">
      <c r="A147"/>
      <c r="B147" t="s">
        <v>2786</v>
      </c>
      <c r="C147"/>
      <c r="D147"/>
      <c r="E147" t="s">
        <v>169</v>
      </c>
      <c r="F147"/>
      <c r="G147" s="1022">
        <v>1.2654909091106279E-2</v>
      </c>
      <c r="H147" s="1022">
        <v>1.1792009504335696E-3</v>
      </c>
      <c r="I147" s="1022"/>
      <c r="J147" s="1022"/>
      <c r="K147" s="1022"/>
      <c r="L147" s="1022"/>
      <c r="M147" s="1022"/>
      <c r="N147" s="1022"/>
      <c r="O147" s="1022"/>
      <c r="P147" s="1022"/>
      <c r="Q147" s="1022"/>
      <c r="R147" s="1022"/>
      <c r="S147" s="1022"/>
      <c r="T147" s="1022"/>
      <c r="U147" s="1021"/>
      <c r="V147" s="1021"/>
      <c r="W147" s="1021"/>
      <c r="X147" s="1021"/>
      <c r="Y147" s="1021"/>
      <c r="Z147" s="1021"/>
      <c r="AA147" s="1021"/>
      <c r="AB147" s="1021"/>
      <c r="AC147" s="1021"/>
      <c r="AD147" s="1021"/>
      <c r="AE147" s="1021"/>
      <c r="AF147" s="1021"/>
      <c r="AG147" s="1021"/>
      <c r="AH147" s="1021"/>
      <c r="AI147" s="1021"/>
      <c r="AJ147" s="1021"/>
      <c r="AK147" s="1021"/>
      <c r="AL147" s="1021"/>
      <c r="AM147" s="1021"/>
      <c r="AN147" s="1021"/>
      <c r="AO147" s="1021"/>
      <c r="AP147" s="1021"/>
      <c r="AQ147" s="1021"/>
      <c r="AR147" s="1021"/>
      <c r="AS147" s="1021"/>
      <c r="AT147" s="1021"/>
      <c r="AU147" s="1021"/>
      <c r="AV147" s="1021"/>
      <c r="AW147" s="1021"/>
      <c r="AX147" s="1021"/>
      <c r="AY147" s="1021"/>
      <c r="AZ147" s="1021"/>
      <c r="BA147" s="1021"/>
      <c r="BB147" s="1021"/>
      <c r="BC147" s="1021"/>
      <c r="BD147" s="1021"/>
      <c r="BE147" s="1021"/>
      <c r="BF147" s="1021"/>
      <c r="BG147" s="1021"/>
      <c r="BH147" s="1021"/>
      <c r="BI147" s="1021"/>
      <c r="BJ147" s="1021"/>
      <c r="BK147" s="1021"/>
      <c r="BL147" s="1021"/>
      <c r="BM147" s="1021"/>
      <c r="BN147" s="1021"/>
      <c r="BO147" s="1021"/>
      <c r="BP147" s="1021"/>
      <c r="BQ147" s="1021"/>
      <c r="BR147" s="1021"/>
      <c r="BS147" s="1021"/>
      <c r="BT147" s="1021"/>
      <c r="BU147" s="1021"/>
      <c r="BV147" s="1021"/>
      <c r="BW147" s="1021"/>
      <c r="BX147" s="1021"/>
      <c r="BY147" s="1021"/>
      <c r="BZ147" s="1021"/>
      <c r="CA147" s="1021"/>
      <c r="CB147" s="1021"/>
      <c r="CC147" s="1021"/>
      <c r="CD147" s="1021"/>
      <c r="CE147" s="1021"/>
      <c r="CF147" s="1021"/>
      <c r="CG147" s="1021"/>
      <c r="CH147" s="1021"/>
      <c r="CI147" s="1021"/>
      <c r="CJ147" s="1021"/>
      <c r="CK147" s="1021"/>
      <c r="CL147" s="1021"/>
      <c r="CM147" s="1021"/>
      <c r="CN147" s="1021"/>
      <c r="CO147" s="1021"/>
      <c r="CP147" s="1021"/>
      <c r="CQ147" s="1021"/>
      <c r="CR147" s="1021"/>
      <c r="CS147" s="1021"/>
      <c r="CT147" s="1021"/>
      <c r="CU147" s="1021"/>
      <c r="CV147" s="1021"/>
      <c r="CW147" s="1021"/>
      <c r="CX147" s="1021"/>
      <c r="CY147" s="1021"/>
      <c r="CZ147" s="1021"/>
      <c r="DA147" s="1021"/>
      <c r="DB147" s="1021"/>
      <c r="DC147" s="1021"/>
      <c r="DD147" s="1021"/>
      <c r="DE147" s="1021"/>
      <c r="DF147" s="1021"/>
      <c r="DG147" s="1021"/>
      <c r="DH147" s="1021"/>
      <c r="DI147" s="1021"/>
      <c r="DJ147" s="1021"/>
      <c r="DK147" s="1021"/>
      <c r="DL147" s="1021"/>
      <c r="DM147" s="1021"/>
      <c r="DN147" s="1021"/>
      <c r="DO147" s="1021"/>
      <c r="DP147" s="1021"/>
      <c r="DQ147" s="1021"/>
      <c r="DR147" s="1021"/>
      <c r="DS147" s="1021"/>
      <c r="DT147" s="1021"/>
      <c r="DU147" s="1021"/>
      <c r="DV147" s="1021"/>
      <c r="DW147" s="1021"/>
      <c r="DX147" s="1021"/>
      <c r="DY147" s="1021"/>
      <c r="DZ147" s="1021"/>
      <c r="EA147" s="1021"/>
      <c r="EB147" s="1021"/>
      <c r="EC147" s="1021"/>
      <c r="ED147" s="1021"/>
      <c r="EE147" s="1021"/>
      <c r="EF147" s="1021"/>
      <c r="EG147" s="1021"/>
      <c r="EH147" s="1021"/>
      <c r="EI147" s="1021"/>
      <c r="EJ147" s="1021"/>
      <c r="EK147" s="1021"/>
      <c r="EL147" s="1021"/>
      <c r="EM147" s="1021"/>
      <c r="EN147" s="1021"/>
      <c r="EO147" s="1021"/>
      <c r="EP147" s="1021"/>
      <c r="EQ147" s="1021"/>
      <c r="ER147" s="1021"/>
      <c r="ES147" s="1021"/>
      <c r="ET147" s="1021"/>
      <c r="EU147" s="1021"/>
      <c r="EV147" s="1021"/>
      <c r="EW147" s="1021"/>
      <c r="EX147" s="1021"/>
      <c r="EY147" s="1021"/>
      <c r="EZ147" s="1021"/>
      <c r="FA147" s="1021"/>
      <c r="FB147" s="1021"/>
      <c r="FC147" s="1021"/>
      <c r="FD147" s="1021"/>
      <c r="FE147" s="1021"/>
      <c r="FF147" s="1021"/>
      <c r="FG147" s="1021"/>
      <c r="FH147" s="1021"/>
      <c r="FI147" s="1021"/>
      <c r="FJ147" s="1021"/>
      <c r="FK147" s="1021"/>
      <c r="FL147" s="1021"/>
      <c r="FM147" s="1021"/>
      <c r="FN147" s="1021"/>
      <c r="FO147" s="1021"/>
      <c r="FP147" s="1021"/>
      <c r="FQ147" s="1021"/>
      <c r="FR147" s="1021"/>
      <c r="FS147" s="1021"/>
      <c r="FT147" s="1021"/>
      <c r="FU147" s="1021"/>
      <c r="FV147" s="1021"/>
      <c r="FW147" s="1021"/>
      <c r="FX147" s="1021"/>
      <c r="FY147" s="1021"/>
      <c r="FZ147" s="1021"/>
      <c r="GA147" s="1021"/>
      <c r="GB147" s="1021"/>
      <c r="GC147" s="1021"/>
      <c r="GD147" s="1021"/>
      <c r="GE147" s="1021"/>
      <c r="GF147" s="1021"/>
      <c r="GG147" s="1021"/>
      <c r="GH147" s="1021"/>
      <c r="GI147" s="1021"/>
      <c r="GJ147" s="1021"/>
      <c r="GK147" s="1021"/>
      <c r="GL147" s="1021"/>
      <c r="GM147" s="1021"/>
      <c r="GN147" s="1021"/>
      <c r="GO147" s="1021"/>
      <c r="GP147" s="1021"/>
      <c r="GQ147" s="1021"/>
      <c r="GR147" s="1021"/>
      <c r="GS147" s="1021"/>
      <c r="GT147" s="1021"/>
      <c r="GU147" s="1021"/>
      <c r="GV147" s="1021"/>
      <c r="GW147" s="1021"/>
      <c r="GX147" s="1021"/>
      <c r="GY147" s="1021"/>
      <c r="GZ147" s="1021"/>
      <c r="HA147" s="1021"/>
      <c r="HB147" s="1021"/>
      <c r="HC147" s="1021"/>
      <c r="HD147" s="1021"/>
      <c r="HE147" s="1021"/>
      <c r="HF147" s="1021"/>
      <c r="HG147" s="1021"/>
      <c r="HH147" s="1021"/>
      <c r="HI147" s="1021"/>
      <c r="HJ147" s="1021"/>
      <c r="HK147" s="1021"/>
      <c r="HL147" s="1021"/>
      <c r="HM147" s="1021"/>
      <c r="HN147" s="1021"/>
      <c r="HO147" s="1021"/>
      <c r="HP147" s="1021"/>
      <c r="HQ147" s="1021"/>
      <c r="HR147" s="1021"/>
      <c r="HS147" s="1021"/>
      <c r="HT147" s="1021"/>
      <c r="HU147" s="1021"/>
      <c r="HV147" s="1021"/>
      <c r="HW147" s="1021"/>
      <c r="HX147" s="1021"/>
      <c r="HY147" s="1021"/>
      <c r="HZ147" s="1021"/>
      <c r="IA147" s="1021"/>
      <c r="IB147" s="1021"/>
      <c r="IC147" s="1021"/>
      <c r="ID147" s="1021"/>
      <c r="IE147" s="1021"/>
      <c r="IF147" s="1021"/>
      <c r="IG147" s="1021"/>
      <c r="IH147" s="1021"/>
      <c r="II147" s="1021"/>
      <c r="IJ147" s="1021"/>
      <c r="IK147" s="1021"/>
      <c r="IL147" s="1021"/>
      <c r="IM147" s="1021"/>
      <c r="IN147" s="1021"/>
      <c r="IO147" s="1021"/>
      <c r="IP147" s="1021"/>
      <c r="IQ147" s="1021"/>
      <c r="IR147" s="1021"/>
      <c r="IS147" s="1021"/>
      <c r="IT147" s="1021"/>
      <c r="IU147" s="1021"/>
      <c r="IV147" s="1021"/>
      <c r="IW147" s="1021"/>
      <c r="IX147" s="1021"/>
      <c r="IY147" s="1021"/>
      <c r="IZ147" s="1021"/>
      <c r="JA147" s="1021"/>
      <c r="JB147" s="1021"/>
      <c r="JC147" s="1021"/>
      <c r="JD147" s="1021"/>
      <c r="JE147" s="1021"/>
      <c r="JF147" s="1021"/>
      <c r="JG147" s="1021"/>
      <c r="JH147" s="1021"/>
      <c r="JI147" s="1021"/>
      <c r="JJ147" s="1021"/>
      <c r="JK147" s="1021"/>
      <c r="JL147" s="1021"/>
      <c r="JM147" s="1021"/>
      <c r="JN147" s="1021"/>
      <c r="JO147" s="1021"/>
      <c r="JP147" s="1021"/>
      <c r="JQ147" s="1021"/>
      <c r="JR147" s="1021"/>
      <c r="JS147" s="1021"/>
      <c r="JT147" s="1021"/>
      <c r="JU147" s="1021"/>
      <c r="JV147" s="1021"/>
      <c r="JW147" s="1021"/>
      <c r="JX147" s="1021"/>
      <c r="JY147" s="1021"/>
      <c r="JZ147" s="1021"/>
      <c r="KA147" s="1021"/>
      <c r="KB147" s="1021"/>
      <c r="KC147" s="1021"/>
      <c r="KD147" s="1021"/>
      <c r="KE147" s="1021"/>
      <c r="KF147" s="1021"/>
      <c r="KG147" s="1021"/>
      <c r="KH147" s="1021"/>
      <c r="KI147" s="1021"/>
      <c r="KJ147" s="1021"/>
      <c r="KK147" s="1021"/>
      <c r="KL147" s="1021"/>
      <c r="KM147" s="1021"/>
      <c r="KN147" s="1021"/>
      <c r="KO147" s="1021"/>
      <c r="KP147" s="1021"/>
      <c r="KQ147" s="1021"/>
      <c r="KR147" s="1021"/>
      <c r="KS147" s="1021"/>
      <c r="KT147" s="1021"/>
      <c r="KU147" s="1021"/>
      <c r="KV147" s="1021"/>
      <c r="KW147" s="1021"/>
      <c r="KX147" s="1021"/>
      <c r="KY147" s="1021"/>
      <c r="KZ147" s="1021"/>
      <c r="LA147" s="1021"/>
      <c r="LB147" s="1021"/>
      <c r="LC147" s="1021"/>
      <c r="LD147" s="1021"/>
      <c r="LE147" s="1021"/>
      <c r="LF147" s="1021"/>
      <c r="LG147" s="1021"/>
      <c r="LH147" s="1021"/>
      <c r="LI147" s="1021"/>
      <c r="LJ147" s="1021"/>
      <c r="LK147" s="1021"/>
      <c r="LL147" s="1021"/>
      <c r="LM147" s="1021"/>
      <c r="LN147" s="1021"/>
      <c r="LO147" s="1021"/>
      <c r="LP147" s="1021"/>
      <c r="LQ147" s="1021"/>
      <c r="LR147" s="1021"/>
      <c r="LS147" s="1021"/>
      <c r="LT147" s="1021"/>
      <c r="LU147" s="1021"/>
      <c r="LV147" s="1021"/>
      <c r="LW147" s="1021"/>
      <c r="LX147" s="1021"/>
      <c r="LY147" s="1021"/>
      <c r="LZ147" s="1021"/>
      <c r="MA147" s="1021"/>
      <c r="MB147" s="1021"/>
      <c r="MC147" s="1021"/>
      <c r="MD147" s="1021"/>
      <c r="ME147" s="1021"/>
      <c r="MF147" s="1021"/>
      <c r="MG147" s="1021"/>
      <c r="MH147" s="1021"/>
      <c r="MI147" s="1021"/>
      <c r="MJ147" s="1021"/>
      <c r="MK147" s="1021"/>
      <c r="ML147" s="1021"/>
      <c r="MM147" s="1021"/>
      <c r="MN147" s="1021"/>
      <c r="MO147" s="1021"/>
      <c r="MP147" s="1021"/>
      <c r="MQ147" s="1021"/>
      <c r="MR147" s="1021"/>
      <c r="MS147" s="1021"/>
      <c r="MT147" s="1021"/>
      <c r="MU147" s="1021"/>
      <c r="MV147" s="1021"/>
      <c r="MW147" s="1021"/>
      <c r="MX147" s="1021"/>
      <c r="MY147" s="1021"/>
      <c r="MZ147" s="1021"/>
      <c r="NA147" s="1021"/>
      <c r="NB147" s="1021"/>
      <c r="NC147" s="1021"/>
      <c r="ND147" s="1021"/>
      <c r="NE147" s="1021"/>
      <c r="NF147" s="1021"/>
      <c r="NG147" s="1021"/>
      <c r="NH147" s="1021"/>
      <c r="NI147" s="1021"/>
      <c r="NJ147" s="1021"/>
      <c r="NK147" s="1021"/>
      <c r="NL147" s="1021"/>
      <c r="NM147" s="1021"/>
      <c r="NN147" s="1021"/>
      <c r="NO147" s="1021"/>
      <c r="NP147" s="1021"/>
      <c r="NQ147" s="1021"/>
      <c r="NR147" s="1021"/>
      <c r="NS147" s="1021"/>
      <c r="NT147" s="1021"/>
      <c r="NU147" s="1021"/>
      <c r="NV147" s="1021"/>
      <c r="NW147" s="1021"/>
      <c r="NX147" s="1021"/>
      <c r="NY147" s="1021"/>
      <c r="NZ147" s="1021"/>
      <c r="OA147" s="1021"/>
      <c r="OB147" s="1021"/>
      <c r="OC147" s="1021"/>
      <c r="OD147" s="1021"/>
      <c r="OE147" s="1021"/>
      <c r="OF147" s="1021"/>
      <c r="OG147" s="1021"/>
      <c r="OH147" s="1021"/>
      <c r="OI147" s="1021"/>
      <c r="OJ147" s="1021"/>
      <c r="OK147" s="1021"/>
      <c r="OL147" s="1021"/>
      <c r="OM147" s="1021"/>
      <c r="ON147" s="1021"/>
      <c r="OO147" s="1021"/>
      <c r="OP147" s="1021"/>
      <c r="OQ147" s="1021"/>
      <c r="OR147" s="1021"/>
      <c r="OS147" s="1021"/>
      <c r="OT147" s="1021"/>
      <c r="OU147" s="1021"/>
      <c r="OV147" s="1021"/>
      <c r="OW147" s="1021"/>
      <c r="OX147" s="1021"/>
      <c r="OY147" s="1021"/>
      <c r="OZ147" s="1021"/>
      <c r="PA147" s="1021"/>
      <c r="PB147" s="1021"/>
      <c r="PC147" s="1021"/>
      <c r="PD147" s="1021"/>
      <c r="PE147" s="1021"/>
      <c r="PF147" s="1021"/>
      <c r="PG147" s="1021"/>
      <c r="PH147" s="1021"/>
      <c r="PI147" s="1021"/>
      <c r="PJ147" s="1021"/>
      <c r="PK147" s="1021"/>
      <c r="PL147" s="1021"/>
      <c r="PM147" s="1021"/>
      <c r="PN147" s="1021"/>
      <c r="PO147" s="1021"/>
      <c r="PP147" s="1021"/>
      <c r="PQ147" s="1021"/>
      <c r="PR147" s="1021"/>
      <c r="PS147" s="1021"/>
      <c r="PT147" s="1021"/>
      <c r="PU147" s="1021"/>
      <c r="PV147" s="1021"/>
      <c r="PW147" s="1021"/>
      <c r="PX147" s="1021"/>
      <c r="PY147" s="1021"/>
      <c r="PZ147" s="1021"/>
      <c r="QA147" s="1021"/>
      <c r="QB147" s="1021"/>
      <c r="QC147" s="1021"/>
      <c r="QD147" s="1021"/>
      <c r="QE147" s="1021"/>
      <c r="QF147" s="1021"/>
      <c r="QG147" s="1021"/>
      <c r="QH147" s="1021"/>
      <c r="QI147" s="1021"/>
      <c r="QJ147" s="1021"/>
      <c r="QK147" s="1021"/>
      <c r="QL147" s="1021"/>
      <c r="QM147" s="1021"/>
      <c r="QN147" s="1021"/>
      <c r="QO147" s="1021"/>
      <c r="QP147" s="1021"/>
      <c r="QQ147" s="1021"/>
      <c r="QR147" s="1021"/>
      <c r="QS147" s="1021"/>
      <c r="QT147" s="1021"/>
      <c r="QU147" s="1021"/>
      <c r="QV147" s="1021"/>
      <c r="QW147" s="1021"/>
      <c r="QX147" s="1021"/>
      <c r="QY147" s="1021"/>
      <c r="QZ147" s="1021"/>
      <c r="RA147" s="1021"/>
      <c r="RB147" s="1021"/>
      <c r="RC147" s="1021"/>
      <c r="RD147" s="1021"/>
      <c r="RE147" s="1021"/>
      <c r="RF147" s="1021"/>
      <c r="RG147" s="1021"/>
      <c r="RH147" s="1021"/>
      <c r="RI147" s="1021"/>
      <c r="RJ147" s="1021"/>
      <c r="RK147" s="1021"/>
      <c r="RL147" s="1021"/>
      <c r="RM147" s="1021"/>
      <c r="RN147" s="1021"/>
      <c r="RO147" s="1021"/>
      <c r="RP147" s="1021"/>
      <c r="RQ147" s="1021"/>
      <c r="RR147" s="1021"/>
      <c r="RS147" s="1021"/>
      <c r="RT147" s="1021"/>
      <c r="RU147" s="1021"/>
      <c r="RV147" s="1021"/>
      <c r="RW147" s="1021"/>
      <c r="RX147" s="1021"/>
      <c r="RY147" s="1021"/>
      <c r="RZ147" s="1021"/>
      <c r="SA147" s="1021"/>
      <c r="SB147" s="1021"/>
      <c r="SC147" s="1021"/>
      <c r="SD147" s="1021"/>
      <c r="SE147" s="1021"/>
      <c r="SF147" s="1021"/>
      <c r="SG147" s="1021"/>
      <c r="SH147" s="1021"/>
      <c r="SI147" s="1021"/>
      <c r="SJ147" s="1021"/>
      <c r="SK147" s="1021"/>
      <c r="SL147" s="1021"/>
      <c r="SM147" s="1021"/>
      <c r="SN147" s="1021"/>
      <c r="SO147" s="1021"/>
      <c r="SP147" s="1021"/>
      <c r="SQ147" s="1021"/>
      <c r="SR147" s="1021"/>
    </row>
    <row r="148" spans="1:512" ht="15" customHeight="1">
      <c r="A148"/>
      <c r="B148" t="s">
        <v>2787</v>
      </c>
      <c r="C148"/>
      <c r="D148"/>
      <c r="E148" t="s">
        <v>3848</v>
      </c>
      <c r="F148"/>
      <c r="G148" s="1023">
        <v>0.9339178080563364</v>
      </c>
      <c r="H148" s="1023">
        <v>9.0309772448312856E-2</v>
      </c>
      <c r="I148" s="1023"/>
      <c r="J148" s="1023"/>
      <c r="K148" s="1023"/>
      <c r="L148" s="1023"/>
      <c r="M148" s="1023"/>
      <c r="N148" s="1023"/>
      <c r="O148" s="1023"/>
      <c r="P148" s="1023"/>
      <c r="Q148" s="1023"/>
      <c r="R148" s="1023"/>
      <c r="S148" s="1023"/>
      <c r="T148" s="1023"/>
      <c r="U148" s="1021"/>
      <c r="V148" s="1021"/>
      <c r="W148" s="1021"/>
      <c r="X148" s="1021"/>
      <c r="Y148" s="1021"/>
      <c r="Z148" s="1021"/>
      <c r="AA148" s="1021"/>
      <c r="AB148" s="1021"/>
      <c r="AC148" s="1021"/>
      <c r="AD148" s="1021"/>
      <c r="AE148" s="1021"/>
      <c r="AF148" s="1021"/>
      <c r="AG148" s="1021"/>
      <c r="AH148" s="1021"/>
      <c r="AI148" s="1021"/>
      <c r="AJ148" s="1021"/>
      <c r="AK148" s="1021"/>
      <c r="AL148" s="1021"/>
      <c r="AM148" s="1021"/>
      <c r="AN148" s="1021"/>
      <c r="AO148" s="1021"/>
      <c r="AP148" s="1021"/>
      <c r="AQ148" s="1021"/>
      <c r="AR148" s="1021"/>
      <c r="AS148" s="1021"/>
      <c r="AT148" s="1021"/>
      <c r="AU148" s="1021"/>
      <c r="AV148" s="1021"/>
      <c r="AW148" s="1021"/>
      <c r="AX148" s="1021"/>
      <c r="AY148" s="1021"/>
      <c r="AZ148" s="1021"/>
      <c r="BA148" s="1021"/>
      <c r="BB148" s="1021"/>
      <c r="BC148" s="1021"/>
      <c r="BD148" s="1021"/>
      <c r="BE148" s="1021"/>
      <c r="BF148" s="1021"/>
      <c r="BG148" s="1021"/>
      <c r="BH148" s="1021"/>
      <c r="BI148" s="1021"/>
      <c r="BJ148" s="1021"/>
      <c r="BK148" s="1021"/>
      <c r="BL148" s="1021"/>
      <c r="BM148" s="1021"/>
      <c r="BN148" s="1021"/>
      <c r="BO148" s="1021"/>
      <c r="BP148" s="1021"/>
      <c r="BQ148" s="1021"/>
      <c r="BR148" s="1021"/>
      <c r="BS148" s="1021"/>
      <c r="BT148" s="1021"/>
      <c r="BU148" s="1021"/>
      <c r="BV148" s="1021"/>
      <c r="BW148" s="1021"/>
      <c r="BX148" s="1021"/>
      <c r="BY148" s="1021"/>
      <c r="BZ148" s="1021"/>
      <c r="CA148" s="1021"/>
      <c r="CB148" s="1021"/>
      <c r="CC148" s="1021"/>
      <c r="CD148" s="1021"/>
      <c r="CE148" s="1021"/>
      <c r="CF148" s="1021"/>
      <c r="CG148" s="1021"/>
      <c r="CH148" s="1021"/>
      <c r="CI148" s="1021"/>
      <c r="CJ148" s="1021"/>
      <c r="CK148" s="1021"/>
      <c r="CL148" s="1021"/>
      <c r="CM148" s="1021"/>
      <c r="CN148" s="1021"/>
      <c r="CO148" s="1021"/>
      <c r="CP148" s="1021"/>
      <c r="CQ148" s="1021"/>
      <c r="CR148" s="1021"/>
      <c r="CS148" s="1021"/>
      <c r="CT148" s="1021"/>
      <c r="CU148" s="1021"/>
      <c r="CV148" s="1021"/>
      <c r="CW148" s="1021"/>
      <c r="CX148" s="1021"/>
      <c r="CY148" s="1021"/>
      <c r="CZ148" s="1021"/>
      <c r="DA148" s="1021"/>
      <c r="DB148" s="1021"/>
      <c r="DC148" s="1021"/>
      <c r="DD148" s="1021"/>
      <c r="DE148" s="1021"/>
      <c r="DF148" s="1021"/>
      <c r="DG148" s="1021"/>
      <c r="DH148" s="1021"/>
      <c r="DI148" s="1021"/>
      <c r="DJ148" s="1021"/>
      <c r="DK148" s="1021"/>
      <c r="DL148" s="1021"/>
      <c r="DM148" s="1021"/>
      <c r="DN148" s="1021"/>
      <c r="DO148" s="1021"/>
      <c r="DP148" s="1021"/>
      <c r="DQ148" s="1021"/>
      <c r="DR148" s="1021"/>
      <c r="DS148" s="1021"/>
      <c r="DT148" s="1021"/>
      <c r="DU148" s="1021"/>
      <c r="DV148" s="1021"/>
      <c r="DW148" s="1021"/>
      <c r="DX148" s="1021"/>
      <c r="DY148" s="1021"/>
      <c r="DZ148" s="1021"/>
      <c r="EA148" s="1021"/>
      <c r="EB148" s="1021"/>
      <c r="EC148" s="1021"/>
      <c r="ED148" s="1021"/>
      <c r="EE148" s="1021"/>
      <c r="EF148" s="1021"/>
      <c r="EG148" s="1021"/>
      <c r="EH148" s="1021"/>
      <c r="EI148" s="1021"/>
      <c r="EJ148" s="1021"/>
      <c r="EK148" s="1021"/>
      <c r="EL148" s="1021"/>
      <c r="EM148" s="1021"/>
      <c r="EN148" s="1021"/>
      <c r="EO148" s="1021"/>
      <c r="EP148" s="1021"/>
      <c r="EQ148" s="1021"/>
      <c r="ER148" s="1021"/>
      <c r="ES148" s="1021"/>
      <c r="ET148" s="1021"/>
      <c r="EU148" s="1021"/>
      <c r="EV148" s="1021"/>
      <c r="EW148" s="1021"/>
      <c r="EX148" s="1021"/>
      <c r="EY148" s="1021"/>
      <c r="EZ148" s="1021"/>
      <c r="FA148" s="1021"/>
      <c r="FB148" s="1021"/>
      <c r="FC148" s="1021"/>
      <c r="FD148" s="1021"/>
      <c r="FE148" s="1021"/>
      <c r="FF148" s="1021"/>
      <c r="FG148" s="1021"/>
      <c r="FH148" s="1021"/>
      <c r="FI148" s="1021"/>
      <c r="FJ148" s="1021"/>
      <c r="FK148" s="1021"/>
      <c r="FL148" s="1021"/>
      <c r="FM148" s="1021"/>
      <c r="FN148" s="1021"/>
      <c r="FO148" s="1021"/>
      <c r="FP148" s="1021"/>
      <c r="FQ148" s="1021"/>
      <c r="FR148" s="1021"/>
      <c r="FS148" s="1021"/>
      <c r="FT148" s="1021"/>
      <c r="FU148" s="1021"/>
      <c r="FV148" s="1021"/>
      <c r="FW148" s="1021"/>
      <c r="FX148" s="1021"/>
      <c r="FY148" s="1021"/>
      <c r="FZ148" s="1021"/>
      <c r="GA148" s="1021"/>
      <c r="GB148" s="1021"/>
      <c r="GC148" s="1021"/>
      <c r="GD148" s="1021"/>
      <c r="GE148" s="1021"/>
      <c r="GF148" s="1021"/>
      <c r="GG148" s="1021"/>
      <c r="GH148" s="1021"/>
      <c r="GI148" s="1021"/>
      <c r="GJ148" s="1021"/>
      <c r="GK148" s="1021"/>
      <c r="GL148" s="1021"/>
      <c r="GM148" s="1021"/>
      <c r="GN148" s="1021"/>
      <c r="GO148" s="1021"/>
      <c r="GP148" s="1021"/>
      <c r="GQ148" s="1021"/>
      <c r="GR148" s="1021"/>
      <c r="GS148" s="1021"/>
      <c r="GT148" s="1021"/>
      <c r="GU148" s="1021"/>
      <c r="GV148" s="1021"/>
      <c r="GW148" s="1021"/>
      <c r="GX148" s="1021"/>
      <c r="GY148" s="1021"/>
      <c r="GZ148" s="1021"/>
      <c r="HA148" s="1021"/>
      <c r="HB148" s="1021"/>
      <c r="HC148" s="1021"/>
      <c r="HD148" s="1021"/>
      <c r="HE148" s="1021"/>
      <c r="HF148" s="1021"/>
      <c r="HG148" s="1021"/>
      <c r="HH148" s="1021"/>
      <c r="HI148" s="1021"/>
      <c r="HJ148" s="1021"/>
      <c r="HK148" s="1021"/>
      <c r="HL148" s="1021"/>
      <c r="HM148" s="1021"/>
      <c r="HN148" s="1021"/>
      <c r="HO148" s="1021"/>
      <c r="HP148" s="1021"/>
      <c r="HQ148" s="1021"/>
      <c r="HR148" s="1021"/>
      <c r="HS148" s="1021"/>
      <c r="HT148" s="1021"/>
      <c r="HU148" s="1021"/>
      <c r="HV148" s="1021"/>
      <c r="HW148" s="1021"/>
      <c r="HX148" s="1021"/>
      <c r="HY148" s="1021"/>
      <c r="HZ148" s="1021"/>
      <c r="IA148" s="1021"/>
      <c r="IB148" s="1021"/>
      <c r="IC148" s="1021"/>
      <c r="ID148" s="1021"/>
      <c r="IE148" s="1021"/>
      <c r="IF148" s="1021"/>
      <c r="IG148" s="1021"/>
      <c r="IH148" s="1021"/>
      <c r="II148" s="1021"/>
      <c r="IJ148" s="1021"/>
      <c r="IK148" s="1021"/>
      <c r="IL148" s="1021"/>
      <c r="IM148" s="1021"/>
      <c r="IN148" s="1021"/>
      <c r="IO148" s="1021"/>
      <c r="IP148" s="1021"/>
      <c r="IQ148" s="1021"/>
      <c r="IR148" s="1021"/>
      <c r="IS148" s="1021"/>
      <c r="IT148" s="1021"/>
      <c r="IU148" s="1021"/>
      <c r="IV148" s="1021"/>
      <c r="IW148" s="1021"/>
      <c r="IX148" s="1021"/>
      <c r="IY148" s="1021"/>
      <c r="IZ148" s="1021"/>
      <c r="JA148" s="1021"/>
      <c r="JB148" s="1021"/>
      <c r="JC148" s="1021"/>
      <c r="JD148" s="1021"/>
      <c r="JE148" s="1021"/>
      <c r="JF148" s="1021"/>
      <c r="JG148" s="1021"/>
      <c r="JH148" s="1021"/>
      <c r="JI148" s="1021"/>
      <c r="JJ148" s="1021"/>
      <c r="JK148" s="1021"/>
      <c r="JL148" s="1021"/>
      <c r="JM148" s="1021"/>
      <c r="JN148" s="1021"/>
      <c r="JO148" s="1021"/>
      <c r="JP148" s="1021"/>
      <c r="JQ148" s="1021"/>
      <c r="JR148" s="1021"/>
      <c r="JS148" s="1021"/>
      <c r="JT148" s="1021"/>
      <c r="JU148" s="1021"/>
      <c r="JV148" s="1021"/>
      <c r="JW148" s="1021"/>
      <c r="JX148" s="1021"/>
      <c r="JY148" s="1021"/>
      <c r="JZ148" s="1021"/>
      <c r="KA148" s="1021"/>
      <c r="KB148" s="1021"/>
      <c r="KC148" s="1021"/>
      <c r="KD148" s="1021"/>
      <c r="KE148" s="1021"/>
      <c r="KF148" s="1021"/>
      <c r="KG148" s="1021"/>
      <c r="KH148" s="1021"/>
      <c r="KI148" s="1021"/>
      <c r="KJ148" s="1021"/>
      <c r="KK148" s="1021"/>
      <c r="KL148" s="1021"/>
      <c r="KM148" s="1021"/>
      <c r="KN148" s="1021"/>
      <c r="KO148" s="1021"/>
      <c r="KP148" s="1021"/>
      <c r="KQ148" s="1021"/>
      <c r="KR148" s="1021"/>
      <c r="KS148" s="1021"/>
      <c r="KT148" s="1021"/>
      <c r="KU148" s="1021"/>
      <c r="KV148" s="1021"/>
      <c r="KW148" s="1021"/>
      <c r="KX148" s="1021"/>
      <c r="KY148" s="1021"/>
      <c r="KZ148" s="1021"/>
      <c r="LA148" s="1021"/>
      <c r="LB148" s="1021"/>
      <c r="LC148" s="1021"/>
      <c r="LD148" s="1021"/>
      <c r="LE148" s="1021"/>
      <c r="LF148" s="1021"/>
      <c r="LG148" s="1021"/>
      <c r="LH148" s="1021"/>
      <c r="LI148" s="1021"/>
      <c r="LJ148" s="1021"/>
      <c r="LK148" s="1021"/>
      <c r="LL148" s="1021"/>
      <c r="LM148" s="1021"/>
      <c r="LN148" s="1021"/>
      <c r="LO148" s="1021"/>
      <c r="LP148" s="1021"/>
      <c r="LQ148" s="1021"/>
      <c r="LR148" s="1021"/>
      <c r="LS148" s="1021"/>
      <c r="LT148" s="1021"/>
      <c r="LU148" s="1021"/>
      <c r="LV148" s="1021"/>
      <c r="LW148" s="1021"/>
      <c r="LX148" s="1021"/>
      <c r="LY148" s="1021"/>
      <c r="LZ148" s="1021"/>
      <c r="MA148" s="1021"/>
      <c r="MB148" s="1021"/>
      <c r="MC148" s="1021"/>
      <c r="MD148" s="1021"/>
      <c r="ME148" s="1021"/>
      <c r="MF148" s="1021"/>
      <c r="MG148" s="1021"/>
      <c r="MH148" s="1021"/>
      <c r="MI148" s="1021"/>
      <c r="MJ148" s="1021"/>
      <c r="MK148" s="1021"/>
      <c r="ML148" s="1021"/>
      <c r="MM148" s="1021"/>
      <c r="MN148" s="1021"/>
      <c r="MO148" s="1021"/>
      <c r="MP148" s="1021"/>
      <c r="MQ148" s="1021"/>
      <c r="MR148" s="1021"/>
      <c r="MS148" s="1021"/>
      <c r="MT148" s="1021"/>
      <c r="MU148" s="1021"/>
      <c r="MV148" s="1021"/>
      <c r="MW148" s="1021"/>
      <c r="MX148" s="1021"/>
      <c r="MY148" s="1021"/>
      <c r="MZ148" s="1021"/>
      <c r="NA148" s="1021"/>
      <c r="NB148" s="1021"/>
      <c r="NC148" s="1021"/>
      <c r="ND148" s="1021"/>
      <c r="NE148" s="1021"/>
      <c r="NF148" s="1021"/>
      <c r="NG148" s="1021"/>
      <c r="NH148" s="1021"/>
      <c r="NI148" s="1021"/>
      <c r="NJ148" s="1021"/>
      <c r="NK148" s="1021"/>
      <c r="NL148" s="1021"/>
      <c r="NM148" s="1021"/>
      <c r="NN148" s="1021"/>
      <c r="NO148" s="1021"/>
      <c r="NP148" s="1021"/>
      <c r="NQ148" s="1021"/>
      <c r="NR148" s="1021"/>
      <c r="NS148" s="1021"/>
      <c r="NT148" s="1021"/>
      <c r="NU148" s="1021"/>
      <c r="NV148" s="1021"/>
      <c r="NW148" s="1021"/>
      <c r="NX148" s="1021"/>
      <c r="NY148" s="1021"/>
      <c r="NZ148" s="1021"/>
      <c r="OA148" s="1021"/>
      <c r="OB148" s="1021"/>
      <c r="OC148" s="1021"/>
      <c r="OD148" s="1021"/>
      <c r="OE148" s="1021"/>
      <c r="OF148" s="1021"/>
      <c r="OG148" s="1021"/>
      <c r="OH148" s="1021"/>
      <c r="OI148" s="1021"/>
      <c r="OJ148" s="1021"/>
      <c r="OK148" s="1021"/>
      <c r="OL148" s="1021"/>
      <c r="OM148" s="1021"/>
      <c r="ON148" s="1021"/>
      <c r="OO148" s="1021"/>
      <c r="OP148" s="1021"/>
      <c r="OQ148" s="1021"/>
      <c r="OR148" s="1021"/>
      <c r="OS148" s="1021"/>
      <c r="OT148" s="1021"/>
      <c r="OU148" s="1021"/>
      <c r="OV148" s="1021"/>
      <c r="OW148" s="1021"/>
      <c r="OX148" s="1021"/>
      <c r="OY148" s="1021"/>
      <c r="OZ148" s="1021"/>
      <c r="PA148" s="1021"/>
      <c r="PB148" s="1021"/>
      <c r="PC148" s="1021"/>
      <c r="PD148" s="1021"/>
      <c r="PE148" s="1021"/>
      <c r="PF148" s="1021"/>
      <c r="PG148" s="1021"/>
      <c r="PH148" s="1021"/>
      <c r="PI148" s="1021"/>
      <c r="PJ148" s="1021"/>
      <c r="PK148" s="1021"/>
      <c r="PL148" s="1021"/>
      <c r="PM148" s="1021"/>
      <c r="PN148" s="1021"/>
      <c r="PO148" s="1021"/>
      <c r="PP148" s="1021"/>
      <c r="PQ148" s="1021"/>
      <c r="PR148" s="1021"/>
      <c r="PS148" s="1021"/>
      <c r="PT148" s="1021"/>
      <c r="PU148" s="1021"/>
      <c r="PV148" s="1021"/>
      <c r="PW148" s="1021"/>
      <c r="PX148" s="1021"/>
      <c r="PY148" s="1021"/>
      <c r="PZ148" s="1021"/>
      <c r="QA148" s="1021"/>
      <c r="QB148" s="1021"/>
      <c r="QC148" s="1021"/>
      <c r="QD148" s="1021"/>
      <c r="QE148" s="1021"/>
      <c r="QF148" s="1021"/>
      <c r="QG148" s="1021"/>
      <c r="QH148" s="1021"/>
      <c r="QI148" s="1021"/>
      <c r="QJ148" s="1021"/>
      <c r="QK148" s="1021"/>
      <c r="QL148" s="1021"/>
      <c r="QM148" s="1021"/>
      <c r="QN148" s="1021"/>
      <c r="QO148" s="1021"/>
      <c r="QP148" s="1021"/>
      <c r="QQ148" s="1021"/>
      <c r="QR148" s="1021"/>
      <c r="QS148" s="1021"/>
      <c r="QT148" s="1021"/>
      <c r="QU148" s="1021"/>
      <c r="QV148" s="1021"/>
      <c r="QW148" s="1021"/>
      <c r="QX148" s="1021"/>
      <c r="QY148" s="1021"/>
      <c r="QZ148" s="1021"/>
      <c r="RA148" s="1021"/>
      <c r="RB148" s="1021"/>
      <c r="RC148" s="1021"/>
      <c r="RD148" s="1021"/>
      <c r="RE148" s="1021"/>
      <c r="RF148" s="1021"/>
      <c r="RG148" s="1021"/>
      <c r="RH148" s="1021"/>
      <c r="RI148" s="1021"/>
      <c r="RJ148" s="1021"/>
      <c r="RK148" s="1021"/>
      <c r="RL148" s="1021"/>
      <c r="RM148" s="1021"/>
      <c r="RN148" s="1021"/>
      <c r="RO148" s="1021"/>
      <c r="RP148" s="1021"/>
      <c r="RQ148" s="1021"/>
      <c r="RR148" s="1021"/>
      <c r="RS148" s="1021"/>
      <c r="RT148" s="1021"/>
      <c r="RU148" s="1021"/>
      <c r="RV148" s="1021"/>
      <c r="RW148" s="1021"/>
      <c r="RX148" s="1021"/>
      <c r="RY148" s="1021"/>
      <c r="RZ148" s="1021"/>
      <c r="SA148" s="1021"/>
      <c r="SB148" s="1021"/>
      <c r="SC148" s="1021"/>
      <c r="SD148" s="1021"/>
      <c r="SE148" s="1021"/>
      <c r="SF148" s="1021"/>
      <c r="SG148" s="1021"/>
      <c r="SH148" s="1021"/>
      <c r="SI148" s="1021"/>
      <c r="SJ148" s="1021"/>
      <c r="SK148" s="1021"/>
      <c r="SL148" s="1021"/>
      <c r="SM148" s="1021"/>
      <c r="SN148" s="1021"/>
      <c r="SO148" s="1021"/>
      <c r="SP148" s="1021"/>
      <c r="SQ148" s="1021"/>
      <c r="SR148" s="1021"/>
    </row>
    <row r="149" spans="1:512" ht="15" customHeight="1">
      <c r="A149"/>
      <c r="B149" t="s">
        <v>2788</v>
      </c>
      <c r="C149"/>
      <c r="D149"/>
      <c r="E149" t="s">
        <v>237</v>
      </c>
      <c r="F149"/>
      <c r="G149" s="1023">
        <v>1.000062</v>
      </c>
      <c r="H149" s="1023">
        <v>1.000062</v>
      </c>
      <c r="I149" s="1023"/>
      <c r="J149" s="1023"/>
      <c r="K149" s="1023"/>
      <c r="L149" s="1023"/>
      <c r="M149" s="1023"/>
      <c r="N149" s="1023"/>
      <c r="O149" s="1023"/>
      <c r="P149" s="1023"/>
      <c r="Q149" s="1023"/>
      <c r="R149" s="1023"/>
      <c r="S149" s="1023"/>
      <c r="T149" s="1023"/>
      <c r="U149" s="1021"/>
      <c r="V149" s="1021"/>
      <c r="W149" s="1021"/>
      <c r="X149" s="1021"/>
      <c r="Y149" s="1021"/>
      <c r="Z149" s="1021"/>
      <c r="AA149" s="1021"/>
      <c r="AB149" s="1021"/>
      <c r="AC149" s="1021"/>
      <c r="AD149" s="1021"/>
      <c r="AE149" s="1021"/>
      <c r="AF149" s="1021"/>
      <c r="AG149" s="1021"/>
      <c r="AH149" s="1021"/>
      <c r="AI149" s="1021"/>
      <c r="AJ149" s="1021"/>
      <c r="AK149" s="1021"/>
      <c r="AL149" s="1021"/>
      <c r="AM149" s="1021"/>
      <c r="AN149" s="1021"/>
      <c r="AO149" s="1021"/>
      <c r="AP149" s="1021"/>
      <c r="AQ149" s="1021"/>
      <c r="AR149" s="1021"/>
      <c r="AS149" s="1021"/>
      <c r="AT149" s="1021"/>
      <c r="AU149" s="1021"/>
      <c r="AV149" s="1021"/>
      <c r="AW149" s="1021"/>
      <c r="AX149" s="1021"/>
      <c r="AY149" s="1021"/>
      <c r="AZ149" s="1021"/>
      <c r="BA149" s="1021"/>
      <c r="BB149" s="1021"/>
      <c r="BC149" s="1021"/>
      <c r="BD149" s="1021"/>
      <c r="BE149" s="1021"/>
      <c r="BF149" s="1021"/>
      <c r="BG149" s="1021"/>
      <c r="BH149" s="1021"/>
      <c r="BI149" s="1021"/>
      <c r="BJ149" s="1021"/>
      <c r="BK149" s="1021"/>
      <c r="BL149" s="1021"/>
      <c r="BM149" s="1021"/>
      <c r="BN149" s="1021"/>
      <c r="BO149" s="1021"/>
      <c r="BP149" s="1021"/>
      <c r="BQ149" s="1021"/>
      <c r="BR149" s="1021"/>
      <c r="BS149" s="1021"/>
      <c r="BT149" s="1021"/>
      <c r="BU149" s="1021"/>
      <c r="BV149" s="1021"/>
      <c r="BW149" s="1021"/>
      <c r="BX149" s="1021"/>
      <c r="BY149" s="1021"/>
      <c r="BZ149" s="1021"/>
      <c r="CA149" s="1021"/>
      <c r="CB149" s="1021"/>
      <c r="CC149" s="1021"/>
      <c r="CD149" s="1021"/>
      <c r="CE149" s="1021"/>
      <c r="CF149" s="1021"/>
      <c r="CG149" s="1021"/>
      <c r="CH149" s="1021"/>
      <c r="CI149" s="1021"/>
      <c r="CJ149" s="1021"/>
      <c r="CK149" s="1021"/>
      <c r="CL149" s="1021"/>
      <c r="CM149" s="1021"/>
      <c r="CN149" s="1021"/>
      <c r="CO149" s="1021"/>
      <c r="CP149" s="1021"/>
      <c r="CQ149" s="1021"/>
      <c r="CR149" s="1021"/>
      <c r="CS149" s="1021"/>
      <c r="CT149" s="1021"/>
      <c r="CU149" s="1021"/>
      <c r="CV149" s="1021"/>
      <c r="CW149" s="1021"/>
      <c r="CX149" s="1021"/>
      <c r="CY149" s="1021"/>
      <c r="CZ149" s="1021"/>
      <c r="DA149" s="1021"/>
      <c r="DB149" s="1021"/>
      <c r="DC149" s="1021"/>
      <c r="DD149" s="1021"/>
      <c r="DE149" s="1021"/>
      <c r="DF149" s="1021"/>
      <c r="DG149" s="1021"/>
      <c r="DH149" s="1021"/>
      <c r="DI149" s="1021"/>
      <c r="DJ149" s="1021"/>
      <c r="DK149" s="1021"/>
      <c r="DL149" s="1021"/>
      <c r="DM149" s="1021"/>
      <c r="DN149" s="1021"/>
      <c r="DO149" s="1021"/>
      <c r="DP149" s="1021"/>
      <c r="DQ149" s="1021"/>
      <c r="DR149" s="1021"/>
      <c r="DS149" s="1021"/>
      <c r="DT149" s="1021"/>
      <c r="DU149" s="1021"/>
      <c r="DV149" s="1021"/>
      <c r="DW149" s="1021"/>
      <c r="DX149" s="1021"/>
      <c r="DY149" s="1021"/>
      <c r="DZ149" s="1021"/>
      <c r="EA149" s="1021"/>
      <c r="EB149" s="1021"/>
      <c r="EC149" s="1021"/>
      <c r="ED149" s="1021"/>
      <c r="EE149" s="1021"/>
      <c r="EF149" s="1021"/>
      <c r="EG149" s="1021"/>
      <c r="EH149" s="1021"/>
      <c r="EI149" s="1021"/>
      <c r="EJ149" s="1021"/>
      <c r="EK149" s="1021"/>
      <c r="EL149" s="1021"/>
      <c r="EM149" s="1021"/>
      <c r="EN149" s="1021"/>
      <c r="EO149" s="1021"/>
      <c r="EP149" s="1021"/>
      <c r="EQ149" s="1021"/>
      <c r="ER149" s="1021"/>
      <c r="ES149" s="1021"/>
      <c r="ET149" s="1021"/>
      <c r="EU149" s="1021"/>
      <c r="EV149" s="1021"/>
      <c r="EW149" s="1021"/>
      <c r="EX149" s="1021"/>
      <c r="EY149" s="1021"/>
      <c r="EZ149" s="1021"/>
      <c r="FA149" s="1021"/>
      <c r="FB149" s="1021"/>
      <c r="FC149" s="1021"/>
      <c r="FD149" s="1021"/>
      <c r="FE149" s="1021"/>
      <c r="FF149" s="1021"/>
      <c r="FG149" s="1021"/>
      <c r="FH149" s="1021"/>
      <c r="FI149" s="1021"/>
      <c r="FJ149" s="1021"/>
      <c r="FK149" s="1021"/>
      <c r="FL149" s="1021"/>
      <c r="FM149" s="1021"/>
      <c r="FN149" s="1021"/>
      <c r="FO149" s="1021"/>
      <c r="FP149" s="1021"/>
      <c r="FQ149" s="1021"/>
      <c r="FR149" s="1021"/>
      <c r="FS149" s="1021"/>
      <c r="FT149" s="1021"/>
      <c r="FU149" s="1021"/>
      <c r="FV149" s="1021"/>
      <c r="FW149" s="1021"/>
      <c r="FX149" s="1021"/>
      <c r="FY149" s="1021"/>
      <c r="FZ149" s="1021"/>
      <c r="GA149" s="1021"/>
      <c r="GB149" s="1021"/>
      <c r="GC149" s="1021"/>
      <c r="GD149" s="1021"/>
      <c r="GE149" s="1021"/>
      <c r="GF149" s="1021"/>
      <c r="GG149" s="1021"/>
      <c r="GH149" s="1021"/>
      <c r="GI149" s="1021"/>
      <c r="GJ149" s="1021"/>
      <c r="GK149" s="1021"/>
      <c r="GL149" s="1021"/>
      <c r="GM149" s="1021"/>
      <c r="GN149" s="1021"/>
      <c r="GO149" s="1021"/>
      <c r="GP149" s="1021"/>
      <c r="GQ149" s="1021"/>
      <c r="GR149" s="1021"/>
      <c r="GS149" s="1021"/>
      <c r="GT149" s="1021"/>
      <c r="GU149" s="1021"/>
      <c r="GV149" s="1021"/>
      <c r="GW149" s="1021"/>
      <c r="GX149" s="1021"/>
      <c r="GY149" s="1021"/>
      <c r="GZ149" s="1021"/>
      <c r="HA149" s="1021"/>
      <c r="HB149" s="1021"/>
      <c r="HC149" s="1021"/>
      <c r="HD149" s="1021"/>
      <c r="HE149" s="1021"/>
      <c r="HF149" s="1021"/>
      <c r="HG149" s="1021"/>
      <c r="HH149" s="1021"/>
      <c r="HI149" s="1021"/>
      <c r="HJ149" s="1021"/>
      <c r="HK149" s="1021"/>
      <c r="HL149" s="1021"/>
      <c r="HM149" s="1021"/>
      <c r="HN149" s="1021"/>
      <c r="HO149" s="1021"/>
      <c r="HP149" s="1021"/>
      <c r="HQ149" s="1021"/>
      <c r="HR149" s="1021"/>
      <c r="HS149" s="1021"/>
      <c r="HT149" s="1021"/>
      <c r="HU149" s="1021"/>
      <c r="HV149" s="1021"/>
      <c r="HW149" s="1021"/>
      <c r="HX149" s="1021"/>
      <c r="HY149" s="1021"/>
      <c r="HZ149" s="1021"/>
      <c r="IA149" s="1021"/>
      <c r="IB149" s="1021"/>
      <c r="IC149" s="1021"/>
      <c r="ID149" s="1021"/>
      <c r="IE149" s="1021"/>
      <c r="IF149" s="1021"/>
      <c r="IG149" s="1021"/>
      <c r="IH149" s="1021"/>
      <c r="II149" s="1021"/>
      <c r="IJ149" s="1021"/>
      <c r="IK149" s="1021"/>
      <c r="IL149" s="1021"/>
      <c r="IM149" s="1021"/>
      <c r="IN149" s="1021"/>
      <c r="IO149" s="1021"/>
      <c r="IP149" s="1021"/>
      <c r="IQ149" s="1021"/>
      <c r="IR149" s="1021"/>
      <c r="IS149" s="1021"/>
      <c r="IT149" s="1021"/>
      <c r="IU149" s="1021"/>
      <c r="IV149" s="1021"/>
      <c r="IW149" s="1021"/>
      <c r="IX149" s="1021"/>
      <c r="IY149" s="1021"/>
      <c r="IZ149" s="1021"/>
      <c r="JA149" s="1021"/>
      <c r="JB149" s="1021"/>
      <c r="JC149" s="1021"/>
      <c r="JD149" s="1021"/>
      <c r="JE149" s="1021"/>
      <c r="JF149" s="1021"/>
      <c r="JG149" s="1021"/>
      <c r="JH149" s="1021"/>
      <c r="JI149" s="1021"/>
      <c r="JJ149" s="1021"/>
      <c r="JK149" s="1021"/>
      <c r="JL149" s="1021"/>
      <c r="JM149" s="1021"/>
      <c r="JN149" s="1021"/>
      <c r="JO149" s="1021"/>
      <c r="JP149" s="1021"/>
      <c r="JQ149" s="1021"/>
      <c r="JR149" s="1021"/>
      <c r="JS149" s="1021"/>
      <c r="JT149" s="1021"/>
      <c r="JU149" s="1021"/>
      <c r="JV149" s="1021"/>
      <c r="JW149" s="1021"/>
      <c r="JX149" s="1021"/>
      <c r="JY149" s="1021"/>
      <c r="JZ149" s="1021"/>
      <c r="KA149" s="1021"/>
      <c r="KB149" s="1021"/>
      <c r="KC149" s="1021"/>
      <c r="KD149" s="1021"/>
      <c r="KE149" s="1021"/>
      <c r="KF149" s="1021"/>
      <c r="KG149" s="1021"/>
      <c r="KH149" s="1021"/>
      <c r="KI149" s="1021"/>
      <c r="KJ149" s="1021"/>
      <c r="KK149" s="1021"/>
      <c r="KL149" s="1021"/>
      <c r="KM149" s="1021"/>
      <c r="KN149" s="1021"/>
      <c r="KO149" s="1021"/>
      <c r="KP149" s="1021"/>
      <c r="KQ149" s="1021"/>
      <c r="KR149" s="1021"/>
      <c r="KS149" s="1021"/>
      <c r="KT149" s="1021"/>
      <c r="KU149" s="1021"/>
      <c r="KV149" s="1021"/>
      <c r="KW149" s="1021"/>
      <c r="KX149" s="1021"/>
      <c r="KY149" s="1021"/>
      <c r="KZ149" s="1021"/>
      <c r="LA149" s="1021"/>
      <c r="LB149" s="1021"/>
      <c r="LC149" s="1021"/>
      <c r="LD149" s="1021"/>
      <c r="LE149" s="1021"/>
      <c r="LF149" s="1021"/>
      <c r="LG149" s="1021"/>
      <c r="LH149" s="1021"/>
      <c r="LI149" s="1021"/>
      <c r="LJ149" s="1021"/>
      <c r="LK149" s="1021"/>
      <c r="LL149" s="1021"/>
      <c r="LM149" s="1021"/>
      <c r="LN149" s="1021"/>
      <c r="LO149" s="1021"/>
      <c r="LP149" s="1021"/>
      <c r="LQ149" s="1021"/>
      <c r="LR149" s="1021"/>
      <c r="LS149" s="1021"/>
      <c r="LT149" s="1021"/>
      <c r="LU149" s="1021"/>
      <c r="LV149" s="1021"/>
      <c r="LW149" s="1021"/>
      <c r="LX149" s="1021"/>
      <c r="LY149" s="1021"/>
      <c r="LZ149" s="1021"/>
      <c r="MA149" s="1021"/>
      <c r="MB149" s="1021"/>
      <c r="MC149" s="1021"/>
      <c r="MD149" s="1021"/>
      <c r="ME149" s="1021"/>
      <c r="MF149" s="1021"/>
      <c r="MG149" s="1021"/>
      <c r="MH149" s="1021"/>
      <c r="MI149" s="1021"/>
      <c r="MJ149" s="1021"/>
      <c r="MK149" s="1021"/>
      <c r="ML149" s="1021"/>
      <c r="MM149" s="1021"/>
      <c r="MN149" s="1021"/>
      <c r="MO149" s="1021"/>
      <c r="MP149" s="1021"/>
      <c r="MQ149" s="1021"/>
      <c r="MR149" s="1021"/>
      <c r="MS149" s="1021"/>
      <c r="MT149" s="1021"/>
      <c r="MU149" s="1021"/>
      <c r="MV149" s="1021"/>
      <c r="MW149" s="1021"/>
      <c r="MX149" s="1021"/>
      <c r="MY149" s="1021"/>
      <c r="MZ149" s="1021"/>
      <c r="NA149" s="1021"/>
      <c r="NB149" s="1021"/>
      <c r="NC149" s="1021"/>
      <c r="ND149" s="1021"/>
      <c r="NE149" s="1021"/>
      <c r="NF149" s="1021"/>
      <c r="NG149" s="1021"/>
      <c r="NH149" s="1021"/>
      <c r="NI149" s="1021"/>
      <c r="NJ149" s="1021"/>
      <c r="NK149" s="1021"/>
      <c r="NL149" s="1021"/>
      <c r="NM149" s="1021"/>
      <c r="NN149" s="1021"/>
      <c r="NO149" s="1021"/>
      <c r="NP149" s="1021"/>
      <c r="NQ149" s="1021"/>
      <c r="NR149" s="1021"/>
      <c r="NS149" s="1021"/>
      <c r="NT149" s="1021"/>
      <c r="NU149" s="1021"/>
      <c r="NV149" s="1021"/>
      <c r="NW149" s="1021"/>
      <c r="NX149" s="1021"/>
      <c r="NY149" s="1021"/>
      <c r="NZ149" s="1021"/>
      <c r="OA149" s="1021"/>
      <c r="OB149" s="1021"/>
      <c r="OC149" s="1021"/>
      <c r="OD149" s="1021"/>
      <c r="OE149" s="1021"/>
      <c r="OF149" s="1021"/>
      <c r="OG149" s="1021"/>
      <c r="OH149" s="1021"/>
      <c r="OI149" s="1021"/>
      <c r="OJ149" s="1021"/>
      <c r="OK149" s="1021"/>
      <c r="OL149" s="1021"/>
      <c r="OM149" s="1021"/>
      <c r="ON149" s="1021"/>
      <c r="OO149" s="1021"/>
      <c r="OP149" s="1021"/>
      <c r="OQ149" s="1021"/>
      <c r="OR149" s="1021"/>
      <c r="OS149" s="1021"/>
      <c r="OT149" s="1021"/>
      <c r="OU149" s="1021"/>
      <c r="OV149" s="1021"/>
      <c r="OW149" s="1021"/>
      <c r="OX149" s="1021"/>
      <c r="OY149" s="1021"/>
      <c r="OZ149" s="1021"/>
      <c r="PA149" s="1021"/>
      <c r="PB149" s="1021"/>
      <c r="PC149" s="1021"/>
      <c r="PD149" s="1021"/>
      <c r="PE149" s="1021"/>
      <c r="PF149" s="1021"/>
      <c r="PG149" s="1021"/>
      <c r="PH149" s="1021"/>
      <c r="PI149" s="1021"/>
      <c r="PJ149" s="1021"/>
      <c r="PK149" s="1021"/>
      <c r="PL149" s="1021"/>
      <c r="PM149" s="1021"/>
      <c r="PN149" s="1021"/>
      <c r="PO149" s="1021"/>
      <c r="PP149" s="1021"/>
      <c r="PQ149" s="1021"/>
      <c r="PR149" s="1021"/>
      <c r="PS149" s="1021"/>
      <c r="PT149" s="1021"/>
      <c r="PU149" s="1021"/>
      <c r="PV149" s="1021"/>
      <c r="PW149" s="1021"/>
      <c r="PX149" s="1021"/>
      <c r="PY149" s="1021"/>
      <c r="PZ149" s="1021"/>
      <c r="QA149" s="1021"/>
      <c r="QB149" s="1021"/>
      <c r="QC149" s="1021"/>
      <c r="QD149" s="1021"/>
      <c r="QE149" s="1021"/>
      <c r="QF149" s="1021"/>
      <c r="QG149" s="1021"/>
      <c r="QH149" s="1021"/>
      <c r="QI149" s="1021"/>
      <c r="QJ149" s="1021"/>
      <c r="QK149" s="1021"/>
      <c r="QL149" s="1021"/>
      <c r="QM149" s="1021"/>
      <c r="QN149" s="1021"/>
      <c r="QO149" s="1021"/>
      <c r="QP149" s="1021"/>
      <c r="QQ149" s="1021"/>
      <c r="QR149" s="1021"/>
      <c r="QS149" s="1021"/>
      <c r="QT149" s="1021"/>
      <c r="QU149" s="1021"/>
      <c r="QV149" s="1021"/>
      <c r="QW149" s="1021"/>
      <c r="QX149" s="1021"/>
      <c r="QY149" s="1021"/>
      <c r="QZ149" s="1021"/>
      <c r="RA149" s="1021"/>
      <c r="RB149" s="1021"/>
      <c r="RC149" s="1021"/>
      <c r="RD149" s="1021"/>
      <c r="RE149" s="1021"/>
      <c r="RF149" s="1021"/>
      <c r="RG149" s="1021"/>
      <c r="RH149" s="1021"/>
      <c r="RI149" s="1021"/>
      <c r="RJ149" s="1021"/>
      <c r="RK149" s="1021"/>
      <c r="RL149" s="1021"/>
      <c r="RM149" s="1021"/>
      <c r="RN149" s="1021"/>
      <c r="RO149" s="1021"/>
      <c r="RP149" s="1021"/>
      <c r="RQ149" s="1021"/>
      <c r="RR149" s="1021"/>
      <c r="RS149" s="1021"/>
      <c r="RT149" s="1021"/>
      <c r="RU149" s="1021"/>
      <c r="RV149" s="1021"/>
      <c r="RW149" s="1021"/>
      <c r="RX149" s="1021"/>
      <c r="RY149" s="1021"/>
      <c r="RZ149" s="1021"/>
      <c r="SA149" s="1021"/>
      <c r="SB149" s="1021"/>
      <c r="SC149" s="1021"/>
      <c r="SD149" s="1021"/>
      <c r="SE149" s="1021"/>
      <c r="SF149" s="1021"/>
      <c r="SG149" s="1021"/>
      <c r="SH149" s="1021"/>
      <c r="SI149" s="1021"/>
      <c r="SJ149" s="1021"/>
      <c r="SK149" s="1021"/>
      <c r="SL149" s="1021"/>
      <c r="SM149" s="1021"/>
      <c r="SN149" s="1021"/>
      <c r="SO149" s="1021"/>
      <c r="SP149" s="1021"/>
      <c r="SQ149" s="1021"/>
      <c r="SR149" s="1021"/>
    </row>
    <row r="150" spans="1:512" s="1011" customFormat="1" ht="15" customHeight="1">
      <c r="A150"/>
      <c r="G150" s="1024"/>
      <c r="H150" s="1024"/>
      <c r="I150" s="1024"/>
      <c r="J150" s="1024"/>
      <c r="K150" s="1024"/>
      <c r="L150" s="1024"/>
      <c r="M150" s="1024"/>
      <c r="N150" s="1024"/>
      <c r="O150" s="1024"/>
      <c r="P150" s="1024"/>
      <c r="Q150" s="1024"/>
      <c r="R150" s="1024"/>
      <c r="S150" s="1024"/>
      <c r="T150" s="1024"/>
      <c r="U150" s="1024"/>
      <c r="V150" s="1024"/>
      <c r="W150" s="1024"/>
      <c r="X150" s="1024"/>
      <c r="Y150" s="1024"/>
      <c r="Z150" s="1024"/>
      <c r="AA150" s="1024"/>
      <c r="AB150" s="1024"/>
      <c r="AC150" s="1024"/>
      <c r="AD150" s="1024"/>
      <c r="AE150" s="1024"/>
      <c r="AF150" s="1024"/>
      <c r="AG150" s="1024"/>
      <c r="AH150" s="1024"/>
      <c r="AI150" s="1024"/>
      <c r="AJ150" s="1024"/>
      <c r="AK150" s="1024"/>
      <c r="AL150" s="1024"/>
      <c r="AM150" s="1024"/>
      <c r="AN150" s="1024"/>
      <c r="AO150" s="1024"/>
      <c r="AP150" s="1024"/>
      <c r="AQ150" s="1024"/>
      <c r="AR150" s="1024"/>
      <c r="AS150" s="1024"/>
      <c r="AT150" s="1024"/>
      <c r="AU150" s="1024"/>
      <c r="AV150" s="1024"/>
      <c r="AW150" s="1024"/>
      <c r="AX150" s="1024"/>
      <c r="AY150" s="1024"/>
      <c r="AZ150" s="1024"/>
      <c r="BA150" s="1024"/>
      <c r="BB150" s="1024"/>
      <c r="BC150" s="1024"/>
      <c r="BD150" s="1024"/>
      <c r="BE150" s="1024"/>
      <c r="BF150" s="1024"/>
      <c r="BG150" s="1024"/>
      <c r="BH150" s="1024"/>
      <c r="BI150" s="1024"/>
      <c r="BJ150" s="1024"/>
      <c r="BK150" s="1024"/>
      <c r="BL150" s="1024"/>
      <c r="BM150" s="1024"/>
      <c r="BN150" s="1024"/>
      <c r="BO150" s="1024"/>
      <c r="BP150" s="1024"/>
      <c r="BQ150" s="1024"/>
      <c r="BR150" s="1024"/>
      <c r="BS150" s="1024"/>
      <c r="BT150" s="1024"/>
      <c r="BU150" s="1024"/>
      <c r="BV150" s="1024"/>
      <c r="BW150" s="1024"/>
      <c r="BX150" s="1024"/>
      <c r="BY150" s="1024"/>
      <c r="BZ150" s="1024"/>
      <c r="CA150" s="1024"/>
      <c r="CB150" s="1024"/>
      <c r="CC150" s="1024"/>
      <c r="CD150" s="1024"/>
      <c r="CE150" s="1024"/>
      <c r="CF150" s="1024"/>
      <c r="CG150" s="1024"/>
      <c r="CH150" s="1024"/>
      <c r="CI150" s="1024"/>
      <c r="CJ150" s="1024"/>
      <c r="CK150" s="1024"/>
      <c r="CL150" s="1024"/>
      <c r="CM150" s="1024"/>
      <c r="CN150" s="1024"/>
      <c r="CO150" s="1024"/>
      <c r="CP150" s="1024"/>
      <c r="CQ150" s="1024"/>
      <c r="CR150" s="1024"/>
      <c r="CS150" s="1024"/>
      <c r="CT150" s="1024"/>
      <c r="CU150" s="1024"/>
      <c r="CV150" s="1024"/>
      <c r="CW150" s="1024"/>
      <c r="CX150" s="1024"/>
      <c r="CY150" s="1024"/>
      <c r="CZ150" s="1024"/>
      <c r="DA150" s="1024"/>
      <c r="DB150" s="1024"/>
      <c r="DC150" s="1024"/>
      <c r="DD150" s="1024"/>
      <c r="DE150" s="1024"/>
      <c r="DF150" s="1024"/>
      <c r="DG150" s="1024"/>
      <c r="DH150" s="1024"/>
      <c r="DI150" s="1024"/>
      <c r="DJ150" s="1024"/>
      <c r="DK150" s="1024"/>
      <c r="DL150" s="1024"/>
      <c r="DM150" s="1024"/>
      <c r="DN150" s="1024"/>
      <c r="DO150" s="1024"/>
      <c r="DP150" s="1024"/>
      <c r="DQ150" s="1024"/>
      <c r="DR150" s="1024"/>
      <c r="DS150" s="1024"/>
      <c r="DT150" s="1024"/>
      <c r="DU150" s="1024"/>
      <c r="DV150" s="1024"/>
      <c r="DW150" s="1024"/>
      <c r="DX150" s="1024"/>
      <c r="DY150" s="1024"/>
      <c r="DZ150" s="1024"/>
      <c r="EA150" s="1024"/>
      <c r="EB150" s="1024"/>
      <c r="EC150" s="1024"/>
      <c r="ED150" s="1024"/>
      <c r="EE150" s="1024"/>
      <c r="EF150" s="1024"/>
      <c r="EG150" s="1024"/>
      <c r="EH150" s="1024"/>
      <c r="EI150" s="1024"/>
      <c r="EJ150" s="1024"/>
      <c r="EK150" s="1024"/>
      <c r="EL150" s="1024"/>
      <c r="EM150" s="1024"/>
      <c r="EN150" s="1024"/>
      <c r="EO150" s="1024"/>
      <c r="EP150" s="1024"/>
      <c r="EQ150" s="1024"/>
      <c r="ER150" s="1024"/>
      <c r="ES150" s="1024"/>
      <c r="ET150" s="1024"/>
      <c r="EU150" s="1024"/>
      <c r="EV150" s="1024"/>
      <c r="EW150" s="1024"/>
      <c r="EX150" s="1024"/>
      <c r="EY150" s="1024"/>
      <c r="EZ150" s="1024"/>
      <c r="FA150" s="1024"/>
      <c r="FB150" s="1024"/>
      <c r="FC150" s="1024"/>
      <c r="FD150" s="1024"/>
      <c r="FE150" s="1024"/>
      <c r="FF150" s="1024"/>
      <c r="FG150" s="1024"/>
      <c r="FH150" s="1024"/>
      <c r="FI150" s="1024"/>
      <c r="FJ150" s="1024"/>
      <c r="FK150" s="1024"/>
      <c r="FL150" s="1024"/>
      <c r="FM150" s="1024"/>
      <c r="FN150" s="1024"/>
      <c r="FO150" s="1024"/>
      <c r="FP150" s="1024"/>
      <c r="FQ150" s="1024"/>
      <c r="FR150" s="1024"/>
      <c r="FS150" s="1024"/>
      <c r="FT150" s="1024"/>
      <c r="FU150" s="1024"/>
      <c r="FV150" s="1024"/>
      <c r="FW150" s="1024"/>
      <c r="FX150" s="1024"/>
      <c r="FY150" s="1024"/>
      <c r="FZ150" s="1024"/>
      <c r="GA150" s="1024"/>
      <c r="GB150" s="1024"/>
      <c r="GC150" s="1024"/>
      <c r="GD150" s="1024"/>
      <c r="GE150" s="1024"/>
      <c r="GF150" s="1024"/>
      <c r="GG150" s="1024"/>
      <c r="GH150" s="1024"/>
      <c r="GI150" s="1024"/>
      <c r="GJ150" s="1024"/>
      <c r="GK150" s="1024"/>
      <c r="GL150" s="1024"/>
      <c r="GM150" s="1024"/>
      <c r="GN150" s="1024"/>
      <c r="GO150" s="1024"/>
      <c r="GP150" s="1024"/>
      <c r="GQ150" s="1024"/>
      <c r="GR150" s="1024"/>
      <c r="GS150" s="1024"/>
      <c r="GT150" s="1024"/>
      <c r="GU150" s="1024"/>
      <c r="GV150" s="1024"/>
      <c r="GW150" s="1024"/>
      <c r="GX150" s="1024"/>
      <c r="GY150" s="1024"/>
      <c r="GZ150" s="1024"/>
      <c r="HA150" s="1024"/>
      <c r="HB150" s="1024"/>
      <c r="HC150" s="1024"/>
      <c r="HD150" s="1024"/>
      <c r="HE150" s="1024"/>
      <c r="HF150" s="1024"/>
      <c r="HG150" s="1024"/>
      <c r="HH150" s="1024"/>
      <c r="HI150" s="1024"/>
      <c r="HJ150" s="1024"/>
      <c r="HK150" s="1024"/>
      <c r="HL150" s="1024"/>
      <c r="HM150" s="1024"/>
      <c r="HN150" s="1024"/>
      <c r="HO150" s="1024"/>
      <c r="HP150" s="1024"/>
      <c r="HQ150" s="1024"/>
      <c r="HR150" s="1024"/>
      <c r="HS150" s="1024"/>
      <c r="HT150" s="1024"/>
      <c r="HU150" s="1024"/>
      <c r="HV150" s="1024"/>
      <c r="HW150" s="1024"/>
      <c r="HX150" s="1024"/>
      <c r="HY150" s="1024"/>
      <c r="HZ150" s="1024"/>
      <c r="IA150" s="1024"/>
      <c r="IB150" s="1024"/>
      <c r="IC150" s="1024"/>
      <c r="ID150" s="1024"/>
      <c r="IE150" s="1024"/>
      <c r="IF150" s="1024"/>
      <c r="IG150" s="1024"/>
      <c r="IH150" s="1024"/>
      <c r="II150" s="1024"/>
      <c r="IJ150" s="1024"/>
      <c r="IK150" s="1024"/>
      <c r="IL150" s="1024"/>
      <c r="IM150" s="1024"/>
      <c r="IN150" s="1024"/>
      <c r="IO150" s="1024"/>
      <c r="IP150" s="1024"/>
      <c r="IQ150" s="1024"/>
      <c r="IR150" s="1024"/>
      <c r="IS150" s="1024"/>
      <c r="IT150" s="1024"/>
      <c r="IU150" s="1024"/>
      <c r="IV150" s="1024"/>
      <c r="IW150" s="1024"/>
      <c r="IX150" s="1024"/>
      <c r="IY150" s="1024"/>
      <c r="IZ150" s="1024"/>
      <c r="JA150" s="1024"/>
      <c r="JB150" s="1024"/>
      <c r="JC150" s="1024"/>
      <c r="JD150" s="1024"/>
      <c r="JE150" s="1024"/>
      <c r="JF150" s="1024"/>
      <c r="JG150" s="1024"/>
      <c r="JH150" s="1024"/>
      <c r="JI150" s="1024"/>
      <c r="JJ150" s="1024"/>
      <c r="JK150" s="1024"/>
      <c r="JL150" s="1024"/>
      <c r="JM150" s="1024"/>
      <c r="JN150" s="1024"/>
      <c r="JO150" s="1024"/>
      <c r="JP150" s="1024"/>
      <c r="JQ150" s="1024"/>
      <c r="JR150" s="1024"/>
      <c r="JS150" s="1024"/>
      <c r="JT150" s="1024"/>
      <c r="JU150" s="1024"/>
      <c r="JV150" s="1024"/>
      <c r="JW150" s="1024"/>
      <c r="JX150" s="1024"/>
      <c r="JY150" s="1024"/>
      <c r="JZ150" s="1024"/>
      <c r="KA150" s="1024"/>
      <c r="KB150" s="1024"/>
      <c r="KC150" s="1024"/>
      <c r="KD150" s="1024"/>
      <c r="KE150" s="1024"/>
      <c r="KF150" s="1024"/>
      <c r="KG150" s="1024"/>
      <c r="KH150" s="1024"/>
      <c r="KI150" s="1024"/>
      <c r="KJ150" s="1024"/>
      <c r="KK150" s="1024"/>
      <c r="KL150" s="1024"/>
      <c r="KM150" s="1024"/>
      <c r="KN150" s="1024"/>
      <c r="KO150" s="1024"/>
      <c r="KP150" s="1024"/>
      <c r="KQ150" s="1024"/>
      <c r="KR150" s="1024"/>
      <c r="KS150" s="1024"/>
      <c r="KT150" s="1024"/>
      <c r="KU150" s="1024"/>
      <c r="KV150" s="1024"/>
      <c r="KW150" s="1024"/>
      <c r="KX150" s="1024"/>
      <c r="KY150" s="1024"/>
      <c r="KZ150" s="1024"/>
      <c r="LA150" s="1024"/>
      <c r="LB150" s="1024"/>
      <c r="LC150" s="1024"/>
      <c r="LD150" s="1024"/>
      <c r="LE150" s="1024"/>
      <c r="LF150" s="1024"/>
      <c r="LG150" s="1024"/>
      <c r="LH150" s="1024"/>
      <c r="LI150" s="1024"/>
      <c r="LJ150" s="1024"/>
      <c r="LK150" s="1024"/>
      <c r="LL150" s="1024"/>
      <c r="LM150" s="1024"/>
      <c r="LN150" s="1024"/>
      <c r="LO150" s="1024"/>
      <c r="LP150" s="1024"/>
      <c r="LQ150" s="1024"/>
      <c r="LR150" s="1024"/>
      <c r="LS150" s="1024"/>
      <c r="LT150" s="1024"/>
      <c r="LU150" s="1024"/>
      <c r="LV150" s="1024"/>
      <c r="LW150" s="1024"/>
      <c r="LX150" s="1024"/>
      <c r="LY150" s="1024"/>
      <c r="LZ150" s="1024"/>
      <c r="MA150" s="1024"/>
      <c r="MB150" s="1024"/>
      <c r="MC150" s="1024"/>
      <c r="MD150" s="1024"/>
      <c r="ME150" s="1024"/>
      <c r="MF150" s="1024"/>
      <c r="MG150" s="1024"/>
      <c r="MH150" s="1024"/>
      <c r="MI150" s="1024"/>
      <c r="MJ150" s="1024"/>
      <c r="MK150" s="1024"/>
      <c r="ML150" s="1024"/>
      <c r="MM150" s="1024"/>
      <c r="MN150" s="1024"/>
      <c r="MO150" s="1024"/>
      <c r="MP150" s="1024"/>
      <c r="MQ150" s="1024"/>
      <c r="MR150" s="1024"/>
      <c r="MS150" s="1024"/>
      <c r="MT150" s="1024"/>
      <c r="MU150" s="1024"/>
      <c r="MV150" s="1024"/>
      <c r="MW150" s="1024"/>
      <c r="MX150" s="1024"/>
      <c r="MY150" s="1024"/>
      <c r="MZ150" s="1024"/>
      <c r="NA150" s="1024"/>
      <c r="NB150" s="1024"/>
      <c r="NC150" s="1024"/>
      <c r="ND150" s="1024"/>
      <c r="NE150" s="1024"/>
      <c r="NF150" s="1024"/>
      <c r="NG150" s="1024"/>
      <c r="NH150" s="1024"/>
      <c r="NI150" s="1024"/>
      <c r="NJ150" s="1024"/>
      <c r="NK150" s="1024"/>
      <c r="NL150" s="1024"/>
      <c r="NM150" s="1024"/>
      <c r="NN150" s="1024"/>
      <c r="NO150" s="1024"/>
      <c r="NP150" s="1024"/>
      <c r="NQ150" s="1024"/>
      <c r="NR150" s="1024"/>
      <c r="NS150" s="1024"/>
      <c r="NT150" s="1024"/>
      <c r="NU150" s="1024"/>
      <c r="NV150" s="1024"/>
      <c r="NW150" s="1024"/>
      <c r="NX150" s="1024"/>
      <c r="NY150" s="1024"/>
      <c r="NZ150" s="1024"/>
      <c r="OA150" s="1024"/>
      <c r="OB150" s="1024"/>
      <c r="OC150" s="1024"/>
      <c r="OD150" s="1024"/>
      <c r="OE150" s="1024"/>
      <c r="OF150" s="1024"/>
      <c r="OG150" s="1024"/>
      <c r="OH150" s="1024"/>
      <c r="OI150" s="1024"/>
      <c r="OJ150" s="1024"/>
      <c r="OK150" s="1024"/>
      <c r="OL150" s="1024"/>
      <c r="OM150" s="1024"/>
      <c r="ON150" s="1024"/>
      <c r="OO150" s="1024"/>
      <c r="OP150" s="1024"/>
      <c r="OQ150" s="1024"/>
      <c r="OR150" s="1024"/>
      <c r="OS150" s="1024"/>
      <c r="OT150" s="1024"/>
      <c r="OU150" s="1024"/>
      <c r="OV150" s="1024"/>
      <c r="OW150" s="1024"/>
      <c r="OX150" s="1024"/>
      <c r="OY150" s="1024"/>
      <c r="OZ150" s="1024"/>
      <c r="PA150" s="1024"/>
      <c r="PB150" s="1024"/>
      <c r="PC150" s="1024"/>
      <c r="PD150" s="1024"/>
      <c r="PE150" s="1024"/>
      <c r="PF150" s="1024"/>
      <c r="PG150" s="1024"/>
      <c r="PH150" s="1024"/>
      <c r="PI150" s="1024"/>
      <c r="PJ150" s="1024"/>
      <c r="PK150" s="1024"/>
      <c r="PL150" s="1024"/>
      <c r="PM150" s="1024"/>
      <c r="PN150" s="1024"/>
      <c r="PO150" s="1024"/>
      <c r="PP150" s="1024"/>
      <c r="PQ150" s="1024"/>
      <c r="PR150" s="1024"/>
      <c r="PS150" s="1024"/>
      <c r="PT150" s="1024"/>
      <c r="PU150" s="1024"/>
      <c r="PV150" s="1024"/>
      <c r="PW150" s="1024"/>
      <c r="PX150" s="1024"/>
      <c r="PY150" s="1024"/>
      <c r="PZ150" s="1024"/>
      <c r="QA150" s="1024"/>
      <c r="QB150" s="1024"/>
      <c r="QC150" s="1024"/>
      <c r="QD150" s="1024"/>
      <c r="QE150" s="1024"/>
      <c r="QF150" s="1024"/>
      <c r="QG150" s="1024"/>
      <c r="QH150" s="1024"/>
      <c r="QI150" s="1024"/>
      <c r="QJ150" s="1024"/>
      <c r="QK150" s="1024"/>
      <c r="QL150" s="1024"/>
      <c r="QM150" s="1024"/>
      <c r="QN150" s="1024"/>
      <c r="QO150" s="1024"/>
      <c r="QP150" s="1024"/>
      <c r="QQ150" s="1024"/>
      <c r="QR150" s="1024"/>
      <c r="QS150" s="1024"/>
      <c r="QT150" s="1024"/>
      <c r="QU150" s="1024"/>
      <c r="QV150" s="1024"/>
      <c r="QW150" s="1024"/>
      <c r="QX150" s="1024"/>
      <c r="QY150" s="1024"/>
      <c r="QZ150" s="1024"/>
      <c r="RA150" s="1024"/>
      <c r="RB150" s="1024"/>
      <c r="RC150" s="1024"/>
      <c r="RD150" s="1024"/>
      <c r="RE150" s="1024"/>
      <c r="RF150" s="1024"/>
      <c r="RG150" s="1024"/>
      <c r="RH150" s="1024"/>
      <c r="RI150" s="1024"/>
      <c r="RJ150" s="1024"/>
      <c r="RK150" s="1024"/>
      <c r="RL150" s="1024"/>
      <c r="RM150" s="1024"/>
      <c r="RN150" s="1024"/>
      <c r="RO150" s="1024"/>
      <c r="RP150" s="1024"/>
      <c r="RQ150" s="1024"/>
      <c r="RR150" s="1024"/>
      <c r="RS150" s="1024"/>
      <c r="RT150" s="1024"/>
      <c r="RU150" s="1024"/>
      <c r="RV150" s="1024"/>
      <c r="RW150" s="1024"/>
      <c r="RX150" s="1024"/>
      <c r="RY150" s="1024"/>
      <c r="RZ150" s="1024"/>
      <c r="SA150" s="1024"/>
      <c r="SB150" s="1024"/>
      <c r="SC150" s="1024"/>
      <c r="SD150" s="1024"/>
      <c r="SE150" s="1024"/>
      <c r="SF150" s="1024"/>
      <c r="SG150" s="1024"/>
      <c r="SH150" s="1024"/>
      <c r="SI150" s="1024"/>
      <c r="SJ150" s="1024"/>
      <c r="SK150" s="1024"/>
      <c r="SL150" s="1024"/>
      <c r="SM150" s="1024"/>
      <c r="SN150" s="1024"/>
      <c r="SO150" s="1024"/>
      <c r="SP150" s="1024"/>
      <c r="SQ150" s="1024"/>
      <c r="SR150" s="1024"/>
    </row>
    <row r="151" spans="1:512" ht="15" customHeight="1">
      <c r="A151" t="s">
        <v>2789</v>
      </c>
      <c r="B151"/>
      <c r="C151"/>
      <c r="D151"/>
      <c r="E151" t="s">
        <v>3848</v>
      </c>
      <c r="F151"/>
      <c r="G151" s="1023">
        <v>0.5</v>
      </c>
      <c r="H151" s="1023">
        <v>0.5</v>
      </c>
      <c r="I151" s="1023"/>
      <c r="J151" s="1023"/>
      <c r="K151" s="1023"/>
      <c r="L151" s="1023"/>
      <c r="M151" s="1023"/>
      <c r="N151" s="1023"/>
      <c r="O151" s="1023"/>
      <c r="P151" s="1023"/>
      <c r="Q151" s="1023"/>
      <c r="R151" s="1023"/>
      <c r="S151" s="1023"/>
      <c r="T151" s="1023"/>
      <c r="U151" s="1021"/>
      <c r="V151" s="1021"/>
      <c r="W151" s="1021"/>
      <c r="X151" s="1021"/>
      <c r="Y151" s="1021"/>
      <c r="Z151" s="1021"/>
      <c r="AA151" s="1021"/>
      <c r="AB151" s="1021"/>
      <c r="AC151" s="1021"/>
      <c r="AD151" s="1021"/>
      <c r="AE151" s="1021"/>
      <c r="AF151" s="1021"/>
      <c r="AG151" s="1021"/>
      <c r="AH151" s="1021"/>
      <c r="AI151" s="1021"/>
      <c r="AJ151" s="1021"/>
      <c r="AK151" s="1021"/>
      <c r="AL151" s="1021"/>
      <c r="AM151" s="1021"/>
      <c r="AN151" s="1021"/>
      <c r="AO151" s="1021"/>
      <c r="AP151" s="1021"/>
      <c r="AQ151" s="1021"/>
      <c r="AR151" s="1021"/>
      <c r="AS151" s="1021"/>
      <c r="AT151" s="1021"/>
      <c r="AU151" s="1021"/>
      <c r="AV151" s="1021"/>
      <c r="AW151" s="1021"/>
      <c r="AX151" s="1021"/>
      <c r="AY151" s="1021"/>
      <c r="AZ151" s="1021"/>
      <c r="BA151" s="1021"/>
      <c r="BB151" s="1021"/>
      <c r="BC151" s="1021"/>
      <c r="BD151" s="1021"/>
      <c r="BE151" s="1021"/>
      <c r="BF151" s="1021"/>
      <c r="BG151" s="1021"/>
      <c r="BH151" s="1021"/>
      <c r="BI151" s="1021"/>
      <c r="BJ151" s="1021"/>
      <c r="BK151" s="1021"/>
      <c r="BL151" s="1021"/>
      <c r="BM151" s="1021"/>
      <c r="BN151" s="1021"/>
      <c r="BO151" s="1021"/>
      <c r="BP151" s="1021"/>
      <c r="BQ151" s="1021"/>
      <c r="BR151" s="1021"/>
      <c r="BS151" s="1021"/>
      <c r="BT151" s="1021"/>
      <c r="BU151" s="1021"/>
      <c r="BV151" s="1021"/>
      <c r="BW151" s="1021"/>
      <c r="BX151" s="1021"/>
      <c r="BY151" s="1021"/>
      <c r="BZ151" s="1021"/>
      <c r="CA151" s="1021"/>
      <c r="CB151" s="1021"/>
      <c r="CC151" s="1021"/>
      <c r="CD151" s="1021"/>
      <c r="CE151" s="1021"/>
      <c r="CF151" s="1021"/>
      <c r="CG151" s="1021"/>
      <c r="CH151" s="1021"/>
      <c r="CI151" s="1021"/>
      <c r="CJ151" s="1021"/>
      <c r="CK151" s="1021"/>
      <c r="CL151" s="1021"/>
      <c r="CM151" s="1021"/>
      <c r="CN151" s="1021"/>
      <c r="CO151" s="1021"/>
      <c r="CP151" s="1021"/>
      <c r="CQ151" s="1021"/>
      <c r="CR151" s="1021"/>
      <c r="CS151" s="1021"/>
      <c r="CT151" s="1021"/>
      <c r="CU151" s="1021"/>
      <c r="CV151" s="1021"/>
      <c r="CW151" s="1021"/>
      <c r="CX151" s="1021"/>
      <c r="CY151" s="1021"/>
      <c r="CZ151" s="1021"/>
      <c r="DA151" s="1021"/>
      <c r="DB151" s="1021"/>
      <c r="DC151" s="1021"/>
      <c r="DD151" s="1021"/>
      <c r="DE151" s="1021"/>
      <c r="DF151" s="1021"/>
      <c r="DG151" s="1021"/>
      <c r="DH151" s="1021"/>
      <c r="DI151" s="1021"/>
      <c r="DJ151" s="1021"/>
      <c r="DK151" s="1021"/>
      <c r="DL151" s="1021"/>
      <c r="DM151" s="1021"/>
      <c r="DN151" s="1021"/>
      <c r="DO151" s="1021"/>
      <c r="DP151" s="1021"/>
      <c r="DQ151" s="1021"/>
      <c r="DR151" s="1021"/>
      <c r="DS151" s="1021"/>
      <c r="DT151" s="1021"/>
      <c r="DU151" s="1021"/>
      <c r="DV151" s="1021"/>
      <c r="DW151" s="1021"/>
      <c r="DX151" s="1021"/>
      <c r="DY151" s="1021"/>
      <c r="DZ151" s="1021"/>
      <c r="EA151" s="1021"/>
      <c r="EB151" s="1021"/>
      <c r="EC151" s="1021"/>
      <c r="ED151" s="1021"/>
      <c r="EE151" s="1021"/>
      <c r="EF151" s="1021"/>
      <c r="EG151" s="1021"/>
      <c r="EH151" s="1021"/>
      <c r="EI151" s="1021"/>
      <c r="EJ151" s="1021"/>
      <c r="EK151" s="1021"/>
      <c r="EL151" s="1021"/>
      <c r="EM151" s="1021"/>
      <c r="EN151" s="1021"/>
      <c r="EO151" s="1021"/>
      <c r="EP151" s="1021"/>
      <c r="EQ151" s="1021"/>
      <c r="ER151" s="1021"/>
      <c r="ES151" s="1021"/>
      <c r="ET151" s="1021"/>
      <c r="EU151" s="1021"/>
      <c r="EV151" s="1021"/>
      <c r="EW151" s="1021"/>
      <c r="EX151" s="1021"/>
      <c r="EY151" s="1021"/>
      <c r="EZ151" s="1021"/>
      <c r="FA151" s="1021"/>
      <c r="FB151" s="1021"/>
      <c r="FC151" s="1021"/>
      <c r="FD151" s="1021"/>
      <c r="FE151" s="1021"/>
      <c r="FF151" s="1021"/>
      <c r="FG151" s="1021"/>
      <c r="FH151" s="1021"/>
      <c r="FI151" s="1021"/>
      <c r="FJ151" s="1021"/>
      <c r="FK151" s="1021"/>
      <c r="FL151" s="1021"/>
      <c r="FM151" s="1021"/>
      <c r="FN151" s="1021"/>
      <c r="FO151" s="1021"/>
      <c r="FP151" s="1021"/>
      <c r="FQ151" s="1021"/>
      <c r="FR151" s="1021"/>
      <c r="FS151" s="1021"/>
      <c r="FT151" s="1021"/>
      <c r="FU151" s="1021"/>
      <c r="FV151" s="1021"/>
      <c r="FW151" s="1021"/>
      <c r="FX151" s="1021"/>
      <c r="FY151" s="1021"/>
      <c r="FZ151" s="1021"/>
      <c r="GA151" s="1021"/>
      <c r="GB151" s="1021"/>
      <c r="GC151" s="1021"/>
      <c r="GD151" s="1021"/>
      <c r="GE151" s="1021"/>
      <c r="GF151" s="1021"/>
      <c r="GG151" s="1021"/>
      <c r="GH151" s="1021"/>
      <c r="GI151" s="1021"/>
      <c r="GJ151" s="1021"/>
      <c r="GK151" s="1021"/>
      <c r="GL151" s="1021"/>
      <c r="GM151" s="1021"/>
      <c r="GN151" s="1021"/>
      <c r="GO151" s="1021"/>
      <c r="GP151" s="1021"/>
      <c r="GQ151" s="1021"/>
      <c r="GR151" s="1021"/>
      <c r="GS151" s="1021"/>
      <c r="GT151" s="1021"/>
      <c r="GU151" s="1021"/>
      <c r="GV151" s="1021"/>
      <c r="GW151" s="1021"/>
      <c r="GX151" s="1021"/>
      <c r="GY151" s="1021"/>
      <c r="GZ151" s="1021"/>
      <c r="HA151" s="1021"/>
      <c r="HB151" s="1021"/>
      <c r="HC151" s="1021"/>
      <c r="HD151" s="1021"/>
      <c r="HE151" s="1021"/>
      <c r="HF151" s="1021"/>
      <c r="HG151" s="1021"/>
      <c r="HH151" s="1021"/>
      <c r="HI151" s="1021"/>
      <c r="HJ151" s="1021"/>
      <c r="HK151" s="1021"/>
      <c r="HL151" s="1021"/>
      <c r="HM151" s="1021"/>
      <c r="HN151" s="1021"/>
      <c r="HO151" s="1021"/>
      <c r="HP151" s="1021"/>
      <c r="HQ151" s="1021"/>
      <c r="HR151" s="1021"/>
      <c r="HS151" s="1021"/>
      <c r="HT151" s="1021"/>
      <c r="HU151" s="1021"/>
      <c r="HV151" s="1021"/>
      <c r="HW151" s="1021"/>
      <c r="HX151" s="1021"/>
      <c r="HY151" s="1021"/>
      <c r="HZ151" s="1021"/>
      <c r="IA151" s="1021"/>
      <c r="IB151" s="1021"/>
      <c r="IC151" s="1021"/>
      <c r="ID151" s="1021"/>
      <c r="IE151" s="1021"/>
      <c r="IF151" s="1021"/>
      <c r="IG151" s="1021"/>
      <c r="IH151" s="1021"/>
      <c r="II151" s="1021"/>
      <c r="IJ151" s="1021"/>
      <c r="IK151" s="1021"/>
      <c r="IL151" s="1021"/>
      <c r="IM151" s="1021"/>
      <c r="IN151" s="1021"/>
      <c r="IO151" s="1021"/>
      <c r="IP151" s="1021"/>
      <c r="IQ151" s="1021"/>
      <c r="IR151" s="1021"/>
      <c r="IS151" s="1021"/>
      <c r="IT151" s="1021"/>
      <c r="IU151" s="1021"/>
      <c r="IV151" s="1021"/>
      <c r="IW151" s="1021"/>
      <c r="IX151" s="1021"/>
      <c r="IY151" s="1021"/>
      <c r="IZ151" s="1021"/>
      <c r="JA151" s="1021"/>
      <c r="JB151" s="1021"/>
      <c r="JC151" s="1021"/>
      <c r="JD151" s="1021"/>
      <c r="JE151" s="1021"/>
      <c r="JF151" s="1021"/>
      <c r="JG151" s="1021"/>
      <c r="JH151" s="1021"/>
      <c r="JI151" s="1021"/>
      <c r="JJ151" s="1021"/>
      <c r="JK151" s="1021"/>
      <c r="JL151" s="1021"/>
      <c r="JM151" s="1021"/>
      <c r="JN151" s="1021"/>
      <c r="JO151" s="1021"/>
      <c r="JP151" s="1021"/>
      <c r="JQ151" s="1021"/>
      <c r="JR151" s="1021"/>
      <c r="JS151" s="1021"/>
      <c r="JT151" s="1021"/>
      <c r="JU151" s="1021"/>
      <c r="JV151" s="1021"/>
      <c r="JW151" s="1021"/>
      <c r="JX151" s="1021"/>
      <c r="JY151" s="1021"/>
      <c r="JZ151" s="1021"/>
      <c r="KA151" s="1021"/>
      <c r="KB151" s="1021"/>
      <c r="KC151" s="1021"/>
      <c r="KD151" s="1021"/>
      <c r="KE151" s="1021"/>
      <c r="KF151" s="1021"/>
      <c r="KG151" s="1021"/>
      <c r="KH151" s="1021"/>
      <c r="KI151" s="1021"/>
      <c r="KJ151" s="1021"/>
      <c r="KK151" s="1021"/>
      <c r="KL151" s="1021"/>
      <c r="KM151" s="1021"/>
      <c r="KN151" s="1021"/>
      <c r="KO151" s="1021"/>
      <c r="KP151" s="1021"/>
      <c r="KQ151" s="1021"/>
      <c r="KR151" s="1021"/>
      <c r="KS151" s="1021"/>
      <c r="KT151" s="1021"/>
      <c r="KU151" s="1021"/>
      <c r="KV151" s="1021"/>
      <c r="KW151" s="1021"/>
      <c r="KX151" s="1021"/>
      <c r="KY151" s="1021"/>
      <c r="KZ151" s="1021"/>
      <c r="LA151" s="1021"/>
      <c r="LB151" s="1021"/>
      <c r="LC151" s="1021"/>
      <c r="LD151" s="1021"/>
      <c r="LE151" s="1021"/>
      <c r="LF151" s="1021"/>
      <c r="LG151" s="1021"/>
      <c r="LH151" s="1021"/>
      <c r="LI151" s="1021"/>
      <c r="LJ151" s="1021"/>
      <c r="LK151" s="1021"/>
      <c r="LL151" s="1021"/>
      <c r="LM151" s="1021"/>
      <c r="LN151" s="1021"/>
      <c r="LO151" s="1021"/>
      <c r="LP151" s="1021"/>
      <c r="LQ151" s="1021"/>
      <c r="LR151" s="1021"/>
      <c r="LS151" s="1021"/>
      <c r="LT151" s="1021"/>
      <c r="LU151" s="1021"/>
      <c r="LV151" s="1021"/>
      <c r="LW151" s="1021"/>
      <c r="LX151" s="1021"/>
      <c r="LY151" s="1021"/>
      <c r="LZ151" s="1021"/>
      <c r="MA151" s="1021"/>
      <c r="MB151" s="1021"/>
      <c r="MC151" s="1021"/>
      <c r="MD151" s="1021"/>
      <c r="ME151" s="1021"/>
      <c r="MF151" s="1021"/>
      <c r="MG151" s="1021"/>
      <c r="MH151" s="1021"/>
      <c r="MI151" s="1021"/>
      <c r="MJ151" s="1021"/>
      <c r="MK151" s="1021"/>
      <c r="ML151" s="1021"/>
      <c r="MM151" s="1021"/>
      <c r="MN151" s="1021"/>
      <c r="MO151" s="1021"/>
      <c r="MP151" s="1021"/>
      <c r="MQ151" s="1021"/>
      <c r="MR151" s="1021"/>
      <c r="MS151" s="1021"/>
      <c r="MT151" s="1021"/>
      <c r="MU151" s="1021"/>
      <c r="MV151" s="1021"/>
      <c r="MW151" s="1021"/>
      <c r="MX151" s="1021"/>
      <c r="MY151" s="1021"/>
      <c r="MZ151" s="1021"/>
      <c r="NA151" s="1021"/>
      <c r="NB151" s="1021"/>
      <c r="NC151" s="1021"/>
      <c r="ND151" s="1021"/>
      <c r="NE151" s="1021"/>
      <c r="NF151" s="1021"/>
      <c r="NG151" s="1021"/>
      <c r="NH151" s="1021"/>
      <c r="NI151" s="1021"/>
      <c r="NJ151" s="1021"/>
      <c r="NK151" s="1021"/>
      <c r="NL151" s="1021"/>
      <c r="NM151" s="1021"/>
      <c r="NN151" s="1021"/>
      <c r="NO151" s="1021"/>
      <c r="NP151" s="1021"/>
      <c r="NQ151" s="1021"/>
      <c r="NR151" s="1021"/>
      <c r="NS151" s="1021"/>
      <c r="NT151" s="1021"/>
      <c r="NU151" s="1021"/>
      <c r="NV151" s="1021"/>
      <c r="NW151" s="1021"/>
      <c r="NX151" s="1021"/>
      <c r="NY151" s="1021"/>
      <c r="NZ151" s="1021"/>
      <c r="OA151" s="1021"/>
      <c r="OB151" s="1021"/>
      <c r="OC151" s="1021"/>
      <c r="OD151" s="1021"/>
      <c r="OE151" s="1021"/>
      <c r="OF151" s="1021"/>
      <c r="OG151" s="1021"/>
      <c r="OH151" s="1021"/>
      <c r="OI151" s="1021"/>
      <c r="OJ151" s="1021"/>
      <c r="OK151" s="1021"/>
      <c r="OL151" s="1021"/>
      <c r="OM151" s="1021"/>
      <c r="ON151" s="1021"/>
      <c r="OO151" s="1021"/>
      <c r="OP151" s="1021"/>
      <c r="OQ151" s="1021"/>
      <c r="OR151" s="1021"/>
      <c r="OS151" s="1021"/>
      <c r="OT151" s="1021"/>
      <c r="OU151" s="1021"/>
      <c r="OV151" s="1021"/>
      <c r="OW151" s="1021"/>
      <c r="OX151" s="1021"/>
      <c r="OY151" s="1021"/>
      <c r="OZ151" s="1021"/>
      <c r="PA151" s="1021"/>
      <c r="PB151" s="1021"/>
      <c r="PC151" s="1021"/>
      <c r="PD151" s="1021"/>
      <c r="PE151" s="1021"/>
      <c r="PF151" s="1021"/>
      <c r="PG151" s="1021"/>
      <c r="PH151" s="1021"/>
      <c r="PI151" s="1021"/>
      <c r="PJ151" s="1021"/>
      <c r="PK151" s="1021"/>
      <c r="PL151" s="1021"/>
      <c r="PM151" s="1021"/>
      <c r="PN151" s="1021"/>
      <c r="PO151" s="1021"/>
      <c r="PP151" s="1021"/>
      <c r="PQ151" s="1021"/>
      <c r="PR151" s="1021"/>
      <c r="PS151" s="1021"/>
      <c r="PT151" s="1021"/>
      <c r="PU151" s="1021"/>
      <c r="PV151" s="1021"/>
      <c r="PW151" s="1021"/>
      <c r="PX151" s="1021"/>
      <c r="PY151" s="1021"/>
      <c r="PZ151" s="1021"/>
      <c r="QA151" s="1021"/>
      <c r="QB151" s="1021"/>
      <c r="QC151" s="1021"/>
      <c r="QD151" s="1021"/>
      <c r="QE151" s="1021"/>
      <c r="QF151" s="1021"/>
      <c r="QG151" s="1021"/>
      <c r="QH151" s="1021"/>
      <c r="QI151" s="1021"/>
      <c r="QJ151" s="1021"/>
      <c r="QK151" s="1021"/>
      <c r="QL151" s="1021"/>
      <c r="QM151" s="1021"/>
      <c r="QN151" s="1021"/>
      <c r="QO151" s="1021"/>
      <c r="QP151" s="1021"/>
      <c r="QQ151" s="1021"/>
      <c r="QR151" s="1021"/>
      <c r="QS151" s="1021"/>
      <c r="QT151" s="1021"/>
      <c r="QU151" s="1021"/>
      <c r="QV151" s="1021"/>
      <c r="QW151" s="1021"/>
      <c r="QX151" s="1021"/>
      <c r="QY151" s="1021"/>
      <c r="QZ151" s="1021"/>
      <c r="RA151" s="1021"/>
      <c r="RB151" s="1021"/>
      <c r="RC151" s="1021"/>
      <c r="RD151" s="1021"/>
      <c r="RE151" s="1021"/>
      <c r="RF151" s="1021"/>
      <c r="RG151" s="1021"/>
      <c r="RH151" s="1021"/>
      <c r="RI151" s="1021"/>
      <c r="RJ151" s="1021"/>
      <c r="RK151" s="1021"/>
      <c r="RL151" s="1021"/>
      <c r="RM151" s="1021"/>
      <c r="RN151" s="1021"/>
      <c r="RO151" s="1021"/>
      <c r="RP151" s="1021"/>
      <c r="RQ151" s="1021"/>
      <c r="RR151" s="1021"/>
      <c r="RS151" s="1021"/>
      <c r="RT151" s="1021"/>
      <c r="RU151" s="1021"/>
      <c r="RV151" s="1021"/>
      <c r="RW151" s="1021"/>
      <c r="RX151" s="1021"/>
      <c r="RY151" s="1021"/>
      <c r="RZ151" s="1021"/>
      <c r="SA151" s="1021"/>
      <c r="SB151" s="1021"/>
      <c r="SC151" s="1021"/>
      <c r="SD151" s="1021"/>
      <c r="SE151" s="1021"/>
      <c r="SF151" s="1021"/>
      <c r="SG151" s="1021"/>
      <c r="SH151" s="1021"/>
      <c r="SI151" s="1021"/>
      <c r="SJ151" s="1021"/>
      <c r="SK151" s="1021"/>
      <c r="SL151" s="1021"/>
      <c r="SM151" s="1021"/>
      <c r="SN151" s="1021"/>
      <c r="SO151" s="1021"/>
      <c r="SP151" s="1021"/>
      <c r="SQ151" s="1021"/>
      <c r="SR151" s="1021"/>
    </row>
    <row r="152" spans="1:512" s="1011" customFormat="1" ht="15" customHeight="1">
      <c r="A152"/>
      <c r="G152" s="1024"/>
      <c r="H152" s="1024"/>
      <c r="I152" s="1024"/>
      <c r="J152" s="1024"/>
      <c r="K152" s="1024"/>
      <c r="L152" s="1024"/>
      <c r="M152" s="1024"/>
      <c r="N152" s="1024"/>
      <c r="O152" s="1024"/>
      <c r="P152" s="1024"/>
      <c r="Q152" s="1024"/>
      <c r="R152" s="1024"/>
      <c r="S152" s="1024"/>
      <c r="T152" s="1024"/>
      <c r="U152" s="1024"/>
      <c r="V152" s="1024"/>
      <c r="W152" s="1024"/>
      <c r="X152" s="1024"/>
      <c r="Y152" s="1024"/>
      <c r="Z152" s="1024"/>
      <c r="AA152" s="1024"/>
      <c r="AB152" s="1024"/>
      <c r="AC152" s="1024"/>
      <c r="AD152" s="1024"/>
      <c r="AE152" s="1024"/>
      <c r="AF152" s="1024"/>
      <c r="AG152" s="1024"/>
      <c r="AH152" s="1024"/>
      <c r="AI152" s="1024"/>
      <c r="AJ152" s="1024"/>
      <c r="AK152" s="1024"/>
      <c r="AL152" s="1024"/>
      <c r="AM152" s="1024"/>
      <c r="AN152" s="1024"/>
      <c r="AO152" s="1024"/>
      <c r="AP152" s="1024"/>
      <c r="AQ152" s="1024"/>
      <c r="AR152" s="1024"/>
      <c r="AS152" s="1024"/>
      <c r="AT152" s="1024"/>
      <c r="AU152" s="1024"/>
      <c r="AV152" s="1024"/>
      <c r="AW152" s="1024"/>
      <c r="AX152" s="1024"/>
      <c r="AY152" s="1024"/>
      <c r="AZ152" s="1024"/>
      <c r="BA152" s="1024"/>
      <c r="BB152" s="1024"/>
      <c r="BC152" s="1024"/>
      <c r="BD152" s="1024"/>
      <c r="BE152" s="1024"/>
      <c r="BF152" s="1024"/>
      <c r="BG152" s="1024"/>
      <c r="BH152" s="1024"/>
      <c r="BI152" s="1024"/>
      <c r="BJ152" s="1024"/>
      <c r="BK152" s="1024"/>
      <c r="BL152" s="1024"/>
      <c r="BM152" s="1024"/>
      <c r="BN152" s="1024"/>
      <c r="BO152" s="1024"/>
      <c r="BP152" s="1024"/>
      <c r="BQ152" s="1024"/>
      <c r="BR152" s="1024"/>
      <c r="BS152" s="1024"/>
      <c r="BT152" s="1024"/>
      <c r="BU152" s="1024"/>
      <c r="BV152" s="1024"/>
      <c r="BW152" s="1024"/>
      <c r="BX152" s="1024"/>
      <c r="BY152" s="1024"/>
      <c r="BZ152" s="1024"/>
      <c r="CA152" s="1024"/>
      <c r="CB152" s="1024"/>
      <c r="CC152" s="1024"/>
      <c r="CD152" s="1024"/>
      <c r="CE152" s="1024"/>
      <c r="CF152" s="1024"/>
      <c r="CG152" s="1024"/>
      <c r="CH152" s="1024"/>
      <c r="CI152" s="1024"/>
      <c r="CJ152" s="1024"/>
      <c r="CK152" s="1024"/>
      <c r="CL152" s="1024"/>
      <c r="CM152" s="1024"/>
      <c r="CN152" s="1024"/>
      <c r="CO152" s="1024"/>
      <c r="CP152" s="1024"/>
      <c r="CQ152" s="1024"/>
      <c r="CR152" s="1024"/>
      <c r="CS152" s="1024"/>
      <c r="CT152" s="1024"/>
      <c r="CU152" s="1024"/>
      <c r="CV152" s="1024"/>
      <c r="CW152" s="1024"/>
      <c r="CX152" s="1024"/>
      <c r="CY152" s="1024"/>
      <c r="CZ152" s="1024"/>
      <c r="DA152" s="1024"/>
      <c r="DB152" s="1024"/>
      <c r="DC152" s="1024"/>
      <c r="DD152" s="1024"/>
      <c r="DE152" s="1024"/>
      <c r="DF152" s="1024"/>
      <c r="DG152" s="1024"/>
      <c r="DH152" s="1024"/>
      <c r="DI152" s="1024"/>
      <c r="DJ152" s="1024"/>
      <c r="DK152" s="1024"/>
      <c r="DL152" s="1024"/>
      <c r="DM152" s="1024"/>
      <c r="DN152" s="1024"/>
      <c r="DO152" s="1024"/>
      <c r="DP152" s="1024"/>
      <c r="DQ152" s="1024"/>
      <c r="DR152" s="1024"/>
      <c r="DS152" s="1024"/>
      <c r="DT152" s="1024"/>
      <c r="DU152" s="1024"/>
      <c r="DV152" s="1024"/>
      <c r="DW152" s="1024"/>
      <c r="DX152" s="1024"/>
      <c r="DY152" s="1024"/>
      <c r="DZ152" s="1024"/>
      <c r="EA152" s="1024"/>
      <c r="EB152" s="1024"/>
      <c r="EC152" s="1024"/>
      <c r="ED152" s="1024"/>
      <c r="EE152" s="1024"/>
      <c r="EF152" s="1024"/>
      <c r="EG152" s="1024"/>
      <c r="EH152" s="1024"/>
      <c r="EI152" s="1024"/>
      <c r="EJ152" s="1024"/>
      <c r="EK152" s="1024"/>
      <c r="EL152" s="1024"/>
      <c r="EM152" s="1024"/>
      <c r="EN152" s="1024"/>
      <c r="EO152" s="1024"/>
      <c r="EP152" s="1024"/>
      <c r="EQ152" s="1024"/>
      <c r="ER152" s="1024"/>
      <c r="ES152" s="1024"/>
      <c r="ET152" s="1024"/>
      <c r="EU152" s="1024"/>
      <c r="EV152" s="1024"/>
      <c r="EW152" s="1024"/>
      <c r="EX152" s="1024"/>
      <c r="EY152" s="1024"/>
      <c r="EZ152" s="1024"/>
      <c r="FA152" s="1024"/>
      <c r="FB152" s="1024"/>
      <c r="FC152" s="1024"/>
      <c r="FD152" s="1024"/>
      <c r="FE152" s="1024"/>
      <c r="FF152" s="1024"/>
      <c r="FG152" s="1024"/>
      <c r="FH152" s="1024"/>
      <c r="FI152" s="1024"/>
      <c r="FJ152" s="1024"/>
      <c r="FK152" s="1024"/>
      <c r="FL152" s="1024"/>
      <c r="FM152" s="1024"/>
      <c r="FN152" s="1024"/>
      <c r="FO152" s="1024"/>
      <c r="FP152" s="1024"/>
      <c r="FQ152" s="1024"/>
      <c r="FR152" s="1024"/>
      <c r="FS152" s="1024"/>
      <c r="FT152" s="1024"/>
      <c r="FU152" s="1024"/>
      <c r="FV152" s="1024"/>
      <c r="FW152" s="1024"/>
      <c r="FX152" s="1024"/>
      <c r="FY152" s="1024"/>
      <c r="FZ152" s="1024"/>
      <c r="GA152" s="1024"/>
      <c r="GB152" s="1024"/>
      <c r="GC152" s="1024"/>
      <c r="GD152" s="1024"/>
      <c r="GE152" s="1024"/>
      <c r="GF152" s="1024"/>
      <c r="GG152" s="1024"/>
      <c r="GH152" s="1024"/>
      <c r="GI152" s="1024"/>
      <c r="GJ152" s="1024"/>
      <c r="GK152" s="1024"/>
      <c r="GL152" s="1024"/>
      <c r="GM152" s="1024"/>
      <c r="GN152" s="1024"/>
      <c r="GO152" s="1024"/>
      <c r="GP152" s="1024"/>
      <c r="GQ152" s="1024"/>
      <c r="GR152" s="1024"/>
      <c r="GS152" s="1024"/>
      <c r="GT152" s="1024"/>
      <c r="GU152" s="1024"/>
      <c r="GV152" s="1024"/>
      <c r="GW152" s="1024"/>
      <c r="GX152" s="1024"/>
      <c r="GY152" s="1024"/>
      <c r="GZ152" s="1024"/>
      <c r="HA152" s="1024"/>
      <c r="HB152" s="1024"/>
      <c r="HC152" s="1024"/>
      <c r="HD152" s="1024"/>
      <c r="HE152" s="1024"/>
      <c r="HF152" s="1024"/>
      <c r="HG152" s="1024"/>
      <c r="HH152" s="1024"/>
      <c r="HI152" s="1024"/>
      <c r="HJ152" s="1024"/>
      <c r="HK152" s="1024"/>
      <c r="HL152" s="1024"/>
      <c r="HM152" s="1024"/>
      <c r="HN152" s="1024"/>
      <c r="HO152" s="1024"/>
      <c r="HP152" s="1024"/>
      <c r="HQ152" s="1024"/>
      <c r="HR152" s="1024"/>
      <c r="HS152" s="1024"/>
      <c r="HT152" s="1024"/>
      <c r="HU152" s="1024"/>
      <c r="HV152" s="1024"/>
      <c r="HW152" s="1024"/>
      <c r="HX152" s="1024"/>
      <c r="HY152" s="1024"/>
      <c r="HZ152" s="1024"/>
      <c r="IA152" s="1024"/>
      <c r="IB152" s="1024"/>
      <c r="IC152" s="1024"/>
      <c r="ID152" s="1024"/>
      <c r="IE152" s="1024"/>
      <c r="IF152" s="1024"/>
      <c r="IG152" s="1024"/>
      <c r="IH152" s="1024"/>
      <c r="II152" s="1024"/>
      <c r="IJ152" s="1024"/>
      <c r="IK152" s="1024"/>
      <c r="IL152" s="1024"/>
      <c r="IM152" s="1024"/>
      <c r="IN152" s="1024"/>
      <c r="IO152" s="1024"/>
      <c r="IP152" s="1024"/>
      <c r="IQ152" s="1024"/>
      <c r="IR152" s="1024"/>
      <c r="IS152" s="1024"/>
      <c r="IT152" s="1024"/>
      <c r="IU152" s="1024"/>
      <c r="IV152" s="1024"/>
      <c r="IW152" s="1024"/>
      <c r="IX152" s="1024"/>
      <c r="IY152" s="1024"/>
      <c r="IZ152" s="1024"/>
      <c r="JA152" s="1024"/>
      <c r="JB152" s="1024"/>
      <c r="JC152" s="1024"/>
      <c r="JD152" s="1024"/>
      <c r="JE152" s="1024"/>
      <c r="JF152" s="1024"/>
      <c r="JG152" s="1024"/>
      <c r="JH152" s="1024"/>
      <c r="JI152" s="1024"/>
      <c r="JJ152" s="1024"/>
      <c r="JK152" s="1024"/>
      <c r="JL152" s="1024"/>
      <c r="JM152" s="1024"/>
      <c r="JN152" s="1024"/>
      <c r="JO152" s="1024"/>
      <c r="JP152" s="1024"/>
      <c r="JQ152" s="1024"/>
      <c r="JR152" s="1024"/>
      <c r="JS152" s="1024"/>
      <c r="JT152" s="1024"/>
      <c r="JU152" s="1024"/>
      <c r="JV152" s="1024"/>
      <c r="JW152" s="1024"/>
      <c r="JX152" s="1024"/>
      <c r="JY152" s="1024"/>
      <c r="JZ152" s="1024"/>
      <c r="KA152" s="1024"/>
      <c r="KB152" s="1024"/>
      <c r="KC152" s="1024"/>
      <c r="KD152" s="1024"/>
      <c r="KE152" s="1024"/>
      <c r="KF152" s="1024"/>
      <c r="KG152" s="1024"/>
      <c r="KH152" s="1024"/>
      <c r="KI152" s="1024"/>
      <c r="KJ152" s="1024"/>
      <c r="KK152" s="1024"/>
      <c r="KL152" s="1024"/>
      <c r="KM152" s="1024"/>
      <c r="KN152" s="1024"/>
      <c r="KO152" s="1024"/>
      <c r="KP152" s="1024"/>
      <c r="KQ152" s="1024"/>
      <c r="KR152" s="1024"/>
      <c r="KS152" s="1024"/>
      <c r="KT152" s="1024"/>
      <c r="KU152" s="1024"/>
      <c r="KV152" s="1024"/>
      <c r="KW152" s="1024"/>
      <c r="KX152" s="1024"/>
      <c r="KY152" s="1024"/>
      <c r="KZ152" s="1024"/>
      <c r="LA152" s="1024"/>
      <c r="LB152" s="1024"/>
      <c r="LC152" s="1024"/>
      <c r="LD152" s="1024"/>
      <c r="LE152" s="1024"/>
      <c r="LF152" s="1024"/>
      <c r="LG152" s="1024"/>
      <c r="LH152" s="1024"/>
      <c r="LI152" s="1024"/>
      <c r="LJ152" s="1024"/>
      <c r="LK152" s="1024"/>
      <c r="LL152" s="1024"/>
      <c r="LM152" s="1024"/>
      <c r="LN152" s="1024"/>
      <c r="LO152" s="1024"/>
      <c r="LP152" s="1024"/>
      <c r="LQ152" s="1024"/>
      <c r="LR152" s="1024"/>
      <c r="LS152" s="1024"/>
      <c r="LT152" s="1024"/>
      <c r="LU152" s="1024"/>
      <c r="LV152" s="1024"/>
      <c r="LW152" s="1024"/>
      <c r="LX152" s="1024"/>
      <c r="LY152" s="1024"/>
      <c r="LZ152" s="1024"/>
      <c r="MA152" s="1024"/>
      <c r="MB152" s="1024"/>
      <c r="MC152" s="1024"/>
      <c r="MD152" s="1024"/>
      <c r="ME152" s="1024"/>
      <c r="MF152" s="1024"/>
      <c r="MG152" s="1024"/>
      <c r="MH152" s="1024"/>
      <c r="MI152" s="1024"/>
      <c r="MJ152" s="1024"/>
      <c r="MK152" s="1024"/>
      <c r="ML152" s="1024"/>
      <c r="MM152" s="1024"/>
      <c r="MN152" s="1024"/>
      <c r="MO152" s="1024"/>
      <c r="MP152" s="1024"/>
      <c r="MQ152" s="1024"/>
      <c r="MR152" s="1024"/>
      <c r="MS152" s="1024"/>
      <c r="MT152" s="1024"/>
      <c r="MU152" s="1024"/>
      <c r="MV152" s="1024"/>
      <c r="MW152" s="1024"/>
      <c r="MX152" s="1024"/>
      <c r="MY152" s="1024"/>
      <c r="MZ152" s="1024"/>
      <c r="NA152" s="1024"/>
      <c r="NB152" s="1024"/>
      <c r="NC152" s="1024"/>
      <c r="ND152" s="1024"/>
      <c r="NE152" s="1024"/>
      <c r="NF152" s="1024"/>
      <c r="NG152" s="1024"/>
      <c r="NH152" s="1024"/>
      <c r="NI152" s="1024"/>
      <c r="NJ152" s="1024"/>
      <c r="NK152" s="1024"/>
      <c r="NL152" s="1024"/>
      <c r="NM152" s="1024"/>
      <c r="NN152" s="1024"/>
      <c r="NO152" s="1024"/>
      <c r="NP152" s="1024"/>
      <c r="NQ152" s="1024"/>
      <c r="NR152" s="1024"/>
      <c r="NS152" s="1024"/>
      <c r="NT152" s="1024"/>
      <c r="NU152" s="1024"/>
      <c r="NV152" s="1024"/>
      <c r="NW152" s="1024"/>
      <c r="NX152" s="1024"/>
      <c r="NY152" s="1024"/>
      <c r="NZ152" s="1024"/>
      <c r="OA152" s="1024"/>
      <c r="OB152" s="1024"/>
      <c r="OC152" s="1024"/>
      <c r="OD152" s="1024"/>
      <c r="OE152" s="1024"/>
      <c r="OF152" s="1024"/>
      <c r="OG152" s="1024"/>
      <c r="OH152" s="1024"/>
      <c r="OI152" s="1024"/>
      <c r="OJ152" s="1024"/>
      <c r="OK152" s="1024"/>
      <c r="OL152" s="1024"/>
      <c r="OM152" s="1024"/>
      <c r="ON152" s="1024"/>
      <c r="OO152" s="1024"/>
      <c r="OP152" s="1024"/>
      <c r="OQ152" s="1024"/>
      <c r="OR152" s="1024"/>
      <c r="OS152" s="1024"/>
      <c r="OT152" s="1024"/>
      <c r="OU152" s="1024"/>
      <c r="OV152" s="1024"/>
      <c r="OW152" s="1024"/>
      <c r="OX152" s="1024"/>
      <c r="OY152" s="1024"/>
      <c r="OZ152" s="1024"/>
      <c r="PA152" s="1024"/>
      <c r="PB152" s="1024"/>
      <c r="PC152" s="1024"/>
      <c r="PD152" s="1024"/>
      <c r="PE152" s="1024"/>
      <c r="PF152" s="1024"/>
      <c r="PG152" s="1024"/>
      <c r="PH152" s="1024"/>
      <c r="PI152" s="1024"/>
      <c r="PJ152" s="1024"/>
      <c r="PK152" s="1024"/>
      <c r="PL152" s="1024"/>
      <c r="PM152" s="1024"/>
      <c r="PN152" s="1024"/>
      <c r="PO152" s="1024"/>
      <c r="PP152" s="1024"/>
      <c r="PQ152" s="1024"/>
      <c r="PR152" s="1024"/>
      <c r="PS152" s="1024"/>
      <c r="PT152" s="1024"/>
      <c r="PU152" s="1024"/>
      <c r="PV152" s="1024"/>
      <c r="PW152" s="1024"/>
      <c r="PX152" s="1024"/>
      <c r="PY152" s="1024"/>
      <c r="PZ152" s="1024"/>
      <c r="QA152" s="1024"/>
      <c r="QB152" s="1024"/>
      <c r="QC152" s="1024"/>
      <c r="QD152" s="1024"/>
      <c r="QE152" s="1024"/>
      <c r="QF152" s="1024"/>
      <c r="QG152" s="1024"/>
      <c r="QH152" s="1024"/>
      <c r="QI152" s="1024"/>
      <c r="QJ152" s="1024"/>
      <c r="QK152" s="1024"/>
      <c r="QL152" s="1024"/>
      <c r="QM152" s="1024"/>
      <c r="QN152" s="1024"/>
      <c r="QO152" s="1024"/>
      <c r="QP152" s="1024"/>
      <c r="QQ152" s="1024"/>
      <c r="QR152" s="1024"/>
      <c r="QS152" s="1024"/>
      <c r="QT152" s="1024"/>
      <c r="QU152" s="1024"/>
      <c r="QV152" s="1024"/>
      <c r="QW152" s="1024"/>
      <c r="QX152" s="1024"/>
      <c r="QY152" s="1024"/>
      <c r="QZ152" s="1024"/>
      <c r="RA152" s="1024"/>
      <c r="RB152" s="1024"/>
      <c r="RC152" s="1024"/>
      <c r="RD152" s="1024"/>
      <c r="RE152" s="1024"/>
      <c r="RF152" s="1024"/>
      <c r="RG152" s="1024"/>
      <c r="RH152" s="1024"/>
      <c r="RI152" s="1024"/>
      <c r="RJ152" s="1024"/>
      <c r="RK152" s="1024"/>
      <c r="RL152" s="1024"/>
      <c r="RM152" s="1024"/>
      <c r="RN152" s="1024"/>
      <c r="RO152" s="1024"/>
      <c r="RP152" s="1024"/>
      <c r="RQ152" s="1024"/>
      <c r="RR152" s="1024"/>
      <c r="RS152" s="1024"/>
      <c r="RT152" s="1024"/>
      <c r="RU152" s="1024"/>
      <c r="RV152" s="1024"/>
      <c r="RW152" s="1024"/>
      <c r="RX152" s="1024"/>
      <c r="RY152" s="1024"/>
      <c r="RZ152" s="1024"/>
      <c r="SA152" s="1024"/>
      <c r="SB152" s="1024"/>
      <c r="SC152" s="1024"/>
      <c r="SD152" s="1024"/>
      <c r="SE152" s="1024"/>
      <c r="SF152" s="1024"/>
      <c r="SG152" s="1024"/>
      <c r="SH152" s="1024"/>
      <c r="SI152" s="1024"/>
      <c r="SJ152" s="1024"/>
      <c r="SK152" s="1024"/>
      <c r="SL152" s="1024"/>
      <c r="SM152" s="1024"/>
      <c r="SN152" s="1024"/>
      <c r="SO152" s="1024"/>
      <c r="SP152" s="1024"/>
      <c r="SQ152" s="1024"/>
      <c r="SR152" s="1024"/>
    </row>
    <row r="153" spans="1:512" ht="15" customHeight="1">
      <c r="A153" t="s">
        <v>3256</v>
      </c>
      <c r="B153"/>
      <c r="C153"/>
      <c r="D153"/>
      <c r="E153" t="s">
        <v>3848</v>
      </c>
      <c r="F153"/>
      <c r="G153" s="1023">
        <v>-0.52250055955821673</v>
      </c>
      <c r="H153" s="1023">
        <v>0.76939341627395619</v>
      </c>
      <c r="I153" s="1023"/>
      <c r="J153" s="1023"/>
      <c r="K153" s="1023"/>
      <c r="L153" s="1023"/>
      <c r="M153" s="1023"/>
      <c r="N153" s="1023"/>
      <c r="O153" s="1023"/>
      <c r="P153" s="1023"/>
      <c r="Q153" s="1023"/>
      <c r="R153" s="1023"/>
      <c r="S153" s="1023"/>
      <c r="T153" s="1023"/>
      <c r="U153" s="1021"/>
      <c r="V153" s="1021"/>
      <c r="W153" s="1021"/>
      <c r="X153" s="1021"/>
      <c r="Y153" s="1021"/>
      <c r="Z153" s="1021"/>
      <c r="AA153" s="1021"/>
      <c r="AB153" s="1021"/>
      <c r="AC153" s="1021"/>
      <c r="AD153" s="1021"/>
      <c r="AE153" s="1021"/>
      <c r="AF153" s="1021"/>
      <c r="AG153" s="1021"/>
      <c r="AH153" s="1021"/>
      <c r="AI153" s="1021"/>
      <c r="AJ153" s="1021"/>
      <c r="AK153" s="1021"/>
      <c r="AL153" s="1021"/>
      <c r="AM153" s="1021"/>
      <c r="AN153" s="1021"/>
      <c r="AO153" s="1021"/>
      <c r="AP153" s="1021"/>
      <c r="AQ153" s="1021"/>
      <c r="AR153" s="1021"/>
      <c r="AS153" s="1021"/>
      <c r="AT153" s="1021"/>
      <c r="AU153" s="1021"/>
      <c r="AV153" s="1021"/>
      <c r="AW153" s="1021"/>
      <c r="AX153" s="1021"/>
      <c r="AY153" s="1021"/>
      <c r="AZ153" s="1021"/>
      <c r="BA153" s="1021"/>
      <c r="BB153" s="1021"/>
      <c r="BC153" s="1021"/>
      <c r="BD153" s="1021"/>
      <c r="BE153" s="1021"/>
      <c r="BF153" s="1021"/>
      <c r="BG153" s="1021"/>
      <c r="BH153" s="1021"/>
      <c r="BI153" s="1021"/>
      <c r="BJ153" s="1021"/>
      <c r="BK153" s="1021"/>
      <c r="BL153" s="1021"/>
      <c r="BM153" s="1021"/>
      <c r="BN153" s="1021"/>
      <c r="BO153" s="1021"/>
      <c r="BP153" s="1021"/>
      <c r="BQ153" s="1021"/>
      <c r="BR153" s="1021"/>
      <c r="BS153" s="1021"/>
      <c r="BT153" s="1021"/>
      <c r="BU153" s="1021"/>
      <c r="BV153" s="1021"/>
      <c r="BW153" s="1021"/>
      <c r="BX153" s="1021"/>
      <c r="BY153" s="1021"/>
      <c r="BZ153" s="1021"/>
      <c r="CA153" s="1021"/>
      <c r="CB153" s="1021"/>
      <c r="CC153" s="1021"/>
      <c r="CD153" s="1021"/>
      <c r="CE153" s="1021"/>
      <c r="CF153" s="1021"/>
      <c r="CG153" s="1021"/>
      <c r="CH153" s="1021"/>
      <c r="CI153" s="1021"/>
      <c r="CJ153" s="1021"/>
      <c r="CK153" s="1021"/>
      <c r="CL153" s="1021"/>
      <c r="CM153" s="1021"/>
      <c r="CN153" s="1021"/>
      <c r="CO153" s="1021"/>
      <c r="CP153" s="1021"/>
      <c r="CQ153" s="1021"/>
      <c r="CR153" s="1021"/>
      <c r="CS153" s="1021"/>
      <c r="CT153" s="1021"/>
      <c r="CU153" s="1021"/>
      <c r="CV153" s="1021"/>
      <c r="CW153" s="1021"/>
      <c r="CX153" s="1021"/>
      <c r="CY153" s="1021"/>
      <c r="CZ153" s="1021"/>
      <c r="DA153" s="1021"/>
      <c r="DB153" s="1021"/>
      <c r="DC153" s="1021"/>
      <c r="DD153" s="1021"/>
      <c r="DE153" s="1021"/>
      <c r="DF153" s="1021"/>
      <c r="DG153" s="1021"/>
      <c r="DH153" s="1021"/>
      <c r="DI153" s="1021"/>
      <c r="DJ153" s="1021"/>
      <c r="DK153" s="1021"/>
      <c r="DL153" s="1021"/>
      <c r="DM153" s="1021"/>
      <c r="DN153" s="1021"/>
      <c r="DO153" s="1021"/>
      <c r="DP153" s="1021"/>
      <c r="DQ153" s="1021"/>
      <c r="DR153" s="1021"/>
      <c r="DS153" s="1021"/>
      <c r="DT153" s="1021"/>
      <c r="DU153" s="1021"/>
      <c r="DV153" s="1021"/>
      <c r="DW153" s="1021"/>
      <c r="DX153" s="1021"/>
      <c r="DY153" s="1021"/>
      <c r="DZ153" s="1021"/>
      <c r="EA153" s="1021"/>
      <c r="EB153" s="1021"/>
      <c r="EC153" s="1021"/>
      <c r="ED153" s="1021"/>
      <c r="EE153" s="1021"/>
      <c r="EF153" s="1021"/>
      <c r="EG153" s="1021"/>
      <c r="EH153" s="1021"/>
      <c r="EI153" s="1021"/>
      <c r="EJ153" s="1021"/>
      <c r="EK153" s="1021"/>
      <c r="EL153" s="1021"/>
      <c r="EM153" s="1021"/>
      <c r="EN153" s="1021"/>
      <c r="EO153" s="1021"/>
      <c r="EP153" s="1021"/>
      <c r="EQ153" s="1021"/>
      <c r="ER153" s="1021"/>
      <c r="ES153" s="1021"/>
      <c r="ET153" s="1021"/>
      <c r="EU153" s="1021"/>
      <c r="EV153" s="1021"/>
      <c r="EW153" s="1021"/>
      <c r="EX153" s="1021"/>
      <c r="EY153" s="1021"/>
      <c r="EZ153" s="1021"/>
      <c r="FA153" s="1021"/>
      <c r="FB153" s="1021"/>
      <c r="FC153" s="1021"/>
      <c r="FD153" s="1021"/>
      <c r="FE153" s="1021"/>
      <c r="FF153" s="1021"/>
      <c r="FG153" s="1021"/>
      <c r="FH153" s="1021"/>
      <c r="FI153" s="1021"/>
      <c r="FJ153" s="1021"/>
      <c r="FK153" s="1021"/>
      <c r="FL153" s="1021"/>
      <c r="FM153" s="1021"/>
      <c r="FN153" s="1021"/>
      <c r="FO153" s="1021"/>
      <c r="FP153" s="1021"/>
      <c r="FQ153" s="1021"/>
      <c r="FR153" s="1021"/>
      <c r="FS153" s="1021"/>
      <c r="FT153" s="1021"/>
      <c r="FU153" s="1021"/>
      <c r="FV153" s="1021"/>
      <c r="FW153" s="1021"/>
      <c r="FX153" s="1021"/>
      <c r="FY153" s="1021"/>
      <c r="FZ153" s="1021"/>
      <c r="GA153" s="1021"/>
      <c r="GB153" s="1021"/>
      <c r="GC153" s="1021"/>
      <c r="GD153" s="1021"/>
      <c r="GE153" s="1021"/>
      <c r="GF153" s="1021"/>
      <c r="GG153" s="1021"/>
      <c r="GH153" s="1021"/>
      <c r="GI153" s="1021"/>
      <c r="GJ153" s="1021"/>
      <c r="GK153" s="1021"/>
      <c r="GL153" s="1021"/>
      <c r="GM153" s="1021"/>
      <c r="GN153" s="1021"/>
      <c r="GO153" s="1021"/>
      <c r="GP153" s="1021"/>
      <c r="GQ153" s="1021"/>
      <c r="GR153" s="1021"/>
      <c r="GS153" s="1021"/>
      <c r="GT153" s="1021"/>
      <c r="GU153" s="1021"/>
      <c r="GV153" s="1021"/>
      <c r="GW153" s="1021"/>
      <c r="GX153" s="1021"/>
      <c r="GY153" s="1021"/>
      <c r="GZ153" s="1021"/>
      <c r="HA153" s="1021"/>
      <c r="HB153" s="1021"/>
      <c r="HC153" s="1021"/>
      <c r="HD153" s="1021"/>
      <c r="HE153" s="1021"/>
      <c r="HF153" s="1021"/>
      <c r="HG153" s="1021"/>
      <c r="HH153" s="1021"/>
      <c r="HI153" s="1021"/>
      <c r="HJ153" s="1021"/>
      <c r="HK153" s="1021"/>
      <c r="HL153" s="1021"/>
      <c r="HM153" s="1021"/>
      <c r="HN153" s="1021"/>
      <c r="HO153" s="1021"/>
      <c r="HP153" s="1021"/>
      <c r="HQ153" s="1021"/>
      <c r="HR153" s="1021"/>
      <c r="HS153" s="1021"/>
      <c r="HT153" s="1021"/>
      <c r="HU153" s="1021"/>
      <c r="HV153" s="1021"/>
      <c r="HW153" s="1021"/>
      <c r="HX153" s="1021"/>
      <c r="HY153" s="1021"/>
      <c r="HZ153" s="1021"/>
      <c r="IA153" s="1021"/>
      <c r="IB153" s="1021"/>
      <c r="IC153" s="1021"/>
      <c r="ID153" s="1021"/>
      <c r="IE153" s="1021"/>
      <c r="IF153" s="1021"/>
      <c r="IG153" s="1021"/>
      <c r="IH153" s="1021"/>
      <c r="II153" s="1021"/>
      <c r="IJ153" s="1021"/>
      <c r="IK153" s="1021"/>
      <c r="IL153" s="1021"/>
      <c r="IM153" s="1021"/>
      <c r="IN153" s="1021"/>
      <c r="IO153" s="1021"/>
      <c r="IP153" s="1021"/>
      <c r="IQ153" s="1021"/>
      <c r="IR153" s="1021"/>
      <c r="IS153" s="1021"/>
      <c r="IT153" s="1021"/>
      <c r="IU153" s="1021"/>
      <c r="IV153" s="1021"/>
      <c r="IW153" s="1021"/>
      <c r="IX153" s="1021"/>
      <c r="IY153" s="1021"/>
      <c r="IZ153" s="1021"/>
      <c r="JA153" s="1021"/>
      <c r="JB153" s="1021"/>
      <c r="JC153" s="1021"/>
      <c r="JD153" s="1021"/>
      <c r="JE153" s="1021"/>
      <c r="JF153" s="1021"/>
      <c r="JG153" s="1021"/>
      <c r="JH153" s="1021"/>
      <c r="JI153" s="1021"/>
      <c r="JJ153" s="1021"/>
      <c r="JK153" s="1021"/>
      <c r="JL153" s="1021"/>
      <c r="JM153" s="1021"/>
      <c r="JN153" s="1021"/>
      <c r="JO153" s="1021"/>
      <c r="JP153" s="1021"/>
      <c r="JQ153" s="1021"/>
      <c r="JR153" s="1021"/>
      <c r="JS153" s="1021"/>
      <c r="JT153" s="1021"/>
      <c r="JU153" s="1021"/>
      <c r="JV153" s="1021"/>
      <c r="JW153" s="1021"/>
      <c r="JX153" s="1021"/>
      <c r="JY153" s="1021"/>
      <c r="JZ153" s="1021"/>
      <c r="KA153" s="1021"/>
      <c r="KB153" s="1021"/>
      <c r="KC153" s="1021"/>
      <c r="KD153" s="1021"/>
      <c r="KE153" s="1021"/>
      <c r="KF153" s="1021"/>
      <c r="KG153" s="1021"/>
      <c r="KH153" s="1021"/>
      <c r="KI153" s="1021"/>
      <c r="KJ153" s="1021"/>
      <c r="KK153" s="1021"/>
      <c r="KL153" s="1021"/>
      <c r="KM153" s="1021"/>
      <c r="KN153" s="1021"/>
      <c r="KO153" s="1021"/>
      <c r="KP153" s="1021"/>
      <c r="KQ153" s="1021"/>
      <c r="KR153" s="1021"/>
      <c r="KS153" s="1021"/>
      <c r="KT153" s="1021"/>
      <c r="KU153" s="1021"/>
      <c r="KV153" s="1021"/>
      <c r="KW153" s="1021"/>
      <c r="KX153" s="1021"/>
      <c r="KY153" s="1021"/>
      <c r="KZ153" s="1021"/>
      <c r="LA153" s="1021"/>
      <c r="LB153" s="1021"/>
      <c r="LC153" s="1021"/>
      <c r="LD153" s="1021"/>
      <c r="LE153" s="1021"/>
      <c r="LF153" s="1021"/>
      <c r="LG153" s="1021"/>
      <c r="LH153" s="1021"/>
      <c r="LI153" s="1021"/>
      <c r="LJ153" s="1021"/>
      <c r="LK153" s="1021"/>
      <c r="LL153" s="1021"/>
      <c r="LM153" s="1021"/>
      <c r="LN153" s="1021"/>
      <c r="LO153" s="1021"/>
      <c r="LP153" s="1021"/>
      <c r="LQ153" s="1021"/>
      <c r="LR153" s="1021"/>
      <c r="LS153" s="1021"/>
      <c r="LT153" s="1021"/>
      <c r="LU153" s="1021"/>
      <c r="LV153" s="1021"/>
      <c r="LW153" s="1021"/>
      <c r="LX153" s="1021"/>
      <c r="LY153" s="1021"/>
      <c r="LZ153" s="1021"/>
      <c r="MA153" s="1021"/>
      <c r="MB153" s="1021"/>
      <c r="MC153" s="1021"/>
      <c r="MD153" s="1021"/>
      <c r="ME153" s="1021"/>
      <c r="MF153" s="1021"/>
      <c r="MG153" s="1021"/>
      <c r="MH153" s="1021"/>
      <c r="MI153" s="1021"/>
      <c r="MJ153" s="1021"/>
      <c r="MK153" s="1021"/>
      <c r="ML153" s="1021"/>
      <c r="MM153" s="1021"/>
      <c r="MN153" s="1021"/>
      <c r="MO153" s="1021"/>
      <c r="MP153" s="1021"/>
      <c r="MQ153" s="1021"/>
      <c r="MR153" s="1021"/>
      <c r="MS153" s="1021"/>
      <c r="MT153" s="1021"/>
      <c r="MU153" s="1021"/>
      <c r="MV153" s="1021"/>
      <c r="MW153" s="1021"/>
      <c r="MX153" s="1021"/>
      <c r="MY153" s="1021"/>
      <c r="MZ153" s="1021"/>
      <c r="NA153" s="1021"/>
      <c r="NB153" s="1021"/>
      <c r="NC153" s="1021"/>
      <c r="ND153" s="1021"/>
      <c r="NE153" s="1021"/>
      <c r="NF153" s="1021"/>
      <c r="NG153" s="1021"/>
      <c r="NH153" s="1021"/>
      <c r="NI153" s="1021"/>
      <c r="NJ153" s="1021"/>
      <c r="NK153" s="1021"/>
      <c r="NL153" s="1021"/>
      <c r="NM153" s="1021"/>
      <c r="NN153" s="1021"/>
      <c r="NO153" s="1021"/>
      <c r="NP153" s="1021"/>
      <c r="NQ153" s="1021"/>
      <c r="NR153" s="1021"/>
      <c r="NS153" s="1021"/>
      <c r="NT153" s="1021"/>
      <c r="NU153" s="1021"/>
      <c r="NV153" s="1021"/>
      <c r="NW153" s="1021"/>
      <c r="NX153" s="1021"/>
      <c r="NY153" s="1021"/>
      <c r="NZ153" s="1021"/>
      <c r="OA153" s="1021"/>
      <c r="OB153" s="1021"/>
      <c r="OC153" s="1021"/>
      <c r="OD153" s="1021"/>
      <c r="OE153" s="1021"/>
      <c r="OF153" s="1021"/>
      <c r="OG153" s="1021"/>
      <c r="OH153" s="1021"/>
      <c r="OI153" s="1021"/>
      <c r="OJ153" s="1021"/>
      <c r="OK153" s="1021"/>
      <c r="OL153" s="1021"/>
      <c r="OM153" s="1021"/>
      <c r="ON153" s="1021"/>
      <c r="OO153" s="1021"/>
      <c r="OP153" s="1021"/>
      <c r="OQ153" s="1021"/>
      <c r="OR153" s="1021"/>
      <c r="OS153" s="1021"/>
      <c r="OT153" s="1021"/>
      <c r="OU153" s="1021"/>
      <c r="OV153" s="1021"/>
      <c r="OW153" s="1021"/>
      <c r="OX153" s="1021"/>
      <c r="OY153" s="1021"/>
      <c r="OZ153" s="1021"/>
      <c r="PA153" s="1021"/>
      <c r="PB153" s="1021"/>
      <c r="PC153" s="1021"/>
      <c r="PD153" s="1021"/>
      <c r="PE153" s="1021"/>
      <c r="PF153" s="1021"/>
      <c r="PG153" s="1021"/>
      <c r="PH153" s="1021"/>
      <c r="PI153" s="1021"/>
      <c r="PJ153" s="1021"/>
      <c r="PK153" s="1021"/>
      <c r="PL153" s="1021"/>
      <c r="PM153" s="1021"/>
      <c r="PN153" s="1021"/>
      <c r="PO153" s="1021"/>
      <c r="PP153" s="1021"/>
      <c r="PQ153" s="1021"/>
      <c r="PR153" s="1021"/>
      <c r="PS153" s="1021"/>
      <c r="PT153" s="1021"/>
      <c r="PU153" s="1021"/>
      <c r="PV153" s="1021"/>
      <c r="PW153" s="1021"/>
      <c r="PX153" s="1021"/>
      <c r="PY153" s="1021"/>
      <c r="PZ153" s="1021"/>
      <c r="QA153" s="1021"/>
      <c r="QB153" s="1021"/>
      <c r="QC153" s="1021"/>
      <c r="QD153" s="1021"/>
      <c r="QE153" s="1021"/>
      <c r="QF153" s="1021"/>
      <c r="QG153" s="1021"/>
      <c r="QH153" s="1021"/>
      <c r="QI153" s="1021"/>
      <c r="QJ153" s="1021"/>
      <c r="QK153" s="1021"/>
      <c r="QL153" s="1021"/>
      <c r="QM153" s="1021"/>
      <c r="QN153" s="1021"/>
      <c r="QO153" s="1021"/>
      <c r="QP153" s="1021"/>
      <c r="QQ153" s="1021"/>
      <c r="QR153" s="1021"/>
      <c r="QS153" s="1021"/>
      <c r="QT153" s="1021"/>
      <c r="QU153" s="1021"/>
      <c r="QV153" s="1021"/>
      <c r="QW153" s="1021"/>
      <c r="QX153" s="1021"/>
      <c r="QY153" s="1021"/>
      <c r="QZ153" s="1021"/>
      <c r="RA153" s="1021"/>
      <c r="RB153" s="1021"/>
      <c r="RC153" s="1021"/>
      <c r="RD153" s="1021"/>
      <c r="RE153" s="1021"/>
      <c r="RF153" s="1021"/>
      <c r="RG153" s="1021"/>
      <c r="RH153" s="1021"/>
      <c r="RI153" s="1021"/>
      <c r="RJ153" s="1021"/>
      <c r="RK153" s="1021"/>
      <c r="RL153" s="1021"/>
      <c r="RM153" s="1021"/>
      <c r="RN153" s="1021"/>
      <c r="RO153" s="1021"/>
      <c r="RP153" s="1021"/>
      <c r="RQ153" s="1021"/>
      <c r="RR153" s="1021"/>
      <c r="RS153" s="1021"/>
      <c r="RT153" s="1021"/>
      <c r="RU153" s="1021"/>
      <c r="RV153" s="1021"/>
      <c r="RW153" s="1021"/>
      <c r="RX153" s="1021"/>
      <c r="RY153" s="1021"/>
      <c r="RZ153" s="1021"/>
      <c r="SA153" s="1021"/>
      <c r="SB153" s="1021"/>
      <c r="SC153" s="1021"/>
      <c r="SD153" s="1021"/>
      <c r="SE153" s="1021"/>
      <c r="SF153" s="1021"/>
      <c r="SG153" s="1021"/>
      <c r="SH153" s="1021"/>
      <c r="SI153" s="1021"/>
      <c r="SJ153" s="1021"/>
      <c r="SK153" s="1021"/>
      <c r="SL153" s="1021"/>
      <c r="SM153" s="1021"/>
      <c r="SN153" s="1021"/>
      <c r="SO153" s="1021"/>
      <c r="SP153" s="1021"/>
      <c r="SQ153" s="1021"/>
      <c r="SR153" s="1021"/>
    </row>
    <row r="154" spans="1:512" s="1011" customFormat="1" ht="15" customHeight="1">
      <c r="A154"/>
      <c r="G154" s="1024"/>
      <c r="H154" s="1024"/>
      <c r="I154" s="1024"/>
      <c r="J154" s="1024"/>
      <c r="K154" s="1024"/>
      <c r="L154" s="1024"/>
      <c r="M154" s="1024"/>
      <c r="N154" s="1024"/>
      <c r="O154" s="1024"/>
      <c r="P154" s="1024"/>
      <c r="Q154" s="1024"/>
      <c r="R154" s="1024"/>
      <c r="S154" s="1024"/>
      <c r="T154" s="1024"/>
      <c r="U154" s="1024"/>
      <c r="V154" s="1024"/>
      <c r="W154" s="1024"/>
      <c r="X154" s="1024"/>
      <c r="Y154" s="1024"/>
      <c r="Z154" s="1024"/>
      <c r="AA154" s="1024"/>
      <c r="AB154" s="1024"/>
      <c r="AC154" s="1024"/>
      <c r="AD154" s="1024"/>
      <c r="AE154" s="1024"/>
      <c r="AF154" s="1024"/>
      <c r="AG154" s="1024"/>
      <c r="AH154" s="1024"/>
      <c r="AI154" s="1024"/>
      <c r="AJ154" s="1024"/>
      <c r="AK154" s="1024"/>
      <c r="AL154" s="1024"/>
      <c r="AM154" s="1024"/>
      <c r="AN154" s="1024"/>
      <c r="AO154" s="1024"/>
      <c r="AP154" s="1024"/>
      <c r="AQ154" s="1024"/>
      <c r="AR154" s="1024"/>
      <c r="AS154" s="1024"/>
      <c r="AT154" s="1024"/>
      <c r="AU154" s="1024"/>
      <c r="AV154" s="1024"/>
      <c r="AW154" s="1024"/>
      <c r="AX154" s="1024"/>
      <c r="AY154" s="1024"/>
      <c r="AZ154" s="1024"/>
      <c r="BA154" s="1024"/>
      <c r="BB154" s="1024"/>
      <c r="BC154" s="1024"/>
      <c r="BD154" s="1024"/>
      <c r="BE154" s="1024"/>
      <c r="BF154" s="1024"/>
      <c r="BG154" s="1024"/>
      <c r="BH154" s="1024"/>
      <c r="BI154" s="1024"/>
      <c r="BJ154" s="1024"/>
      <c r="BK154" s="1024"/>
      <c r="BL154" s="1024"/>
      <c r="BM154" s="1024"/>
      <c r="BN154" s="1024"/>
      <c r="BO154" s="1024"/>
      <c r="BP154" s="1024"/>
      <c r="BQ154" s="1024"/>
      <c r="BR154" s="1024"/>
      <c r="BS154" s="1024"/>
      <c r="BT154" s="1024"/>
      <c r="BU154" s="1024"/>
      <c r="BV154" s="1024"/>
      <c r="BW154" s="1024"/>
      <c r="BX154" s="1024"/>
      <c r="BY154" s="1024"/>
      <c r="BZ154" s="1024"/>
      <c r="CA154" s="1024"/>
      <c r="CB154" s="1024"/>
      <c r="CC154" s="1024"/>
      <c r="CD154" s="1024"/>
      <c r="CE154" s="1024"/>
      <c r="CF154" s="1024"/>
      <c r="CG154" s="1024"/>
      <c r="CH154" s="1024"/>
      <c r="CI154" s="1024"/>
      <c r="CJ154" s="1024"/>
      <c r="CK154" s="1024"/>
      <c r="CL154" s="1024"/>
      <c r="CM154" s="1024"/>
      <c r="CN154" s="1024"/>
      <c r="CO154" s="1024"/>
      <c r="CP154" s="1024"/>
      <c r="CQ154" s="1024"/>
      <c r="CR154" s="1024"/>
      <c r="CS154" s="1024"/>
      <c r="CT154" s="1024"/>
      <c r="CU154" s="1024"/>
      <c r="CV154" s="1024"/>
      <c r="CW154" s="1024"/>
      <c r="CX154" s="1024"/>
      <c r="CY154" s="1024"/>
      <c r="CZ154" s="1024"/>
      <c r="DA154" s="1024"/>
      <c r="DB154" s="1024"/>
      <c r="DC154" s="1024"/>
      <c r="DD154" s="1024"/>
      <c r="DE154" s="1024"/>
      <c r="DF154" s="1024"/>
      <c r="DG154" s="1024"/>
      <c r="DH154" s="1024"/>
      <c r="DI154" s="1024"/>
      <c r="DJ154" s="1024"/>
      <c r="DK154" s="1024"/>
      <c r="DL154" s="1024"/>
      <c r="DM154" s="1024"/>
      <c r="DN154" s="1024"/>
      <c r="DO154" s="1024"/>
      <c r="DP154" s="1024"/>
      <c r="DQ154" s="1024"/>
      <c r="DR154" s="1024"/>
      <c r="DS154" s="1024"/>
      <c r="DT154" s="1024"/>
      <c r="DU154" s="1024"/>
      <c r="DV154" s="1024"/>
      <c r="DW154" s="1024"/>
      <c r="DX154" s="1024"/>
      <c r="DY154" s="1024"/>
      <c r="DZ154" s="1024"/>
      <c r="EA154" s="1024"/>
      <c r="EB154" s="1024"/>
      <c r="EC154" s="1024"/>
      <c r="ED154" s="1024"/>
      <c r="EE154" s="1024"/>
      <c r="EF154" s="1024"/>
      <c r="EG154" s="1024"/>
      <c r="EH154" s="1024"/>
      <c r="EI154" s="1024"/>
      <c r="EJ154" s="1024"/>
      <c r="EK154" s="1024"/>
      <c r="EL154" s="1024"/>
      <c r="EM154" s="1024"/>
      <c r="EN154" s="1024"/>
      <c r="EO154" s="1024"/>
      <c r="EP154" s="1024"/>
      <c r="EQ154" s="1024"/>
      <c r="ER154" s="1024"/>
      <c r="ES154" s="1024"/>
      <c r="ET154" s="1024"/>
      <c r="EU154" s="1024"/>
      <c r="EV154" s="1024"/>
      <c r="EW154" s="1024"/>
      <c r="EX154" s="1024"/>
      <c r="EY154" s="1024"/>
      <c r="EZ154" s="1024"/>
      <c r="FA154" s="1024"/>
      <c r="FB154" s="1024"/>
      <c r="FC154" s="1024"/>
      <c r="FD154" s="1024"/>
      <c r="FE154" s="1024"/>
      <c r="FF154" s="1024"/>
      <c r="FG154" s="1024"/>
      <c r="FH154" s="1024"/>
      <c r="FI154" s="1024"/>
      <c r="FJ154" s="1024"/>
      <c r="FK154" s="1024"/>
      <c r="FL154" s="1024"/>
      <c r="FM154" s="1024"/>
      <c r="FN154" s="1024"/>
      <c r="FO154" s="1024"/>
      <c r="FP154" s="1024"/>
      <c r="FQ154" s="1024"/>
      <c r="FR154" s="1024"/>
      <c r="FS154" s="1024"/>
      <c r="FT154" s="1024"/>
      <c r="FU154" s="1024"/>
      <c r="FV154" s="1024"/>
      <c r="FW154" s="1024"/>
      <c r="FX154" s="1024"/>
      <c r="FY154" s="1024"/>
      <c r="FZ154" s="1024"/>
      <c r="GA154" s="1024"/>
      <c r="GB154" s="1024"/>
      <c r="GC154" s="1024"/>
      <c r="GD154" s="1024"/>
      <c r="GE154" s="1024"/>
      <c r="GF154" s="1024"/>
      <c r="GG154" s="1024"/>
      <c r="GH154" s="1024"/>
      <c r="GI154" s="1024"/>
      <c r="GJ154" s="1024"/>
      <c r="GK154" s="1024"/>
      <c r="GL154" s="1024"/>
      <c r="GM154" s="1024"/>
      <c r="GN154" s="1024"/>
      <c r="GO154" s="1024"/>
      <c r="GP154" s="1024"/>
      <c r="GQ154" s="1024"/>
      <c r="GR154" s="1024"/>
      <c r="GS154" s="1024"/>
      <c r="GT154" s="1024"/>
      <c r="GU154" s="1024"/>
      <c r="GV154" s="1024"/>
      <c r="GW154" s="1024"/>
      <c r="GX154" s="1024"/>
      <c r="GY154" s="1024"/>
      <c r="GZ154" s="1024"/>
      <c r="HA154" s="1024"/>
      <c r="HB154" s="1024"/>
      <c r="HC154" s="1024"/>
      <c r="HD154" s="1024"/>
      <c r="HE154" s="1024"/>
      <c r="HF154" s="1024"/>
      <c r="HG154" s="1024"/>
      <c r="HH154" s="1024"/>
      <c r="HI154" s="1024"/>
      <c r="HJ154" s="1024"/>
      <c r="HK154" s="1024"/>
      <c r="HL154" s="1024"/>
      <c r="HM154" s="1024"/>
      <c r="HN154" s="1024"/>
      <c r="HO154" s="1024"/>
      <c r="HP154" s="1024"/>
      <c r="HQ154" s="1024"/>
      <c r="HR154" s="1024"/>
      <c r="HS154" s="1024"/>
      <c r="HT154" s="1024"/>
      <c r="HU154" s="1024"/>
      <c r="HV154" s="1024"/>
      <c r="HW154" s="1024"/>
      <c r="HX154" s="1024"/>
      <c r="HY154" s="1024"/>
      <c r="HZ154" s="1024"/>
      <c r="IA154" s="1024"/>
      <c r="IB154" s="1024"/>
      <c r="IC154" s="1024"/>
      <c r="ID154" s="1024"/>
      <c r="IE154" s="1024"/>
      <c r="IF154" s="1024"/>
      <c r="IG154" s="1024"/>
      <c r="IH154" s="1024"/>
      <c r="II154" s="1024"/>
      <c r="IJ154" s="1024"/>
      <c r="IK154" s="1024"/>
      <c r="IL154" s="1024"/>
      <c r="IM154" s="1024"/>
      <c r="IN154" s="1024"/>
      <c r="IO154" s="1024"/>
      <c r="IP154" s="1024"/>
      <c r="IQ154" s="1024"/>
      <c r="IR154" s="1024"/>
      <c r="IS154" s="1024"/>
      <c r="IT154" s="1024"/>
      <c r="IU154" s="1024"/>
      <c r="IV154" s="1024"/>
      <c r="IW154" s="1024"/>
      <c r="IX154" s="1024"/>
      <c r="IY154" s="1024"/>
      <c r="IZ154" s="1024"/>
      <c r="JA154" s="1024"/>
      <c r="JB154" s="1024"/>
      <c r="JC154" s="1024"/>
      <c r="JD154" s="1024"/>
      <c r="JE154" s="1024"/>
      <c r="JF154" s="1024"/>
      <c r="JG154" s="1024"/>
      <c r="JH154" s="1024"/>
      <c r="JI154" s="1024"/>
      <c r="JJ154" s="1024"/>
      <c r="JK154" s="1024"/>
      <c r="JL154" s="1024"/>
      <c r="JM154" s="1024"/>
      <c r="JN154" s="1024"/>
      <c r="JO154" s="1024"/>
      <c r="JP154" s="1024"/>
      <c r="JQ154" s="1024"/>
      <c r="JR154" s="1024"/>
      <c r="JS154" s="1024"/>
      <c r="JT154" s="1024"/>
      <c r="JU154" s="1024"/>
      <c r="JV154" s="1024"/>
      <c r="JW154" s="1024"/>
      <c r="JX154" s="1024"/>
      <c r="JY154" s="1024"/>
      <c r="JZ154" s="1024"/>
      <c r="KA154" s="1024"/>
      <c r="KB154" s="1024"/>
      <c r="KC154" s="1024"/>
      <c r="KD154" s="1024"/>
      <c r="KE154" s="1024"/>
      <c r="KF154" s="1024"/>
      <c r="KG154" s="1024"/>
      <c r="KH154" s="1024"/>
      <c r="KI154" s="1024"/>
      <c r="KJ154" s="1024"/>
      <c r="KK154" s="1024"/>
      <c r="KL154" s="1024"/>
      <c r="KM154" s="1024"/>
      <c r="KN154" s="1024"/>
      <c r="KO154" s="1024"/>
      <c r="KP154" s="1024"/>
      <c r="KQ154" s="1024"/>
      <c r="KR154" s="1024"/>
      <c r="KS154" s="1024"/>
      <c r="KT154" s="1024"/>
      <c r="KU154" s="1024"/>
      <c r="KV154" s="1024"/>
      <c r="KW154" s="1024"/>
      <c r="KX154" s="1024"/>
      <c r="KY154" s="1024"/>
      <c r="KZ154" s="1024"/>
      <c r="LA154" s="1024"/>
      <c r="LB154" s="1024"/>
      <c r="LC154" s="1024"/>
      <c r="LD154" s="1024"/>
      <c r="LE154" s="1024"/>
      <c r="LF154" s="1024"/>
      <c r="LG154" s="1024"/>
      <c r="LH154" s="1024"/>
      <c r="LI154" s="1024"/>
      <c r="LJ154" s="1024"/>
      <c r="LK154" s="1024"/>
      <c r="LL154" s="1024"/>
      <c r="LM154" s="1024"/>
      <c r="LN154" s="1024"/>
      <c r="LO154" s="1024"/>
      <c r="LP154" s="1024"/>
      <c r="LQ154" s="1024"/>
      <c r="LR154" s="1024"/>
      <c r="LS154" s="1024"/>
      <c r="LT154" s="1024"/>
      <c r="LU154" s="1024"/>
      <c r="LV154" s="1024"/>
      <c r="LW154" s="1024"/>
      <c r="LX154" s="1024"/>
      <c r="LY154" s="1024"/>
      <c r="LZ154" s="1024"/>
      <c r="MA154" s="1024"/>
      <c r="MB154" s="1024"/>
      <c r="MC154" s="1024"/>
      <c r="MD154" s="1024"/>
      <c r="ME154" s="1024"/>
      <c r="MF154" s="1024"/>
      <c r="MG154" s="1024"/>
      <c r="MH154" s="1024"/>
      <c r="MI154" s="1024"/>
      <c r="MJ154" s="1024"/>
      <c r="MK154" s="1024"/>
      <c r="ML154" s="1024"/>
      <c r="MM154" s="1024"/>
      <c r="MN154" s="1024"/>
      <c r="MO154" s="1024"/>
      <c r="MP154" s="1024"/>
      <c r="MQ154" s="1024"/>
      <c r="MR154" s="1024"/>
      <c r="MS154" s="1024"/>
      <c r="MT154" s="1024"/>
      <c r="MU154" s="1024"/>
      <c r="MV154" s="1024"/>
      <c r="MW154" s="1024"/>
      <c r="MX154" s="1024"/>
      <c r="MY154" s="1024"/>
      <c r="MZ154" s="1024"/>
      <c r="NA154" s="1024"/>
      <c r="NB154" s="1024"/>
      <c r="NC154" s="1024"/>
      <c r="ND154" s="1024"/>
      <c r="NE154" s="1024"/>
      <c r="NF154" s="1024"/>
      <c r="NG154" s="1024"/>
      <c r="NH154" s="1024"/>
      <c r="NI154" s="1024"/>
      <c r="NJ154" s="1024"/>
      <c r="NK154" s="1024"/>
      <c r="NL154" s="1024"/>
      <c r="NM154" s="1024"/>
      <c r="NN154" s="1024"/>
      <c r="NO154" s="1024"/>
      <c r="NP154" s="1024"/>
      <c r="NQ154" s="1024"/>
      <c r="NR154" s="1024"/>
      <c r="NS154" s="1024"/>
      <c r="NT154" s="1024"/>
      <c r="NU154" s="1024"/>
      <c r="NV154" s="1024"/>
      <c r="NW154" s="1024"/>
      <c r="NX154" s="1024"/>
      <c r="NY154" s="1024"/>
      <c r="NZ154" s="1024"/>
      <c r="OA154" s="1024"/>
      <c r="OB154" s="1024"/>
      <c r="OC154" s="1024"/>
      <c r="OD154" s="1024"/>
      <c r="OE154" s="1024"/>
      <c r="OF154" s="1024"/>
      <c r="OG154" s="1024"/>
      <c r="OH154" s="1024"/>
      <c r="OI154" s="1024"/>
      <c r="OJ154" s="1024"/>
      <c r="OK154" s="1024"/>
      <c r="OL154" s="1024"/>
      <c r="OM154" s="1024"/>
      <c r="ON154" s="1024"/>
      <c r="OO154" s="1024"/>
      <c r="OP154" s="1024"/>
      <c r="OQ154" s="1024"/>
      <c r="OR154" s="1024"/>
      <c r="OS154" s="1024"/>
      <c r="OT154" s="1024"/>
      <c r="OU154" s="1024"/>
      <c r="OV154" s="1024"/>
      <c r="OW154" s="1024"/>
      <c r="OX154" s="1024"/>
      <c r="OY154" s="1024"/>
      <c r="OZ154" s="1024"/>
      <c r="PA154" s="1024"/>
      <c r="PB154" s="1024"/>
      <c r="PC154" s="1024"/>
      <c r="PD154" s="1024"/>
      <c r="PE154" s="1024"/>
      <c r="PF154" s="1024"/>
      <c r="PG154" s="1024"/>
      <c r="PH154" s="1024"/>
      <c r="PI154" s="1024"/>
      <c r="PJ154" s="1024"/>
      <c r="PK154" s="1024"/>
      <c r="PL154" s="1024"/>
      <c r="PM154" s="1024"/>
      <c r="PN154" s="1024"/>
      <c r="PO154" s="1024"/>
      <c r="PP154" s="1024"/>
      <c r="PQ154" s="1024"/>
      <c r="PR154" s="1024"/>
      <c r="PS154" s="1024"/>
      <c r="PT154" s="1024"/>
      <c r="PU154" s="1024"/>
      <c r="PV154" s="1024"/>
      <c r="PW154" s="1024"/>
      <c r="PX154" s="1024"/>
      <c r="PY154" s="1024"/>
      <c r="PZ154" s="1024"/>
      <c r="QA154" s="1024"/>
      <c r="QB154" s="1024"/>
      <c r="QC154" s="1024"/>
      <c r="QD154" s="1024"/>
      <c r="QE154" s="1024"/>
      <c r="QF154" s="1024"/>
      <c r="QG154" s="1024"/>
      <c r="QH154" s="1024"/>
      <c r="QI154" s="1024"/>
      <c r="QJ154" s="1024"/>
      <c r="QK154" s="1024"/>
      <c r="QL154" s="1024"/>
      <c r="QM154" s="1024"/>
      <c r="QN154" s="1024"/>
      <c r="QO154" s="1024"/>
      <c r="QP154" s="1024"/>
      <c r="QQ154" s="1024"/>
      <c r="QR154" s="1024"/>
      <c r="QS154" s="1024"/>
      <c r="QT154" s="1024"/>
      <c r="QU154" s="1024"/>
      <c r="QV154" s="1024"/>
      <c r="QW154" s="1024"/>
      <c r="QX154" s="1024"/>
      <c r="QY154" s="1024"/>
      <c r="QZ154" s="1024"/>
      <c r="RA154" s="1024"/>
      <c r="RB154" s="1024"/>
      <c r="RC154" s="1024"/>
      <c r="RD154" s="1024"/>
      <c r="RE154" s="1024"/>
      <c r="RF154" s="1024"/>
      <c r="RG154" s="1024"/>
      <c r="RH154" s="1024"/>
      <c r="RI154" s="1024"/>
      <c r="RJ154" s="1024"/>
      <c r="RK154" s="1024"/>
      <c r="RL154" s="1024"/>
      <c r="RM154" s="1024"/>
      <c r="RN154" s="1024"/>
      <c r="RO154" s="1024"/>
      <c r="RP154" s="1024"/>
      <c r="RQ154" s="1024"/>
      <c r="RR154" s="1024"/>
      <c r="RS154" s="1024"/>
      <c r="RT154" s="1024"/>
      <c r="RU154" s="1024"/>
      <c r="RV154" s="1024"/>
      <c r="RW154" s="1024"/>
      <c r="RX154" s="1024"/>
      <c r="RY154" s="1024"/>
      <c r="RZ154" s="1024"/>
      <c r="SA154" s="1024"/>
      <c r="SB154" s="1024"/>
      <c r="SC154" s="1024"/>
      <c r="SD154" s="1024"/>
      <c r="SE154" s="1024"/>
      <c r="SF154" s="1024"/>
      <c r="SG154" s="1024"/>
      <c r="SH154" s="1024"/>
      <c r="SI154" s="1024"/>
      <c r="SJ154" s="1024"/>
      <c r="SK154" s="1024"/>
      <c r="SL154" s="1024"/>
      <c r="SM154" s="1024"/>
      <c r="SN154" s="1024"/>
      <c r="SO154" s="1024"/>
      <c r="SP154" s="1024"/>
      <c r="SQ154" s="1024"/>
      <c r="SR154" s="1024"/>
    </row>
    <row r="155" spans="1:512" ht="15" customHeight="1">
      <c r="A155" t="s">
        <v>3257</v>
      </c>
      <c r="B155"/>
      <c r="C155"/>
      <c r="D155"/>
      <c r="E155" t="s">
        <v>169</v>
      </c>
      <c r="F155"/>
      <c r="G155" s="1022">
        <v>7.6438082392204149E-2</v>
      </c>
      <c r="H155" s="1022">
        <v>5.3998993558775216E-2</v>
      </c>
      <c r="I155" s="1022"/>
      <c r="J155" s="1022"/>
      <c r="K155" s="1022"/>
      <c r="L155" s="1022"/>
      <c r="M155" s="1022"/>
      <c r="N155" s="1022"/>
      <c r="O155" s="1022"/>
      <c r="P155" s="1022"/>
      <c r="Q155" s="1022"/>
      <c r="R155" s="1022"/>
      <c r="S155" s="1022"/>
      <c r="T155" s="1022"/>
      <c r="U155" s="1021"/>
      <c r="V155" s="1021"/>
      <c r="W155" s="1021"/>
      <c r="X155" s="1021"/>
      <c r="Y155" s="1021"/>
      <c r="Z155" s="1021"/>
      <c r="AA155" s="1021"/>
      <c r="AB155" s="1021"/>
      <c r="AC155" s="1021"/>
      <c r="AD155" s="1021"/>
      <c r="AE155" s="1021"/>
      <c r="AF155" s="1021"/>
      <c r="AG155" s="1021"/>
      <c r="AH155" s="1021"/>
      <c r="AI155" s="1021"/>
      <c r="AJ155" s="1021"/>
      <c r="AK155" s="1021"/>
      <c r="AL155" s="1021"/>
      <c r="AM155" s="1021"/>
      <c r="AN155" s="1021"/>
      <c r="AO155" s="1021"/>
      <c r="AP155" s="1021"/>
      <c r="AQ155" s="1021"/>
      <c r="AR155" s="1021"/>
      <c r="AS155" s="1021"/>
      <c r="AT155" s="1021"/>
      <c r="AU155" s="1021"/>
      <c r="AV155" s="1021"/>
      <c r="AW155" s="1021"/>
      <c r="AX155" s="1021"/>
      <c r="AY155" s="1021"/>
      <c r="AZ155" s="1021"/>
      <c r="BA155" s="1021"/>
      <c r="BB155" s="1021"/>
      <c r="BC155" s="1021"/>
      <c r="BD155" s="1021"/>
      <c r="BE155" s="1021"/>
      <c r="BF155" s="1021"/>
      <c r="BG155" s="1021"/>
      <c r="BH155" s="1021"/>
      <c r="BI155" s="1021"/>
      <c r="BJ155" s="1021"/>
      <c r="BK155" s="1021"/>
      <c r="BL155" s="1021"/>
      <c r="BM155" s="1021"/>
      <c r="BN155" s="1021"/>
      <c r="BO155" s="1021"/>
      <c r="BP155" s="1021"/>
      <c r="BQ155" s="1021"/>
      <c r="BR155" s="1021"/>
      <c r="BS155" s="1021"/>
      <c r="BT155" s="1021"/>
      <c r="BU155" s="1021"/>
      <c r="BV155" s="1021"/>
      <c r="BW155" s="1021"/>
      <c r="BX155" s="1021"/>
      <c r="BY155" s="1021"/>
      <c r="BZ155" s="1021"/>
      <c r="CA155" s="1021"/>
      <c r="CB155" s="1021"/>
      <c r="CC155" s="1021"/>
      <c r="CD155" s="1021"/>
      <c r="CE155" s="1021"/>
      <c r="CF155" s="1021"/>
      <c r="CG155" s="1021"/>
      <c r="CH155" s="1021"/>
      <c r="CI155" s="1021"/>
      <c r="CJ155" s="1021"/>
      <c r="CK155" s="1021"/>
      <c r="CL155" s="1021"/>
      <c r="CM155" s="1021"/>
      <c r="CN155" s="1021"/>
      <c r="CO155" s="1021"/>
      <c r="CP155" s="1021"/>
      <c r="CQ155" s="1021"/>
      <c r="CR155" s="1021"/>
      <c r="CS155" s="1021"/>
      <c r="CT155" s="1021"/>
      <c r="CU155" s="1021"/>
      <c r="CV155" s="1021"/>
      <c r="CW155" s="1021"/>
      <c r="CX155" s="1021"/>
      <c r="CY155" s="1021"/>
      <c r="CZ155" s="1021"/>
      <c r="DA155" s="1021"/>
      <c r="DB155" s="1021"/>
      <c r="DC155" s="1021"/>
      <c r="DD155" s="1021"/>
      <c r="DE155" s="1021"/>
      <c r="DF155" s="1021"/>
      <c r="DG155" s="1021"/>
      <c r="DH155" s="1021"/>
      <c r="DI155" s="1021"/>
      <c r="DJ155" s="1021"/>
      <c r="DK155" s="1021"/>
      <c r="DL155" s="1021"/>
      <c r="DM155" s="1021"/>
      <c r="DN155" s="1021"/>
      <c r="DO155" s="1021"/>
      <c r="DP155" s="1021"/>
      <c r="DQ155" s="1021"/>
      <c r="DR155" s="1021"/>
      <c r="DS155" s="1021"/>
      <c r="DT155" s="1021"/>
      <c r="DU155" s="1021"/>
      <c r="DV155" s="1021"/>
      <c r="DW155" s="1021"/>
      <c r="DX155" s="1021"/>
      <c r="DY155" s="1021"/>
      <c r="DZ155" s="1021"/>
      <c r="EA155" s="1021"/>
      <c r="EB155" s="1021"/>
      <c r="EC155" s="1021"/>
      <c r="ED155" s="1021"/>
      <c r="EE155" s="1021"/>
      <c r="EF155" s="1021"/>
      <c r="EG155" s="1021"/>
      <c r="EH155" s="1021"/>
      <c r="EI155" s="1021"/>
      <c r="EJ155" s="1021"/>
      <c r="EK155" s="1021"/>
      <c r="EL155" s="1021"/>
      <c r="EM155" s="1021"/>
      <c r="EN155" s="1021"/>
      <c r="EO155" s="1021"/>
      <c r="EP155" s="1021"/>
      <c r="EQ155" s="1021"/>
      <c r="ER155" s="1021"/>
      <c r="ES155" s="1021"/>
      <c r="ET155" s="1021"/>
      <c r="EU155" s="1021"/>
      <c r="EV155" s="1021"/>
      <c r="EW155" s="1021"/>
      <c r="EX155" s="1021"/>
      <c r="EY155" s="1021"/>
      <c r="EZ155" s="1021"/>
      <c r="FA155" s="1021"/>
      <c r="FB155" s="1021"/>
      <c r="FC155" s="1021"/>
      <c r="FD155" s="1021"/>
      <c r="FE155" s="1021"/>
      <c r="FF155" s="1021"/>
      <c r="FG155" s="1021"/>
      <c r="FH155" s="1021"/>
      <c r="FI155" s="1021"/>
      <c r="FJ155" s="1021"/>
      <c r="FK155" s="1021"/>
      <c r="FL155" s="1021"/>
      <c r="FM155" s="1021"/>
      <c r="FN155" s="1021"/>
      <c r="FO155" s="1021"/>
      <c r="FP155" s="1021"/>
      <c r="FQ155" s="1021"/>
      <c r="FR155" s="1021"/>
      <c r="FS155" s="1021"/>
      <c r="FT155" s="1021"/>
      <c r="FU155" s="1021"/>
      <c r="FV155" s="1021"/>
      <c r="FW155" s="1021"/>
      <c r="FX155" s="1021"/>
      <c r="FY155" s="1021"/>
      <c r="FZ155" s="1021"/>
      <c r="GA155" s="1021"/>
      <c r="GB155" s="1021"/>
      <c r="GC155" s="1021"/>
      <c r="GD155" s="1021"/>
      <c r="GE155" s="1021"/>
      <c r="GF155" s="1021"/>
      <c r="GG155" s="1021"/>
      <c r="GH155" s="1021"/>
      <c r="GI155" s="1021"/>
      <c r="GJ155" s="1021"/>
      <c r="GK155" s="1021"/>
      <c r="GL155" s="1021"/>
      <c r="GM155" s="1021"/>
      <c r="GN155" s="1021"/>
      <c r="GO155" s="1021"/>
      <c r="GP155" s="1021"/>
      <c r="GQ155" s="1021"/>
      <c r="GR155" s="1021"/>
      <c r="GS155" s="1021"/>
      <c r="GT155" s="1021"/>
      <c r="GU155" s="1021"/>
      <c r="GV155" s="1021"/>
      <c r="GW155" s="1021"/>
      <c r="GX155" s="1021"/>
      <c r="GY155" s="1021"/>
      <c r="GZ155" s="1021"/>
      <c r="HA155" s="1021"/>
      <c r="HB155" s="1021"/>
      <c r="HC155" s="1021"/>
      <c r="HD155" s="1021"/>
      <c r="HE155" s="1021"/>
      <c r="HF155" s="1021"/>
      <c r="HG155" s="1021"/>
      <c r="HH155" s="1021"/>
      <c r="HI155" s="1021"/>
      <c r="HJ155" s="1021"/>
      <c r="HK155" s="1021"/>
      <c r="HL155" s="1021"/>
      <c r="HM155" s="1021"/>
      <c r="HN155" s="1021"/>
      <c r="HO155" s="1021"/>
      <c r="HP155" s="1021"/>
      <c r="HQ155" s="1021"/>
      <c r="HR155" s="1021"/>
      <c r="HS155" s="1021"/>
      <c r="HT155" s="1021"/>
      <c r="HU155" s="1021"/>
      <c r="HV155" s="1021"/>
      <c r="HW155" s="1021"/>
      <c r="HX155" s="1021"/>
      <c r="HY155" s="1021"/>
      <c r="HZ155" s="1021"/>
      <c r="IA155" s="1021"/>
      <c r="IB155" s="1021"/>
      <c r="IC155" s="1021"/>
      <c r="ID155" s="1021"/>
      <c r="IE155" s="1021"/>
      <c r="IF155" s="1021"/>
      <c r="IG155" s="1021"/>
      <c r="IH155" s="1021"/>
      <c r="II155" s="1021"/>
      <c r="IJ155" s="1021"/>
      <c r="IK155" s="1021"/>
      <c r="IL155" s="1021"/>
      <c r="IM155" s="1021"/>
      <c r="IN155" s="1021"/>
      <c r="IO155" s="1021"/>
      <c r="IP155" s="1021"/>
      <c r="IQ155" s="1021"/>
      <c r="IR155" s="1021"/>
      <c r="IS155" s="1021"/>
      <c r="IT155" s="1021"/>
      <c r="IU155" s="1021"/>
      <c r="IV155" s="1021"/>
      <c r="IW155" s="1021"/>
      <c r="IX155" s="1021"/>
      <c r="IY155" s="1021"/>
      <c r="IZ155" s="1021"/>
      <c r="JA155" s="1021"/>
      <c r="JB155" s="1021"/>
      <c r="JC155" s="1021"/>
      <c r="JD155" s="1021"/>
      <c r="JE155" s="1021"/>
      <c r="JF155" s="1021"/>
      <c r="JG155" s="1021"/>
      <c r="JH155" s="1021"/>
      <c r="JI155" s="1021"/>
      <c r="JJ155" s="1021"/>
      <c r="JK155" s="1021"/>
      <c r="JL155" s="1021"/>
      <c r="JM155" s="1021"/>
      <c r="JN155" s="1021"/>
      <c r="JO155" s="1021"/>
      <c r="JP155" s="1021"/>
      <c r="JQ155" s="1021"/>
      <c r="JR155" s="1021"/>
      <c r="JS155" s="1021"/>
      <c r="JT155" s="1021"/>
      <c r="JU155" s="1021"/>
      <c r="JV155" s="1021"/>
      <c r="JW155" s="1021"/>
      <c r="JX155" s="1021"/>
      <c r="JY155" s="1021"/>
      <c r="JZ155" s="1021"/>
      <c r="KA155" s="1021"/>
      <c r="KB155" s="1021"/>
      <c r="KC155" s="1021"/>
      <c r="KD155" s="1021"/>
      <c r="KE155" s="1021"/>
      <c r="KF155" s="1021"/>
      <c r="KG155" s="1021"/>
      <c r="KH155" s="1021"/>
      <c r="KI155" s="1021"/>
      <c r="KJ155" s="1021"/>
      <c r="KK155" s="1021"/>
      <c r="KL155" s="1021"/>
      <c r="KM155" s="1021"/>
      <c r="KN155" s="1021"/>
      <c r="KO155" s="1021"/>
      <c r="KP155" s="1021"/>
      <c r="KQ155" s="1021"/>
      <c r="KR155" s="1021"/>
      <c r="KS155" s="1021"/>
      <c r="KT155" s="1021"/>
      <c r="KU155" s="1021"/>
      <c r="KV155" s="1021"/>
      <c r="KW155" s="1021"/>
      <c r="KX155" s="1021"/>
      <c r="KY155" s="1021"/>
      <c r="KZ155" s="1021"/>
      <c r="LA155" s="1021"/>
      <c r="LB155" s="1021"/>
      <c r="LC155" s="1021"/>
      <c r="LD155" s="1021"/>
      <c r="LE155" s="1021"/>
      <c r="LF155" s="1021"/>
      <c r="LG155" s="1021"/>
      <c r="LH155" s="1021"/>
      <c r="LI155" s="1021"/>
      <c r="LJ155" s="1021"/>
      <c r="LK155" s="1021"/>
      <c r="LL155" s="1021"/>
      <c r="LM155" s="1021"/>
      <c r="LN155" s="1021"/>
      <c r="LO155" s="1021"/>
      <c r="LP155" s="1021"/>
      <c r="LQ155" s="1021"/>
      <c r="LR155" s="1021"/>
      <c r="LS155" s="1021"/>
      <c r="LT155" s="1021"/>
      <c r="LU155" s="1021"/>
      <c r="LV155" s="1021"/>
      <c r="LW155" s="1021"/>
      <c r="LX155" s="1021"/>
      <c r="LY155" s="1021"/>
      <c r="LZ155" s="1021"/>
      <c r="MA155" s="1021"/>
      <c r="MB155" s="1021"/>
      <c r="MC155" s="1021"/>
      <c r="MD155" s="1021"/>
      <c r="ME155" s="1021"/>
      <c r="MF155" s="1021"/>
      <c r="MG155" s="1021"/>
      <c r="MH155" s="1021"/>
      <c r="MI155" s="1021"/>
      <c r="MJ155" s="1021"/>
      <c r="MK155" s="1021"/>
      <c r="ML155" s="1021"/>
      <c r="MM155" s="1021"/>
      <c r="MN155" s="1021"/>
      <c r="MO155" s="1021"/>
      <c r="MP155" s="1021"/>
      <c r="MQ155" s="1021"/>
      <c r="MR155" s="1021"/>
      <c r="MS155" s="1021"/>
      <c r="MT155" s="1021"/>
      <c r="MU155" s="1021"/>
      <c r="MV155" s="1021"/>
      <c r="MW155" s="1021"/>
      <c r="MX155" s="1021"/>
      <c r="MY155" s="1021"/>
      <c r="MZ155" s="1021"/>
      <c r="NA155" s="1021"/>
      <c r="NB155" s="1021"/>
      <c r="NC155" s="1021"/>
      <c r="ND155" s="1021"/>
      <c r="NE155" s="1021"/>
      <c r="NF155" s="1021"/>
      <c r="NG155" s="1021"/>
      <c r="NH155" s="1021"/>
      <c r="NI155" s="1021"/>
      <c r="NJ155" s="1021"/>
      <c r="NK155" s="1021"/>
      <c r="NL155" s="1021"/>
      <c r="NM155" s="1021"/>
      <c r="NN155" s="1021"/>
      <c r="NO155" s="1021"/>
      <c r="NP155" s="1021"/>
      <c r="NQ155" s="1021"/>
      <c r="NR155" s="1021"/>
      <c r="NS155" s="1021"/>
      <c r="NT155" s="1021"/>
      <c r="NU155" s="1021"/>
      <c r="NV155" s="1021"/>
      <c r="NW155" s="1021"/>
      <c r="NX155" s="1021"/>
      <c r="NY155" s="1021"/>
      <c r="NZ155" s="1021"/>
      <c r="OA155" s="1021"/>
      <c r="OB155" s="1021"/>
      <c r="OC155" s="1021"/>
      <c r="OD155" s="1021"/>
      <c r="OE155" s="1021"/>
      <c r="OF155" s="1021"/>
      <c r="OG155" s="1021"/>
      <c r="OH155" s="1021"/>
      <c r="OI155" s="1021"/>
      <c r="OJ155" s="1021"/>
      <c r="OK155" s="1021"/>
      <c r="OL155" s="1021"/>
      <c r="OM155" s="1021"/>
      <c r="ON155" s="1021"/>
      <c r="OO155" s="1021"/>
      <c r="OP155" s="1021"/>
      <c r="OQ155" s="1021"/>
      <c r="OR155" s="1021"/>
      <c r="OS155" s="1021"/>
      <c r="OT155" s="1021"/>
      <c r="OU155" s="1021"/>
      <c r="OV155" s="1021"/>
      <c r="OW155" s="1021"/>
      <c r="OX155" s="1021"/>
      <c r="OY155" s="1021"/>
      <c r="OZ155" s="1021"/>
      <c r="PA155" s="1021"/>
      <c r="PB155" s="1021"/>
      <c r="PC155" s="1021"/>
      <c r="PD155" s="1021"/>
      <c r="PE155" s="1021"/>
      <c r="PF155" s="1021"/>
      <c r="PG155" s="1021"/>
      <c r="PH155" s="1021"/>
      <c r="PI155" s="1021"/>
      <c r="PJ155" s="1021"/>
      <c r="PK155" s="1021"/>
      <c r="PL155" s="1021"/>
      <c r="PM155" s="1021"/>
      <c r="PN155" s="1021"/>
      <c r="PO155" s="1021"/>
      <c r="PP155" s="1021"/>
      <c r="PQ155" s="1021"/>
      <c r="PR155" s="1021"/>
      <c r="PS155" s="1021"/>
      <c r="PT155" s="1021"/>
      <c r="PU155" s="1021"/>
      <c r="PV155" s="1021"/>
      <c r="PW155" s="1021"/>
      <c r="PX155" s="1021"/>
      <c r="PY155" s="1021"/>
      <c r="PZ155" s="1021"/>
      <c r="QA155" s="1021"/>
      <c r="QB155" s="1021"/>
      <c r="QC155" s="1021"/>
      <c r="QD155" s="1021"/>
      <c r="QE155" s="1021"/>
      <c r="QF155" s="1021"/>
      <c r="QG155" s="1021"/>
      <c r="QH155" s="1021"/>
      <c r="QI155" s="1021"/>
      <c r="QJ155" s="1021"/>
      <c r="QK155" s="1021"/>
      <c r="QL155" s="1021"/>
      <c r="QM155" s="1021"/>
      <c r="QN155" s="1021"/>
      <c r="QO155" s="1021"/>
      <c r="QP155" s="1021"/>
      <c r="QQ155" s="1021"/>
      <c r="QR155" s="1021"/>
      <c r="QS155" s="1021"/>
      <c r="QT155" s="1021"/>
      <c r="QU155" s="1021"/>
      <c r="QV155" s="1021"/>
      <c r="QW155" s="1021"/>
      <c r="QX155" s="1021"/>
      <c r="QY155" s="1021"/>
      <c r="QZ155" s="1021"/>
      <c r="RA155" s="1021"/>
      <c r="RB155" s="1021"/>
      <c r="RC155" s="1021"/>
      <c r="RD155" s="1021"/>
      <c r="RE155" s="1021"/>
      <c r="RF155" s="1021"/>
      <c r="RG155" s="1021"/>
      <c r="RH155" s="1021"/>
      <c r="RI155" s="1021"/>
      <c r="RJ155" s="1021"/>
      <c r="RK155" s="1021"/>
      <c r="RL155" s="1021"/>
      <c r="RM155" s="1021"/>
      <c r="RN155" s="1021"/>
      <c r="RO155" s="1021"/>
      <c r="RP155" s="1021"/>
      <c r="RQ155" s="1021"/>
      <c r="RR155" s="1021"/>
      <c r="RS155" s="1021"/>
      <c r="RT155" s="1021"/>
      <c r="RU155" s="1021"/>
      <c r="RV155" s="1021"/>
      <c r="RW155" s="1021"/>
      <c r="RX155" s="1021"/>
      <c r="RY155" s="1021"/>
      <c r="RZ155" s="1021"/>
      <c r="SA155" s="1021"/>
      <c r="SB155" s="1021"/>
      <c r="SC155" s="1021"/>
      <c r="SD155" s="1021"/>
      <c r="SE155" s="1021"/>
      <c r="SF155" s="1021"/>
      <c r="SG155" s="1021"/>
      <c r="SH155" s="1021"/>
      <c r="SI155" s="1021"/>
      <c r="SJ155" s="1021"/>
      <c r="SK155" s="1021"/>
      <c r="SL155" s="1021"/>
      <c r="SM155" s="1021"/>
      <c r="SN155" s="1021"/>
      <c r="SO155" s="1021"/>
      <c r="SP155" s="1021"/>
      <c r="SQ155" s="1021"/>
      <c r="SR155" s="1021"/>
    </row>
    <row r="156" spans="1:512" s="1011" customFormat="1" ht="15" customHeight="1">
      <c r="A156"/>
      <c r="G156" s="1024"/>
      <c r="H156" s="1024"/>
      <c r="I156" s="1024"/>
      <c r="J156" s="1024"/>
      <c r="K156" s="1024"/>
      <c r="L156" s="1024"/>
      <c r="M156" s="1024"/>
      <c r="N156" s="1024"/>
      <c r="O156" s="1024"/>
      <c r="P156" s="1024"/>
      <c r="Q156" s="1024"/>
      <c r="R156" s="1024"/>
      <c r="S156" s="1024"/>
      <c r="T156" s="1024"/>
      <c r="U156" s="1024"/>
      <c r="V156" s="1024"/>
      <c r="W156" s="1024"/>
      <c r="X156" s="1024"/>
      <c r="Y156" s="1024"/>
      <c r="Z156" s="1024"/>
      <c r="AA156" s="1024"/>
      <c r="AB156" s="1024"/>
      <c r="AC156" s="1024"/>
      <c r="AD156" s="1024"/>
      <c r="AE156" s="1024"/>
      <c r="AF156" s="1024"/>
      <c r="AG156" s="1024"/>
      <c r="AH156" s="1024"/>
      <c r="AI156" s="1024"/>
      <c r="AJ156" s="1024"/>
      <c r="AK156" s="1024"/>
      <c r="AL156" s="1024"/>
      <c r="AM156" s="1024"/>
      <c r="AN156" s="1024"/>
      <c r="AO156" s="1024"/>
      <c r="AP156" s="1024"/>
      <c r="AQ156" s="1024"/>
      <c r="AR156" s="1024"/>
      <c r="AS156" s="1024"/>
      <c r="AT156" s="1024"/>
      <c r="AU156" s="1024"/>
      <c r="AV156" s="1024"/>
      <c r="AW156" s="1024"/>
      <c r="AX156" s="1024"/>
      <c r="AY156" s="1024"/>
      <c r="AZ156" s="1024"/>
      <c r="BA156" s="1024"/>
      <c r="BB156" s="1024"/>
      <c r="BC156" s="1024"/>
      <c r="BD156" s="1024"/>
      <c r="BE156" s="1024"/>
      <c r="BF156" s="1024"/>
      <c r="BG156" s="1024"/>
      <c r="BH156" s="1024"/>
      <c r="BI156" s="1024"/>
      <c r="BJ156" s="1024"/>
      <c r="BK156" s="1024"/>
      <c r="BL156" s="1024"/>
      <c r="BM156" s="1024"/>
      <c r="BN156" s="1024"/>
      <c r="BO156" s="1024"/>
      <c r="BP156" s="1024"/>
      <c r="BQ156" s="1024"/>
      <c r="BR156" s="1024"/>
      <c r="BS156" s="1024"/>
      <c r="BT156" s="1024"/>
      <c r="BU156" s="1024"/>
      <c r="BV156" s="1024"/>
      <c r="BW156" s="1024"/>
      <c r="BX156" s="1024"/>
      <c r="BY156" s="1024"/>
      <c r="BZ156" s="1024"/>
      <c r="CA156" s="1024"/>
      <c r="CB156" s="1024"/>
      <c r="CC156" s="1024"/>
      <c r="CD156" s="1024"/>
      <c r="CE156" s="1024"/>
      <c r="CF156" s="1024"/>
      <c r="CG156" s="1024"/>
      <c r="CH156" s="1024"/>
      <c r="CI156" s="1024"/>
      <c r="CJ156" s="1024"/>
      <c r="CK156" s="1024"/>
      <c r="CL156" s="1024"/>
      <c r="CM156" s="1024"/>
      <c r="CN156" s="1024"/>
      <c r="CO156" s="1024"/>
      <c r="CP156" s="1024"/>
      <c r="CQ156" s="1024"/>
      <c r="CR156" s="1024"/>
      <c r="CS156" s="1024"/>
      <c r="CT156" s="1024"/>
      <c r="CU156" s="1024"/>
      <c r="CV156" s="1024"/>
      <c r="CW156" s="1024"/>
      <c r="CX156" s="1024"/>
      <c r="CY156" s="1024"/>
      <c r="CZ156" s="1024"/>
      <c r="DA156" s="1024"/>
      <c r="DB156" s="1024"/>
      <c r="DC156" s="1024"/>
      <c r="DD156" s="1024"/>
      <c r="DE156" s="1024"/>
      <c r="DF156" s="1024"/>
      <c r="DG156" s="1024"/>
      <c r="DH156" s="1024"/>
      <c r="DI156" s="1024"/>
      <c r="DJ156" s="1024"/>
      <c r="DK156" s="1024"/>
      <c r="DL156" s="1024"/>
      <c r="DM156" s="1024"/>
      <c r="DN156" s="1024"/>
      <c r="DO156" s="1024"/>
      <c r="DP156" s="1024"/>
      <c r="DQ156" s="1024"/>
      <c r="DR156" s="1024"/>
      <c r="DS156" s="1024"/>
      <c r="DT156" s="1024"/>
      <c r="DU156" s="1024"/>
      <c r="DV156" s="1024"/>
      <c r="DW156" s="1024"/>
      <c r="DX156" s="1024"/>
      <c r="DY156" s="1024"/>
      <c r="DZ156" s="1024"/>
      <c r="EA156" s="1024"/>
      <c r="EB156" s="1024"/>
      <c r="EC156" s="1024"/>
      <c r="ED156" s="1024"/>
      <c r="EE156" s="1024"/>
      <c r="EF156" s="1024"/>
      <c r="EG156" s="1024"/>
      <c r="EH156" s="1024"/>
      <c r="EI156" s="1024"/>
      <c r="EJ156" s="1024"/>
      <c r="EK156" s="1024"/>
      <c r="EL156" s="1024"/>
      <c r="EM156" s="1024"/>
      <c r="EN156" s="1024"/>
      <c r="EO156" s="1024"/>
      <c r="EP156" s="1024"/>
      <c r="EQ156" s="1024"/>
      <c r="ER156" s="1024"/>
      <c r="ES156" s="1024"/>
      <c r="ET156" s="1024"/>
      <c r="EU156" s="1024"/>
      <c r="EV156" s="1024"/>
      <c r="EW156" s="1024"/>
      <c r="EX156" s="1024"/>
      <c r="EY156" s="1024"/>
      <c r="EZ156" s="1024"/>
      <c r="FA156" s="1024"/>
      <c r="FB156" s="1024"/>
      <c r="FC156" s="1024"/>
      <c r="FD156" s="1024"/>
      <c r="FE156" s="1024"/>
      <c r="FF156" s="1024"/>
      <c r="FG156" s="1024"/>
      <c r="FH156" s="1024"/>
      <c r="FI156" s="1024"/>
      <c r="FJ156" s="1024"/>
      <c r="FK156" s="1024"/>
      <c r="FL156" s="1024"/>
      <c r="FM156" s="1024"/>
      <c r="FN156" s="1024"/>
      <c r="FO156" s="1024"/>
      <c r="FP156" s="1024"/>
      <c r="FQ156" s="1024"/>
      <c r="FR156" s="1024"/>
      <c r="FS156" s="1024"/>
      <c r="FT156" s="1024"/>
      <c r="FU156" s="1024"/>
      <c r="FV156" s="1024"/>
      <c r="FW156" s="1024"/>
      <c r="FX156" s="1024"/>
      <c r="FY156" s="1024"/>
      <c r="FZ156" s="1024"/>
      <c r="GA156" s="1024"/>
      <c r="GB156" s="1024"/>
      <c r="GC156" s="1024"/>
      <c r="GD156" s="1024"/>
      <c r="GE156" s="1024"/>
      <c r="GF156" s="1024"/>
      <c r="GG156" s="1024"/>
      <c r="GH156" s="1024"/>
      <c r="GI156" s="1024"/>
      <c r="GJ156" s="1024"/>
      <c r="GK156" s="1024"/>
      <c r="GL156" s="1024"/>
      <c r="GM156" s="1024"/>
      <c r="GN156" s="1024"/>
      <c r="GO156" s="1024"/>
      <c r="GP156" s="1024"/>
      <c r="GQ156" s="1024"/>
      <c r="GR156" s="1024"/>
      <c r="GS156" s="1024"/>
      <c r="GT156" s="1024"/>
      <c r="GU156" s="1024"/>
      <c r="GV156" s="1024"/>
      <c r="GW156" s="1024"/>
      <c r="GX156" s="1024"/>
      <c r="GY156" s="1024"/>
      <c r="GZ156" s="1024"/>
      <c r="HA156" s="1024"/>
      <c r="HB156" s="1024"/>
      <c r="HC156" s="1024"/>
      <c r="HD156" s="1024"/>
      <c r="HE156" s="1024"/>
      <c r="HF156" s="1024"/>
      <c r="HG156" s="1024"/>
      <c r="HH156" s="1024"/>
      <c r="HI156" s="1024"/>
      <c r="HJ156" s="1024"/>
      <c r="HK156" s="1024"/>
      <c r="HL156" s="1024"/>
      <c r="HM156" s="1024"/>
      <c r="HN156" s="1024"/>
      <c r="HO156" s="1024"/>
      <c r="HP156" s="1024"/>
      <c r="HQ156" s="1024"/>
      <c r="HR156" s="1024"/>
      <c r="HS156" s="1024"/>
      <c r="HT156" s="1024"/>
      <c r="HU156" s="1024"/>
      <c r="HV156" s="1024"/>
      <c r="HW156" s="1024"/>
      <c r="HX156" s="1024"/>
      <c r="HY156" s="1024"/>
      <c r="HZ156" s="1024"/>
      <c r="IA156" s="1024"/>
      <c r="IB156" s="1024"/>
      <c r="IC156" s="1024"/>
      <c r="ID156" s="1024"/>
      <c r="IE156" s="1024"/>
      <c r="IF156" s="1024"/>
      <c r="IG156" s="1024"/>
      <c r="IH156" s="1024"/>
      <c r="II156" s="1024"/>
      <c r="IJ156" s="1024"/>
      <c r="IK156" s="1024"/>
      <c r="IL156" s="1024"/>
      <c r="IM156" s="1024"/>
      <c r="IN156" s="1024"/>
      <c r="IO156" s="1024"/>
      <c r="IP156" s="1024"/>
      <c r="IQ156" s="1024"/>
      <c r="IR156" s="1024"/>
      <c r="IS156" s="1024"/>
      <c r="IT156" s="1024"/>
      <c r="IU156" s="1024"/>
      <c r="IV156" s="1024"/>
      <c r="IW156" s="1024"/>
      <c r="IX156" s="1024"/>
      <c r="IY156" s="1024"/>
      <c r="IZ156" s="1024"/>
      <c r="JA156" s="1024"/>
      <c r="JB156" s="1024"/>
      <c r="JC156" s="1024"/>
      <c r="JD156" s="1024"/>
      <c r="JE156" s="1024"/>
      <c r="JF156" s="1024"/>
      <c r="JG156" s="1024"/>
      <c r="JH156" s="1024"/>
      <c r="JI156" s="1024"/>
      <c r="JJ156" s="1024"/>
      <c r="JK156" s="1024"/>
      <c r="JL156" s="1024"/>
      <c r="JM156" s="1024"/>
      <c r="JN156" s="1024"/>
      <c r="JO156" s="1024"/>
      <c r="JP156" s="1024"/>
      <c r="JQ156" s="1024"/>
      <c r="JR156" s="1024"/>
      <c r="JS156" s="1024"/>
      <c r="JT156" s="1024"/>
      <c r="JU156" s="1024"/>
      <c r="JV156" s="1024"/>
      <c r="JW156" s="1024"/>
      <c r="JX156" s="1024"/>
      <c r="JY156" s="1024"/>
      <c r="JZ156" s="1024"/>
      <c r="KA156" s="1024"/>
      <c r="KB156" s="1024"/>
      <c r="KC156" s="1024"/>
      <c r="KD156" s="1024"/>
      <c r="KE156" s="1024"/>
      <c r="KF156" s="1024"/>
      <c r="KG156" s="1024"/>
      <c r="KH156" s="1024"/>
      <c r="KI156" s="1024"/>
      <c r="KJ156" s="1024"/>
      <c r="KK156" s="1024"/>
      <c r="KL156" s="1024"/>
      <c r="KM156" s="1024"/>
      <c r="KN156" s="1024"/>
      <c r="KO156" s="1024"/>
      <c r="KP156" s="1024"/>
      <c r="KQ156" s="1024"/>
      <c r="KR156" s="1024"/>
      <c r="KS156" s="1024"/>
      <c r="KT156" s="1024"/>
      <c r="KU156" s="1024"/>
      <c r="KV156" s="1024"/>
      <c r="KW156" s="1024"/>
      <c r="KX156" s="1024"/>
      <c r="KY156" s="1024"/>
      <c r="KZ156" s="1024"/>
      <c r="LA156" s="1024"/>
      <c r="LB156" s="1024"/>
      <c r="LC156" s="1024"/>
      <c r="LD156" s="1024"/>
      <c r="LE156" s="1024"/>
      <c r="LF156" s="1024"/>
      <c r="LG156" s="1024"/>
      <c r="LH156" s="1024"/>
      <c r="LI156" s="1024"/>
      <c r="LJ156" s="1024"/>
      <c r="LK156" s="1024"/>
      <c r="LL156" s="1024"/>
      <c r="LM156" s="1024"/>
      <c r="LN156" s="1024"/>
      <c r="LO156" s="1024"/>
      <c r="LP156" s="1024"/>
      <c r="LQ156" s="1024"/>
      <c r="LR156" s="1024"/>
      <c r="LS156" s="1024"/>
      <c r="LT156" s="1024"/>
      <c r="LU156" s="1024"/>
      <c r="LV156" s="1024"/>
      <c r="LW156" s="1024"/>
      <c r="LX156" s="1024"/>
      <c r="LY156" s="1024"/>
      <c r="LZ156" s="1024"/>
      <c r="MA156" s="1024"/>
      <c r="MB156" s="1024"/>
      <c r="MC156" s="1024"/>
      <c r="MD156" s="1024"/>
      <c r="ME156" s="1024"/>
      <c r="MF156" s="1024"/>
      <c r="MG156" s="1024"/>
      <c r="MH156" s="1024"/>
      <c r="MI156" s="1024"/>
      <c r="MJ156" s="1024"/>
      <c r="MK156" s="1024"/>
      <c r="ML156" s="1024"/>
      <c r="MM156" s="1024"/>
      <c r="MN156" s="1024"/>
      <c r="MO156" s="1024"/>
      <c r="MP156" s="1024"/>
      <c r="MQ156" s="1024"/>
      <c r="MR156" s="1024"/>
      <c r="MS156" s="1024"/>
      <c r="MT156" s="1024"/>
      <c r="MU156" s="1024"/>
      <c r="MV156" s="1024"/>
      <c r="MW156" s="1024"/>
      <c r="MX156" s="1024"/>
      <c r="MY156" s="1024"/>
      <c r="MZ156" s="1024"/>
      <c r="NA156" s="1024"/>
      <c r="NB156" s="1024"/>
      <c r="NC156" s="1024"/>
      <c r="ND156" s="1024"/>
      <c r="NE156" s="1024"/>
      <c r="NF156" s="1024"/>
      <c r="NG156" s="1024"/>
      <c r="NH156" s="1024"/>
      <c r="NI156" s="1024"/>
      <c r="NJ156" s="1024"/>
      <c r="NK156" s="1024"/>
      <c r="NL156" s="1024"/>
      <c r="NM156" s="1024"/>
      <c r="NN156" s="1024"/>
      <c r="NO156" s="1024"/>
      <c r="NP156" s="1024"/>
      <c r="NQ156" s="1024"/>
      <c r="NR156" s="1024"/>
      <c r="NS156" s="1024"/>
      <c r="NT156" s="1024"/>
      <c r="NU156" s="1024"/>
      <c r="NV156" s="1024"/>
      <c r="NW156" s="1024"/>
      <c r="NX156" s="1024"/>
      <c r="NY156" s="1024"/>
      <c r="NZ156" s="1024"/>
      <c r="OA156" s="1024"/>
      <c r="OB156" s="1024"/>
      <c r="OC156" s="1024"/>
      <c r="OD156" s="1024"/>
      <c r="OE156" s="1024"/>
      <c r="OF156" s="1024"/>
      <c r="OG156" s="1024"/>
      <c r="OH156" s="1024"/>
      <c r="OI156" s="1024"/>
      <c r="OJ156" s="1024"/>
      <c r="OK156" s="1024"/>
      <c r="OL156" s="1024"/>
      <c r="OM156" s="1024"/>
      <c r="ON156" s="1024"/>
      <c r="OO156" s="1024"/>
      <c r="OP156" s="1024"/>
      <c r="OQ156" s="1024"/>
      <c r="OR156" s="1024"/>
      <c r="OS156" s="1024"/>
      <c r="OT156" s="1024"/>
      <c r="OU156" s="1024"/>
      <c r="OV156" s="1024"/>
      <c r="OW156" s="1024"/>
      <c r="OX156" s="1024"/>
      <c r="OY156" s="1024"/>
      <c r="OZ156" s="1024"/>
      <c r="PA156" s="1024"/>
      <c r="PB156" s="1024"/>
      <c r="PC156" s="1024"/>
      <c r="PD156" s="1024"/>
      <c r="PE156" s="1024"/>
      <c r="PF156" s="1024"/>
      <c r="PG156" s="1024"/>
      <c r="PH156" s="1024"/>
      <c r="PI156" s="1024"/>
      <c r="PJ156" s="1024"/>
      <c r="PK156" s="1024"/>
      <c r="PL156" s="1024"/>
      <c r="PM156" s="1024"/>
      <c r="PN156" s="1024"/>
      <c r="PO156" s="1024"/>
      <c r="PP156" s="1024"/>
      <c r="PQ156" s="1024"/>
      <c r="PR156" s="1024"/>
      <c r="PS156" s="1024"/>
      <c r="PT156" s="1024"/>
      <c r="PU156" s="1024"/>
      <c r="PV156" s="1024"/>
      <c r="PW156" s="1024"/>
      <c r="PX156" s="1024"/>
      <c r="PY156" s="1024"/>
      <c r="PZ156" s="1024"/>
      <c r="QA156" s="1024"/>
      <c r="QB156" s="1024"/>
      <c r="QC156" s="1024"/>
      <c r="QD156" s="1024"/>
      <c r="QE156" s="1024"/>
      <c r="QF156" s="1024"/>
      <c r="QG156" s="1024"/>
      <c r="QH156" s="1024"/>
      <c r="QI156" s="1024"/>
      <c r="QJ156" s="1024"/>
      <c r="QK156" s="1024"/>
      <c r="QL156" s="1024"/>
      <c r="QM156" s="1024"/>
      <c r="QN156" s="1024"/>
      <c r="QO156" s="1024"/>
      <c r="QP156" s="1024"/>
      <c r="QQ156" s="1024"/>
      <c r="QR156" s="1024"/>
      <c r="QS156" s="1024"/>
      <c r="QT156" s="1024"/>
      <c r="QU156" s="1024"/>
      <c r="QV156" s="1024"/>
      <c r="QW156" s="1024"/>
      <c r="QX156" s="1024"/>
      <c r="QY156" s="1024"/>
      <c r="QZ156" s="1024"/>
      <c r="RA156" s="1024"/>
      <c r="RB156" s="1024"/>
      <c r="RC156" s="1024"/>
      <c r="RD156" s="1024"/>
      <c r="RE156" s="1024"/>
      <c r="RF156" s="1024"/>
      <c r="RG156" s="1024"/>
      <c r="RH156" s="1024"/>
      <c r="RI156" s="1024"/>
      <c r="RJ156" s="1024"/>
      <c r="RK156" s="1024"/>
      <c r="RL156" s="1024"/>
      <c r="RM156" s="1024"/>
      <c r="RN156" s="1024"/>
      <c r="RO156" s="1024"/>
      <c r="RP156" s="1024"/>
      <c r="RQ156" s="1024"/>
      <c r="RR156" s="1024"/>
      <c r="RS156" s="1024"/>
      <c r="RT156" s="1024"/>
      <c r="RU156" s="1024"/>
      <c r="RV156" s="1024"/>
      <c r="RW156" s="1024"/>
      <c r="RX156" s="1024"/>
      <c r="RY156" s="1024"/>
      <c r="RZ156" s="1024"/>
      <c r="SA156" s="1024"/>
      <c r="SB156" s="1024"/>
      <c r="SC156" s="1024"/>
      <c r="SD156" s="1024"/>
      <c r="SE156" s="1024"/>
      <c r="SF156" s="1024"/>
      <c r="SG156" s="1024"/>
      <c r="SH156" s="1024"/>
      <c r="SI156" s="1024"/>
      <c r="SJ156" s="1024"/>
      <c r="SK156" s="1024"/>
      <c r="SL156" s="1024"/>
      <c r="SM156" s="1024"/>
      <c r="SN156" s="1024"/>
      <c r="SO156" s="1024"/>
      <c r="SP156" s="1024"/>
      <c r="SQ156" s="1024"/>
      <c r="SR156" s="1024"/>
    </row>
    <row r="157" spans="1:512" ht="15" customHeight="1">
      <c r="A157" t="s">
        <v>3258</v>
      </c>
      <c r="B157"/>
      <c r="C157"/>
      <c r="D157"/>
      <c r="E157" t="s">
        <v>3848</v>
      </c>
      <c r="F157"/>
      <c r="G157" s="1023">
        <v>9.8948573559394433</v>
      </c>
      <c r="H157" s="1023">
        <v>6.6803389946059912</v>
      </c>
      <c r="I157" s="1023"/>
      <c r="J157" s="1023"/>
      <c r="K157" s="1023"/>
      <c r="L157" s="1023"/>
      <c r="M157" s="1023"/>
      <c r="N157" s="1023"/>
      <c r="O157" s="1023"/>
      <c r="P157" s="1023"/>
      <c r="Q157" s="1023"/>
      <c r="R157" s="1023"/>
      <c r="S157" s="1023"/>
      <c r="T157" s="1023"/>
      <c r="U157" s="1021"/>
      <c r="V157" s="1021"/>
      <c r="W157" s="1021"/>
      <c r="X157" s="1021"/>
      <c r="Y157" s="1021"/>
      <c r="Z157" s="1021"/>
      <c r="AA157" s="1021"/>
      <c r="AB157" s="1021"/>
      <c r="AC157" s="1021"/>
      <c r="AD157" s="1021"/>
      <c r="AE157" s="1021"/>
      <c r="AF157" s="1021"/>
      <c r="AG157" s="1021"/>
      <c r="AH157" s="1021"/>
      <c r="AI157" s="1021"/>
      <c r="AJ157" s="1021"/>
      <c r="AK157" s="1021"/>
      <c r="AL157" s="1021"/>
      <c r="AM157" s="1021"/>
      <c r="AN157" s="1021"/>
      <c r="AO157" s="1021"/>
      <c r="AP157" s="1021"/>
      <c r="AQ157" s="1021"/>
      <c r="AR157" s="1021"/>
      <c r="AS157" s="1021"/>
      <c r="AT157" s="1021"/>
      <c r="AU157" s="1021"/>
      <c r="AV157" s="1021"/>
      <c r="AW157" s="1021"/>
      <c r="AX157" s="1021"/>
      <c r="AY157" s="1021"/>
      <c r="AZ157" s="1021"/>
      <c r="BA157" s="1021"/>
      <c r="BB157" s="1021"/>
      <c r="BC157" s="1021"/>
      <c r="BD157" s="1021"/>
      <c r="BE157" s="1021"/>
      <c r="BF157" s="1021"/>
      <c r="BG157" s="1021"/>
      <c r="BH157" s="1021"/>
      <c r="BI157" s="1021"/>
      <c r="BJ157" s="1021"/>
      <c r="BK157" s="1021"/>
      <c r="BL157" s="1021"/>
      <c r="BM157" s="1021"/>
      <c r="BN157" s="1021"/>
      <c r="BO157" s="1021"/>
      <c r="BP157" s="1021"/>
      <c r="BQ157" s="1021"/>
      <c r="BR157" s="1021"/>
      <c r="BS157" s="1021"/>
      <c r="BT157" s="1021"/>
      <c r="BU157" s="1021"/>
      <c r="BV157" s="1021"/>
      <c r="BW157" s="1021"/>
      <c r="BX157" s="1021"/>
      <c r="BY157" s="1021"/>
      <c r="BZ157" s="1021"/>
      <c r="CA157" s="1021"/>
      <c r="CB157" s="1021"/>
      <c r="CC157" s="1021"/>
      <c r="CD157" s="1021"/>
      <c r="CE157" s="1021"/>
      <c r="CF157" s="1021"/>
      <c r="CG157" s="1021"/>
      <c r="CH157" s="1021"/>
      <c r="CI157" s="1021"/>
      <c r="CJ157" s="1021"/>
      <c r="CK157" s="1021"/>
      <c r="CL157" s="1021"/>
      <c r="CM157" s="1021"/>
      <c r="CN157" s="1021"/>
      <c r="CO157" s="1021"/>
      <c r="CP157" s="1021"/>
      <c r="CQ157" s="1021"/>
      <c r="CR157" s="1021"/>
      <c r="CS157" s="1021"/>
      <c r="CT157" s="1021"/>
      <c r="CU157" s="1021"/>
      <c r="CV157" s="1021"/>
      <c r="CW157" s="1021"/>
      <c r="CX157" s="1021"/>
      <c r="CY157" s="1021"/>
      <c r="CZ157" s="1021"/>
      <c r="DA157" s="1021"/>
      <c r="DB157" s="1021"/>
      <c r="DC157" s="1021"/>
      <c r="DD157" s="1021"/>
      <c r="DE157" s="1021"/>
      <c r="DF157" s="1021"/>
      <c r="DG157" s="1021"/>
      <c r="DH157" s="1021"/>
      <c r="DI157" s="1021"/>
      <c r="DJ157" s="1021"/>
      <c r="DK157" s="1021"/>
      <c r="DL157" s="1021"/>
      <c r="DM157" s="1021"/>
      <c r="DN157" s="1021"/>
      <c r="DO157" s="1021"/>
      <c r="DP157" s="1021"/>
      <c r="DQ157" s="1021"/>
      <c r="DR157" s="1021"/>
      <c r="DS157" s="1021"/>
      <c r="DT157" s="1021"/>
      <c r="DU157" s="1021"/>
      <c r="DV157" s="1021"/>
      <c r="DW157" s="1021"/>
      <c r="DX157" s="1021"/>
      <c r="DY157" s="1021"/>
      <c r="DZ157" s="1021"/>
      <c r="EA157" s="1021"/>
      <c r="EB157" s="1021"/>
      <c r="EC157" s="1021"/>
      <c r="ED157" s="1021"/>
      <c r="EE157" s="1021"/>
      <c r="EF157" s="1021"/>
      <c r="EG157" s="1021"/>
      <c r="EH157" s="1021"/>
      <c r="EI157" s="1021"/>
      <c r="EJ157" s="1021"/>
      <c r="EK157" s="1021"/>
      <c r="EL157" s="1021"/>
      <c r="EM157" s="1021"/>
      <c r="EN157" s="1021"/>
      <c r="EO157" s="1021"/>
      <c r="EP157" s="1021"/>
      <c r="EQ157" s="1021"/>
      <c r="ER157" s="1021"/>
      <c r="ES157" s="1021"/>
      <c r="ET157" s="1021"/>
      <c r="EU157" s="1021"/>
      <c r="EV157" s="1021"/>
      <c r="EW157" s="1021"/>
      <c r="EX157" s="1021"/>
      <c r="EY157" s="1021"/>
      <c r="EZ157" s="1021"/>
      <c r="FA157" s="1021"/>
      <c r="FB157" s="1021"/>
      <c r="FC157" s="1021"/>
      <c r="FD157" s="1021"/>
      <c r="FE157" s="1021"/>
      <c r="FF157" s="1021"/>
      <c r="FG157" s="1021"/>
      <c r="FH157" s="1021"/>
      <c r="FI157" s="1021"/>
      <c r="FJ157" s="1021"/>
      <c r="FK157" s="1021"/>
      <c r="FL157" s="1021"/>
      <c r="FM157" s="1021"/>
      <c r="FN157" s="1021"/>
      <c r="FO157" s="1021"/>
      <c r="FP157" s="1021"/>
      <c r="FQ157" s="1021"/>
      <c r="FR157" s="1021"/>
      <c r="FS157" s="1021"/>
      <c r="FT157" s="1021"/>
      <c r="FU157" s="1021"/>
      <c r="FV157" s="1021"/>
      <c r="FW157" s="1021"/>
      <c r="FX157" s="1021"/>
      <c r="FY157" s="1021"/>
      <c r="FZ157" s="1021"/>
      <c r="GA157" s="1021"/>
      <c r="GB157" s="1021"/>
      <c r="GC157" s="1021"/>
      <c r="GD157" s="1021"/>
      <c r="GE157" s="1021"/>
      <c r="GF157" s="1021"/>
      <c r="GG157" s="1021"/>
      <c r="GH157" s="1021"/>
      <c r="GI157" s="1021"/>
      <c r="GJ157" s="1021"/>
      <c r="GK157" s="1021"/>
      <c r="GL157" s="1021"/>
      <c r="GM157" s="1021"/>
      <c r="GN157" s="1021"/>
      <c r="GO157" s="1021"/>
      <c r="GP157" s="1021"/>
      <c r="GQ157" s="1021"/>
      <c r="GR157" s="1021"/>
      <c r="GS157" s="1021"/>
      <c r="GT157" s="1021"/>
      <c r="GU157" s="1021"/>
      <c r="GV157" s="1021"/>
      <c r="GW157" s="1021"/>
      <c r="GX157" s="1021"/>
      <c r="GY157" s="1021"/>
      <c r="GZ157" s="1021"/>
      <c r="HA157" s="1021"/>
      <c r="HB157" s="1021"/>
      <c r="HC157" s="1021"/>
      <c r="HD157" s="1021"/>
      <c r="HE157" s="1021"/>
      <c r="HF157" s="1021"/>
      <c r="HG157" s="1021"/>
      <c r="HH157" s="1021"/>
      <c r="HI157" s="1021"/>
      <c r="HJ157" s="1021"/>
      <c r="HK157" s="1021"/>
      <c r="HL157" s="1021"/>
      <c r="HM157" s="1021"/>
      <c r="HN157" s="1021"/>
      <c r="HO157" s="1021"/>
      <c r="HP157" s="1021"/>
      <c r="HQ157" s="1021"/>
      <c r="HR157" s="1021"/>
      <c r="HS157" s="1021"/>
      <c r="HT157" s="1021"/>
      <c r="HU157" s="1021"/>
      <c r="HV157" s="1021"/>
      <c r="HW157" s="1021"/>
      <c r="HX157" s="1021"/>
      <c r="HY157" s="1021"/>
      <c r="HZ157" s="1021"/>
      <c r="IA157" s="1021"/>
      <c r="IB157" s="1021"/>
      <c r="IC157" s="1021"/>
      <c r="ID157" s="1021"/>
      <c r="IE157" s="1021"/>
      <c r="IF157" s="1021"/>
      <c r="IG157" s="1021"/>
      <c r="IH157" s="1021"/>
      <c r="II157" s="1021"/>
      <c r="IJ157" s="1021"/>
      <c r="IK157" s="1021"/>
      <c r="IL157" s="1021"/>
      <c r="IM157" s="1021"/>
      <c r="IN157" s="1021"/>
      <c r="IO157" s="1021"/>
      <c r="IP157" s="1021"/>
      <c r="IQ157" s="1021"/>
      <c r="IR157" s="1021"/>
      <c r="IS157" s="1021"/>
      <c r="IT157" s="1021"/>
      <c r="IU157" s="1021"/>
      <c r="IV157" s="1021"/>
      <c r="IW157" s="1021"/>
      <c r="IX157" s="1021"/>
      <c r="IY157" s="1021"/>
      <c r="IZ157" s="1021"/>
      <c r="JA157" s="1021"/>
      <c r="JB157" s="1021"/>
      <c r="JC157" s="1021"/>
      <c r="JD157" s="1021"/>
      <c r="JE157" s="1021"/>
      <c r="JF157" s="1021"/>
      <c r="JG157" s="1021"/>
      <c r="JH157" s="1021"/>
      <c r="JI157" s="1021"/>
      <c r="JJ157" s="1021"/>
      <c r="JK157" s="1021"/>
      <c r="JL157" s="1021"/>
      <c r="JM157" s="1021"/>
      <c r="JN157" s="1021"/>
      <c r="JO157" s="1021"/>
      <c r="JP157" s="1021"/>
      <c r="JQ157" s="1021"/>
      <c r="JR157" s="1021"/>
      <c r="JS157" s="1021"/>
      <c r="JT157" s="1021"/>
      <c r="JU157" s="1021"/>
      <c r="JV157" s="1021"/>
      <c r="JW157" s="1021"/>
      <c r="JX157" s="1021"/>
      <c r="JY157" s="1021"/>
      <c r="JZ157" s="1021"/>
      <c r="KA157" s="1021"/>
      <c r="KB157" s="1021"/>
      <c r="KC157" s="1021"/>
      <c r="KD157" s="1021"/>
      <c r="KE157" s="1021"/>
      <c r="KF157" s="1021"/>
      <c r="KG157" s="1021"/>
      <c r="KH157" s="1021"/>
      <c r="KI157" s="1021"/>
      <c r="KJ157" s="1021"/>
      <c r="KK157" s="1021"/>
      <c r="KL157" s="1021"/>
      <c r="KM157" s="1021"/>
      <c r="KN157" s="1021"/>
      <c r="KO157" s="1021"/>
      <c r="KP157" s="1021"/>
      <c r="KQ157" s="1021"/>
      <c r="KR157" s="1021"/>
      <c r="KS157" s="1021"/>
      <c r="KT157" s="1021"/>
      <c r="KU157" s="1021"/>
      <c r="KV157" s="1021"/>
      <c r="KW157" s="1021"/>
      <c r="KX157" s="1021"/>
      <c r="KY157" s="1021"/>
      <c r="KZ157" s="1021"/>
      <c r="LA157" s="1021"/>
      <c r="LB157" s="1021"/>
      <c r="LC157" s="1021"/>
      <c r="LD157" s="1021"/>
      <c r="LE157" s="1021"/>
      <c r="LF157" s="1021"/>
      <c r="LG157" s="1021"/>
      <c r="LH157" s="1021"/>
      <c r="LI157" s="1021"/>
      <c r="LJ157" s="1021"/>
      <c r="LK157" s="1021"/>
      <c r="LL157" s="1021"/>
      <c r="LM157" s="1021"/>
      <c r="LN157" s="1021"/>
      <c r="LO157" s="1021"/>
      <c r="LP157" s="1021"/>
      <c r="LQ157" s="1021"/>
      <c r="LR157" s="1021"/>
      <c r="LS157" s="1021"/>
      <c r="LT157" s="1021"/>
      <c r="LU157" s="1021"/>
      <c r="LV157" s="1021"/>
      <c r="LW157" s="1021"/>
      <c r="LX157" s="1021"/>
      <c r="LY157" s="1021"/>
      <c r="LZ157" s="1021"/>
      <c r="MA157" s="1021"/>
      <c r="MB157" s="1021"/>
      <c r="MC157" s="1021"/>
      <c r="MD157" s="1021"/>
      <c r="ME157" s="1021"/>
      <c r="MF157" s="1021"/>
      <c r="MG157" s="1021"/>
      <c r="MH157" s="1021"/>
      <c r="MI157" s="1021"/>
      <c r="MJ157" s="1021"/>
      <c r="MK157" s="1021"/>
      <c r="ML157" s="1021"/>
      <c r="MM157" s="1021"/>
      <c r="MN157" s="1021"/>
      <c r="MO157" s="1021"/>
      <c r="MP157" s="1021"/>
      <c r="MQ157" s="1021"/>
      <c r="MR157" s="1021"/>
      <c r="MS157" s="1021"/>
      <c r="MT157" s="1021"/>
      <c r="MU157" s="1021"/>
      <c r="MV157" s="1021"/>
      <c r="MW157" s="1021"/>
      <c r="MX157" s="1021"/>
      <c r="MY157" s="1021"/>
      <c r="MZ157" s="1021"/>
      <c r="NA157" s="1021"/>
      <c r="NB157" s="1021"/>
      <c r="NC157" s="1021"/>
      <c r="ND157" s="1021"/>
      <c r="NE157" s="1021"/>
      <c r="NF157" s="1021"/>
      <c r="NG157" s="1021"/>
      <c r="NH157" s="1021"/>
      <c r="NI157" s="1021"/>
      <c r="NJ157" s="1021"/>
      <c r="NK157" s="1021"/>
      <c r="NL157" s="1021"/>
      <c r="NM157" s="1021"/>
      <c r="NN157" s="1021"/>
      <c r="NO157" s="1021"/>
      <c r="NP157" s="1021"/>
      <c r="NQ157" s="1021"/>
      <c r="NR157" s="1021"/>
      <c r="NS157" s="1021"/>
      <c r="NT157" s="1021"/>
      <c r="NU157" s="1021"/>
      <c r="NV157" s="1021"/>
      <c r="NW157" s="1021"/>
      <c r="NX157" s="1021"/>
      <c r="NY157" s="1021"/>
      <c r="NZ157" s="1021"/>
      <c r="OA157" s="1021"/>
      <c r="OB157" s="1021"/>
      <c r="OC157" s="1021"/>
      <c r="OD157" s="1021"/>
      <c r="OE157" s="1021"/>
      <c r="OF157" s="1021"/>
      <c r="OG157" s="1021"/>
      <c r="OH157" s="1021"/>
      <c r="OI157" s="1021"/>
      <c r="OJ157" s="1021"/>
      <c r="OK157" s="1021"/>
      <c r="OL157" s="1021"/>
      <c r="OM157" s="1021"/>
      <c r="ON157" s="1021"/>
      <c r="OO157" s="1021"/>
      <c r="OP157" s="1021"/>
      <c r="OQ157" s="1021"/>
      <c r="OR157" s="1021"/>
      <c r="OS157" s="1021"/>
      <c r="OT157" s="1021"/>
      <c r="OU157" s="1021"/>
      <c r="OV157" s="1021"/>
      <c r="OW157" s="1021"/>
      <c r="OX157" s="1021"/>
      <c r="OY157" s="1021"/>
      <c r="OZ157" s="1021"/>
      <c r="PA157" s="1021"/>
      <c r="PB157" s="1021"/>
      <c r="PC157" s="1021"/>
      <c r="PD157" s="1021"/>
      <c r="PE157" s="1021"/>
      <c r="PF157" s="1021"/>
      <c r="PG157" s="1021"/>
      <c r="PH157" s="1021"/>
      <c r="PI157" s="1021"/>
      <c r="PJ157" s="1021"/>
      <c r="PK157" s="1021"/>
      <c r="PL157" s="1021"/>
      <c r="PM157" s="1021"/>
      <c r="PN157" s="1021"/>
      <c r="PO157" s="1021"/>
      <c r="PP157" s="1021"/>
      <c r="PQ157" s="1021"/>
      <c r="PR157" s="1021"/>
      <c r="PS157" s="1021"/>
      <c r="PT157" s="1021"/>
      <c r="PU157" s="1021"/>
      <c r="PV157" s="1021"/>
      <c r="PW157" s="1021"/>
      <c r="PX157" s="1021"/>
      <c r="PY157" s="1021"/>
      <c r="PZ157" s="1021"/>
      <c r="QA157" s="1021"/>
      <c r="QB157" s="1021"/>
      <c r="QC157" s="1021"/>
      <c r="QD157" s="1021"/>
      <c r="QE157" s="1021"/>
      <c r="QF157" s="1021"/>
      <c r="QG157" s="1021"/>
      <c r="QH157" s="1021"/>
      <c r="QI157" s="1021"/>
      <c r="QJ157" s="1021"/>
      <c r="QK157" s="1021"/>
      <c r="QL157" s="1021"/>
      <c r="QM157" s="1021"/>
      <c r="QN157" s="1021"/>
      <c r="QO157" s="1021"/>
      <c r="QP157" s="1021"/>
      <c r="QQ157" s="1021"/>
      <c r="QR157" s="1021"/>
      <c r="QS157" s="1021"/>
      <c r="QT157" s="1021"/>
      <c r="QU157" s="1021"/>
      <c r="QV157" s="1021"/>
      <c r="QW157" s="1021"/>
      <c r="QX157" s="1021"/>
      <c r="QY157" s="1021"/>
      <c r="QZ157" s="1021"/>
      <c r="RA157" s="1021"/>
      <c r="RB157" s="1021"/>
      <c r="RC157" s="1021"/>
      <c r="RD157" s="1021"/>
      <c r="RE157" s="1021"/>
      <c r="RF157" s="1021"/>
      <c r="RG157" s="1021"/>
      <c r="RH157" s="1021"/>
      <c r="RI157" s="1021"/>
      <c r="RJ157" s="1021"/>
      <c r="RK157" s="1021"/>
      <c r="RL157" s="1021"/>
      <c r="RM157" s="1021"/>
      <c r="RN157" s="1021"/>
      <c r="RO157" s="1021"/>
      <c r="RP157" s="1021"/>
      <c r="RQ157" s="1021"/>
      <c r="RR157" s="1021"/>
      <c r="RS157" s="1021"/>
      <c r="RT157" s="1021"/>
      <c r="RU157" s="1021"/>
      <c r="RV157" s="1021"/>
      <c r="RW157" s="1021"/>
      <c r="RX157" s="1021"/>
      <c r="RY157" s="1021"/>
      <c r="RZ157" s="1021"/>
      <c r="SA157" s="1021"/>
      <c r="SB157" s="1021"/>
      <c r="SC157" s="1021"/>
      <c r="SD157" s="1021"/>
      <c r="SE157" s="1021"/>
      <c r="SF157" s="1021"/>
      <c r="SG157" s="1021"/>
      <c r="SH157" s="1021"/>
      <c r="SI157" s="1021"/>
      <c r="SJ157" s="1021"/>
      <c r="SK157" s="1021"/>
      <c r="SL157" s="1021"/>
      <c r="SM157" s="1021"/>
      <c r="SN157" s="1021"/>
      <c r="SO157" s="1021"/>
      <c r="SP157" s="1021"/>
      <c r="SQ157" s="1021"/>
      <c r="SR157" s="1021"/>
    </row>
    <row r="158" spans="1:512" s="1011" customFormat="1" ht="15" customHeight="1">
      <c r="A158"/>
      <c r="G158" s="1024"/>
      <c r="H158" s="1024"/>
      <c r="I158" s="1024"/>
      <c r="J158" s="1024"/>
      <c r="K158" s="1024"/>
      <c r="L158" s="1024"/>
      <c r="M158" s="1024"/>
      <c r="N158" s="1024"/>
      <c r="O158" s="1024"/>
      <c r="P158" s="1024"/>
      <c r="Q158" s="1024"/>
      <c r="R158" s="1024"/>
      <c r="S158" s="1024"/>
      <c r="T158" s="1024"/>
      <c r="U158" s="1024"/>
      <c r="V158" s="1024"/>
      <c r="W158" s="1024"/>
      <c r="X158" s="1024"/>
      <c r="Y158" s="1024"/>
      <c r="Z158" s="1024"/>
      <c r="AA158" s="1024"/>
      <c r="AB158" s="1024"/>
      <c r="AC158" s="1024"/>
      <c r="AD158" s="1024"/>
      <c r="AE158" s="1024"/>
      <c r="AF158" s="1024"/>
      <c r="AG158" s="1024"/>
      <c r="AH158" s="1024"/>
      <c r="AI158" s="1024"/>
      <c r="AJ158" s="1024"/>
      <c r="AK158" s="1024"/>
      <c r="AL158" s="1024"/>
      <c r="AM158" s="1024"/>
      <c r="AN158" s="1024"/>
      <c r="AO158" s="1024"/>
      <c r="AP158" s="1024"/>
      <c r="AQ158" s="1024"/>
      <c r="AR158" s="1024"/>
      <c r="AS158" s="1024"/>
      <c r="AT158" s="1024"/>
      <c r="AU158" s="1024"/>
      <c r="AV158" s="1024"/>
      <c r="AW158" s="1024"/>
      <c r="AX158" s="1024"/>
      <c r="AY158" s="1024"/>
      <c r="AZ158" s="1024"/>
      <c r="BA158" s="1024"/>
      <c r="BB158" s="1024"/>
      <c r="BC158" s="1024"/>
      <c r="BD158" s="1024"/>
      <c r="BE158" s="1024"/>
      <c r="BF158" s="1024"/>
      <c r="BG158" s="1024"/>
      <c r="BH158" s="1024"/>
      <c r="BI158" s="1024"/>
      <c r="BJ158" s="1024"/>
      <c r="BK158" s="1024"/>
      <c r="BL158" s="1024"/>
      <c r="BM158" s="1024"/>
      <c r="BN158" s="1024"/>
      <c r="BO158" s="1024"/>
      <c r="BP158" s="1024"/>
      <c r="BQ158" s="1024"/>
      <c r="BR158" s="1024"/>
      <c r="BS158" s="1024"/>
      <c r="BT158" s="1024"/>
      <c r="BU158" s="1024"/>
      <c r="BV158" s="1024"/>
      <c r="BW158" s="1024"/>
      <c r="BX158" s="1024"/>
      <c r="BY158" s="1024"/>
      <c r="BZ158" s="1024"/>
      <c r="CA158" s="1024"/>
      <c r="CB158" s="1024"/>
      <c r="CC158" s="1024"/>
      <c r="CD158" s="1024"/>
      <c r="CE158" s="1024"/>
      <c r="CF158" s="1024"/>
      <c r="CG158" s="1024"/>
      <c r="CH158" s="1024"/>
      <c r="CI158" s="1024"/>
      <c r="CJ158" s="1024"/>
      <c r="CK158" s="1024"/>
      <c r="CL158" s="1024"/>
      <c r="CM158" s="1024"/>
      <c r="CN158" s="1024"/>
      <c r="CO158" s="1024"/>
      <c r="CP158" s="1024"/>
      <c r="CQ158" s="1024"/>
      <c r="CR158" s="1024"/>
      <c r="CS158" s="1024"/>
      <c r="CT158" s="1024"/>
      <c r="CU158" s="1024"/>
      <c r="CV158" s="1024"/>
      <c r="CW158" s="1024"/>
      <c r="CX158" s="1024"/>
      <c r="CY158" s="1024"/>
      <c r="CZ158" s="1024"/>
      <c r="DA158" s="1024"/>
      <c r="DB158" s="1024"/>
      <c r="DC158" s="1024"/>
      <c r="DD158" s="1024"/>
      <c r="DE158" s="1024"/>
      <c r="DF158" s="1024"/>
      <c r="DG158" s="1024"/>
      <c r="DH158" s="1024"/>
      <c r="DI158" s="1024"/>
      <c r="DJ158" s="1024"/>
      <c r="DK158" s="1024"/>
      <c r="DL158" s="1024"/>
      <c r="DM158" s="1024"/>
      <c r="DN158" s="1024"/>
      <c r="DO158" s="1024"/>
      <c r="DP158" s="1024"/>
      <c r="DQ158" s="1024"/>
      <c r="DR158" s="1024"/>
      <c r="DS158" s="1024"/>
      <c r="DT158" s="1024"/>
      <c r="DU158" s="1024"/>
      <c r="DV158" s="1024"/>
      <c r="DW158" s="1024"/>
      <c r="DX158" s="1024"/>
      <c r="DY158" s="1024"/>
      <c r="DZ158" s="1024"/>
      <c r="EA158" s="1024"/>
      <c r="EB158" s="1024"/>
      <c r="EC158" s="1024"/>
      <c r="ED158" s="1024"/>
      <c r="EE158" s="1024"/>
      <c r="EF158" s="1024"/>
      <c r="EG158" s="1024"/>
      <c r="EH158" s="1024"/>
      <c r="EI158" s="1024"/>
      <c r="EJ158" s="1024"/>
      <c r="EK158" s="1024"/>
      <c r="EL158" s="1024"/>
      <c r="EM158" s="1024"/>
      <c r="EN158" s="1024"/>
      <c r="EO158" s="1024"/>
      <c r="EP158" s="1024"/>
      <c r="EQ158" s="1024"/>
      <c r="ER158" s="1024"/>
      <c r="ES158" s="1024"/>
      <c r="ET158" s="1024"/>
      <c r="EU158" s="1024"/>
      <c r="EV158" s="1024"/>
      <c r="EW158" s="1024"/>
      <c r="EX158" s="1024"/>
      <c r="EY158" s="1024"/>
      <c r="EZ158" s="1024"/>
      <c r="FA158" s="1024"/>
      <c r="FB158" s="1024"/>
      <c r="FC158" s="1024"/>
      <c r="FD158" s="1024"/>
      <c r="FE158" s="1024"/>
      <c r="FF158" s="1024"/>
      <c r="FG158" s="1024"/>
      <c r="FH158" s="1024"/>
      <c r="FI158" s="1024"/>
      <c r="FJ158" s="1024"/>
      <c r="FK158" s="1024"/>
      <c r="FL158" s="1024"/>
      <c r="FM158" s="1024"/>
      <c r="FN158" s="1024"/>
      <c r="FO158" s="1024"/>
      <c r="FP158" s="1024"/>
      <c r="FQ158" s="1024"/>
      <c r="FR158" s="1024"/>
      <c r="FS158" s="1024"/>
      <c r="FT158" s="1024"/>
      <c r="FU158" s="1024"/>
      <c r="FV158" s="1024"/>
      <c r="FW158" s="1024"/>
      <c r="FX158" s="1024"/>
      <c r="FY158" s="1024"/>
      <c r="FZ158" s="1024"/>
      <c r="GA158" s="1024"/>
      <c r="GB158" s="1024"/>
      <c r="GC158" s="1024"/>
      <c r="GD158" s="1024"/>
      <c r="GE158" s="1024"/>
      <c r="GF158" s="1024"/>
      <c r="GG158" s="1024"/>
      <c r="GH158" s="1024"/>
      <c r="GI158" s="1024"/>
      <c r="GJ158" s="1024"/>
      <c r="GK158" s="1024"/>
      <c r="GL158" s="1024"/>
      <c r="GM158" s="1024"/>
      <c r="GN158" s="1024"/>
      <c r="GO158" s="1024"/>
      <c r="GP158" s="1024"/>
      <c r="GQ158" s="1024"/>
      <c r="GR158" s="1024"/>
      <c r="GS158" s="1024"/>
      <c r="GT158" s="1024"/>
      <c r="GU158" s="1024"/>
      <c r="GV158" s="1024"/>
      <c r="GW158" s="1024"/>
      <c r="GX158" s="1024"/>
      <c r="GY158" s="1024"/>
      <c r="GZ158" s="1024"/>
      <c r="HA158" s="1024"/>
      <c r="HB158" s="1024"/>
      <c r="HC158" s="1024"/>
      <c r="HD158" s="1024"/>
      <c r="HE158" s="1024"/>
      <c r="HF158" s="1024"/>
      <c r="HG158" s="1024"/>
      <c r="HH158" s="1024"/>
      <c r="HI158" s="1024"/>
      <c r="HJ158" s="1024"/>
      <c r="HK158" s="1024"/>
      <c r="HL158" s="1024"/>
      <c r="HM158" s="1024"/>
      <c r="HN158" s="1024"/>
      <c r="HO158" s="1024"/>
      <c r="HP158" s="1024"/>
      <c r="HQ158" s="1024"/>
      <c r="HR158" s="1024"/>
      <c r="HS158" s="1024"/>
      <c r="HT158" s="1024"/>
      <c r="HU158" s="1024"/>
      <c r="HV158" s="1024"/>
      <c r="HW158" s="1024"/>
      <c r="HX158" s="1024"/>
      <c r="HY158" s="1024"/>
      <c r="HZ158" s="1024"/>
      <c r="IA158" s="1024"/>
      <c r="IB158" s="1024"/>
      <c r="IC158" s="1024"/>
      <c r="ID158" s="1024"/>
      <c r="IE158" s="1024"/>
      <c r="IF158" s="1024"/>
      <c r="IG158" s="1024"/>
      <c r="IH158" s="1024"/>
      <c r="II158" s="1024"/>
      <c r="IJ158" s="1024"/>
      <c r="IK158" s="1024"/>
      <c r="IL158" s="1024"/>
      <c r="IM158" s="1024"/>
      <c r="IN158" s="1024"/>
      <c r="IO158" s="1024"/>
      <c r="IP158" s="1024"/>
      <c r="IQ158" s="1024"/>
      <c r="IR158" s="1024"/>
      <c r="IS158" s="1024"/>
      <c r="IT158" s="1024"/>
      <c r="IU158" s="1024"/>
      <c r="IV158" s="1024"/>
      <c r="IW158" s="1024"/>
      <c r="IX158" s="1024"/>
      <c r="IY158" s="1024"/>
      <c r="IZ158" s="1024"/>
      <c r="JA158" s="1024"/>
      <c r="JB158" s="1024"/>
      <c r="JC158" s="1024"/>
      <c r="JD158" s="1024"/>
      <c r="JE158" s="1024"/>
      <c r="JF158" s="1024"/>
      <c r="JG158" s="1024"/>
      <c r="JH158" s="1024"/>
      <c r="JI158" s="1024"/>
      <c r="JJ158" s="1024"/>
      <c r="JK158" s="1024"/>
      <c r="JL158" s="1024"/>
      <c r="JM158" s="1024"/>
      <c r="JN158" s="1024"/>
      <c r="JO158" s="1024"/>
      <c r="JP158" s="1024"/>
      <c r="JQ158" s="1024"/>
      <c r="JR158" s="1024"/>
      <c r="JS158" s="1024"/>
      <c r="JT158" s="1024"/>
      <c r="JU158" s="1024"/>
      <c r="JV158" s="1024"/>
      <c r="JW158" s="1024"/>
      <c r="JX158" s="1024"/>
      <c r="JY158" s="1024"/>
      <c r="JZ158" s="1024"/>
      <c r="KA158" s="1024"/>
      <c r="KB158" s="1024"/>
      <c r="KC158" s="1024"/>
      <c r="KD158" s="1024"/>
      <c r="KE158" s="1024"/>
      <c r="KF158" s="1024"/>
      <c r="KG158" s="1024"/>
      <c r="KH158" s="1024"/>
      <c r="KI158" s="1024"/>
      <c r="KJ158" s="1024"/>
      <c r="KK158" s="1024"/>
      <c r="KL158" s="1024"/>
      <c r="KM158" s="1024"/>
      <c r="KN158" s="1024"/>
      <c r="KO158" s="1024"/>
      <c r="KP158" s="1024"/>
      <c r="KQ158" s="1024"/>
      <c r="KR158" s="1024"/>
      <c r="KS158" s="1024"/>
      <c r="KT158" s="1024"/>
      <c r="KU158" s="1024"/>
      <c r="KV158" s="1024"/>
      <c r="KW158" s="1024"/>
      <c r="KX158" s="1024"/>
      <c r="KY158" s="1024"/>
      <c r="KZ158" s="1024"/>
      <c r="LA158" s="1024"/>
      <c r="LB158" s="1024"/>
      <c r="LC158" s="1024"/>
      <c r="LD158" s="1024"/>
      <c r="LE158" s="1024"/>
      <c r="LF158" s="1024"/>
      <c r="LG158" s="1024"/>
      <c r="LH158" s="1024"/>
      <c r="LI158" s="1024"/>
      <c r="LJ158" s="1024"/>
      <c r="LK158" s="1024"/>
      <c r="LL158" s="1024"/>
      <c r="LM158" s="1024"/>
      <c r="LN158" s="1024"/>
      <c r="LO158" s="1024"/>
      <c r="LP158" s="1024"/>
      <c r="LQ158" s="1024"/>
      <c r="LR158" s="1024"/>
      <c r="LS158" s="1024"/>
      <c r="LT158" s="1024"/>
      <c r="LU158" s="1024"/>
      <c r="LV158" s="1024"/>
      <c r="LW158" s="1024"/>
      <c r="LX158" s="1024"/>
      <c r="LY158" s="1024"/>
      <c r="LZ158" s="1024"/>
      <c r="MA158" s="1024"/>
      <c r="MB158" s="1024"/>
      <c r="MC158" s="1024"/>
      <c r="MD158" s="1024"/>
      <c r="ME158" s="1024"/>
      <c r="MF158" s="1024"/>
      <c r="MG158" s="1024"/>
      <c r="MH158" s="1024"/>
      <c r="MI158" s="1024"/>
      <c r="MJ158" s="1024"/>
      <c r="MK158" s="1024"/>
      <c r="ML158" s="1024"/>
      <c r="MM158" s="1024"/>
      <c r="MN158" s="1024"/>
      <c r="MO158" s="1024"/>
      <c r="MP158" s="1024"/>
      <c r="MQ158" s="1024"/>
      <c r="MR158" s="1024"/>
      <c r="MS158" s="1024"/>
      <c r="MT158" s="1024"/>
      <c r="MU158" s="1024"/>
      <c r="MV158" s="1024"/>
      <c r="MW158" s="1024"/>
      <c r="MX158" s="1024"/>
      <c r="MY158" s="1024"/>
      <c r="MZ158" s="1024"/>
      <c r="NA158" s="1024"/>
      <c r="NB158" s="1024"/>
      <c r="NC158" s="1024"/>
      <c r="ND158" s="1024"/>
      <c r="NE158" s="1024"/>
      <c r="NF158" s="1024"/>
      <c r="NG158" s="1024"/>
      <c r="NH158" s="1024"/>
      <c r="NI158" s="1024"/>
      <c r="NJ158" s="1024"/>
      <c r="NK158" s="1024"/>
      <c r="NL158" s="1024"/>
      <c r="NM158" s="1024"/>
      <c r="NN158" s="1024"/>
      <c r="NO158" s="1024"/>
      <c r="NP158" s="1024"/>
      <c r="NQ158" s="1024"/>
      <c r="NR158" s="1024"/>
      <c r="NS158" s="1024"/>
      <c r="NT158" s="1024"/>
      <c r="NU158" s="1024"/>
      <c r="NV158" s="1024"/>
      <c r="NW158" s="1024"/>
      <c r="NX158" s="1024"/>
      <c r="NY158" s="1024"/>
      <c r="NZ158" s="1024"/>
      <c r="OA158" s="1024"/>
      <c r="OB158" s="1024"/>
      <c r="OC158" s="1024"/>
      <c r="OD158" s="1024"/>
      <c r="OE158" s="1024"/>
      <c r="OF158" s="1024"/>
      <c r="OG158" s="1024"/>
      <c r="OH158" s="1024"/>
      <c r="OI158" s="1024"/>
      <c r="OJ158" s="1024"/>
      <c r="OK158" s="1024"/>
      <c r="OL158" s="1024"/>
      <c r="OM158" s="1024"/>
      <c r="ON158" s="1024"/>
      <c r="OO158" s="1024"/>
      <c r="OP158" s="1024"/>
      <c r="OQ158" s="1024"/>
      <c r="OR158" s="1024"/>
      <c r="OS158" s="1024"/>
      <c r="OT158" s="1024"/>
      <c r="OU158" s="1024"/>
      <c r="OV158" s="1024"/>
      <c r="OW158" s="1024"/>
      <c r="OX158" s="1024"/>
      <c r="OY158" s="1024"/>
      <c r="OZ158" s="1024"/>
      <c r="PA158" s="1024"/>
      <c r="PB158" s="1024"/>
      <c r="PC158" s="1024"/>
      <c r="PD158" s="1024"/>
      <c r="PE158" s="1024"/>
      <c r="PF158" s="1024"/>
      <c r="PG158" s="1024"/>
      <c r="PH158" s="1024"/>
      <c r="PI158" s="1024"/>
      <c r="PJ158" s="1024"/>
      <c r="PK158" s="1024"/>
      <c r="PL158" s="1024"/>
      <c r="PM158" s="1024"/>
      <c r="PN158" s="1024"/>
      <c r="PO158" s="1024"/>
      <c r="PP158" s="1024"/>
      <c r="PQ158" s="1024"/>
      <c r="PR158" s="1024"/>
      <c r="PS158" s="1024"/>
      <c r="PT158" s="1024"/>
      <c r="PU158" s="1024"/>
      <c r="PV158" s="1024"/>
      <c r="PW158" s="1024"/>
      <c r="PX158" s="1024"/>
      <c r="PY158" s="1024"/>
      <c r="PZ158" s="1024"/>
      <c r="QA158" s="1024"/>
      <c r="QB158" s="1024"/>
      <c r="QC158" s="1024"/>
      <c r="QD158" s="1024"/>
      <c r="QE158" s="1024"/>
      <c r="QF158" s="1024"/>
      <c r="QG158" s="1024"/>
      <c r="QH158" s="1024"/>
      <c r="QI158" s="1024"/>
      <c r="QJ158" s="1024"/>
      <c r="QK158" s="1024"/>
      <c r="QL158" s="1024"/>
      <c r="QM158" s="1024"/>
      <c r="QN158" s="1024"/>
      <c r="QO158" s="1024"/>
      <c r="QP158" s="1024"/>
      <c r="QQ158" s="1024"/>
      <c r="QR158" s="1024"/>
      <c r="QS158" s="1024"/>
      <c r="QT158" s="1024"/>
      <c r="QU158" s="1024"/>
      <c r="QV158" s="1024"/>
      <c r="QW158" s="1024"/>
      <c r="QX158" s="1024"/>
      <c r="QY158" s="1024"/>
      <c r="QZ158" s="1024"/>
      <c r="RA158" s="1024"/>
      <c r="RB158" s="1024"/>
      <c r="RC158" s="1024"/>
      <c r="RD158" s="1024"/>
      <c r="RE158" s="1024"/>
      <c r="RF158" s="1024"/>
      <c r="RG158" s="1024"/>
      <c r="RH158" s="1024"/>
      <c r="RI158" s="1024"/>
      <c r="RJ158" s="1024"/>
      <c r="RK158" s="1024"/>
      <c r="RL158" s="1024"/>
      <c r="RM158" s="1024"/>
      <c r="RN158" s="1024"/>
      <c r="RO158" s="1024"/>
      <c r="RP158" s="1024"/>
      <c r="RQ158" s="1024"/>
      <c r="RR158" s="1024"/>
      <c r="RS158" s="1024"/>
      <c r="RT158" s="1024"/>
      <c r="RU158" s="1024"/>
      <c r="RV158" s="1024"/>
      <c r="RW158" s="1024"/>
      <c r="RX158" s="1024"/>
      <c r="RY158" s="1024"/>
      <c r="RZ158" s="1024"/>
      <c r="SA158" s="1024"/>
      <c r="SB158" s="1024"/>
      <c r="SC158" s="1024"/>
      <c r="SD158" s="1024"/>
      <c r="SE158" s="1024"/>
      <c r="SF158" s="1024"/>
      <c r="SG158" s="1024"/>
      <c r="SH158" s="1024"/>
      <c r="SI158" s="1024"/>
      <c r="SJ158" s="1024"/>
      <c r="SK158" s="1024"/>
      <c r="SL158" s="1024"/>
      <c r="SM158" s="1024"/>
      <c r="SN158" s="1024"/>
      <c r="SO158" s="1024"/>
      <c r="SP158" s="1024"/>
      <c r="SQ158" s="1024"/>
      <c r="SR158" s="1024"/>
    </row>
    <row r="159" spans="1:512" s="1011" customFormat="1" ht="15" customHeight="1">
      <c r="G159" s="1024"/>
      <c r="H159" s="1024"/>
      <c r="I159" s="1024"/>
      <c r="J159" s="1024"/>
      <c r="K159" s="1024"/>
      <c r="L159" s="1024"/>
      <c r="M159" s="1024"/>
      <c r="N159" s="1024"/>
      <c r="O159" s="1024"/>
      <c r="P159" s="1024"/>
      <c r="Q159" s="1024"/>
      <c r="R159" s="1024"/>
      <c r="S159" s="1024"/>
      <c r="T159" s="1024"/>
      <c r="U159" s="1024"/>
      <c r="V159" s="1024"/>
      <c r="W159" s="1024"/>
      <c r="X159" s="1024"/>
      <c r="Y159" s="1024"/>
      <c r="Z159" s="1024"/>
      <c r="AA159" s="1024"/>
      <c r="AB159" s="1024"/>
      <c r="AC159" s="1024"/>
      <c r="AD159" s="1024"/>
      <c r="AE159" s="1024"/>
      <c r="AF159" s="1024"/>
      <c r="AG159" s="1024"/>
      <c r="AH159" s="1024"/>
      <c r="AI159" s="1024"/>
      <c r="AJ159" s="1024"/>
      <c r="AK159" s="1024"/>
      <c r="AL159" s="1024"/>
      <c r="AM159" s="1024"/>
      <c r="AN159" s="1024"/>
      <c r="AO159" s="1024"/>
      <c r="AP159" s="1024"/>
      <c r="AQ159" s="1024"/>
      <c r="AR159" s="1024"/>
      <c r="AS159" s="1024"/>
      <c r="AT159" s="1024"/>
      <c r="AU159" s="1024"/>
      <c r="AV159" s="1024"/>
      <c r="AW159" s="1024"/>
      <c r="AX159" s="1024"/>
      <c r="AY159" s="1024"/>
      <c r="AZ159" s="1024"/>
      <c r="BA159" s="1024"/>
      <c r="BB159" s="1024"/>
      <c r="BC159" s="1024"/>
      <c r="BD159" s="1024"/>
      <c r="BE159" s="1024"/>
      <c r="BF159" s="1024"/>
      <c r="BG159" s="1024"/>
      <c r="BH159" s="1024"/>
      <c r="BI159" s="1024"/>
      <c r="BJ159" s="1024"/>
      <c r="BK159" s="1024"/>
      <c r="BL159" s="1024"/>
      <c r="BM159" s="1024"/>
      <c r="BN159" s="1024"/>
      <c r="BO159" s="1024"/>
      <c r="BP159" s="1024"/>
      <c r="BQ159" s="1024"/>
      <c r="BR159" s="1024"/>
      <c r="BS159" s="1024"/>
      <c r="BT159" s="1024"/>
      <c r="BU159" s="1024"/>
      <c r="BV159" s="1024"/>
      <c r="BW159" s="1024"/>
      <c r="BX159" s="1024"/>
      <c r="BY159" s="1024"/>
      <c r="BZ159" s="1024"/>
      <c r="CA159" s="1024"/>
      <c r="CB159" s="1024"/>
      <c r="CC159" s="1024"/>
      <c r="CD159" s="1024"/>
      <c r="CE159" s="1024"/>
      <c r="CF159" s="1024"/>
      <c r="CG159" s="1024"/>
      <c r="CH159" s="1024"/>
      <c r="CI159" s="1024"/>
      <c r="CJ159" s="1024"/>
      <c r="CK159" s="1024"/>
      <c r="CL159" s="1024"/>
      <c r="CM159" s="1024"/>
      <c r="CN159" s="1024"/>
      <c r="CO159" s="1024"/>
      <c r="CP159" s="1024"/>
      <c r="CQ159" s="1024"/>
      <c r="CR159" s="1024"/>
      <c r="CS159" s="1024"/>
      <c r="CT159" s="1024"/>
      <c r="CU159" s="1024"/>
      <c r="CV159" s="1024"/>
      <c r="CW159" s="1024"/>
      <c r="CX159" s="1024"/>
      <c r="CY159" s="1024"/>
      <c r="CZ159" s="1024"/>
      <c r="DA159" s="1024"/>
      <c r="DB159" s="1024"/>
      <c r="DC159" s="1024"/>
      <c r="DD159" s="1024"/>
      <c r="DE159" s="1024"/>
      <c r="DF159" s="1024"/>
      <c r="DG159" s="1024"/>
      <c r="DH159" s="1024"/>
      <c r="DI159" s="1024"/>
      <c r="DJ159" s="1024"/>
      <c r="DK159" s="1024"/>
      <c r="DL159" s="1024"/>
      <c r="DM159" s="1024"/>
      <c r="DN159" s="1024"/>
      <c r="DO159" s="1024"/>
      <c r="DP159" s="1024"/>
      <c r="DQ159" s="1024"/>
      <c r="DR159" s="1024"/>
      <c r="DS159" s="1024"/>
      <c r="DT159" s="1024"/>
      <c r="DU159" s="1024"/>
      <c r="DV159" s="1024"/>
      <c r="DW159" s="1024"/>
      <c r="DX159" s="1024"/>
      <c r="DY159" s="1024"/>
      <c r="DZ159" s="1024"/>
      <c r="EA159" s="1024"/>
      <c r="EB159" s="1024"/>
      <c r="EC159" s="1024"/>
      <c r="ED159" s="1024"/>
      <c r="EE159" s="1024"/>
      <c r="EF159" s="1024"/>
      <c r="EG159" s="1024"/>
      <c r="EH159" s="1024"/>
      <c r="EI159" s="1024"/>
      <c r="EJ159" s="1024"/>
      <c r="EK159" s="1024"/>
      <c r="EL159" s="1024"/>
      <c r="EM159" s="1024"/>
      <c r="EN159" s="1024"/>
      <c r="EO159" s="1024"/>
      <c r="EP159" s="1024"/>
      <c r="EQ159" s="1024"/>
      <c r="ER159" s="1024"/>
      <c r="ES159" s="1024"/>
      <c r="ET159" s="1024"/>
      <c r="EU159" s="1024"/>
      <c r="EV159" s="1024"/>
      <c r="EW159" s="1024"/>
      <c r="EX159" s="1024"/>
      <c r="EY159" s="1024"/>
      <c r="EZ159" s="1024"/>
      <c r="FA159" s="1024"/>
      <c r="FB159" s="1024"/>
      <c r="FC159" s="1024"/>
      <c r="FD159" s="1024"/>
      <c r="FE159" s="1024"/>
      <c r="FF159" s="1024"/>
      <c r="FG159" s="1024"/>
      <c r="FH159" s="1024"/>
      <c r="FI159" s="1024"/>
      <c r="FJ159" s="1024"/>
      <c r="FK159" s="1024"/>
      <c r="FL159" s="1024"/>
      <c r="FM159" s="1024"/>
      <c r="FN159" s="1024"/>
      <c r="FO159" s="1024"/>
      <c r="FP159" s="1024"/>
      <c r="FQ159" s="1024"/>
      <c r="FR159" s="1024"/>
      <c r="FS159" s="1024"/>
      <c r="FT159" s="1024"/>
      <c r="FU159" s="1024"/>
      <c r="FV159" s="1024"/>
      <c r="FW159" s="1024"/>
      <c r="FX159" s="1024"/>
      <c r="FY159" s="1024"/>
      <c r="FZ159" s="1024"/>
      <c r="GA159" s="1024"/>
      <c r="GB159" s="1024"/>
      <c r="GC159" s="1024"/>
      <c r="GD159" s="1024"/>
      <c r="GE159" s="1024"/>
      <c r="GF159" s="1024"/>
      <c r="GG159" s="1024"/>
      <c r="GH159" s="1024"/>
      <c r="GI159" s="1024"/>
      <c r="GJ159" s="1024"/>
      <c r="GK159" s="1024"/>
      <c r="GL159" s="1024"/>
      <c r="GM159" s="1024"/>
      <c r="GN159" s="1024"/>
      <c r="GO159" s="1024"/>
      <c r="GP159" s="1024"/>
      <c r="GQ159" s="1024"/>
      <c r="GR159" s="1024"/>
      <c r="GS159" s="1024"/>
      <c r="GT159" s="1024"/>
      <c r="GU159" s="1024"/>
      <c r="GV159" s="1024"/>
      <c r="GW159" s="1024"/>
      <c r="GX159" s="1024"/>
      <c r="GY159" s="1024"/>
      <c r="GZ159" s="1024"/>
      <c r="HA159" s="1024"/>
      <c r="HB159" s="1024"/>
      <c r="HC159" s="1024"/>
      <c r="HD159" s="1024"/>
      <c r="HE159" s="1024"/>
      <c r="HF159" s="1024"/>
      <c r="HG159" s="1024"/>
      <c r="HH159" s="1024"/>
      <c r="HI159" s="1024"/>
      <c r="HJ159" s="1024"/>
      <c r="HK159" s="1024"/>
      <c r="HL159" s="1024"/>
      <c r="HM159" s="1024"/>
      <c r="HN159" s="1024"/>
      <c r="HO159" s="1024"/>
      <c r="HP159" s="1024"/>
      <c r="HQ159" s="1024"/>
      <c r="HR159" s="1024"/>
      <c r="HS159" s="1024"/>
      <c r="HT159" s="1024"/>
      <c r="HU159" s="1024"/>
      <c r="HV159" s="1024"/>
      <c r="HW159" s="1024"/>
      <c r="HX159" s="1024"/>
      <c r="HY159" s="1024"/>
      <c r="HZ159" s="1024"/>
      <c r="IA159" s="1024"/>
      <c r="IB159" s="1024"/>
      <c r="IC159" s="1024"/>
      <c r="ID159" s="1024"/>
      <c r="IE159" s="1024"/>
      <c r="IF159" s="1024"/>
      <c r="IG159" s="1024"/>
      <c r="IH159" s="1024"/>
      <c r="II159" s="1024"/>
      <c r="IJ159" s="1024"/>
      <c r="IK159" s="1024"/>
      <c r="IL159" s="1024"/>
      <c r="IM159" s="1024"/>
      <c r="IN159" s="1024"/>
      <c r="IO159" s="1024"/>
      <c r="IP159" s="1024"/>
      <c r="IQ159" s="1024"/>
      <c r="IR159" s="1024"/>
      <c r="IS159" s="1024"/>
      <c r="IT159" s="1024"/>
      <c r="IU159" s="1024"/>
      <c r="IV159" s="1024"/>
      <c r="IW159" s="1024"/>
      <c r="IX159" s="1024"/>
      <c r="IY159" s="1024"/>
      <c r="IZ159" s="1024"/>
      <c r="JA159" s="1024"/>
      <c r="JB159" s="1024"/>
      <c r="JC159" s="1024"/>
      <c r="JD159" s="1024"/>
      <c r="JE159" s="1024"/>
      <c r="JF159" s="1024"/>
      <c r="JG159" s="1024"/>
      <c r="JH159" s="1024"/>
      <c r="JI159" s="1024"/>
      <c r="JJ159" s="1024"/>
      <c r="JK159" s="1024"/>
      <c r="JL159" s="1024"/>
      <c r="JM159" s="1024"/>
      <c r="JN159" s="1024"/>
      <c r="JO159" s="1024"/>
      <c r="JP159" s="1024"/>
      <c r="JQ159" s="1024"/>
      <c r="JR159" s="1024"/>
      <c r="JS159" s="1024"/>
      <c r="JT159" s="1024"/>
      <c r="JU159" s="1024"/>
      <c r="JV159" s="1024"/>
      <c r="JW159" s="1024"/>
      <c r="JX159" s="1024"/>
      <c r="JY159" s="1024"/>
      <c r="JZ159" s="1024"/>
      <c r="KA159" s="1024"/>
      <c r="KB159" s="1024"/>
      <c r="KC159" s="1024"/>
      <c r="KD159" s="1024"/>
      <c r="KE159" s="1024"/>
      <c r="KF159" s="1024"/>
      <c r="KG159" s="1024"/>
      <c r="KH159" s="1024"/>
      <c r="KI159" s="1024"/>
      <c r="KJ159" s="1024"/>
      <c r="KK159" s="1024"/>
      <c r="KL159" s="1024"/>
      <c r="KM159" s="1024"/>
      <c r="KN159" s="1024"/>
      <c r="KO159" s="1024"/>
      <c r="KP159" s="1024"/>
      <c r="KQ159" s="1024"/>
      <c r="KR159" s="1024"/>
      <c r="KS159" s="1024"/>
      <c r="KT159" s="1024"/>
      <c r="KU159" s="1024"/>
      <c r="KV159" s="1024"/>
      <c r="KW159" s="1024"/>
      <c r="KX159" s="1024"/>
      <c r="KY159" s="1024"/>
      <c r="KZ159" s="1024"/>
      <c r="LA159" s="1024"/>
      <c r="LB159" s="1024"/>
      <c r="LC159" s="1024"/>
      <c r="LD159" s="1024"/>
      <c r="LE159" s="1024"/>
      <c r="LF159" s="1024"/>
      <c r="LG159" s="1024"/>
      <c r="LH159" s="1024"/>
      <c r="LI159" s="1024"/>
      <c r="LJ159" s="1024"/>
      <c r="LK159" s="1024"/>
      <c r="LL159" s="1024"/>
      <c r="LM159" s="1024"/>
      <c r="LN159" s="1024"/>
      <c r="LO159" s="1024"/>
      <c r="LP159" s="1024"/>
      <c r="LQ159" s="1024"/>
      <c r="LR159" s="1024"/>
      <c r="LS159" s="1024"/>
      <c r="LT159" s="1024"/>
      <c r="LU159" s="1024"/>
      <c r="LV159" s="1024"/>
      <c r="LW159" s="1024"/>
      <c r="LX159" s="1024"/>
      <c r="LY159" s="1024"/>
      <c r="LZ159" s="1024"/>
      <c r="MA159" s="1024"/>
      <c r="MB159" s="1024"/>
      <c r="MC159" s="1024"/>
      <c r="MD159" s="1024"/>
      <c r="ME159" s="1024"/>
      <c r="MF159" s="1024"/>
      <c r="MG159" s="1024"/>
      <c r="MH159" s="1024"/>
      <c r="MI159" s="1024"/>
      <c r="MJ159" s="1024"/>
      <c r="MK159" s="1024"/>
      <c r="ML159" s="1024"/>
      <c r="MM159" s="1024"/>
      <c r="MN159" s="1024"/>
      <c r="MO159" s="1024"/>
      <c r="MP159" s="1024"/>
      <c r="MQ159" s="1024"/>
      <c r="MR159" s="1024"/>
      <c r="MS159" s="1024"/>
      <c r="MT159" s="1024"/>
      <c r="MU159" s="1024"/>
      <c r="MV159" s="1024"/>
      <c r="MW159" s="1024"/>
      <c r="MX159" s="1024"/>
      <c r="MY159" s="1024"/>
      <c r="MZ159" s="1024"/>
      <c r="NA159" s="1024"/>
      <c r="NB159" s="1024"/>
      <c r="NC159" s="1024"/>
      <c r="ND159" s="1024"/>
      <c r="NE159" s="1024"/>
      <c r="NF159" s="1024"/>
      <c r="NG159" s="1024"/>
      <c r="NH159" s="1024"/>
      <c r="NI159" s="1024"/>
      <c r="NJ159" s="1024"/>
      <c r="NK159" s="1024"/>
      <c r="NL159" s="1024"/>
      <c r="NM159" s="1024"/>
      <c r="NN159" s="1024"/>
      <c r="NO159" s="1024"/>
      <c r="NP159" s="1024"/>
      <c r="NQ159" s="1024"/>
      <c r="NR159" s="1024"/>
      <c r="NS159" s="1024"/>
      <c r="NT159" s="1024"/>
      <c r="NU159" s="1024"/>
      <c r="NV159" s="1024"/>
      <c r="NW159" s="1024"/>
      <c r="NX159" s="1024"/>
      <c r="NY159" s="1024"/>
      <c r="NZ159" s="1024"/>
      <c r="OA159" s="1024"/>
      <c r="OB159" s="1024"/>
      <c r="OC159" s="1024"/>
      <c r="OD159" s="1024"/>
      <c r="OE159" s="1024"/>
      <c r="OF159" s="1024"/>
      <c r="OG159" s="1024"/>
      <c r="OH159" s="1024"/>
      <c r="OI159" s="1024"/>
      <c r="OJ159" s="1024"/>
      <c r="OK159" s="1024"/>
      <c r="OL159" s="1024"/>
      <c r="OM159" s="1024"/>
      <c r="ON159" s="1024"/>
      <c r="OO159" s="1024"/>
      <c r="OP159" s="1024"/>
      <c r="OQ159" s="1024"/>
      <c r="OR159" s="1024"/>
      <c r="OS159" s="1024"/>
      <c r="OT159" s="1024"/>
      <c r="OU159" s="1024"/>
      <c r="OV159" s="1024"/>
      <c r="OW159" s="1024"/>
      <c r="OX159" s="1024"/>
      <c r="OY159" s="1024"/>
      <c r="OZ159" s="1024"/>
      <c r="PA159" s="1024"/>
      <c r="PB159" s="1024"/>
      <c r="PC159" s="1024"/>
      <c r="PD159" s="1024"/>
      <c r="PE159" s="1024"/>
      <c r="PF159" s="1024"/>
      <c r="PG159" s="1024"/>
      <c r="PH159" s="1024"/>
      <c r="PI159" s="1024"/>
      <c r="PJ159" s="1024"/>
      <c r="PK159" s="1024"/>
      <c r="PL159" s="1024"/>
      <c r="PM159" s="1024"/>
      <c r="PN159" s="1024"/>
      <c r="PO159" s="1024"/>
      <c r="PP159" s="1024"/>
      <c r="PQ159" s="1024"/>
      <c r="PR159" s="1024"/>
      <c r="PS159" s="1024"/>
      <c r="PT159" s="1024"/>
      <c r="PU159" s="1024"/>
      <c r="PV159" s="1024"/>
      <c r="PW159" s="1024"/>
      <c r="PX159" s="1024"/>
      <c r="PY159" s="1024"/>
      <c r="PZ159" s="1024"/>
      <c r="QA159" s="1024"/>
      <c r="QB159" s="1024"/>
      <c r="QC159" s="1024"/>
      <c r="QD159" s="1024"/>
      <c r="QE159" s="1024"/>
      <c r="QF159" s="1024"/>
      <c r="QG159" s="1024"/>
      <c r="QH159" s="1024"/>
      <c r="QI159" s="1024"/>
      <c r="QJ159" s="1024"/>
      <c r="QK159" s="1024"/>
      <c r="QL159" s="1024"/>
      <c r="QM159" s="1024"/>
      <c r="QN159" s="1024"/>
      <c r="QO159" s="1024"/>
      <c r="QP159" s="1024"/>
      <c r="QQ159" s="1024"/>
      <c r="QR159" s="1024"/>
      <c r="QS159" s="1024"/>
      <c r="QT159" s="1024"/>
      <c r="QU159" s="1024"/>
      <c r="QV159" s="1024"/>
      <c r="QW159" s="1024"/>
      <c r="QX159" s="1024"/>
      <c r="QY159" s="1024"/>
      <c r="QZ159" s="1024"/>
      <c r="RA159" s="1024"/>
      <c r="RB159" s="1024"/>
      <c r="RC159" s="1024"/>
      <c r="RD159" s="1024"/>
      <c r="RE159" s="1024"/>
      <c r="RF159" s="1024"/>
      <c r="RG159" s="1024"/>
      <c r="RH159" s="1024"/>
      <c r="RI159" s="1024"/>
      <c r="RJ159" s="1024"/>
      <c r="RK159" s="1024"/>
      <c r="RL159" s="1024"/>
      <c r="RM159" s="1024"/>
      <c r="RN159" s="1024"/>
      <c r="RO159" s="1024"/>
      <c r="RP159" s="1024"/>
      <c r="RQ159" s="1024"/>
      <c r="RR159" s="1024"/>
      <c r="RS159" s="1024"/>
      <c r="RT159" s="1024"/>
      <c r="RU159" s="1024"/>
      <c r="RV159" s="1024"/>
      <c r="RW159" s="1024"/>
      <c r="RX159" s="1024"/>
      <c r="RY159" s="1024"/>
      <c r="RZ159" s="1024"/>
      <c r="SA159" s="1024"/>
      <c r="SB159" s="1024"/>
      <c r="SC159" s="1024"/>
      <c r="SD159" s="1024"/>
      <c r="SE159" s="1024"/>
      <c r="SF159" s="1024"/>
      <c r="SG159" s="1024"/>
      <c r="SH159" s="1024"/>
      <c r="SI159" s="1024"/>
      <c r="SJ159" s="1024"/>
      <c r="SK159" s="1024"/>
      <c r="SL159" s="1024"/>
      <c r="SM159" s="1024"/>
      <c r="SN159" s="1024"/>
      <c r="SO159" s="1024"/>
      <c r="SP159" s="1024"/>
      <c r="SQ159" s="1024"/>
      <c r="SR159" s="1024"/>
    </row>
    <row r="160" spans="1:512" s="1011" customFormat="1" ht="15" customHeight="1">
      <c r="G160" s="1024"/>
      <c r="H160" s="1024"/>
      <c r="I160" s="1024"/>
      <c r="J160" s="1024"/>
      <c r="K160" s="1024"/>
      <c r="L160" s="1024"/>
      <c r="M160" s="1024"/>
      <c r="N160" s="1024"/>
      <c r="O160" s="1024"/>
      <c r="P160" s="1024"/>
      <c r="Q160" s="1024"/>
      <c r="R160" s="1024"/>
      <c r="S160" s="1024"/>
      <c r="T160" s="1024"/>
      <c r="U160" s="1024"/>
      <c r="V160" s="1024"/>
      <c r="W160" s="1024"/>
      <c r="X160" s="1024"/>
      <c r="Y160" s="1024"/>
      <c r="Z160" s="1024"/>
      <c r="AA160" s="1024"/>
      <c r="AB160" s="1024"/>
      <c r="AC160" s="1024"/>
      <c r="AD160" s="1024"/>
      <c r="AE160" s="1024"/>
      <c r="AF160" s="1024"/>
      <c r="AG160" s="1024"/>
      <c r="AH160" s="1024"/>
      <c r="AI160" s="1024"/>
      <c r="AJ160" s="1024"/>
      <c r="AK160" s="1024"/>
      <c r="AL160" s="1024"/>
      <c r="AM160" s="1024"/>
      <c r="AN160" s="1024"/>
      <c r="AO160" s="1024"/>
      <c r="AP160" s="1024"/>
      <c r="AQ160" s="1024"/>
      <c r="AR160" s="1024"/>
      <c r="AS160" s="1024"/>
      <c r="AT160" s="1024"/>
      <c r="AU160" s="1024"/>
      <c r="AV160" s="1024"/>
      <c r="AW160" s="1024"/>
      <c r="AX160" s="1024"/>
      <c r="AY160" s="1024"/>
      <c r="AZ160" s="1024"/>
      <c r="BA160" s="1024"/>
      <c r="BB160" s="1024"/>
      <c r="BC160" s="1024"/>
      <c r="BD160" s="1024"/>
      <c r="BE160" s="1024"/>
      <c r="BF160" s="1024"/>
      <c r="BG160" s="1024"/>
      <c r="BH160" s="1024"/>
      <c r="BI160" s="1024"/>
      <c r="BJ160" s="1024"/>
      <c r="BK160" s="1024"/>
      <c r="BL160" s="1024"/>
      <c r="BM160" s="1024"/>
      <c r="BN160" s="1024"/>
      <c r="BO160" s="1024"/>
      <c r="BP160" s="1024"/>
      <c r="BQ160" s="1024"/>
      <c r="BR160" s="1024"/>
      <c r="BS160" s="1024"/>
      <c r="BT160" s="1024"/>
      <c r="BU160" s="1024"/>
      <c r="BV160" s="1024"/>
      <c r="BW160" s="1024"/>
      <c r="BX160" s="1024"/>
      <c r="BY160" s="1024"/>
      <c r="BZ160" s="1024"/>
      <c r="CA160" s="1024"/>
      <c r="CB160" s="1024"/>
      <c r="CC160" s="1024"/>
      <c r="CD160" s="1024"/>
      <c r="CE160" s="1024"/>
      <c r="CF160" s="1024"/>
      <c r="CG160" s="1024"/>
      <c r="CH160" s="1024"/>
      <c r="CI160" s="1024"/>
      <c r="CJ160" s="1024"/>
      <c r="CK160" s="1024"/>
      <c r="CL160" s="1024"/>
      <c r="CM160" s="1024"/>
      <c r="CN160" s="1024"/>
      <c r="CO160" s="1024"/>
      <c r="CP160" s="1024"/>
      <c r="CQ160" s="1024"/>
      <c r="CR160" s="1024"/>
      <c r="CS160" s="1024"/>
      <c r="CT160" s="1024"/>
      <c r="CU160" s="1024"/>
      <c r="CV160" s="1024"/>
      <c r="CW160" s="1024"/>
      <c r="CX160" s="1024"/>
      <c r="CY160" s="1024"/>
      <c r="CZ160" s="1024"/>
      <c r="DA160" s="1024"/>
      <c r="DB160" s="1024"/>
      <c r="DC160" s="1024"/>
      <c r="DD160" s="1024"/>
      <c r="DE160" s="1024"/>
      <c r="DF160" s="1024"/>
      <c r="DG160" s="1024"/>
      <c r="DH160" s="1024"/>
      <c r="DI160" s="1024"/>
      <c r="DJ160" s="1024"/>
      <c r="DK160" s="1024"/>
      <c r="DL160" s="1024"/>
      <c r="DM160" s="1024"/>
      <c r="DN160" s="1024"/>
      <c r="DO160" s="1024"/>
      <c r="DP160" s="1024"/>
      <c r="DQ160" s="1024"/>
      <c r="DR160" s="1024"/>
      <c r="DS160" s="1024"/>
      <c r="DT160" s="1024"/>
      <c r="DU160" s="1024"/>
      <c r="DV160" s="1024"/>
      <c r="DW160" s="1024"/>
      <c r="DX160" s="1024"/>
      <c r="DY160" s="1024"/>
      <c r="DZ160" s="1024"/>
      <c r="EA160" s="1024"/>
      <c r="EB160" s="1024"/>
      <c r="EC160" s="1024"/>
      <c r="ED160" s="1024"/>
      <c r="EE160" s="1024"/>
      <c r="EF160" s="1024"/>
      <c r="EG160" s="1024"/>
      <c r="EH160" s="1024"/>
      <c r="EI160" s="1024"/>
      <c r="EJ160" s="1024"/>
      <c r="EK160" s="1024"/>
      <c r="EL160" s="1024"/>
      <c r="EM160" s="1024"/>
      <c r="EN160" s="1024"/>
      <c r="EO160" s="1024"/>
      <c r="EP160" s="1024"/>
      <c r="EQ160" s="1024"/>
      <c r="ER160" s="1024"/>
      <c r="ES160" s="1024"/>
      <c r="ET160" s="1024"/>
      <c r="EU160" s="1024"/>
      <c r="EV160" s="1024"/>
      <c r="EW160" s="1024"/>
      <c r="EX160" s="1024"/>
      <c r="EY160" s="1024"/>
      <c r="EZ160" s="1024"/>
      <c r="FA160" s="1024"/>
      <c r="FB160" s="1024"/>
      <c r="FC160" s="1024"/>
      <c r="FD160" s="1024"/>
      <c r="FE160" s="1024"/>
      <c r="FF160" s="1024"/>
      <c r="FG160" s="1024"/>
      <c r="FH160" s="1024"/>
      <c r="FI160" s="1024"/>
      <c r="FJ160" s="1024"/>
      <c r="FK160" s="1024"/>
      <c r="FL160" s="1024"/>
      <c r="FM160" s="1024"/>
      <c r="FN160" s="1024"/>
      <c r="FO160" s="1024"/>
      <c r="FP160" s="1024"/>
      <c r="FQ160" s="1024"/>
      <c r="FR160" s="1024"/>
      <c r="FS160" s="1024"/>
      <c r="FT160" s="1024"/>
      <c r="FU160" s="1024"/>
      <c r="FV160" s="1024"/>
      <c r="FW160" s="1024"/>
      <c r="FX160" s="1024"/>
      <c r="FY160" s="1024"/>
      <c r="FZ160" s="1024"/>
      <c r="GA160" s="1024"/>
      <c r="GB160" s="1024"/>
      <c r="GC160" s="1024"/>
      <c r="GD160" s="1024"/>
      <c r="GE160" s="1024"/>
      <c r="GF160" s="1024"/>
      <c r="GG160" s="1024"/>
      <c r="GH160" s="1024"/>
      <c r="GI160" s="1024"/>
      <c r="GJ160" s="1024"/>
      <c r="GK160" s="1024"/>
      <c r="GL160" s="1024"/>
      <c r="GM160" s="1024"/>
      <c r="GN160" s="1024"/>
      <c r="GO160" s="1024"/>
      <c r="GP160" s="1024"/>
      <c r="GQ160" s="1024"/>
      <c r="GR160" s="1024"/>
      <c r="GS160" s="1024"/>
      <c r="GT160" s="1024"/>
      <c r="GU160" s="1024"/>
      <c r="GV160" s="1024"/>
      <c r="GW160" s="1024"/>
      <c r="GX160" s="1024"/>
      <c r="GY160" s="1024"/>
      <c r="GZ160" s="1024"/>
      <c r="HA160" s="1024"/>
      <c r="HB160" s="1024"/>
      <c r="HC160" s="1024"/>
      <c r="HD160" s="1024"/>
      <c r="HE160" s="1024"/>
      <c r="HF160" s="1024"/>
      <c r="HG160" s="1024"/>
      <c r="HH160" s="1024"/>
      <c r="HI160" s="1024"/>
      <c r="HJ160" s="1024"/>
      <c r="HK160" s="1024"/>
      <c r="HL160" s="1024"/>
      <c r="HM160" s="1024"/>
      <c r="HN160" s="1024"/>
      <c r="HO160" s="1024"/>
      <c r="HP160" s="1024"/>
      <c r="HQ160" s="1024"/>
      <c r="HR160" s="1024"/>
      <c r="HS160" s="1024"/>
      <c r="HT160" s="1024"/>
      <c r="HU160" s="1024"/>
      <c r="HV160" s="1024"/>
      <c r="HW160" s="1024"/>
      <c r="HX160" s="1024"/>
      <c r="HY160" s="1024"/>
      <c r="HZ160" s="1024"/>
      <c r="IA160" s="1024"/>
      <c r="IB160" s="1024"/>
      <c r="IC160" s="1024"/>
      <c r="ID160" s="1024"/>
      <c r="IE160" s="1024"/>
      <c r="IF160" s="1024"/>
      <c r="IG160" s="1024"/>
      <c r="IH160" s="1024"/>
      <c r="II160" s="1024"/>
      <c r="IJ160" s="1024"/>
      <c r="IK160" s="1024"/>
      <c r="IL160" s="1024"/>
      <c r="IM160" s="1024"/>
      <c r="IN160" s="1024"/>
      <c r="IO160" s="1024"/>
      <c r="IP160" s="1024"/>
      <c r="IQ160" s="1024"/>
      <c r="IR160" s="1024"/>
      <c r="IS160" s="1024"/>
      <c r="IT160" s="1024"/>
      <c r="IU160" s="1024"/>
      <c r="IV160" s="1024"/>
      <c r="IW160" s="1024"/>
      <c r="IX160" s="1024"/>
      <c r="IY160" s="1024"/>
      <c r="IZ160" s="1024"/>
      <c r="JA160" s="1024"/>
      <c r="JB160" s="1024"/>
      <c r="JC160" s="1024"/>
      <c r="JD160" s="1024"/>
      <c r="JE160" s="1024"/>
      <c r="JF160" s="1024"/>
      <c r="JG160" s="1024"/>
      <c r="JH160" s="1024"/>
      <c r="JI160" s="1024"/>
      <c r="JJ160" s="1024"/>
      <c r="JK160" s="1024"/>
      <c r="JL160" s="1024"/>
      <c r="JM160" s="1024"/>
      <c r="JN160" s="1024"/>
      <c r="JO160" s="1024"/>
      <c r="JP160" s="1024"/>
      <c r="JQ160" s="1024"/>
      <c r="JR160" s="1024"/>
      <c r="JS160" s="1024"/>
      <c r="JT160" s="1024"/>
      <c r="JU160" s="1024"/>
      <c r="JV160" s="1024"/>
      <c r="JW160" s="1024"/>
      <c r="JX160" s="1024"/>
      <c r="JY160" s="1024"/>
      <c r="JZ160" s="1024"/>
      <c r="KA160" s="1024"/>
      <c r="KB160" s="1024"/>
      <c r="KC160" s="1024"/>
      <c r="KD160" s="1024"/>
      <c r="KE160" s="1024"/>
      <c r="KF160" s="1024"/>
      <c r="KG160" s="1024"/>
      <c r="KH160" s="1024"/>
      <c r="KI160" s="1024"/>
      <c r="KJ160" s="1024"/>
      <c r="KK160" s="1024"/>
      <c r="KL160" s="1024"/>
      <c r="KM160" s="1024"/>
      <c r="KN160" s="1024"/>
      <c r="KO160" s="1024"/>
      <c r="KP160" s="1024"/>
      <c r="KQ160" s="1024"/>
      <c r="KR160" s="1024"/>
      <c r="KS160" s="1024"/>
      <c r="KT160" s="1024"/>
      <c r="KU160" s="1024"/>
      <c r="KV160" s="1024"/>
      <c r="KW160" s="1024"/>
      <c r="KX160" s="1024"/>
      <c r="KY160" s="1024"/>
      <c r="KZ160" s="1024"/>
      <c r="LA160" s="1024"/>
      <c r="LB160" s="1024"/>
      <c r="LC160" s="1024"/>
      <c r="LD160" s="1024"/>
      <c r="LE160" s="1024"/>
      <c r="LF160" s="1024"/>
      <c r="LG160" s="1024"/>
      <c r="LH160" s="1024"/>
      <c r="LI160" s="1024"/>
      <c r="LJ160" s="1024"/>
      <c r="LK160" s="1024"/>
      <c r="LL160" s="1024"/>
      <c r="LM160" s="1024"/>
      <c r="LN160" s="1024"/>
      <c r="LO160" s="1024"/>
      <c r="LP160" s="1024"/>
      <c r="LQ160" s="1024"/>
      <c r="LR160" s="1024"/>
      <c r="LS160" s="1024"/>
      <c r="LT160" s="1024"/>
      <c r="LU160" s="1024"/>
      <c r="LV160" s="1024"/>
      <c r="LW160" s="1024"/>
      <c r="LX160" s="1024"/>
      <c r="LY160" s="1024"/>
      <c r="LZ160" s="1024"/>
      <c r="MA160" s="1024"/>
      <c r="MB160" s="1024"/>
      <c r="MC160" s="1024"/>
      <c r="MD160" s="1024"/>
      <c r="ME160" s="1024"/>
      <c r="MF160" s="1024"/>
      <c r="MG160" s="1024"/>
      <c r="MH160" s="1024"/>
      <c r="MI160" s="1024"/>
      <c r="MJ160" s="1024"/>
      <c r="MK160" s="1024"/>
      <c r="ML160" s="1024"/>
      <c r="MM160" s="1024"/>
      <c r="MN160" s="1024"/>
      <c r="MO160" s="1024"/>
      <c r="MP160" s="1024"/>
      <c r="MQ160" s="1024"/>
      <c r="MR160" s="1024"/>
      <c r="MS160" s="1024"/>
      <c r="MT160" s="1024"/>
      <c r="MU160" s="1024"/>
      <c r="MV160" s="1024"/>
      <c r="MW160" s="1024"/>
      <c r="MX160" s="1024"/>
      <c r="MY160" s="1024"/>
      <c r="MZ160" s="1024"/>
      <c r="NA160" s="1024"/>
      <c r="NB160" s="1024"/>
      <c r="NC160" s="1024"/>
      <c r="ND160" s="1024"/>
      <c r="NE160" s="1024"/>
      <c r="NF160" s="1024"/>
      <c r="NG160" s="1024"/>
      <c r="NH160" s="1024"/>
      <c r="NI160" s="1024"/>
      <c r="NJ160" s="1024"/>
      <c r="NK160" s="1024"/>
      <c r="NL160" s="1024"/>
      <c r="NM160" s="1024"/>
      <c r="NN160" s="1024"/>
      <c r="NO160" s="1024"/>
      <c r="NP160" s="1024"/>
      <c r="NQ160" s="1024"/>
      <c r="NR160" s="1024"/>
      <c r="NS160" s="1024"/>
      <c r="NT160" s="1024"/>
      <c r="NU160" s="1024"/>
      <c r="NV160" s="1024"/>
      <c r="NW160" s="1024"/>
      <c r="NX160" s="1024"/>
      <c r="NY160" s="1024"/>
      <c r="NZ160" s="1024"/>
      <c r="OA160" s="1024"/>
      <c r="OB160" s="1024"/>
      <c r="OC160" s="1024"/>
      <c r="OD160" s="1024"/>
      <c r="OE160" s="1024"/>
      <c r="OF160" s="1024"/>
      <c r="OG160" s="1024"/>
      <c r="OH160" s="1024"/>
      <c r="OI160" s="1024"/>
      <c r="OJ160" s="1024"/>
      <c r="OK160" s="1024"/>
      <c r="OL160" s="1024"/>
      <c r="OM160" s="1024"/>
      <c r="ON160" s="1024"/>
      <c r="OO160" s="1024"/>
      <c r="OP160" s="1024"/>
      <c r="OQ160" s="1024"/>
      <c r="OR160" s="1024"/>
      <c r="OS160" s="1024"/>
      <c r="OT160" s="1024"/>
      <c r="OU160" s="1024"/>
      <c r="OV160" s="1024"/>
      <c r="OW160" s="1024"/>
      <c r="OX160" s="1024"/>
      <c r="OY160" s="1024"/>
      <c r="OZ160" s="1024"/>
      <c r="PA160" s="1024"/>
      <c r="PB160" s="1024"/>
      <c r="PC160" s="1024"/>
      <c r="PD160" s="1024"/>
      <c r="PE160" s="1024"/>
      <c r="PF160" s="1024"/>
      <c r="PG160" s="1024"/>
      <c r="PH160" s="1024"/>
      <c r="PI160" s="1024"/>
      <c r="PJ160" s="1024"/>
      <c r="PK160" s="1024"/>
      <c r="PL160" s="1024"/>
      <c r="PM160" s="1024"/>
      <c r="PN160" s="1024"/>
      <c r="PO160" s="1024"/>
      <c r="PP160" s="1024"/>
      <c r="PQ160" s="1024"/>
      <c r="PR160" s="1024"/>
      <c r="PS160" s="1024"/>
      <c r="PT160" s="1024"/>
      <c r="PU160" s="1024"/>
      <c r="PV160" s="1024"/>
      <c r="PW160" s="1024"/>
      <c r="PX160" s="1024"/>
      <c r="PY160" s="1024"/>
      <c r="PZ160" s="1024"/>
      <c r="QA160" s="1024"/>
      <c r="QB160" s="1024"/>
      <c r="QC160" s="1024"/>
      <c r="QD160" s="1024"/>
      <c r="QE160" s="1024"/>
      <c r="QF160" s="1024"/>
      <c r="QG160" s="1024"/>
      <c r="QH160" s="1024"/>
      <c r="QI160" s="1024"/>
      <c r="QJ160" s="1024"/>
      <c r="QK160" s="1024"/>
      <c r="QL160" s="1024"/>
      <c r="QM160" s="1024"/>
      <c r="QN160" s="1024"/>
      <c r="QO160" s="1024"/>
      <c r="QP160" s="1024"/>
      <c r="QQ160" s="1024"/>
      <c r="QR160" s="1024"/>
      <c r="QS160" s="1024"/>
      <c r="QT160" s="1024"/>
      <c r="QU160" s="1024"/>
      <c r="QV160" s="1024"/>
      <c r="QW160" s="1024"/>
      <c r="QX160" s="1024"/>
      <c r="QY160" s="1024"/>
      <c r="QZ160" s="1024"/>
      <c r="RA160" s="1024"/>
      <c r="RB160" s="1024"/>
      <c r="RC160" s="1024"/>
      <c r="RD160" s="1024"/>
      <c r="RE160" s="1024"/>
      <c r="RF160" s="1024"/>
      <c r="RG160" s="1024"/>
      <c r="RH160" s="1024"/>
      <c r="RI160" s="1024"/>
      <c r="RJ160" s="1024"/>
      <c r="RK160" s="1024"/>
      <c r="RL160" s="1024"/>
      <c r="RM160" s="1024"/>
      <c r="RN160" s="1024"/>
      <c r="RO160" s="1024"/>
      <c r="RP160" s="1024"/>
      <c r="RQ160" s="1024"/>
      <c r="RR160" s="1024"/>
      <c r="RS160" s="1024"/>
      <c r="RT160" s="1024"/>
      <c r="RU160" s="1024"/>
      <c r="RV160" s="1024"/>
      <c r="RW160" s="1024"/>
      <c r="RX160" s="1024"/>
      <c r="RY160" s="1024"/>
      <c r="RZ160" s="1024"/>
      <c r="SA160" s="1024"/>
      <c r="SB160" s="1024"/>
      <c r="SC160" s="1024"/>
      <c r="SD160" s="1024"/>
      <c r="SE160" s="1024"/>
      <c r="SF160" s="1024"/>
      <c r="SG160" s="1024"/>
      <c r="SH160" s="1024"/>
      <c r="SI160" s="1024"/>
      <c r="SJ160" s="1024"/>
      <c r="SK160" s="1024"/>
      <c r="SL160" s="1024"/>
      <c r="SM160" s="1024"/>
      <c r="SN160" s="1024"/>
      <c r="SO160" s="1024"/>
      <c r="SP160" s="1024"/>
      <c r="SQ160" s="1024"/>
      <c r="SR160" s="1024"/>
    </row>
    <row r="161" spans="1:512" ht="15.95" customHeight="1">
      <c r="A161" t="s">
        <v>2253</v>
      </c>
      <c r="B161"/>
      <c r="C161"/>
      <c r="D161"/>
      <c r="E161"/>
      <c r="F161"/>
      <c r="G161" s="1021" t="s">
        <v>2254</v>
      </c>
      <c r="H161" s="1021" t="s">
        <v>2254</v>
      </c>
      <c r="I161" s="1021"/>
      <c r="J161" s="1021"/>
      <c r="K161" s="1021"/>
      <c r="L161" s="1021"/>
      <c r="M161" s="1021"/>
      <c r="N161" s="1021"/>
      <c r="O161" s="1021"/>
      <c r="P161" s="1021"/>
      <c r="Q161" s="1021"/>
      <c r="R161" s="1021"/>
      <c r="S161" s="1021"/>
      <c r="T161" s="1021"/>
      <c r="U161" s="1021"/>
      <c r="V161" s="1021"/>
      <c r="W161" s="1021"/>
      <c r="X161" s="1021"/>
      <c r="Y161" s="1021"/>
      <c r="Z161" s="1021"/>
      <c r="AA161" s="1021"/>
      <c r="AB161" s="1021"/>
      <c r="AC161" s="1021"/>
      <c r="AD161" s="1021"/>
      <c r="AE161" s="1021"/>
      <c r="AF161" s="1021"/>
      <c r="AG161" s="1021"/>
      <c r="AH161" s="1021"/>
      <c r="AI161" s="1021"/>
      <c r="AJ161" s="1021"/>
      <c r="AK161" s="1021"/>
      <c r="AL161" s="1021"/>
      <c r="AM161" s="1021"/>
      <c r="AN161" s="1021"/>
      <c r="AO161" s="1021"/>
      <c r="AP161" s="1021"/>
      <c r="AQ161" s="1021"/>
      <c r="AR161" s="1021"/>
      <c r="AS161" s="1021"/>
      <c r="AT161" s="1021"/>
      <c r="AU161" s="1021"/>
      <c r="AV161" s="1021"/>
      <c r="AW161" s="1021"/>
      <c r="AX161" s="1021"/>
      <c r="AY161" s="1021"/>
      <c r="AZ161" s="1021"/>
      <c r="BA161" s="1021"/>
      <c r="BB161" s="1021"/>
      <c r="BC161" s="1021"/>
      <c r="BD161" s="1021"/>
      <c r="BE161" s="1021"/>
      <c r="BF161" s="1021"/>
      <c r="BG161" s="1021"/>
      <c r="BH161" s="1021"/>
      <c r="BI161" s="1021"/>
      <c r="BJ161" s="1021"/>
      <c r="BK161" s="1021"/>
      <c r="BL161" s="1021"/>
      <c r="BM161" s="1021"/>
      <c r="BN161" s="1021"/>
      <c r="BO161" s="1021"/>
      <c r="BP161" s="1021"/>
      <c r="BQ161" s="1021"/>
      <c r="BR161" s="1021"/>
      <c r="BS161" s="1021"/>
      <c r="BT161" s="1021"/>
      <c r="BU161" s="1021"/>
      <c r="BV161" s="1021"/>
      <c r="BW161" s="1021"/>
      <c r="BX161" s="1021"/>
      <c r="BY161" s="1021"/>
      <c r="BZ161" s="1021"/>
      <c r="CA161" s="1021"/>
      <c r="CB161" s="1021"/>
      <c r="CC161" s="1021"/>
      <c r="CD161" s="1021"/>
      <c r="CE161" s="1021"/>
      <c r="CF161" s="1021"/>
      <c r="CG161" s="1021"/>
      <c r="CH161" s="1021"/>
      <c r="CI161" s="1021"/>
      <c r="CJ161" s="1021"/>
      <c r="CK161" s="1021"/>
      <c r="CL161" s="1021"/>
      <c r="CM161" s="1021"/>
      <c r="CN161" s="1021"/>
      <c r="CO161" s="1021"/>
      <c r="CP161" s="1021"/>
      <c r="CQ161" s="1021"/>
      <c r="CR161" s="1021"/>
      <c r="CS161" s="1021"/>
      <c r="CT161" s="1021"/>
      <c r="CU161" s="1021"/>
      <c r="CV161" s="1021"/>
      <c r="CW161" s="1021"/>
      <c r="CX161" s="1021"/>
      <c r="CY161" s="1021"/>
      <c r="CZ161" s="1021"/>
      <c r="DA161" s="1021"/>
      <c r="DB161" s="1021"/>
      <c r="DC161" s="1021"/>
      <c r="DD161" s="1021"/>
      <c r="DE161" s="1021"/>
      <c r="DF161" s="1021"/>
      <c r="DG161" s="1021"/>
      <c r="DH161" s="1021"/>
      <c r="DI161" s="1021"/>
      <c r="DJ161" s="1021"/>
      <c r="DK161" s="1021"/>
      <c r="DL161" s="1021"/>
      <c r="DM161" s="1021"/>
      <c r="DN161" s="1021"/>
      <c r="DO161" s="1021"/>
      <c r="DP161" s="1021"/>
      <c r="DQ161" s="1021"/>
      <c r="DR161" s="1021"/>
      <c r="DS161" s="1021"/>
      <c r="DT161" s="1021"/>
      <c r="DU161" s="1021"/>
      <c r="DV161" s="1021"/>
      <c r="DW161" s="1021"/>
      <c r="DX161" s="1021"/>
      <c r="DY161" s="1021"/>
      <c r="DZ161" s="1021"/>
      <c r="EA161" s="1021"/>
      <c r="EB161" s="1021"/>
      <c r="EC161" s="1021"/>
      <c r="ED161" s="1021"/>
      <c r="EE161" s="1021"/>
      <c r="EF161" s="1021"/>
      <c r="EG161" s="1021"/>
      <c r="EH161" s="1021"/>
      <c r="EI161" s="1021"/>
      <c r="EJ161" s="1021"/>
      <c r="EK161" s="1021"/>
      <c r="EL161" s="1021"/>
      <c r="EM161" s="1021"/>
      <c r="EN161" s="1021"/>
      <c r="EO161" s="1021"/>
      <c r="EP161" s="1021"/>
      <c r="EQ161" s="1021"/>
      <c r="ER161" s="1021"/>
      <c r="ES161" s="1021"/>
      <c r="ET161" s="1021"/>
      <c r="EU161" s="1021"/>
      <c r="EV161" s="1021"/>
      <c r="EW161" s="1021"/>
      <c r="EX161" s="1021"/>
      <c r="EY161" s="1021"/>
      <c r="EZ161" s="1021"/>
      <c r="FA161" s="1021"/>
      <c r="FB161" s="1021"/>
      <c r="FC161" s="1021"/>
      <c r="FD161" s="1021"/>
      <c r="FE161" s="1021"/>
      <c r="FF161" s="1021"/>
      <c r="FG161" s="1021"/>
      <c r="FH161" s="1021"/>
      <c r="FI161" s="1021"/>
      <c r="FJ161" s="1021"/>
      <c r="FK161" s="1021"/>
      <c r="FL161" s="1021"/>
      <c r="FM161" s="1021"/>
      <c r="FN161" s="1021"/>
      <c r="FO161" s="1021"/>
      <c r="FP161" s="1021"/>
      <c r="FQ161" s="1021"/>
      <c r="FR161" s="1021"/>
      <c r="FS161" s="1021"/>
      <c r="FT161" s="1021"/>
      <c r="FU161" s="1021"/>
      <c r="FV161" s="1021"/>
      <c r="FW161" s="1021"/>
      <c r="FX161" s="1021"/>
      <c r="FY161" s="1021"/>
      <c r="FZ161" s="1021"/>
      <c r="GA161" s="1021"/>
      <c r="GB161" s="1021"/>
      <c r="GC161" s="1021"/>
      <c r="GD161" s="1021"/>
      <c r="GE161" s="1021"/>
      <c r="GF161" s="1021"/>
      <c r="GG161" s="1021"/>
      <c r="GH161" s="1021"/>
      <c r="GI161" s="1021"/>
      <c r="GJ161" s="1021"/>
      <c r="GK161" s="1021"/>
      <c r="GL161" s="1021"/>
      <c r="GM161" s="1021"/>
      <c r="GN161" s="1021"/>
      <c r="GO161" s="1021"/>
      <c r="GP161" s="1021"/>
      <c r="GQ161" s="1021"/>
      <c r="GR161" s="1021"/>
      <c r="GS161" s="1021"/>
      <c r="GT161" s="1021"/>
      <c r="GU161" s="1021"/>
      <c r="GV161" s="1021"/>
      <c r="GW161" s="1021"/>
      <c r="GX161" s="1021"/>
      <c r="GY161" s="1021"/>
      <c r="GZ161" s="1021"/>
      <c r="HA161" s="1021"/>
      <c r="HB161" s="1021"/>
      <c r="HC161" s="1021"/>
      <c r="HD161" s="1021"/>
      <c r="HE161" s="1021"/>
      <c r="HF161" s="1021"/>
      <c r="HG161" s="1021"/>
      <c r="HH161" s="1021"/>
      <c r="HI161" s="1021"/>
      <c r="HJ161" s="1021"/>
      <c r="HK161" s="1021"/>
      <c r="HL161" s="1021"/>
      <c r="HM161" s="1021"/>
      <c r="HN161" s="1021"/>
      <c r="HO161" s="1021"/>
      <c r="HP161" s="1021"/>
      <c r="HQ161" s="1021"/>
      <c r="HR161" s="1021"/>
      <c r="HS161" s="1021"/>
      <c r="HT161" s="1021"/>
      <c r="HU161" s="1021"/>
      <c r="HV161" s="1021"/>
      <c r="HW161" s="1021"/>
      <c r="HX161" s="1021"/>
      <c r="HY161" s="1021"/>
      <c r="HZ161" s="1021"/>
      <c r="IA161" s="1021"/>
      <c r="IB161" s="1021"/>
      <c r="IC161" s="1021"/>
      <c r="ID161" s="1021"/>
      <c r="IE161" s="1021"/>
      <c r="IF161" s="1021"/>
      <c r="IG161" s="1021"/>
      <c r="IH161" s="1021"/>
      <c r="II161" s="1021"/>
      <c r="IJ161" s="1021"/>
      <c r="IK161" s="1021"/>
      <c r="IL161" s="1021"/>
      <c r="IM161" s="1021"/>
      <c r="IN161" s="1021"/>
      <c r="IO161" s="1021"/>
      <c r="IP161" s="1021"/>
      <c r="IQ161" s="1021"/>
      <c r="IR161" s="1021"/>
      <c r="IS161" s="1021"/>
      <c r="IT161" s="1021"/>
      <c r="IU161" s="1021"/>
      <c r="IV161" s="1021"/>
      <c r="IW161" s="1021"/>
      <c r="IX161" s="1021"/>
      <c r="IY161" s="1021"/>
      <c r="IZ161" s="1021"/>
      <c r="JA161" s="1021"/>
      <c r="JB161" s="1021"/>
      <c r="JC161" s="1021"/>
      <c r="JD161" s="1021"/>
      <c r="JE161" s="1021"/>
      <c r="JF161" s="1021"/>
      <c r="JG161" s="1021"/>
      <c r="JH161" s="1021"/>
      <c r="JI161" s="1021"/>
      <c r="JJ161" s="1021"/>
      <c r="JK161" s="1021"/>
      <c r="JL161" s="1021"/>
      <c r="JM161" s="1021"/>
      <c r="JN161" s="1021"/>
      <c r="JO161" s="1021"/>
      <c r="JP161" s="1021"/>
      <c r="JQ161" s="1021"/>
      <c r="JR161" s="1021"/>
      <c r="JS161" s="1021"/>
      <c r="JT161" s="1021"/>
      <c r="JU161" s="1021"/>
      <c r="JV161" s="1021"/>
      <c r="JW161" s="1021"/>
      <c r="JX161" s="1021"/>
      <c r="JY161" s="1021"/>
      <c r="JZ161" s="1021"/>
      <c r="KA161" s="1021"/>
      <c r="KB161" s="1021"/>
      <c r="KC161" s="1021"/>
      <c r="KD161" s="1021"/>
      <c r="KE161" s="1021"/>
      <c r="KF161" s="1021"/>
      <c r="KG161" s="1021"/>
      <c r="KH161" s="1021"/>
      <c r="KI161" s="1021"/>
      <c r="KJ161" s="1021"/>
      <c r="KK161" s="1021"/>
      <c r="KL161" s="1021"/>
      <c r="KM161" s="1021"/>
      <c r="KN161" s="1021"/>
      <c r="KO161" s="1021"/>
      <c r="KP161" s="1021"/>
      <c r="KQ161" s="1021"/>
      <c r="KR161" s="1021"/>
      <c r="KS161" s="1021"/>
      <c r="KT161" s="1021"/>
      <c r="KU161" s="1021"/>
      <c r="KV161" s="1021"/>
      <c r="KW161" s="1021"/>
      <c r="KX161" s="1021"/>
      <c r="KY161" s="1021"/>
      <c r="KZ161" s="1021"/>
      <c r="LA161" s="1021"/>
      <c r="LB161" s="1021"/>
      <c r="LC161" s="1021"/>
      <c r="LD161" s="1021"/>
      <c r="LE161" s="1021"/>
      <c r="LF161" s="1021"/>
      <c r="LG161" s="1021"/>
      <c r="LH161" s="1021"/>
      <c r="LI161" s="1021"/>
      <c r="LJ161" s="1021"/>
      <c r="LK161" s="1021"/>
      <c r="LL161" s="1021"/>
      <c r="LM161" s="1021"/>
      <c r="LN161" s="1021"/>
      <c r="LO161" s="1021"/>
      <c r="LP161" s="1021"/>
      <c r="LQ161" s="1021"/>
      <c r="LR161" s="1021"/>
      <c r="LS161" s="1021"/>
      <c r="LT161" s="1021"/>
      <c r="LU161" s="1021"/>
      <c r="LV161" s="1021"/>
      <c r="LW161" s="1021"/>
      <c r="LX161" s="1021"/>
      <c r="LY161" s="1021"/>
      <c r="LZ161" s="1021"/>
      <c r="MA161" s="1021"/>
      <c r="MB161" s="1021"/>
      <c r="MC161" s="1021"/>
      <c r="MD161" s="1021"/>
      <c r="ME161" s="1021"/>
      <c r="MF161" s="1021"/>
      <c r="MG161" s="1021"/>
      <c r="MH161" s="1021"/>
      <c r="MI161" s="1021"/>
      <c r="MJ161" s="1021"/>
      <c r="MK161" s="1021"/>
      <c r="ML161" s="1021"/>
      <c r="MM161" s="1021"/>
      <c r="MN161" s="1021"/>
      <c r="MO161" s="1021"/>
      <c r="MP161" s="1021"/>
      <c r="MQ161" s="1021"/>
      <c r="MR161" s="1021"/>
      <c r="MS161" s="1021"/>
      <c r="MT161" s="1021"/>
      <c r="MU161" s="1021"/>
      <c r="MV161" s="1021"/>
      <c r="MW161" s="1021"/>
      <c r="MX161" s="1021"/>
      <c r="MY161" s="1021"/>
      <c r="MZ161" s="1021"/>
      <c r="NA161" s="1021"/>
      <c r="NB161" s="1021"/>
      <c r="NC161" s="1021"/>
      <c r="ND161" s="1021"/>
      <c r="NE161" s="1021"/>
      <c r="NF161" s="1021"/>
      <c r="NG161" s="1021"/>
      <c r="NH161" s="1021"/>
      <c r="NI161" s="1021"/>
      <c r="NJ161" s="1021"/>
      <c r="NK161" s="1021"/>
      <c r="NL161" s="1021"/>
      <c r="NM161" s="1021"/>
      <c r="NN161" s="1021"/>
      <c r="NO161" s="1021"/>
      <c r="NP161" s="1021"/>
      <c r="NQ161" s="1021"/>
      <c r="NR161" s="1021"/>
      <c r="NS161" s="1021"/>
      <c r="NT161" s="1021"/>
      <c r="NU161" s="1021"/>
      <c r="NV161" s="1021"/>
      <c r="NW161" s="1021"/>
      <c r="NX161" s="1021"/>
      <c r="NY161" s="1021"/>
      <c r="NZ161" s="1021"/>
      <c r="OA161" s="1021"/>
      <c r="OB161" s="1021"/>
      <c r="OC161" s="1021"/>
      <c r="OD161" s="1021"/>
      <c r="OE161" s="1021"/>
      <c r="OF161" s="1021"/>
      <c r="OG161" s="1021"/>
      <c r="OH161" s="1021"/>
      <c r="OI161" s="1021"/>
      <c r="OJ161" s="1021"/>
      <c r="OK161" s="1021"/>
      <c r="OL161" s="1021"/>
      <c r="OM161" s="1021"/>
      <c r="ON161" s="1021"/>
      <c r="OO161" s="1021"/>
      <c r="OP161" s="1021"/>
      <c r="OQ161" s="1021"/>
      <c r="OR161" s="1021"/>
      <c r="OS161" s="1021"/>
      <c r="OT161" s="1021"/>
      <c r="OU161" s="1021"/>
      <c r="OV161" s="1021"/>
      <c r="OW161" s="1021"/>
      <c r="OX161" s="1021"/>
      <c r="OY161" s="1021"/>
      <c r="OZ161" s="1021"/>
      <c r="PA161" s="1021"/>
      <c r="PB161" s="1021"/>
      <c r="PC161" s="1021"/>
      <c r="PD161" s="1021"/>
      <c r="PE161" s="1021"/>
      <c r="PF161" s="1021"/>
      <c r="PG161" s="1021"/>
      <c r="PH161" s="1021"/>
      <c r="PI161" s="1021"/>
      <c r="PJ161" s="1021"/>
      <c r="PK161" s="1021"/>
      <c r="PL161" s="1021"/>
      <c r="PM161" s="1021"/>
      <c r="PN161" s="1021"/>
      <c r="PO161" s="1021"/>
      <c r="PP161" s="1021"/>
      <c r="PQ161" s="1021"/>
      <c r="PR161" s="1021"/>
      <c r="PS161" s="1021"/>
      <c r="PT161" s="1021"/>
      <c r="PU161" s="1021"/>
      <c r="PV161" s="1021"/>
      <c r="PW161" s="1021"/>
      <c r="PX161" s="1021"/>
      <c r="PY161" s="1021"/>
      <c r="PZ161" s="1021"/>
      <c r="QA161" s="1021"/>
      <c r="QB161" s="1021"/>
      <c r="QC161" s="1021"/>
      <c r="QD161" s="1021"/>
      <c r="QE161" s="1021"/>
      <c r="QF161" s="1021"/>
      <c r="QG161" s="1021"/>
      <c r="QH161" s="1021"/>
      <c r="QI161" s="1021"/>
      <c r="QJ161" s="1021"/>
      <c r="QK161" s="1021"/>
      <c r="QL161" s="1021"/>
      <c r="QM161" s="1021"/>
      <c r="QN161" s="1021"/>
      <c r="QO161" s="1021"/>
      <c r="QP161" s="1021"/>
      <c r="QQ161" s="1021"/>
      <c r="QR161" s="1021"/>
      <c r="QS161" s="1021"/>
      <c r="QT161" s="1021"/>
      <c r="QU161" s="1021"/>
      <c r="QV161" s="1021"/>
      <c r="QW161" s="1021"/>
      <c r="QX161" s="1021"/>
      <c r="QY161" s="1021"/>
      <c r="QZ161" s="1021"/>
      <c r="RA161" s="1021"/>
      <c r="RB161" s="1021"/>
      <c r="RC161" s="1021"/>
      <c r="RD161" s="1021"/>
      <c r="RE161" s="1021"/>
      <c r="RF161" s="1021"/>
      <c r="RG161" s="1021"/>
      <c r="RH161" s="1021"/>
      <c r="RI161" s="1021"/>
      <c r="RJ161" s="1021"/>
      <c r="RK161" s="1021"/>
      <c r="RL161" s="1021"/>
      <c r="RM161" s="1021"/>
      <c r="RN161" s="1021"/>
      <c r="RO161" s="1021"/>
      <c r="RP161" s="1021"/>
      <c r="RQ161" s="1021"/>
      <c r="RR161" s="1021"/>
      <c r="RS161" s="1021"/>
      <c r="RT161" s="1021"/>
      <c r="RU161" s="1021"/>
      <c r="RV161" s="1021"/>
      <c r="RW161" s="1021"/>
      <c r="RX161" s="1021"/>
      <c r="RY161" s="1021"/>
      <c r="RZ161" s="1021"/>
      <c r="SA161" s="1021"/>
      <c r="SB161" s="1021"/>
      <c r="SC161" s="1021"/>
      <c r="SD161" s="1021"/>
      <c r="SE161" s="1021"/>
      <c r="SF161" s="1021"/>
      <c r="SG161" s="1021"/>
      <c r="SH161" s="1021"/>
      <c r="SI161" s="1021"/>
      <c r="SJ161" s="1021"/>
      <c r="SK161" s="1021"/>
      <c r="SL161" s="1021"/>
      <c r="SM161" s="1021"/>
      <c r="SN161" s="1021"/>
      <c r="SO161" s="1021"/>
      <c r="SP161" s="1021"/>
      <c r="SQ161" s="1021"/>
      <c r="SR161" s="1021"/>
    </row>
    <row r="162" spans="1:512" ht="12.75" customHeight="1"/>
    <row r="163" spans="1:512" ht="12.75" customHeight="1">
      <c r="A163" s="166" t="s">
        <v>2255</v>
      </c>
      <c r="C163" s="727" t="s">
        <v>2254</v>
      </c>
    </row>
    <row r="164" spans="1:512" ht="12.75" customHeight="1">
      <c r="G164" s="127"/>
      <c r="H164" s="127"/>
      <c r="I164" s="127"/>
      <c r="J164" s="127"/>
      <c r="K164" s="127"/>
      <c r="L164" s="127"/>
      <c r="M164" s="127"/>
      <c r="N164" s="127"/>
      <c r="O164" s="127"/>
      <c r="P164" s="127"/>
      <c r="Q164" s="127"/>
      <c r="R164" s="127"/>
      <c r="S164" s="127"/>
      <c r="T164" s="127"/>
    </row>
    <row r="165" spans="1:512" ht="12.75" customHeight="1">
      <c r="A165" s="128"/>
      <c r="B165" s="779"/>
      <c r="C165" s="779"/>
      <c r="D165" s="779"/>
      <c r="E165" s="779"/>
      <c r="F165" s="779"/>
      <c r="G165" s="779"/>
      <c r="H165" s="779"/>
      <c r="I165" s="779"/>
      <c r="J165" s="779"/>
      <c r="K165" s="779"/>
      <c r="L165" s="779"/>
      <c r="M165" s="779"/>
      <c r="N165" s="779"/>
      <c r="O165" s="779"/>
      <c r="P165" s="779"/>
      <c r="Q165" s="779"/>
      <c r="R165" s="779"/>
      <c r="S165" s="779"/>
      <c r="T165" s="779"/>
    </row>
    <row r="166" spans="1:512" ht="12.75" customHeight="1"/>
    <row r="167" spans="1:512" ht="12.75" customHeight="1"/>
    <row r="168" spans="1:512" ht="12.75" customHeight="1"/>
    <row r="169" spans="1:512" ht="12.75" customHeight="1"/>
    <row r="170" spans="1:512" ht="12.75" customHeight="1"/>
  </sheetData>
  <mergeCells count="2">
    <mergeCell ref="A5:D5"/>
    <mergeCell ref="A98:D98"/>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sheetPr>
  <dimension ref="A1:S118"/>
  <sheetViews>
    <sheetView workbookViewId="0">
      <selection activeCell="H25" sqref="H25"/>
    </sheetView>
  </sheetViews>
  <sheetFormatPr defaultColWidth="8.88671875" defaultRowHeight="15"/>
  <cols>
    <col min="1" max="4" width="8.88671875" style="11"/>
    <col min="5" max="5" width="8.88671875" style="11" customWidth="1"/>
    <col min="6" max="9" width="8.88671875" style="11"/>
    <col min="10" max="10" width="10.44140625" style="11" customWidth="1"/>
    <col min="11" max="16384" width="8.88671875" style="11"/>
  </cols>
  <sheetData>
    <row r="1" spans="1:11" s="6" customFormat="1" ht="24" customHeight="1">
      <c r="A1" s="6" t="s">
        <v>883</v>
      </c>
    </row>
    <row r="3" spans="1:11">
      <c r="A3" s="11" t="s">
        <v>884</v>
      </c>
    </row>
    <row r="4" spans="1:11">
      <c r="I4" s="99"/>
    </row>
    <row r="5" spans="1:11">
      <c r="I5" s="99"/>
    </row>
    <row r="6" spans="1:11">
      <c r="B6" s="12" t="s">
        <v>1386</v>
      </c>
      <c r="C6" s="73"/>
      <c r="I6" s="99"/>
    </row>
    <row r="7" spans="1:11">
      <c r="B7" s="1039" t="s">
        <v>576</v>
      </c>
      <c r="C7" s="1039"/>
      <c r="D7" s="1039"/>
      <c r="E7" s="1039"/>
      <c r="I7" s="99"/>
    </row>
    <row r="8" spans="1:11">
      <c r="B8" s="940" t="s">
        <v>1010</v>
      </c>
      <c r="C8" s="129"/>
      <c r="D8" s="129"/>
      <c r="E8" s="130" t="s">
        <v>574</v>
      </c>
    </row>
    <row r="9" spans="1:11">
      <c r="B9" s="131" t="s">
        <v>878</v>
      </c>
      <c r="C9" s="132"/>
      <c r="D9" s="132"/>
      <c r="E9" s="133" t="str">
        <f>"1B"</f>
        <v>1B</v>
      </c>
    </row>
    <row r="10" spans="1:11">
      <c r="B10" s="131" t="s">
        <v>575</v>
      </c>
      <c r="C10" s="132"/>
      <c r="D10" s="132"/>
      <c r="E10" s="134">
        <v>2</v>
      </c>
    </row>
    <row r="11" spans="1:11">
      <c r="B11" s="131" t="s">
        <v>132</v>
      </c>
      <c r="C11" s="132"/>
      <c r="D11" s="132"/>
      <c r="E11" s="134">
        <v>3</v>
      </c>
    </row>
    <row r="12" spans="1:11">
      <c r="B12" s="941" t="s">
        <v>1148</v>
      </c>
      <c r="C12" s="135"/>
      <c r="D12" s="135"/>
      <c r="E12" s="136">
        <v>4</v>
      </c>
    </row>
    <row r="13" spans="1:11">
      <c r="B13"/>
      <c r="C13" s="132"/>
      <c r="D13" s="132"/>
      <c r="E13" s="137"/>
    </row>
    <row r="14" spans="1:11">
      <c r="B14"/>
      <c r="C14" s="132"/>
      <c r="D14" s="132"/>
      <c r="E14" s="137"/>
    </row>
    <row r="15" spans="1:11">
      <c r="B15" s="73" t="s">
        <v>1135</v>
      </c>
    </row>
    <row r="16" spans="1:11">
      <c r="B16" s="1048" t="s">
        <v>1140</v>
      </c>
      <c r="C16" s="1049"/>
      <c r="D16" s="1049"/>
      <c r="E16" s="1049"/>
      <c r="F16" s="1049"/>
      <c r="G16" s="1049"/>
      <c r="H16" s="1049"/>
      <c r="I16" s="1049"/>
      <c r="J16" s="1049"/>
      <c r="K16" s="1050"/>
    </row>
    <row r="17" spans="2:12" ht="15" customHeight="1">
      <c r="B17" s="160"/>
      <c r="C17" s="138"/>
      <c r="D17" s="138"/>
      <c r="E17" s="138"/>
      <c r="F17" s="138"/>
      <c r="G17" s="139"/>
      <c r="H17" s="140" t="s">
        <v>164</v>
      </c>
      <c r="I17" s="140" t="s">
        <v>239</v>
      </c>
      <c r="J17" s="141" t="s">
        <v>568</v>
      </c>
      <c r="K17" s="140" t="s">
        <v>573</v>
      </c>
      <c r="L17" s="142" t="s">
        <v>829</v>
      </c>
    </row>
    <row r="18" spans="2:12" ht="15" customHeight="1">
      <c r="B18" s="143" t="s">
        <v>4</v>
      </c>
      <c r="C18" s="922"/>
      <c r="D18" s="922"/>
      <c r="E18" s="922"/>
      <c r="F18" s="922"/>
      <c r="G18" s="923"/>
      <c r="H18" s="146">
        <v>0</v>
      </c>
      <c r="I18" s="924" t="s">
        <v>268</v>
      </c>
      <c r="J18" s="925" t="s">
        <v>237</v>
      </c>
      <c r="K18" s="924" t="s">
        <v>237</v>
      </c>
    </row>
    <row r="19" spans="2:12" ht="15" customHeight="1">
      <c r="B19" s="143"/>
      <c r="C19" s="144"/>
      <c r="D19" s="144"/>
      <c r="E19" s="144"/>
      <c r="F19" s="144"/>
      <c r="G19" s="145"/>
      <c r="H19" s="148"/>
      <c r="I19" s="149"/>
      <c r="J19" s="938"/>
      <c r="K19" s="149"/>
    </row>
    <row r="20" spans="2:12" ht="15" customHeight="1">
      <c r="B20" s="143" t="s">
        <v>1018</v>
      </c>
      <c r="C20" s="922"/>
      <c r="D20" s="922"/>
      <c r="E20" s="922"/>
      <c r="F20" s="922"/>
      <c r="G20" s="923"/>
      <c r="H20" s="732">
        <f>'Drilling &amp; Development'!M28*('Production &amp; Extraction'!M35*'Fuel Specs'!M14-'Energy Consumption'!E96+'Gas Balance'!AC36*'Surface Processing'!M122+IF('Fuel Cycle'!F10=2,ABS('Energy Consumption'!E84),0))</f>
        <v>5522.3451677795847</v>
      </c>
      <c r="I20" s="924" t="s">
        <v>268</v>
      </c>
      <c r="J20" s="926" t="str">
        <f>"Diesel"</f>
        <v>Diesel</v>
      </c>
      <c r="K20" s="921" t="str">
        <f t="shared" ref="K20" si="0">IF(J20="Natural gas","1A",IF(J20="NGL","1B",IF(J20="Diesel","2","3")))</f>
        <v>2</v>
      </c>
      <c r="L20" s="142"/>
    </row>
    <row r="21" spans="2:12" ht="15" customHeight="1">
      <c r="B21" s="143"/>
      <c r="C21" s="144"/>
      <c r="D21" s="144"/>
      <c r="E21" s="144"/>
      <c r="F21" s="144"/>
      <c r="G21" s="145"/>
      <c r="H21" s="149"/>
      <c r="I21" s="149"/>
      <c r="J21" s="938"/>
      <c r="K21" s="140"/>
    </row>
    <row r="22" spans="2:12" ht="15" customHeight="1">
      <c r="B22" s="150" t="s">
        <v>569</v>
      </c>
      <c r="C22" s="927"/>
      <c r="D22" s="927"/>
      <c r="E22" s="927"/>
      <c r="F22" s="927"/>
      <c r="G22" s="928"/>
      <c r="H22" s="146">
        <f>H23*IF(K23="3",'Input data'!E54/1000,1)+H24*IF(K24="3",'Input data'!E54/1000,1)+H25*IF(K25="3",'Input data'!E54/1000,1)+H26*IF(K26="3",'Input data'!E54/1000,1)+H27*IF(K27="3",'Input data'!E54/1000,1)+H28*IF(K28="3",'Input data'!E54/1000,1)+H29*IF(K29="3",'Input data'!E54/1000,1)+H30*IF(K30="3",'Input data'!E54/1000,1)</f>
        <v>73662.848374676338</v>
      </c>
      <c r="I22" s="929" t="s">
        <v>268</v>
      </c>
      <c r="J22" s="164" t="s">
        <v>1147</v>
      </c>
      <c r="K22" s="921" t="s">
        <v>237</v>
      </c>
    </row>
    <row r="23" spans="2:12" ht="15" customHeight="1">
      <c r="B23" s="152"/>
      <c r="C23" s="153" t="s">
        <v>570</v>
      </c>
      <c r="D23" s="154"/>
      <c r="E23" s="153"/>
      <c r="F23" s="153"/>
      <c r="G23" s="155"/>
      <c r="H23" s="156">
        <f>'Production &amp; Extraction'!M235</f>
        <v>0</v>
      </c>
      <c r="I23" s="157" t="str">
        <f>'Production &amp; Extraction'!N235</f>
        <v>MMBtu/d</v>
      </c>
      <c r="J23" s="141" t="str">
        <f>IF(AND(OR('Production &amp; Extraction'!M72=1,'Production &amp; Extraction'!M72=4),'Production &amp; Extraction'!M77=1),"Natural gas",IF('Production &amp; Extraction'!M72=2,"Electricity",IF('Production &amp; Extraction'!M72=3,"Diesel","NGL")))</f>
        <v>Natural gas</v>
      </c>
      <c r="K23" s="140" t="str">
        <f>IF(J23="Natural gas","1A",IF(J23="NGL","1B",IF(J23="Diesel","2","3")))</f>
        <v>1A</v>
      </c>
    </row>
    <row r="24" spans="2:12" ht="15" customHeight="1">
      <c r="B24" s="152"/>
      <c r="C24" s="153" t="s">
        <v>571</v>
      </c>
      <c r="D24" s="154"/>
      <c r="E24" s="153"/>
      <c r="F24" s="153"/>
      <c r="G24" s="155"/>
      <c r="H24" s="156">
        <f>'Production &amp; Extraction'!M245</f>
        <v>0</v>
      </c>
      <c r="I24" s="157" t="str">
        <f>'Production &amp; Extraction'!N245</f>
        <v>MMBtu/d</v>
      </c>
      <c r="J24" s="141" t="str">
        <f>IF(AND(OR('Production &amp; Extraction'!M89=1,'Production &amp; Extraction'!M89=4),'Production &amp; Extraction'!M94=1),"Natural gas",IF('Production &amp; Extraction'!M89=2,"Electricity",IF('Production &amp; Extraction'!M89=3,"Diesel","NGL")))</f>
        <v>Natural gas</v>
      </c>
      <c r="K24" s="140" t="str">
        <f t="shared" ref="K24:K29" si="1">IF(J24="Natural gas","1A",IF(J24="NGL","1B",IF(J24="Diesel","2","3")))</f>
        <v>1A</v>
      </c>
    </row>
    <row r="25" spans="2:12" ht="15" customHeight="1">
      <c r="B25" s="152"/>
      <c r="C25" s="153" t="s">
        <v>572</v>
      </c>
      <c r="D25" s="154"/>
      <c r="E25" s="153"/>
      <c r="F25" s="153"/>
      <c r="G25" s="155"/>
      <c r="H25" s="156">
        <f>'Production &amp; Extraction'!M266</f>
        <v>0</v>
      </c>
      <c r="I25" s="157" t="str">
        <f>'Production &amp; Extraction'!N266</f>
        <v>MMBtu/d</v>
      </c>
      <c r="J25" s="141" t="str">
        <f>IF('Production &amp; Extraction'!M123=1,"Electricity",IF(AND('Production &amp; Extraction'!M123=2,'Production &amp; Extraction'!M126=1),"Natural gas","NGL"))</f>
        <v>Natural gas</v>
      </c>
      <c r="K25" s="140" t="str">
        <f t="shared" si="1"/>
        <v>1A</v>
      </c>
    </row>
    <row r="26" spans="2:12" ht="15" customHeight="1">
      <c r="B26" s="152"/>
      <c r="C26" s="154" t="s">
        <v>745</v>
      </c>
      <c r="D26" s="154"/>
      <c r="E26" s="154"/>
      <c r="F26" s="154"/>
      <c r="G26" s="158"/>
      <c r="H26" s="156">
        <f>'Production &amp; Extraction'!M276</f>
        <v>0</v>
      </c>
      <c r="I26" s="157" t="str">
        <f>'Production &amp; Extraction'!N276</f>
        <v>MMBtu/d</v>
      </c>
      <c r="J26" s="141" t="str">
        <f>IF(AND(OR('Production &amp; Extraction'!M143=1,'Production &amp; Extraction'!M143=4),'Production &amp; Extraction'!M148=1),"Natural gas",IF('Production &amp; Extraction'!M143=2,"Electricity",IF('Production &amp; Extraction'!M143=3,"Diesel","NGL")))</f>
        <v>Natural gas</v>
      </c>
      <c r="K26" s="140" t="str">
        <f t="shared" si="1"/>
        <v>1A</v>
      </c>
    </row>
    <row r="27" spans="2:12" ht="15" customHeight="1">
      <c r="B27" s="152"/>
      <c r="C27" s="153" t="s">
        <v>746</v>
      </c>
      <c r="D27" s="154"/>
      <c r="E27" s="154"/>
      <c r="F27" s="154"/>
      <c r="G27" s="158"/>
      <c r="H27" s="156">
        <f>'Production &amp; Extraction'!M297</f>
        <v>33723.544353043835</v>
      </c>
      <c r="I27" s="140" t="str">
        <f>'Production &amp; Extraction'!N297</f>
        <v>MMBtu/d</v>
      </c>
      <c r="J27" s="141" t="str">
        <f>IF('Production &amp; Extraction'!M174=1,"Electricity",IF(AND('Production &amp; Extraction'!M174=2,'Production &amp; Extraction'!M177=1),"Natural gas","NGL"))</f>
        <v>Natural gas</v>
      </c>
      <c r="K27" s="140" t="str">
        <f t="shared" si="1"/>
        <v>1A</v>
      </c>
    </row>
    <row r="28" spans="2:12" ht="15" customHeight="1">
      <c r="B28" s="152"/>
      <c r="C28" s="154" t="s">
        <v>582</v>
      </c>
      <c r="D28" s="154"/>
      <c r="E28" s="154"/>
      <c r="F28" s="154"/>
      <c r="G28" s="158"/>
      <c r="H28" s="159">
        <f>IF('Production &amp; Extraction'!M20=1,'Production &amp; Extraction'!M191*'Production &amp; Extraction'!M189*1000,0)</f>
        <v>3117537.313432835</v>
      </c>
      <c r="I28" s="140" t="s">
        <v>317</v>
      </c>
      <c r="J28" s="160" t="str">
        <f>"Electricity"</f>
        <v>Electricity</v>
      </c>
      <c r="K28" s="140" t="str">
        <f t="shared" si="1"/>
        <v>3</v>
      </c>
    </row>
    <row r="29" spans="2:12" ht="15" customHeight="1">
      <c r="B29" s="152"/>
      <c r="C29" s="154" t="s">
        <v>1132</v>
      </c>
      <c r="D29" s="154"/>
      <c r="E29" s="154"/>
      <c r="F29" s="154"/>
      <c r="G29" s="158"/>
      <c r="H29" s="156">
        <f>'Production &amp; Extraction'!M318</f>
        <v>29301.766152945522</v>
      </c>
      <c r="I29" s="140" t="str">
        <f>'Production &amp; Extraction'!N318</f>
        <v>MMBtu/d</v>
      </c>
      <c r="J29" s="160" t="str">
        <f>IF('Production &amp; Extraction'!M206=1,"Electricity",IF(AND('Production &amp; Extraction'!M206=2,'Production &amp; Extraction'!M209=1),"Natural gas","NGL"))</f>
        <v>Natural gas</v>
      </c>
      <c r="K29" s="140" t="str">
        <f t="shared" si="1"/>
        <v>1A</v>
      </c>
    </row>
    <row r="30" spans="2:12" ht="15" customHeight="1">
      <c r="B30" s="152"/>
      <c r="C30" s="154" t="s">
        <v>69</v>
      </c>
      <c r="D30" s="154"/>
      <c r="E30" s="154"/>
      <c r="F30" s="154"/>
      <c r="G30" s="158"/>
      <c r="H30" s="159">
        <f>H31+H32</f>
        <v>0</v>
      </c>
      <c r="I30" s="159" t="s">
        <v>268</v>
      </c>
      <c r="J30" s="160" t="s">
        <v>1147</v>
      </c>
      <c r="K30" s="140" t="s">
        <v>237</v>
      </c>
      <c r="L30" s="78"/>
    </row>
    <row r="31" spans="2:12" ht="15" customHeight="1">
      <c r="B31" s="161"/>
      <c r="C31" s="144"/>
      <c r="D31" s="144" t="s">
        <v>1149</v>
      </c>
      <c r="E31" s="144"/>
      <c r="F31" s="144"/>
      <c r="G31" s="145"/>
      <c r="H31" s="162">
        <f>'Production &amp; Extraction'!M322</f>
        <v>0</v>
      </c>
      <c r="I31" s="162" t="s">
        <v>268</v>
      </c>
      <c r="J31" s="161" t="str">
        <f>IF('Steam Injection'!M72=1,"Natural gas","Crude oil")</f>
        <v>Natural gas</v>
      </c>
      <c r="K31" s="140" t="str">
        <f>IF(J31="Natural gas","1A",IF(J31="NGL","1B",IF(J31="Diesel","2",IF(J31="Electricity","3","4"))))</f>
        <v>1A</v>
      </c>
      <c r="L31" s="78"/>
    </row>
    <row r="32" spans="2:12" ht="15" customHeight="1">
      <c r="B32" s="152"/>
      <c r="C32" s="154"/>
      <c r="D32" s="154" t="s">
        <v>406</v>
      </c>
      <c r="E32" s="154"/>
      <c r="F32" s="154"/>
      <c r="G32" s="158"/>
      <c r="H32" s="163">
        <f>'Production &amp; Extraction'!M323*IF('Fuel Cycle'!F10=2,'Steam Injection'!M484/('Steam Injection'!M484+'Steam Injection'!M486),1)</f>
        <v>0</v>
      </c>
      <c r="I32" s="152" t="s">
        <v>268</v>
      </c>
      <c r="J32" s="152" t="str">
        <f>"Natural gas"</f>
        <v>Natural gas</v>
      </c>
      <c r="K32" s="140" t="str">
        <f>IF(J32="Natural gas","1A",IF(J32="NGL","1B",IF(J32="Diesel","2","3")))</f>
        <v>1A</v>
      </c>
    </row>
    <row r="33" spans="2:11" ht="15" customHeight="1">
      <c r="B33" s="161"/>
      <c r="C33" s="144"/>
      <c r="D33" s="144"/>
      <c r="E33" s="144"/>
      <c r="F33" s="144"/>
      <c r="G33" s="145"/>
      <c r="H33" s="135"/>
      <c r="I33" s="161"/>
      <c r="J33" s="161"/>
      <c r="K33" s="149"/>
    </row>
    <row r="34" spans="2:11" ht="15" customHeight="1">
      <c r="B34" s="164" t="s">
        <v>1020</v>
      </c>
      <c r="C34" s="138"/>
      <c r="D34" s="138"/>
      <c r="E34" s="138"/>
      <c r="F34" s="138"/>
      <c r="G34" s="139"/>
      <c r="H34" s="146">
        <f>H36*IF(K36="3",'Input data'!E54/1000,1)+H37*IF(K37="3",'Input data'!E54/1000,1)+H40*'Input data'!E54/1000+H41*'Input data'!E54/1000+H42+H44*IF(K44="3",'Input data'!E54/1000,1)+H45*'Input data'!E54/1000+H47+H48+H50*'Input data'!E54/1000+H51*'Input data'!E54/1000+H52*'Input data'!E54/1000+H53*'Input data'!E54/1000</f>
        <v>49361.466045639485</v>
      </c>
      <c r="I34" s="921" t="s">
        <v>268</v>
      </c>
      <c r="J34" s="164" t="s">
        <v>1147</v>
      </c>
      <c r="K34" s="921" t="s">
        <v>237</v>
      </c>
    </row>
    <row r="35" spans="2:11" ht="15" customHeight="1">
      <c r="B35" s="160"/>
      <c r="C35" s="138" t="s">
        <v>580</v>
      </c>
      <c r="D35" s="138"/>
      <c r="E35" s="138"/>
      <c r="F35" s="138"/>
      <c r="G35" s="139"/>
      <c r="H35" s="156"/>
      <c r="I35" s="140"/>
      <c r="J35" s="160"/>
      <c r="K35" s="140"/>
    </row>
    <row r="36" spans="2:11" ht="15" customHeight="1">
      <c r="B36" s="160"/>
      <c r="C36" s="138"/>
      <c r="D36" s="138" t="s">
        <v>583</v>
      </c>
      <c r="E36" s="138"/>
      <c r="F36" s="138"/>
      <c r="G36" s="139"/>
      <c r="H36" s="156">
        <f>'Surface Processing'!M180</f>
        <v>0</v>
      </c>
      <c r="I36" s="140" t="str">
        <f>'Surface Processing'!N180</f>
        <v>MMBtu/d</v>
      </c>
      <c r="J36" s="160" t="str">
        <f>IF(AND('Surface Processing'!M22=1,'Surface Processing'!M25=1),"Natural gas",IF('Surface Processing'!M22=2,"Electricity","NGL"))</f>
        <v>Natural gas</v>
      </c>
      <c r="K36" s="140" t="str">
        <f>IF(J36="Natural gas","1A",IF(J36="NGL","1B",IF(J36="Diesel","2","3")))</f>
        <v>1A</v>
      </c>
    </row>
    <row r="37" spans="2:11" ht="15" customHeight="1">
      <c r="B37" s="160"/>
      <c r="C37" s="138"/>
      <c r="D37" s="138" t="s">
        <v>584</v>
      </c>
      <c r="E37" s="138"/>
      <c r="F37" s="138"/>
      <c r="G37" s="139"/>
      <c r="H37" s="156">
        <f>'Surface Processing'!M186</f>
        <v>32130</v>
      </c>
      <c r="I37" s="140" t="str">
        <f>'Surface Processing'!N186</f>
        <v>MMBtu/d</v>
      </c>
      <c r="J37" s="160" t="str">
        <f>IF(AND('Surface Processing'!M44=1,'Surface Processing'!M47=1),"Natural gas",IF('Surface Processing'!M44=2,"Electricity","NGL"))</f>
        <v>Natural gas</v>
      </c>
      <c r="K37" s="140" t="str">
        <f>IF(J37="Natural gas","1A",IF(J37="NGL","1B",IF(J37="Diesel","2","3")))</f>
        <v>1A</v>
      </c>
    </row>
    <row r="38" spans="2:11" ht="15" customHeight="1">
      <c r="B38" s="160"/>
      <c r="C38" s="138" t="s">
        <v>585</v>
      </c>
      <c r="D38" s="138"/>
      <c r="E38" s="138"/>
      <c r="F38" s="138"/>
      <c r="G38" s="139"/>
      <c r="H38" s="156"/>
      <c r="I38" s="140"/>
      <c r="J38" s="160"/>
      <c r="K38" s="140"/>
    </row>
    <row r="39" spans="2:11" ht="15" customHeight="1">
      <c r="B39" s="160"/>
      <c r="C39" s="138"/>
      <c r="D39" s="138" t="s">
        <v>586</v>
      </c>
      <c r="E39" s="138"/>
      <c r="F39" s="138"/>
      <c r="G39" s="139"/>
      <c r="H39" s="156"/>
      <c r="I39" s="140"/>
      <c r="J39" s="160"/>
      <c r="K39" s="140"/>
    </row>
    <row r="40" spans="2:11" ht="15" customHeight="1">
      <c r="B40" s="160"/>
      <c r="C40" s="138"/>
      <c r="D40" s="138"/>
      <c r="E40" s="138" t="s">
        <v>48</v>
      </c>
      <c r="F40" s="138"/>
      <c r="G40" s="139"/>
      <c r="H40" s="156">
        <f>'Surface Processing'!M231</f>
        <v>18477.146865665101</v>
      </c>
      <c r="I40" s="140" t="str">
        <f>'Surface Processing'!N231</f>
        <v>kWh/d</v>
      </c>
      <c r="J40" s="160" t="str">
        <f>"Electricity"</f>
        <v>Electricity</v>
      </c>
      <c r="K40" s="140" t="str">
        <f>IF(J40="Natural gas","1A",IF(J40="NGL","1B",IF(J40="Diesel","2","3")))</f>
        <v>3</v>
      </c>
    </row>
    <row r="41" spans="2:11" ht="15" customHeight="1">
      <c r="B41" s="160"/>
      <c r="C41" s="138"/>
      <c r="D41" s="138"/>
      <c r="E41" s="138" t="s">
        <v>587</v>
      </c>
      <c r="F41" s="138"/>
      <c r="G41" s="139"/>
      <c r="H41" s="156">
        <f>'Surface Processing'!M240</f>
        <v>52513.996355048192</v>
      </c>
      <c r="I41" s="140" t="str">
        <f>'Surface Processing'!N240</f>
        <v>kWh/d</v>
      </c>
      <c r="J41" s="160" t="str">
        <f>"Electricity"</f>
        <v>Electricity</v>
      </c>
      <c r="K41" s="140" t="str">
        <f>IF(J41="Natural gas","1A",IF(J41="NGL","1B",IF(J41="Diesel","2","3")))</f>
        <v>3</v>
      </c>
    </row>
    <row r="42" spans="2:11" ht="15" customHeight="1">
      <c r="B42" s="160"/>
      <c r="C42" s="138"/>
      <c r="D42" s="138"/>
      <c r="E42" s="138" t="s">
        <v>280</v>
      </c>
      <c r="F42" s="138"/>
      <c r="G42" s="139"/>
      <c r="H42" s="156">
        <f>'Surface Processing'!M245</f>
        <v>6527.6851119720241</v>
      </c>
      <c r="I42" s="140" t="str">
        <f>'Surface Processing'!N245</f>
        <v>MMBtu/d</v>
      </c>
      <c r="J42" s="160" t="str">
        <f>IF('Surface Processing'!M83=1,"Natural gas","NGL")</f>
        <v>Natural gas</v>
      </c>
      <c r="K42" s="140" t="str">
        <f>IF(J42="Natural gas","1A",IF(J42="NGL","1B",IF(J42="Diesel","2","3")))</f>
        <v>1A</v>
      </c>
    </row>
    <row r="43" spans="2:11" ht="15" customHeight="1">
      <c r="B43" s="160"/>
      <c r="C43" s="138"/>
      <c r="D43" s="138" t="s">
        <v>593</v>
      </c>
      <c r="E43" s="138"/>
      <c r="F43" s="138"/>
      <c r="G43" s="139"/>
      <c r="H43" s="156"/>
      <c r="I43" s="140"/>
      <c r="J43" s="160"/>
      <c r="K43" s="140"/>
    </row>
    <row r="44" spans="2:11" ht="15" customHeight="1">
      <c r="B44" s="160"/>
      <c r="C44" s="138"/>
      <c r="D44" s="138"/>
      <c r="E44" s="138" t="s">
        <v>280</v>
      </c>
      <c r="F44" s="138"/>
      <c r="G44" s="139"/>
      <c r="H44" s="165">
        <f>'Surface Processing'!M283</f>
        <v>250.34748639950931</v>
      </c>
      <c r="I44" s="140" t="str">
        <f>'Surface Processing'!O283</f>
        <v>MMBtu/d</v>
      </c>
      <c r="J44" s="160" t="str">
        <f>IF(AND('Surface Processing'!M99=1,'Surface Processing'!M105=1),"Natural gas",IF('Surface Processing'!M99=2,"Electricity","NGL"))</f>
        <v>Natural gas</v>
      </c>
      <c r="K44" s="140" t="str">
        <f>IF(J44="Natural gas","1A",IF(J44="NGL","1B",IF(J44="Diesel","2","3")))</f>
        <v>1A</v>
      </c>
    </row>
    <row r="45" spans="2:11" ht="15" customHeight="1">
      <c r="B45" s="160"/>
      <c r="C45" s="138"/>
      <c r="D45" s="138"/>
      <c r="E45" s="138" t="s">
        <v>588</v>
      </c>
      <c r="F45" s="138"/>
      <c r="G45" s="139"/>
      <c r="H45" s="156">
        <f>'Surface Processing'!M290</f>
        <v>1163.5752654408802</v>
      </c>
      <c r="I45" s="140" t="str">
        <f>'Surface Processing'!O290</f>
        <v>kWh/d</v>
      </c>
      <c r="J45" s="160" t="str">
        <f>"Electricity"</f>
        <v>Electricity</v>
      </c>
      <c r="K45" s="140" t="str">
        <f>IF(J45="Natural gas","1A",IF(J45="NGL","1B",IF(J45="Diesel","2","3")))</f>
        <v>3</v>
      </c>
    </row>
    <row r="46" spans="2:11" ht="15" customHeight="1">
      <c r="B46" s="161"/>
      <c r="C46" s="144"/>
      <c r="D46" s="144" t="s">
        <v>1059</v>
      </c>
      <c r="E46" s="144"/>
      <c r="F46" s="144"/>
      <c r="G46" s="145"/>
      <c r="H46" s="148"/>
      <c r="I46" s="149"/>
      <c r="J46" s="161"/>
      <c r="K46" s="140"/>
    </row>
    <row r="47" spans="2:11" ht="15" customHeight="1">
      <c r="B47" s="161"/>
      <c r="C47" s="144"/>
      <c r="D47" s="144"/>
      <c r="E47" s="144" t="s">
        <v>3779</v>
      </c>
      <c r="F47" s="144"/>
      <c r="G47" s="145"/>
      <c r="H47" s="148">
        <f>'Surface Processing'!M309</f>
        <v>10159.628633704466</v>
      </c>
      <c r="I47" s="149" t="s">
        <v>268</v>
      </c>
      <c r="J47" s="161" t="s">
        <v>1010</v>
      </c>
      <c r="K47" s="140" t="str">
        <f t="shared" ref="K47:K48" si="2">IF(J47="Natural gas","1A",IF(J47="NGL","1B",IF(J47="Diesel","2","3")))</f>
        <v>1A</v>
      </c>
    </row>
    <row r="48" spans="2:11" ht="15" customHeight="1">
      <c r="B48" s="161"/>
      <c r="C48" s="144"/>
      <c r="D48" s="144"/>
      <c r="E48" s="144" t="s">
        <v>2534</v>
      </c>
      <c r="F48" s="144"/>
      <c r="G48" s="145"/>
      <c r="H48" s="148">
        <f>'Surface Processing'!M310</f>
        <v>0</v>
      </c>
      <c r="I48" s="149" t="s">
        <v>268</v>
      </c>
      <c r="J48" s="161" t="s">
        <v>1010</v>
      </c>
      <c r="K48" s="140" t="str">
        <f t="shared" si="2"/>
        <v>1A</v>
      </c>
    </row>
    <row r="49" spans="2:11" ht="15" customHeight="1">
      <c r="B49" s="160"/>
      <c r="C49" s="138" t="s">
        <v>72</v>
      </c>
      <c r="D49" s="138"/>
      <c r="E49" s="138"/>
      <c r="F49" s="138"/>
      <c r="G49" s="139"/>
      <c r="H49" s="156"/>
      <c r="I49" s="140"/>
      <c r="J49" s="160"/>
      <c r="K49" s="140"/>
    </row>
    <row r="50" spans="2:11" ht="15" customHeight="1">
      <c r="B50" s="160"/>
      <c r="C50" s="138"/>
      <c r="D50" s="166" t="s">
        <v>589</v>
      </c>
      <c r="E50" s="138" t="str">
        <f>'Surface Processing'!D326</f>
        <v>DAF</v>
      </c>
      <c r="F50" s="138" t="s">
        <v>1005</v>
      </c>
      <c r="G50" s="139" t="str">
        <f>'Surface Processing'!D339</f>
        <v>DAF</v>
      </c>
      <c r="H50" s="156">
        <f>'Surface Processing'!E323+'Surface Processing'!E336</f>
        <v>6587.7337500000012</v>
      </c>
      <c r="I50" s="140" t="str">
        <f>'Surface Processing'!F323</f>
        <v>kWh/d</v>
      </c>
      <c r="J50" s="160" t="str">
        <f>"Electricity"</f>
        <v>Electricity</v>
      </c>
      <c r="K50" s="140" t="str">
        <f>IF(J50="Natural gas","1A",IF(J50="NGL","1B",IF(J50="Diesel","2","3")))</f>
        <v>3</v>
      </c>
    </row>
    <row r="51" spans="2:11" ht="15" customHeight="1">
      <c r="B51" s="160"/>
      <c r="C51" s="138"/>
      <c r="D51" s="138" t="s">
        <v>590</v>
      </c>
      <c r="E51" s="138" t="str">
        <f>'Surface Processing'!H326</f>
        <v>RBC</v>
      </c>
      <c r="F51" s="138" t="s">
        <v>1005</v>
      </c>
      <c r="G51" s="139" t="str">
        <f>'Surface Processing'!H339</f>
        <v>RBC</v>
      </c>
      <c r="H51" s="156">
        <f>'Surface Processing'!I323+'Surface Processing'!I336</f>
        <v>6557.9250000000002</v>
      </c>
      <c r="I51" s="140" t="str">
        <f>'Surface Processing'!J323</f>
        <v>kWh/d</v>
      </c>
      <c r="J51" s="160" t="str">
        <f t="shared" ref="J51:J53" si="3">"Electricity"</f>
        <v>Electricity</v>
      </c>
      <c r="K51" s="140" t="str">
        <f>IF(J51="Natural gas","1A",IF(J51="NGL","1B",IF(J51="Diesel","2","3")))</f>
        <v>3</v>
      </c>
    </row>
    <row r="52" spans="2:11" ht="15" customHeight="1">
      <c r="B52" s="160"/>
      <c r="C52" s="138"/>
      <c r="D52" s="138" t="s">
        <v>591</v>
      </c>
      <c r="E52" s="138" t="str">
        <f>'Surface Processing'!L326</f>
        <v>DMF</v>
      </c>
      <c r="F52" s="138" t="s">
        <v>1005</v>
      </c>
      <c r="G52" s="139" t="str">
        <f>'Surface Processing'!L339</f>
        <v>DMF</v>
      </c>
      <c r="H52" s="156">
        <f>'Surface Processing'!M323+'Surface Processing'!M336</f>
        <v>804.83625000000006</v>
      </c>
      <c r="I52" s="140" t="str">
        <f>'Surface Processing'!N323</f>
        <v>kWh/d</v>
      </c>
      <c r="J52" s="160" t="str">
        <f t="shared" si="3"/>
        <v>Electricity</v>
      </c>
      <c r="K52" s="140" t="str">
        <f>IF(J52="Natural gas","1A",IF(J52="NGL","1B",IF(J52="Diesel","2","3")))</f>
        <v>3</v>
      </c>
    </row>
    <row r="53" spans="2:11" ht="15" customHeight="1">
      <c r="B53" s="160"/>
      <c r="C53" s="138"/>
      <c r="D53" s="138" t="s">
        <v>592</v>
      </c>
      <c r="E53" s="138" t="str">
        <f>'Surface Processing'!P326</f>
        <v>N/A</v>
      </c>
      <c r="F53" s="138" t="s">
        <v>1005</v>
      </c>
      <c r="G53" s="139" t="str">
        <f>'Surface Processing'!P339</f>
        <v>N/A</v>
      </c>
      <c r="H53" s="156">
        <f>'Surface Processing'!Q323+'Surface Processing'!Q336</f>
        <v>0</v>
      </c>
      <c r="I53" s="140" t="str">
        <f>'Surface Processing'!R323</f>
        <v>kWh/d</v>
      </c>
      <c r="J53" s="160" t="str">
        <f t="shared" si="3"/>
        <v>Electricity</v>
      </c>
      <c r="K53" s="140" t="str">
        <f>IF(J53="Natural gas","1A",IF(J53="NGL","1B",IF(J53="Diesel","2","3")))</f>
        <v>3</v>
      </c>
    </row>
    <row r="54" spans="2:11" ht="15" customHeight="1">
      <c r="B54" s="161"/>
      <c r="C54" s="144"/>
      <c r="D54" s="144"/>
      <c r="E54" s="144"/>
      <c r="F54" s="144"/>
      <c r="G54" s="145"/>
      <c r="H54" s="148"/>
      <c r="I54" s="149"/>
      <c r="J54" s="161"/>
      <c r="K54" s="149"/>
    </row>
    <row r="55" spans="2:11" ht="15" customHeight="1">
      <c r="B55" s="164" t="s">
        <v>671</v>
      </c>
      <c r="C55" s="930"/>
      <c r="D55" s="930"/>
      <c r="E55" s="930"/>
      <c r="F55" s="930"/>
      <c r="G55" s="931"/>
      <c r="H55" s="146">
        <v>0</v>
      </c>
      <c r="I55" s="921" t="s">
        <v>268</v>
      </c>
      <c r="J55" s="164" t="s">
        <v>237</v>
      </c>
      <c r="K55" s="921" t="s">
        <v>237</v>
      </c>
    </row>
    <row r="56" spans="2:11" ht="15" customHeight="1">
      <c r="B56" s="160"/>
      <c r="C56" s="138"/>
      <c r="D56" s="138"/>
      <c r="E56" s="138"/>
      <c r="F56" s="138"/>
      <c r="G56" s="139"/>
      <c r="H56" s="156"/>
      <c r="I56" s="140"/>
      <c r="J56" s="160"/>
      <c r="K56" s="140"/>
    </row>
    <row r="57" spans="2:11" ht="15" customHeight="1">
      <c r="B57" s="164" t="s">
        <v>905</v>
      </c>
      <c r="C57" s="930"/>
      <c r="D57" s="930"/>
      <c r="E57" s="930"/>
      <c r="F57" s="930"/>
      <c r="G57" s="931"/>
      <c r="H57" s="146">
        <v>0</v>
      </c>
      <c r="I57" s="921" t="s">
        <v>268</v>
      </c>
      <c r="J57" s="164" t="s">
        <v>237</v>
      </c>
      <c r="K57" s="921" t="s">
        <v>237</v>
      </c>
    </row>
    <row r="58" spans="2:11" ht="15" customHeight="1">
      <c r="B58" s="143"/>
      <c r="C58" s="144"/>
      <c r="D58" s="144"/>
      <c r="E58" s="144"/>
      <c r="F58" s="144"/>
      <c r="G58" s="145"/>
      <c r="H58" s="146"/>
      <c r="I58" s="149"/>
      <c r="J58" s="161"/>
      <c r="K58" s="149"/>
    </row>
    <row r="59" spans="2:11" ht="15" customHeight="1">
      <c r="B59" s="167" t="s">
        <v>763</v>
      </c>
      <c r="C59" s="932"/>
      <c r="D59" s="932"/>
      <c r="E59" s="932"/>
      <c r="F59" s="932"/>
      <c r="G59" s="933"/>
      <c r="H59" s="146">
        <f>H60</f>
        <v>0</v>
      </c>
      <c r="I59" s="934" t="str">
        <f>I60</f>
        <v>MMBtu/d</v>
      </c>
      <c r="J59" s="934" t="str">
        <f>J60</f>
        <v>Natural gas</v>
      </c>
      <c r="K59" s="934" t="str">
        <f>K60</f>
        <v>1A</v>
      </c>
    </row>
    <row r="60" spans="2:11" ht="15" customHeight="1">
      <c r="B60" s="170"/>
      <c r="C60" s="168" t="s">
        <v>1133</v>
      </c>
      <c r="D60" s="168"/>
      <c r="E60" s="168"/>
      <c r="F60" s="168"/>
      <c r="G60" s="169"/>
      <c r="H60" s="920">
        <f>Electricity!M79</f>
        <v>0</v>
      </c>
      <c r="I60" s="172" t="s">
        <v>268</v>
      </c>
      <c r="J60" s="172" t="str">
        <f>IF(OR(Electricity!M15=1,Electricity!M15=2),"Natural gas","Diesel")</f>
        <v>Natural gas</v>
      </c>
      <c r="K60" s="172" t="str">
        <f>IF(J60="Natural gas","1A",IF(J60="NGL","1B",IF(J60="Diesel","2","3")))</f>
        <v>1A</v>
      </c>
    </row>
    <row r="61" spans="2:11" ht="15" customHeight="1">
      <c r="B61" s="161"/>
      <c r="C61" s="144"/>
      <c r="D61" s="144"/>
      <c r="E61" s="144"/>
      <c r="F61" s="144"/>
      <c r="G61" s="923" t="s">
        <v>1241</v>
      </c>
      <c r="H61" s="173">
        <f>H18+H20+H22+H34+H55+H57+H59</f>
        <v>128546.65958809541</v>
      </c>
      <c r="I61" s="934" t="s">
        <v>268</v>
      </c>
      <c r="J61" s="934" t="s">
        <v>1147</v>
      </c>
      <c r="K61" s="934" t="s">
        <v>237</v>
      </c>
    </row>
    <row r="62" spans="2:11">
      <c r="B62" s="174"/>
      <c r="C62" s="174"/>
      <c r="D62" s="174"/>
      <c r="E62" s="174"/>
      <c r="F62" s="174"/>
      <c r="G62" s="174"/>
      <c r="H62" s="175"/>
      <c r="I62" s="124"/>
      <c r="J62" s="176"/>
      <c r="K62" s="176"/>
    </row>
    <row r="64" spans="2:11">
      <c r="B64" s="73" t="s">
        <v>1245</v>
      </c>
    </row>
    <row r="65" spans="1:10" ht="15.75">
      <c r="B65" s="1039" t="s">
        <v>1247</v>
      </c>
      <c r="C65" s="1039"/>
      <c r="D65" s="1039"/>
      <c r="E65" s="1039"/>
      <c r="F65" s="1039"/>
      <c r="G65" s="177"/>
    </row>
    <row r="66" spans="1:10">
      <c r="B66" s="160"/>
      <c r="C66" s="138"/>
      <c r="D66" s="139"/>
      <c r="E66" s="140" t="s">
        <v>339</v>
      </c>
      <c r="F66" s="140" t="s">
        <v>239</v>
      </c>
    </row>
    <row r="67" spans="1:10">
      <c r="B67" s="1042" t="s">
        <v>1010</v>
      </c>
      <c r="C67" s="1043"/>
      <c r="D67" s="1044"/>
      <c r="E67" s="942">
        <f>SUMIF(K18:K61,E8,H18:H61)</f>
        <v>112092.97173806536</v>
      </c>
      <c r="F67" s="140" t="s">
        <v>268</v>
      </c>
      <c r="H67" s="78"/>
    </row>
    <row r="68" spans="1:10">
      <c r="B68" s="160" t="s">
        <v>878</v>
      </c>
      <c r="C68" s="138"/>
      <c r="D68" s="139"/>
      <c r="E68" s="943">
        <f>SUMIF(K18:K61,E9,H18:H61)</f>
        <v>0</v>
      </c>
      <c r="F68" s="140" t="s">
        <v>268</v>
      </c>
    </row>
    <row r="69" spans="1:10">
      <c r="B69" s="160" t="s">
        <v>575</v>
      </c>
      <c r="C69" s="138"/>
      <c r="D69" s="139"/>
      <c r="E69" s="943">
        <f>SUMIF(K18:K61,E10,H18:H61)</f>
        <v>5522.3451677795847</v>
      </c>
      <c r="F69" s="140" t="s">
        <v>268</v>
      </c>
      <c r="J69" s="919"/>
    </row>
    <row r="70" spans="1:10">
      <c r="B70" s="160" t="s">
        <v>132</v>
      </c>
      <c r="C70" s="138"/>
      <c r="D70" s="139"/>
      <c r="E70" s="942">
        <f>SUMIF(K18:K57,E11,H18:H57)*'Input data'!E53/1000000</f>
        <v>10931.342682250475</v>
      </c>
      <c r="F70" s="140" t="s">
        <v>268</v>
      </c>
    </row>
    <row r="71" spans="1:10">
      <c r="B71" s="161" t="s">
        <v>1148</v>
      </c>
      <c r="C71" s="144"/>
      <c r="D71" s="145"/>
      <c r="E71" s="943">
        <f>SUMIF(K18:K61,E12,H18:H61)</f>
        <v>0</v>
      </c>
      <c r="F71" s="140" t="s">
        <v>268</v>
      </c>
    </row>
    <row r="72" spans="1:10">
      <c r="A72" s="118"/>
      <c r="B72" s="161"/>
      <c r="C72" s="144"/>
      <c r="D72" s="145" t="s">
        <v>1241</v>
      </c>
      <c r="E72" s="943">
        <f>SUM(E67:E71)</f>
        <v>128546.65958809541</v>
      </c>
      <c r="F72" s="140" t="s">
        <v>268</v>
      </c>
      <c r="G72" s="118"/>
      <c r="H72" s="118"/>
    </row>
    <row r="73" spans="1:10">
      <c r="A73" s="118"/>
      <c r="B73" s="174"/>
      <c r="C73" s="174"/>
      <c r="D73" s="174"/>
      <c r="E73" s="178"/>
      <c r="F73" s="174"/>
      <c r="G73" s="118"/>
      <c r="H73" s="118"/>
    </row>
    <row r="74" spans="1:10">
      <c r="A74" s="118"/>
      <c r="B74" s="118"/>
      <c r="C74" s="118"/>
      <c r="D74" s="118"/>
      <c r="E74" s="118"/>
      <c r="F74" s="118"/>
      <c r="G74" s="118"/>
      <c r="H74" s="118"/>
    </row>
    <row r="75" spans="1:10">
      <c r="A75" s="118"/>
      <c r="B75" s="73" t="s">
        <v>1136</v>
      </c>
      <c r="C75" s="118"/>
      <c r="D75" s="118"/>
      <c r="E75" s="118"/>
      <c r="F75" s="118"/>
      <c r="G75" s="118"/>
      <c r="H75" s="118"/>
    </row>
    <row r="76" spans="1:10">
      <c r="A76" s="118"/>
      <c r="B76" s="179" t="s">
        <v>931</v>
      </c>
      <c r="C76" s="179"/>
      <c r="D76" s="179"/>
      <c r="E76" s="179"/>
      <c r="F76" s="179"/>
      <c r="G76" s="118"/>
      <c r="H76" s="118"/>
    </row>
    <row r="77" spans="1:10">
      <c r="A77" s="118"/>
      <c r="B77" s="944"/>
      <c r="C77" s="945"/>
      <c r="D77" s="946"/>
      <c r="E77" s="947" t="s">
        <v>339</v>
      </c>
      <c r="F77" s="947" t="s">
        <v>239</v>
      </c>
      <c r="G77" s="118"/>
      <c r="H77" s="118"/>
    </row>
    <row r="78" spans="1:10">
      <c r="A78" s="118"/>
      <c r="B78" s="948" t="s">
        <v>1010</v>
      </c>
      <c r="C78" s="949"/>
      <c r="D78" s="950"/>
      <c r="E78" s="777">
        <f>E67+(IF(AND('Production &amp; Extraction'!M20=1,'Production &amp; Extraction'!M186=1),'Production &amp; Extraction'!M189/1000-'Gas Balance'!AL32,0)-'Gas Balance'!AL29)*'Gas Balance'!AC20/'Gas Balance'!AC23+(('Venting &amp; Fugitives'!I254-'Venting &amp; Fugitives'!I268)/365)</f>
        <v>112092.97173806536</v>
      </c>
      <c r="F78" s="951" t="s">
        <v>268</v>
      </c>
      <c r="G78" s="142" t="s">
        <v>2295</v>
      </c>
      <c r="H78" s="118"/>
    </row>
    <row r="79" spans="1:10">
      <c r="A79" s="118"/>
      <c r="B79" s="944" t="s">
        <v>878</v>
      </c>
      <c r="C79" s="945"/>
      <c r="D79" s="946"/>
      <c r="E79" s="777">
        <f>E68-'Gas Balance'!AC36*'Surface Processing'!M121</f>
        <v>-26257.465466080899</v>
      </c>
      <c r="F79" s="947" t="s">
        <v>268</v>
      </c>
      <c r="G79" s="142"/>
      <c r="H79" s="118"/>
    </row>
    <row r="80" spans="1:10">
      <c r="A80" s="118"/>
      <c r="B80" s="944" t="s">
        <v>575</v>
      </c>
      <c r="C80" s="945"/>
      <c r="D80" s="946"/>
      <c r="E80" s="777">
        <f>E69</f>
        <v>5522.3451677795847</v>
      </c>
      <c r="F80" s="947" t="s">
        <v>268</v>
      </c>
      <c r="G80" s="142"/>
      <c r="H80" s="118"/>
    </row>
    <row r="81" spans="1:13">
      <c r="A81" s="118"/>
      <c r="B81" s="944" t="s">
        <v>132</v>
      </c>
      <c r="C81" s="945"/>
      <c r="D81" s="946"/>
      <c r="E81" s="777">
        <f>E70-Electricity!M77-IF('Fuel Cycle'!F10=1,'Production &amp; Extraction'!M324,0)</f>
        <v>10931.342682250475</v>
      </c>
      <c r="F81" s="947" t="s">
        <v>268</v>
      </c>
      <c r="G81" s="142" t="s">
        <v>1138</v>
      </c>
      <c r="H81" s="118"/>
    </row>
    <row r="82" spans="1:13">
      <c r="A82" s="118"/>
      <c r="B82" s="952" t="s">
        <v>1148</v>
      </c>
      <c r="C82" s="144"/>
      <c r="D82" s="145"/>
      <c r="E82" s="777" t="s">
        <v>237</v>
      </c>
      <c r="F82" s="947" t="s">
        <v>268</v>
      </c>
      <c r="G82" s="142" t="s">
        <v>1150</v>
      </c>
      <c r="H82" s="118"/>
    </row>
    <row r="83" spans="1:13">
      <c r="A83" s="118"/>
      <c r="B83" s="952"/>
      <c r="C83" s="144" t="s">
        <v>2294</v>
      </c>
      <c r="D83" s="145"/>
      <c r="E83" s="777">
        <f>IF(E78&gt;0,E78,0)+IF(E79&gt;0,E79,0)+E80+IF(E81&gt;0,E81,0)</f>
        <v>128546.65958809541</v>
      </c>
      <c r="F83" s="149" t="s">
        <v>268</v>
      </c>
      <c r="G83" s="142"/>
      <c r="H83" s="118"/>
    </row>
    <row r="84" spans="1:13">
      <c r="A84" s="118"/>
      <c r="B84" s="952"/>
      <c r="C84" s="144" t="s">
        <v>2293</v>
      </c>
      <c r="D84" s="145"/>
      <c r="E84" s="777">
        <f>IF(E78&lt;0,E78,0)+IF(E79&lt;0,E79,0)+IF(E81&lt;0,E81,0)</f>
        <v>-26257.465466080899</v>
      </c>
      <c r="F84" s="149" t="s">
        <v>268</v>
      </c>
      <c r="G84" s="142"/>
      <c r="H84" s="118"/>
    </row>
    <row r="85" spans="1:13">
      <c r="A85" s="118"/>
      <c r="B85" s="142" t="s">
        <v>604</v>
      </c>
      <c r="C85" s="142"/>
      <c r="D85" s="118"/>
      <c r="E85" s="118"/>
      <c r="F85" s="118"/>
      <c r="G85" s="142"/>
      <c r="H85" s="118"/>
      <c r="I85" s="118"/>
    </row>
    <row r="86" spans="1:13" ht="15.75">
      <c r="A86" s="118"/>
      <c r="B86" s="180" t="s">
        <v>601</v>
      </c>
      <c r="C86" s="142"/>
      <c r="D86" s="118"/>
      <c r="E86" s="118"/>
      <c r="F86" s="118"/>
      <c r="G86" s="118"/>
      <c r="H86" s="118"/>
      <c r="I86" s="118"/>
      <c r="J86" s="118"/>
      <c r="K86" s="118"/>
      <c r="M86" s="181"/>
    </row>
    <row r="87" spans="1:13" ht="15.75">
      <c r="A87" s="118"/>
      <c r="B87" s="142" t="s">
        <v>602</v>
      </c>
      <c r="C87" s="142"/>
      <c r="D87" s="118"/>
      <c r="E87" s="118"/>
      <c r="F87" s="118"/>
      <c r="G87" s="118"/>
      <c r="H87" s="118"/>
      <c r="I87" s="118"/>
      <c r="J87" s="118"/>
      <c r="K87" s="118"/>
      <c r="M87" s="181"/>
    </row>
    <row r="88" spans="1:13" ht="15.75">
      <c r="A88" s="118"/>
      <c r="B88" s="142"/>
      <c r="C88" s="118"/>
      <c r="D88" s="118"/>
      <c r="E88" s="118"/>
      <c r="F88" s="118"/>
      <c r="G88" s="118"/>
      <c r="H88" s="118"/>
      <c r="I88" s="118"/>
      <c r="J88" s="118"/>
      <c r="K88" s="118"/>
      <c r="M88" s="181"/>
    </row>
    <row r="89" spans="1:13">
      <c r="B89" s="182" t="s">
        <v>1137</v>
      </c>
      <c r="C89" s="74"/>
      <c r="D89" s="74"/>
      <c r="E89" s="183"/>
      <c r="F89" s="74"/>
      <c r="G89" s="118"/>
      <c r="H89" s="118"/>
      <c r="I89" s="118"/>
    </row>
    <row r="90" spans="1:13" ht="15.75">
      <c r="B90" s="1045" t="s">
        <v>1134</v>
      </c>
      <c r="C90" s="1046"/>
      <c r="D90" s="1046"/>
      <c r="E90" s="1046"/>
      <c r="F90" s="1047"/>
      <c r="G90" s="142" t="s">
        <v>613</v>
      </c>
      <c r="H90" s="118"/>
      <c r="I90" s="118"/>
      <c r="J90" s="91"/>
      <c r="K90" s="73"/>
      <c r="M90" s="73"/>
    </row>
    <row r="91" spans="1:13">
      <c r="B91" s="160"/>
      <c r="C91" s="138"/>
      <c r="D91" s="139"/>
      <c r="E91" s="140" t="s">
        <v>339</v>
      </c>
      <c r="F91" s="140" t="s">
        <v>239</v>
      </c>
      <c r="G91" s="142"/>
      <c r="H91" s="118"/>
      <c r="I91" s="118"/>
    </row>
    <row r="92" spans="1:13">
      <c r="B92" s="1042" t="str">
        <f>B67</f>
        <v>Natural gas</v>
      </c>
      <c r="C92" s="1043"/>
      <c r="D92" s="1044"/>
      <c r="E92" s="942">
        <f>E67</f>
        <v>112092.97173806536</v>
      </c>
      <c r="F92" s="140" t="s">
        <v>268</v>
      </c>
      <c r="G92" s="142"/>
      <c r="H92" s="118"/>
      <c r="I92" s="118"/>
      <c r="K92" s="73"/>
    </row>
    <row r="93" spans="1:13" ht="15.75">
      <c r="B93" s="1042" t="str">
        <f>B68</f>
        <v>NGL</v>
      </c>
      <c r="C93" s="1043"/>
      <c r="D93" s="1044"/>
      <c r="E93" s="943">
        <f>E68</f>
        <v>0</v>
      </c>
      <c r="F93" s="140" t="s">
        <v>268</v>
      </c>
      <c r="G93" s="142"/>
      <c r="H93" s="118"/>
      <c r="I93" s="118"/>
      <c r="J93" s="91"/>
      <c r="K93" s="73"/>
      <c r="M93" s="73"/>
    </row>
    <row r="94" spans="1:13">
      <c r="B94" s="1042" t="str">
        <f>B69</f>
        <v>Diesel</v>
      </c>
      <c r="C94" s="1043"/>
      <c r="D94" s="1044"/>
      <c r="E94" s="943">
        <f>E69</f>
        <v>5522.3451677795847</v>
      </c>
      <c r="F94" s="140" t="s">
        <v>268</v>
      </c>
      <c r="G94" s="142"/>
      <c r="H94" s="118"/>
      <c r="I94" s="118"/>
      <c r="K94" s="73"/>
    </row>
    <row r="95" spans="1:13">
      <c r="B95" s="1042" t="str">
        <f>B70</f>
        <v>Electricity</v>
      </c>
      <c r="C95" s="1043"/>
      <c r="D95" s="1044"/>
      <c r="E95" s="943">
        <f>IF(E81&lt;0,0,E81)</f>
        <v>10931.342682250475</v>
      </c>
      <c r="F95" s="140" t="s">
        <v>268</v>
      </c>
      <c r="G95" s="142" t="s">
        <v>930</v>
      </c>
      <c r="H95" s="118"/>
      <c r="I95" s="118"/>
      <c r="K95" s="73"/>
    </row>
    <row r="96" spans="1:13">
      <c r="B96" s="1041" t="s">
        <v>1148</v>
      </c>
      <c r="C96" s="1041"/>
      <c r="D96" s="1041"/>
      <c r="E96" s="943">
        <f>E71</f>
        <v>0</v>
      </c>
      <c r="F96" s="140" t="s">
        <v>268</v>
      </c>
      <c r="G96" s="184" t="s">
        <v>1329</v>
      </c>
    </row>
    <row r="97" spans="1:19" ht="15.75">
      <c r="A97" s="118"/>
      <c r="B97" s="953"/>
      <c r="C97" s="144"/>
      <c r="D97" s="145" t="s">
        <v>1241</v>
      </c>
      <c r="E97" s="777">
        <f>SUM(E92:E96)</f>
        <v>128546.65958809541</v>
      </c>
      <c r="F97" s="140" t="s">
        <v>268</v>
      </c>
      <c r="J97" s="181"/>
    </row>
    <row r="98" spans="1:19" ht="15.75">
      <c r="A98" s="118"/>
      <c r="B98" s="142"/>
      <c r="J98" s="181"/>
    </row>
    <row r="99" spans="1:19" ht="15.75">
      <c r="A99" s="118"/>
      <c r="B99" s="142"/>
      <c r="J99" s="181"/>
    </row>
    <row r="100" spans="1:19" ht="15.75">
      <c r="A100" s="118"/>
      <c r="B100" s="649" t="s">
        <v>1244</v>
      </c>
      <c r="C100" s="74"/>
      <c r="D100" s="74"/>
      <c r="E100" s="183"/>
      <c r="F100" s="74"/>
      <c r="G100" s="118"/>
      <c r="J100" s="181"/>
    </row>
    <row r="101" spans="1:19" ht="15.75">
      <c r="A101" s="118"/>
      <c r="B101" s="1045" t="s">
        <v>1254</v>
      </c>
      <c r="C101" s="1046"/>
      <c r="D101" s="1046"/>
      <c r="E101" s="1046"/>
      <c r="F101" s="1047"/>
      <c r="G101" s="142" t="s">
        <v>613</v>
      </c>
      <c r="J101" s="181"/>
    </row>
    <row r="102" spans="1:19" ht="15.75">
      <c r="A102" s="118"/>
      <c r="B102" s="160"/>
      <c r="C102" s="138"/>
      <c r="D102" s="139"/>
      <c r="E102" s="140" t="s">
        <v>339</v>
      </c>
      <c r="F102" s="140" t="s">
        <v>239</v>
      </c>
      <c r="G102" s="142"/>
      <c r="J102" s="181"/>
    </row>
    <row r="103" spans="1:19" ht="15.75">
      <c r="A103" s="118"/>
      <c r="B103" s="1042" t="s">
        <v>1259</v>
      </c>
      <c r="C103" s="1043"/>
      <c r="D103" s="1044"/>
      <c r="E103" s="942">
        <f>E78*IF(E78&lt;0,IF('Fuel Cycle'!F10=1,'Fuel Cycle'!E38,0),'Fuel Cycle'!D56)</f>
        <v>11952.137297514695</v>
      </c>
      <c r="F103" s="140" t="s">
        <v>268</v>
      </c>
      <c r="G103" s="142"/>
      <c r="H103" s="643"/>
      <c r="J103" s="181"/>
      <c r="O103" s="643"/>
    </row>
    <row r="104" spans="1:19" ht="15.75">
      <c r="A104" s="118"/>
      <c r="B104" s="1042" t="s">
        <v>1255</v>
      </c>
      <c r="C104" s="1043"/>
      <c r="D104" s="1044"/>
      <c r="E104" s="943">
        <f>E79*IF(E79&lt;0,IF('Fuel Cycle'!F10=1,'Fuel Cycle'!E38,0),'Fuel Cycle'!D56)</f>
        <v>-1862.3970426001524</v>
      </c>
      <c r="F104" s="140" t="s">
        <v>268</v>
      </c>
      <c r="G104" s="142"/>
      <c r="J104" s="181"/>
    </row>
    <row r="105" spans="1:19" ht="15.75">
      <c r="A105" s="118"/>
      <c r="B105" s="1042" t="s">
        <v>1256</v>
      </c>
      <c r="C105" s="1043"/>
      <c r="D105" s="1044"/>
      <c r="E105" s="943">
        <f>E80*'Fuel Cycle'!D57</f>
        <v>1270.3713270863511</v>
      </c>
      <c r="F105" s="140" t="s">
        <v>268</v>
      </c>
      <c r="G105" s="142" t="s">
        <v>2292</v>
      </c>
      <c r="J105" s="181"/>
    </row>
    <row r="106" spans="1:19" ht="15.75">
      <c r="A106" s="118"/>
      <c r="B106" s="1042" t="s">
        <v>1257</v>
      </c>
      <c r="C106" s="1043"/>
      <c r="D106" s="1044"/>
      <c r="E106" s="943">
        <f>'Energy Consumption'!E81*IF('Energy Consumption'!E81&lt;0,IF('Fuel Cycle'!F10=1,'Fuel Cycle'!E40,0),'Fuel Cycle'!D58)</f>
        <v>26335.347891800429</v>
      </c>
      <c r="F106" s="140" t="s">
        <v>268</v>
      </c>
      <c r="G106" s="142"/>
      <c r="J106" s="181"/>
    </row>
    <row r="107" spans="1:19" ht="15.75">
      <c r="A107" s="118"/>
      <c r="B107" s="1041" t="s">
        <v>1258</v>
      </c>
      <c r="C107" s="1041"/>
      <c r="D107" s="1041"/>
      <c r="E107" s="943" t="str">
        <f>E82</f>
        <v>NA</v>
      </c>
      <c r="F107" s="140" t="s">
        <v>268</v>
      </c>
      <c r="G107" s="184" t="s">
        <v>1329</v>
      </c>
      <c r="J107" s="181"/>
    </row>
    <row r="108" spans="1:19" ht="15.75">
      <c r="A108" s="118"/>
      <c r="B108" s="953"/>
      <c r="C108" s="144"/>
      <c r="D108" s="145" t="s">
        <v>1241</v>
      </c>
      <c r="E108" s="777">
        <f>SUM(E103:E106)</f>
        <v>37695.459473801326</v>
      </c>
      <c r="F108" s="140" t="s">
        <v>268</v>
      </c>
      <c r="J108" s="181"/>
    </row>
    <row r="109" spans="1:19" ht="15.75">
      <c r="A109" s="118"/>
      <c r="B109" s="187" t="s">
        <v>1248</v>
      </c>
      <c r="C109" s="174"/>
      <c r="D109" s="174"/>
      <c r="E109" s="188"/>
      <c r="F109" s="174"/>
      <c r="J109" s="181"/>
    </row>
    <row r="110" spans="1:19" ht="15.75">
      <c r="A110" s="118"/>
      <c r="B110" s="187"/>
      <c r="C110" s="174"/>
      <c r="D110" s="174"/>
      <c r="E110" s="188"/>
      <c r="F110" s="174"/>
      <c r="J110" s="181"/>
    </row>
    <row r="111" spans="1:19" ht="16.5" thickBot="1">
      <c r="A111" s="118"/>
      <c r="B111" s="142"/>
      <c r="J111" s="181"/>
    </row>
    <row r="112" spans="1:19">
      <c r="B112" s="189" t="s">
        <v>1139</v>
      </c>
      <c r="C112" s="190"/>
      <c r="D112" s="190"/>
      <c r="E112" s="191"/>
      <c r="F112" s="191"/>
      <c r="G112" s="191"/>
      <c r="H112" s="191"/>
      <c r="I112" s="191"/>
      <c r="J112" s="191"/>
      <c r="K112" s="191"/>
      <c r="L112" s="191"/>
      <c r="M112" s="191"/>
      <c r="N112" s="191"/>
      <c r="O112" s="191"/>
      <c r="P112" s="191"/>
      <c r="Q112" s="192"/>
      <c r="R112" s="193"/>
      <c r="S112" s="174"/>
    </row>
    <row r="113" spans="2:19">
      <c r="B113" s="193" t="s">
        <v>1142</v>
      </c>
      <c r="C113" s="174"/>
      <c r="D113" s="174"/>
      <c r="E113" s="174"/>
      <c r="F113" s="174"/>
      <c r="G113" s="174"/>
      <c r="H113" s="174"/>
      <c r="I113" s="174"/>
      <c r="J113" s="174"/>
      <c r="K113" s="174"/>
      <c r="L113" s="174"/>
      <c r="M113" s="174"/>
      <c r="N113" s="174"/>
      <c r="O113" s="174"/>
      <c r="P113" s="174"/>
      <c r="Q113" s="194"/>
      <c r="R113" s="193"/>
      <c r="S113" s="174"/>
    </row>
    <row r="114" spans="2:19">
      <c r="B114" s="193" t="s">
        <v>1145</v>
      </c>
      <c r="C114" s="174"/>
      <c r="D114" s="174"/>
      <c r="E114" s="174"/>
      <c r="F114" s="174"/>
      <c r="G114" s="174"/>
      <c r="H114" s="174"/>
      <c r="I114" s="174"/>
      <c r="J114" s="174"/>
      <c r="K114" s="174"/>
      <c r="L114" s="174"/>
      <c r="M114" s="174"/>
      <c r="N114" s="174"/>
      <c r="O114" s="174"/>
      <c r="P114" s="174"/>
      <c r="Q114" s="194"/>
      <c r="R114" s="193"/>
      <c r="S114" s="174"/>
    </row>
    <row r="115" spans="2:19">
      <c r="B115" s="193" t="s">
        <v>1143</v>
      </c>
      <c r="C115" s="174"/>
      <c r="D115" s="174"/>
      <c r="E115" s="174"/>
      <c r="F115" s="174"/>
      <c r="G115" s="174"/>
      <c r="H115" s="174"/>
      <c r="I115" s="174"/>
      <c r="J115" s="174"/>
      <c r="K115" s="174"/>
      <c r="L115" s="174"/>
      <c r="M115" s="174"/>
      <c r="N115" s="174"/>
      <c r="O115" s="174"/>
      <c r="P115" s="174"/>
      <c r="Q115" s="194"/>
      <c r="R115" s="193"/>
      <c r="S115" s="174"/>
    </row>
    <row r="116" spans="2:19">
      <c r="B116" s="193" t="s">
        <v>1146</v>
      </c>
      <c r="C116" s="174"/>
      <c r="D116" s="174"/>
      <c r="E116" s="174"/>
      <c r="F116" s="174"/>
      <c r="G116" s="174"/>
      <c r="H116" s="174"/>
      <c r="I116" s="174"/>
      <c r="J116" s="174"/>
      <c r="K116" s="174"/>
      <c r="L116" s="174"/>
      <c r="M116" s="174"/>
      <c r="N116" s="174"/>
      <c r="O116" s="174"/>
      <c r="P116" s="174"/>
      <c r="Q116" s="194"/>
      <c r="R116" s="193"/>
      <c r="S116" s="174"/>
    </row>
    <row r="117" spans="2:19">
      <c r="B117" s="193" t="s">
        <v>1246</v>
      </c>
      <c r="C117" s="174"/>
      <c r="D117" s="174"/>
      <c r="E117" s="174"/>
      <c r="F117" s="174"/>
      <c r="G117" s="174"/>
      <c r="H117" s="174"/>
      <c r="I117" s="174"/>
      <c r="J117" s="174"/>
      <c r="K117" s="174"/>
      <c r="L117" s="174"/>
      <c r="M117" s="174"/>
      <c r="N117" s="174"/>
      <c r="O117" s="174"/>
      <c r="P117" s="174"/>
      <c r="Q117" s="194"/>
      <c r="R117" s="193"/>
      <c r="S117" s="174"/>
    </row>
    <row r="118" spans="2:19" ht="15.75" thickBot="1">
      <c r="B118" s="195" t="s">
        <v>578</v>
      </c>
      <c r="C118" s="196"/>
      <c r="D118" s="196"/>
      <c r="E118" s="196"/>
      <c r="F118" s="196"/>
      <c r="G118" s="196"/>
      <c r="H118" s="196"/>
      <c r="I118" s="196"/>
      <c r="J118" s="196"/>
      <c r="K118" s="196"/>
      <c r="L118" s="196"/>
      <c r="M118" s="196"/>
      <c r="N118" s="196"/>
      <c r="O118" s="196"/>
      <c r="P118" s="196"/>
      <c r="Q118" s="197"/>
      <c r="R118" s="193"/>
      <c r="S118" s="174"/>
    </row>
  </sheetData>
  <mergeCells count="16">
    <mergeCell ref="B107:D107"/>
    <mergeCell ref="B101:F101"/>
    <mergeCell ref="B103:D103"/>
    <mergeCell ref="B104:D104"/>
    <mergeCell ref="B105:D105"/>
    <mergeCell ref="B106:D106"/>
    <mergeCell ref="B96:D96"/>
    <mergeCell ref="B94:D94"/>
    <mergeCell ref="B95:D95"/>
    <mergeCell ref="B65:F65"/>
    <mergeCell ref="B7:E7"/>
    <mergeCell ref="B67:D67"/>
    <mergeCell ref="B90:F90"/>
    <mergeCell ref="B92:D92"/>
    <mergeCell ref="B93:D93"/>
    <mergeCell ref="B16:K16"/>
  </mergeCells>
  <pageMargins left="0.7" right="0.7" top="0.75" bottom="0.75" header="0.3" footer="0.3"/>
  <pageSetup orientation="portrait"/>
  <ignoredErrors>
    <ignoredError sqref="E95"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8"/>
  </sheetPr>
  <dimension ref="A1:BA63"/>
  <sheetViews>
    <sheetView workbookViewId="0"/>
  </sheetViews>
  <sheetFormatPr defaultColWidth="8.88671875" defaultRowHeight="15"/>
  <cols>
    <col min="1" max="4" width="8.88671875" style="11"/>
    <col min="5" max="5" width="9.44140625" style="11" customWidth="1"/>
    <col min="6" max="6" width="8.88671875" style="11"/>
    <col min="7" max="7" width="12.5546875" style="11" customWidth="1"/>
    <col min="8" max="8" width="11.5546875" style="11" customWidth="1"/>
    <col min="9" max="9" width="9.88671875" style="11" customWidth="1"/>
    <col min="10" max="10" width="12.88671875" style="11" customWidth="1"/>
    <col min="11" max="12" width="11.5546875" style="11" customWidth="1"/>
    <col min="13" max="13" width="9.44140625" style="11" customWidth="1"/>
    <col min="14" max="16384" width="8.88671875" style="11"/>
  </cols>
  <sheetData>
    <row r="1" spans="1:21" s="6" customFormat="1" ht="24" customHeight="1">
      <c r="A1" s="6" t="s">
        <v>885</v>
      </c>
    </row>
    <row r="3" spans="1:21">
      <c r="A3" s="11" t="s">
        <v>886</v>
      </c>
    </row>
    <row r="5" spans="1:21">
      <c r="B5" s="73" t="s">
        <v>1141</v>
      </c>
    </row>
    <row r="6" spans="1:21">
      <c r="B6" s="1051" t="s">
        <v>629</v>
      </c>
      <c r="C6" s="1052"/>
      <c r="D6" s="1052"/>
      <c r="E6" s="1052"/>
      <c r="F6" s="1052"/>
      <c r="G6" s="1052"/>
      <c r="H6" s="1052"/>
      <c r="I6" s="1052"/>
      <c r="J6" s="1052"/>
      <c r="K6" s="1052"/>
      <c r="L6" s="1052"/>
      <c r="M6" s="1053"/>
      <c r="N6"/>
      <c r="O6"/>
      <c r="P6"/>
      <c r="Q6"/>
      <c r="R6"/>
      <c r="S6"/>
      <c r="T6"/>
      <c r="U6"/>
    </row>
    <row r="7" spans="1:21">
      <c r="B7" s="198"/>
      <c r="C7" s="199"/>
      <c r="D7" s="199"/>
      <c r="E7" s="199"/>
      <c r="F7" s="199"/>
      <c r="G7" s="199"/>
      <c r="H7" s="993" t="s">
        <v>1144</v>
      </c>
      <c r="I7" s="993" t="s">
        <v>1131</v>
      </c>
      <c r="J7" s="1051" t="s">
        <v>864</v>
      </c>
      <c r="K7" s="1052"/>
      <c r="L7" s="1052"/>
      <c r="M7" s="1053"/>
      <c r="N7"/>
      <c r="O7"/>
      <c r="P7"/>
      <c r="Q7"/>
      <c r="R7"/>
      <c r="S7"/>
      <c r="T7"/>
      <c r="U7"/>
    </row>
    <row r="8" spans="1:21">
      <c r="B8" s="198"/>
      <c r="C8" s="199"/>
      <c r="D8" s="199"/>
      <c r="E8" s="199"/>
      <c r="F8" s="199"/>
      <c r="G8" s="199"/>
      <c r="H8" s="200"/>
      <c r="I8" s="200"/>
      <c r="J8" s="200" t="s">
        <v>133</v>
      </c>
      <c r="K8" s="200" t="s">
        <v>639</v>
      </c>
      <c r="L8" s="200" t="s">
        <v>772</v>
      </c>
      <c r="M8" s="200"/>
      <c r="N8"/>
      <c r="O8"/>
      <c r="P8"/>
      <c r="Q8"/>
      <c r="R8"/>
      <c r="S8"/>
      <c r="T8"/>
      <c r="U8"/>
    </row>
    <row r="9" spans="1:21">
      <c r="B9" s="161"/>
      <c r="C9" s="144"/>
      <c r="D9" s="144"/>
      <c r="E9" s="144"/>
      <c r="F9" s="144"/>
      <c r="G9" s="144"/>
      <c r="H9" s="144" t="s">
        <v>164</v>
      </c>
      <c r="I9" s="144" t="s">
        <v>164</v>
      </c>
      <c r="J9" s="144" t="s">
        <v>164</v>
      </c>
      <c r="K9" s="144" t="s">
        <v>164</v>
      </c>
      <c r="L9" s="144" t="s">
        <v>164</v>
      </c>
      <c r="M9" s="145" t="s">
        <v>239</v>
      </c>
      <c r="N9" t="s">
        <v>829</v>
      </c>
      <c r="O9"/>
      <c r="P9"/>
      <c r="Q9"/>
      <c r="R9"/>
      <c r="S9"/>
      <c r="T9"/>
      <c r="U9"/>
    </row>
    <row r="10" spans="1:21">
      <c r="B10" s="143" t="s">
        <v>4</v>
      </c>
      <c r="C10" s="922"/>
      <c r="D10" s="922"/>
      <c r="E10" s="922"/>
      <c r="F10" s="922"/>
      <c r="G10" s="922"/>
      <c r="H10" s="922">
        <v>0</v>
      </c>
      <c r="I10" s="922">
        <v>0</v>
      </c>
      <c r="J10" s="922">
        <v>0</v>
      </c>
      <c r="K10" s="922">
        <v>0</v>
      </c>
      <c r="L10" s="922">
        <v>0</v>
      </c>
      <c r="M10" s="923" t="s">
        <v>630</v>
      </c>
      <c r="N10" s="132"/>
      <c r="O10" s="132"/>
      <c r="P10" s="132"/>
      <c r="Q10" s="132"/>
      <c r="R10" s="132"/>
      <c r="S10" s="132"/>
      <c r="T10" s="132"/>
      <c r="U10" s="132"/>
    </row>
    <row r="11" spans="1:21">
      <c r="B11" s="161"/>
      <c r="C11" s="144"/>
      <c r="D11" s="144"/>
      <c r="E11" s="144"/>
      <c r="F11" s="144"/>
      <c r="G11" s="144"/>
      <c r="H11" s="144"/>
      <c r="I11" s="144"/>
      <c r="J11" s="144"/>
      <c r="K11" s="144"/>
      <c r="L11" s="144"/>
      <c r="M11" s="145"/>
      <c r="N11" s="132"/>
      <c r="O11" s="132"/>
      <c r="P11" s="132"/>
      <c r="Q11" s="132"/>
      <c r="R11" s="132"/>
      <c r="S11" s="132"/>
      <c r="T11" s="132"/>
      <c r="U11" s="132"/>
    </row>
    <row r="12" spans="1:21">
      <c r="B12" s="143" t="s">
        <v>1018</v>
      </c>
      <c r="C12" s="922"/>
      <c r="D12" s="922"/>
      <c r="E12" s="922"/>
      <c r="F12" s="922"/>
      <c r="G12" s="922"/>
      <c r="H12" s="1009">
        <f>'Energy Consumption'!H20*'Emissions Factors'!K17</f>
        <v>431466129.40998006</v>
      </c>
      <c r="I12" s="1009">
        <f>'Drilling &amp; Development'!M65*(('Production &amp; Extraction'!M35-'Energy Consumption'!E96/'Fuel Specs'!M14)*'Fuel Specs'!M15+('Gas Balance'!AC36*'Surface Processing'!M122+IF('Fuel Cycle'!F10=2,ABS('Energy Consumption'!E84),0))*'Input data'!E48)</f>
        <v>135824341.11749998</v>
      </c>
      <c r="J12" s="1009">
        <v>0</v>
      </c>
      <c r="K12" s="1009">
        <v>0</v>
      </c>
      <c r="L12" s="1009">
        <v>0</v>
      </c>
      <c r="M12" s="923" t="s">
        <v>630</v>
      </c>
      <c r="N12" s="132"/>
      <c r="O12" s="132"/>
      <c r="P12" s="132"/>
      <c r="Q12" s="132"/>
      <c r="R12" s="132"/>
      <c r="S12" s="132"/>
      <c r="T12" s="132"/>
      <c r="U12" s="132"/>
    </row>
    <row r="13" spans="1:21">
      <c r="B13" s="161"/>
      <c r="C13" s="144"/>
      <c r="D13" s="144"/>
      <c r="E13" s="144"/>
      <c r="F13" s="144"/>
      <c r="G13" s="144"/>
      <c r="H13" s="1008"/>
      <c r="I13" s="1008"/>
      <c r="J13" s="1008"/>
      <c r="K13" s="1008"/>
      <c r="L13" s="1008"/>
      <c r="M13" s="145"/>
      <c r="N13" s="132"/>
      <c r="O13" s="132"/>
      <c r="P13" s="132"/>
      <c r="Q13" s="132"/>
      <c r="R13" s="132"/>
      <c r="S13" s="132"/>
      <c r="T13" s="132"/>
      <c r="U13" s="132"/>
    </row>
    <row r="14" spans="1:21">
      <c r="B14" s="143" t="s">
        <v>569</v>
      </c>
      <c r="C14" s="922"/>
      <c r="D14" s="922"/>
      <c r="E14" s="922"/>
      <c r="F14" s="922"/>
      <c r="G14" s="922"/>
      <c r="H14" s="1009">
        <f>SUM(H15:H22)</f>
        <v>4457336519.1342583</v>
      </c>
      <c r="I14" s="1009">
        <f>SUM(I15:I22)</f>
        <v>0</v>
      </c>
      <c r="J14" s="1009">
        <f>'Venting &amp; Fugitives'!F261*1000000/365</f>
        <v>0</v>
      </c>
      <c r="K14" s="1009">
        <f>Flaring!F80*1000000/365</f>
        <v>0</v>
      </c>
      <c r="L14" s="1009">
        <f>'Venting &amp; Fugitives'!F265*1000000/365</f>
        <v>5286266.6111002173</v>
      </c>
      <c r="M14" s="923" t="s">
        <v>630</v>
      </c>
      <c r="N14" s="132"/>
      <c r="O14" s="132"/>
      <c r="P14" s="132"/>
      <c r="Q14" s="132"/>
      <c r="R14" s="132"/>
      <c r="S14" s="132"/>
      <c r="T14" s="132"/>
      <c r="U14" s="132"/>
    </row>
    <row r="15" spans="1:21">
      <c r="B15" s="161"/>
      <c r="C15" s="144" t="s">
        <v>570</v>
      </c>
      <c r="D15" s="144"/>
      <c r="E15" s="144"/>
      <c r="F15" s="144"/>
      <c r="G15" s="144"/>
      <c r="H15" s="1008">
        <f>IF(AND('Energy Consumption'!K23="1A",'Production &amp; Extraction'!M72=1),'Energy Consumption'!H23*'Emissions Factors'!$H$17,IF(AND('Energy Consumption'!K23="1A",'Production &amp; Extraction'!M72=4),'Energy Consumption'!H23*'Emissions Factors'!$G$17,IF(AND('Energy Consumption'!K23="1B",'Production &amp; Extraction'!M72=1),'Energy Consumption'!H23*'Emissions Factors'!$H$17,IF(AND('Energy Consumption'!K23="1B",'Production &amp; Extraction'!M72=4),'Energy Consumption'!H23*'Emissions Factors'!$G$17,IF('Energy Consumption'!K23="2",'Energy Consumption'!H23*'Emissions Factors'!$K$17,0)))))</f>
        <v>0</v>
      </c>
      <c r="I15" s="1008">
        <v>0</v>
      </c>
      <c r="J15" s="1008" t="s">
        <v>237</v>
      </c>
      <c r="K15" s="1008" t="s">
        <v>237</v>
      </c>
      <c r="L15" s="1008" t="s">
        <v>237</v>
      </c>
      <c r="M15" s="145" t="s">
        <v>630</v>
      </c>
      <c r="N15" s="132"/>
      <c r="O15" s="132"/>
      <c r="P15" s="132"/>
      <c r="Q15" s="132"/>
      <c r="R15" s="132"/>
      <c r="S15" s="132"/>
      <c r="T15" s="132"/>
      <c r="U15" s="132"/>
    </row>
    <row r="16" spans="1:21">
      <c r="B16" s="161"/>
      <c r="C16" s="144" t="s">
        <v>571</v>
      </c>
      <c r="D16" s="144"/>
      <c r="E16" s="144"/>
      <c r="F16" s="144"/>
      <c r="G16" s="144"/>
      <c r="H16" s="1008">
        <f>IF(AND('Energy Consumption'!K24="1A",'Production &amp; Extraction'!M89=1),'Energy Consumption'!H24*'Emissions Factors'!$H$17,IF(AND('Energy Consumption'!K24="1A",'Production &amp; Extraction'!M89=4),'Energy Consumption'!H24*'Emissions Factors'!$G$17,IF(AND('Energy Consumption'!K24="1B",'Production &amp; Extraction'!M89=1),'Energy Consumption'!H24*'Emissions Factors'!$H$17,IF(AND('Energy Consumption'!K24="1B",'Production &amp; Extraction'!M89=4),'Energy Consumption'!H24*'Emissions Factors'!$G$17,IF('Energy Consumption'!K24="2",'Energy Consumption'!H24*'Emissions Factors'!$K$17,0)))))</f>
        <v>0</v>
      </c>
      <c r="I16" s="1008">
        <v>0</v>
      </c>
      <c r="J16" s="1008" t="s">
        <v>237</v>
      </c>
      <c r="K16" s="1008" t="s">
        <v>237</v>
      </c>
      <c r="L16" s="1008" t="s">
        <v>237</v>
      </c>
      <c r="M16" s="145" t="s">
        <v>630</v>
      </c>
      <c r="N16" s="132"/>
      <c r="O16" s="132"/>
      <c r="P16" s="132"/>
      <c r="Q16" s="132"/>
      <c r="R16" s="132"/>
      <c r="S16" s="132"/>
      <c r="T16" s="132"/>
      <c r="U16" s="132"/>
    </row>
    <row r="17" spans="2:21">
      <c r="B17" s="161"/>
      <c r="C17" s="144" t="s">
        <v>572</v>
      </c>
      <c r="D17" s="144"/>
      <c r="E17" s="144"/>
      <c r="F17" s="144"/>
      <c r="G17" s="144"/>
      <c r="H17" s="1008">
        <f>IF('Energy Consumption'!K25="3",0,'Energy Consumption'!H25*'Emissions Factors'!$H$17)</f>
        <v>0</v>
      </c>
      <c r="I17" s="1008">
        <v>0</v>
      </c>
      <c r="J17" s="1008" t="s">
        <v>237</v>
      </c>
      <c r="K17" s="1008" t="s">
        <v>237</v>
      </c>
      <c r="L17" s="1008" t="s">
        <v>237</v>
      </c>
      <c r="M17" s="145" t="s">
        <v>630</v>
      </c>
      <c r="N17" s="74"/>
      <c r="O17" s="74"/>
      <c r="P17" s="74"/>
      <c r="Q17" s="74"/>
      <c r="R17" s="74"/>
      <c r="S17" s="74"/>
      <c r="T17" s="74"/>
      <c r="U17" s="74"/>
    </row>
    <row r="18" spans="2:21">
      <c r="B18" s="161"/>
      <c r="C18" s="144" t="s">
        <v>745</v>
      </c>
      <c r="D18" s="144"/>
      <c r="E18" s="144"/>
      <c r="F18" s="144"/>
      <c r="G18" s="144"/>
      <c r="H18" s="1008">
        <f>IF(AND('Energy Consumption'!K26="1A",'Production &amp; Extraction'!M143=1),'Energy Consumption'!H26*'Emissions Factors'!$H$17,IF(AND('Energy Consumption'!K26="1A",'Production &amp; Extraction'!M143=4),'Energy Consumption'!H26*'Emissions Factors'!$G$17,IF(AND('Energy Consumption'!K26="1B",'Production &amp; Extraction'!M143=1),'Energy Consumption'!H26*'Emissions Factors'!$H$17,IF(AND('Energy Consumption'!K26="1B",'Production &amp; Extraction'!M143=4),'Energy Consumption'!H26*'Emissions Factors'!$G$17,IF('Energy Consumption'!K26="2",'Energy Consumption'!H26*'Emissions Factors'!$K$17,0)))))</f>
        <v>0</v>
      </c>
      <c r="I18" s="1008">
        <v>0</v>
      </c>
      <c r="J18" s="1008" t="s">
        <v>237</v>
      </c>
      <c r="K18" s="1008" t="s">
        <v>237</v>
      </c>
      <c r="L18" s="1008" t="s">
        <v>237</v>
      </c>
      <c r="M18" s="145" t="s">
        <v>630</v>
      </c>
      <c r="N18" s="74"/>
      <c r="O18" s="74"/>
      <c r="P18" s="74"/>
      <c r="Q18" s="74"/>
      <c r="R18" s="74"/>
      <c r="S18" s="74"/>
      <c r="T18" s="74"/>
      <c r="U18" s="74"/>
    </row>
    <row r="19" spans="2:21">
      <c r="B19" s="161"/>
      <c r="C19" s="144" t="s">
        <v>746</v>
      </c>
      <c r="D19" s="144"/>
      <c r="E19" s="144"/>
      <c r="F19" s="144"/>
      <c r="G19" s="144"/>
      <c r="H19" s="1008">
        <f>IF('Energy Consumption'!K27="3",0,'Energy Consumption'!H27*'Emissions Factors'!$H$17)</f>
        <v>2385028881.1378627</v>
      </c>
      <c r="I19" s="1008">
        <v>0</v>
      </c>
      <c r="J19" s="1008" t="s">
        <v>237</v>
      </c>
      <c r="K19" s="1008" t="s">
        <v>237</v>
      </c>
      <c r="L19" s="1008" t="s">
        <v>237</v>
      </c>
      <c r="M19" s="145" t="s">
        <v>630</v>
      </c>
      <c r="N19" s="74"/>
      <c r="O19" s="74"/>
      <c r="P19" s="74"/>
      <c r="Q19" s="74"/>
      <c r="R19" s="74"/>
      <c r="S19" s="74"/>
      <c r="T19" s="74"/>
      <c r="U19" s="74"/>
    </row>
    <row r="20" spans="2:21">
      <c r="B20" s="161"/>
      <c r="C20" s="144" t="s">
        <v>582</v>
      </c>
      <c r="D20" s="144"/>
      <c r="E20" s="144"/>
      <c r="F20" s="144"/>
      <c r="G20" s="144"/>
      <c r="H20" s="1008">
        <v>0</v>
      </c>
      <c r="I20" s="1008">
        <v>0</v>
      </c>
      <c r="J20" s="1008" t="s">
        <v>237</v>
      </c>
      <c r="K20" s="1008" t="s">
        <v>237</v>
      </c>
      <c r="L20" s="1008" t="s">
        <v>237</v>
      </c>
      <c r="M20" s="145" t="s">
        <v>630</v>
      </c>
      <c r="N20" s="201" t="s">
        <v>638</v>
      </c>
      <c r="O20" s="132"/>
      <c r="P20" s="132"/>
      <c r="Q20" s="132"/>
      <c r="R20" s="132"/>
      <c r="S20" s="132"/>
      <c r="T20" s="132"/>
      <c r="U20" s="132"/>
    </row>
    <row r="21" spans="2:21">
      <c r="B21" s="161"/>
      <c r="C21" s="144" t="s">
        <v>1132</v>
      </c>
      <c r="D21" s="144"/>
      <c r="E21" s="144"/>
      <c r="F21" s="144"/>
      <c r="G21" s="144"/>
      <c r="H21" s="1008">
        <f>IF('Energy Consumption'!K29="3",0,'Energy Consumption'!H29*'Emissions Factors'!$H$17)</f>
        <v>2072307637.9963956</v>
      </c>
      <c r="I21" s="1008">
        <v>0</v>
      </c>
      <c r="J21" s="1008" t="s">
        <v>237</v>
      </c>
      <c r="K21" s="1008" t="s">
        <v>237</v>
      </c>
      <c r="L21" s="1008" t="s">
        <v>237</v>
      </c>
      <c r="M21" s="145" t="s">
        <v>630</v>
      </c>
      <c r="N21" s="201"/>
      <c r="O21" s="132"/>
      <c r="P21" s="132"/>
      <c r="Q21" s="132"/>
      <c r="R21" s="132"/>
      <c r="S21" s="132"/>
      <c r="T21" s="132"/>
      <c r="U21" s="132"/>
    </row>
    <row r="22" spans="2:21">
      <c r="B22" s="161"/>
      <c r="C22" s="144" t="s">
        <v>69</v>
      </c>
      <c r="D22" s="144"/>
      <c r="E22" s="144"/>
      <c r="F22" s="144"/>
      <c r="G22" s="144"/>
      <c r="H22" s="1008">
        <f>'Energy Consumption'!H31*IF('Energy Consumption'!K31="4",'Emissions Factors'!M17,'Emissions Factors'!C17)+'Energy Consumption'!H32*'Emissions Factors'!F17</f>
        <v>0</v>
      </c>
      <c r="I22" s="1008">
        <v>0</v>
      </c>
      <c r="J22" s="1008" t="s">
        <v>237</v>
      </c>
      <c r="K22" s="1008" t="s">
        <v>237</v>
      </c>
      <c r="L22" s="1008" t="s">
        <v>237</v>
      </c>
      <c r="M22" s="145" t="s">
        <v>630</v>
      </c>
      <c r="N22" s="201" t="s">
        <v>636</v>
      </c>
      <c r="O22" s="132"/>
      <c r="P22" s="132"/>
      <c r="Q22" s="132"/>
      <c r="R22" s="132"/>
      <c r="S22" s="132"/>
      <c r="T22" s="132"/>
      <c r="U22" s="132"/>
    </row>
    <row r="23" spans="2:21">
      <c r="B23" s="161"/>
      <c r="C23" s="144"/>
      <c r="D23" s="144"/>
      <c r="E23" s="144"/>
      <c r="F23" s="144"/>
      <c r="G23" s="144"/>
      <c r="H23" s="1008"/>
      <c r="I23" s="1008"/>
      <c r="J23" s="1008"/>
      <c r="K23" s="1008"/>
      <c r="L23" s="1008"/>
      <c r="M23" s="145"/>
      <c r="N23" s="201"/>
      <c r="O23" s="132"/>
      <c r="P23" s="132"/>
      <c r="Q23" s="132"/>
      <c r="R23" s="132"/>
      <c r="S23" s="132"/>
      <c r="T23" s="132"/>
      <c r="U23" s="132"/>
    </row>
    <row r="24" spans="2:21">
      <c r="B24" s="143" t="s">
        <v>248</v>
      </c>
      <c r="C24" s="922"/>
      <c r="D24" s="922"/>
      <c r="E24" s="922"/>
      <c r="F24" s="922"/>
      <c r="G24" s="922"/>
      <c r="H24" s="1009">
        <f>H25+H28+H39</f>
        <v>2933617711.5814991</v>
      </c>
      <c r="I24" s="1009">
        <f>I25+I28+I39</f>
        <v>0</v>
      </c>
      <c r="J24" s="1009">
        <f>'Venting &amp; Fugitives'!F262*1000000/365</f>
        <v>11472403110.473896</v>
      </c>
      <c r="K24" s="1009">
        <f>Flaring!F81*1000000/365</f>
        <v>1856173319.2937253</v>
      </c>
      <c r="L24" s="1009">
        <f>'Venting &amp; Fugitives'!F266*1000000/365</f>
        <v>1866940747.1124899</v>
      </c>
      <c r="M24" s="923" t="s">
        <v>630</v>
      </c>
      <c r="N24" s="201"/>
      <c r="O24" s="132"/>
      <c r="P24" s="132"/>
      <c r="Q24" s="132"/>
      <c r="R24" s="132"/>
      <c r="S24" s="132"/>
      <c r="T24" s="132"/>
      <c r="U24" s="132"/>
    </row>
    <row r="25" spans="2:21">
      <c r="B25" s="161"/>
      <c r="C25" s="144" t="s">
        <v>580</v>
      </c>
      <c r="D25" s="144"/>
      <c r="E25" s="144"/>
      <c r="F25" s="144"/>
      <c r="G25" s="144"/>
      <c r="H25" s="1008">
        <f>H26+H27</f>
        <v>1919581146.0260453</v>
      </c>
      <c r="I25" s="1008">
        <f>SUM(I26:I27)</f>
        <v>0</v>
      </c>
      <c r="J25" s="1008" t="s">
        <v>237</v>
      </c>
      <c r="K25" s="1008" t="s">
        <v>237</v>
      </c>
      <c r="L25" s="1008" t="s">
        <v>237</v>
      </c>
      <c r="M25" s="145" t="s">
        <v>630</v>
      </c>
      <c r="N25" s="201"/>
      <c r="O25" s="132"/>
      <c r="P25" s="132"/>
      <c r="Q25" s="132"/>
      <c r="R25" s="132"/>
      <c r="S25" s="132"/>
      <c r="T25" s="132"/>
      <c r="U25" s="132"/>
    </row>
    <row r="26" spans="2:21">
      <c r="B26" s="161"/>
      <c r="C26" s="144"/>
      <c r="D26" s="144" t="s">
        <v>583</v>
      </c>
      <c r="E26" s="144"/>
      <c r="F26" s="144"/>
      <c r="G26" s="144"/>
      <c r="H26" s="1008">
        <f>IF('Energy Consumption'!K36="3",0,'Energy Consumption'!H36*'Emissions Factors'!C17)</f>
        <v>0</v>
      </c>
      <c r="I26" s="1008">
        <v>0</v>
      </c>
      <c r="J26" s="1008" t="s">
        <v>237</v>
      </c>
      <c r="K26" s="1008" t="s">
        <v>237</v>
      </c>
      <c r="L26" s="1008" t="s">
        <v>237</v>
      </c>
      <c r="M26" s="145" t="s">
        <v>630</v>
      </c>
      <c r="N26" s="201" t="s">
        <v>637</v>
      </c>
      <c r="O26" s="132"/>
      <c r="P26" s="132"/>
      <c r="Q26" s="132"/>
      <c r="R26" s="132"/>
      <c r="S26" s="132"/>
      <c r="T26" s="132"/>
      <c r="U26" s="132"/>
    </row>
    <row r="27" spans="2:21">
      <c r="B27" s="161"/>
      <c r="C27" s="144"/>
      <c r="D27" s="144" t="s">
        <v>584</v>
      </c>
      <c r="E27" s="144"/>
      <c r="F27" s="144"/>
      <c r="G27" s="144"/>
      <c r="H27" s="1008">
        <f>IF('Energy Consumption'!K37="3",0,'Energy Consumption'!H37*'Emissions Factors'!C17)</f>
        <v>1919581146.0260453</v>
      </c>
      <c r="I27" s="1008">
        <v>0</v>
      </c>
      <c r="J27" s="1008" t="s">
        <v>237</v>
      </c>
      <c r="K27" s="1008" t="s">
        <v>237</v>
      </c>
      <c r="L27" s="1008" t="s">
        <v>237</v>
      </c>
      <c r="M27" s="145" t="s">
        <v>630</v>
      </c>
      <c r="N27" s="201" t="s">
        <v>637</v>
      </c>
      <c r="O27" s="132"/>
      <c r="P27" s="132"/>
      <c r="Q27" s="132"/>
      <c r="R27" s="132"/>
      <c r="S27" s="132"/>
      <c r="T27" s="132"/>
      <c r="U27" s="132"/>
    </row>
    <row r="28" spans="2:21">
      <c r="B28" s="161"/>
      <c r="C28" s="144" t="s">
        <v>585</v>
      </c>
      <c r="D28" s="144"/>
      <c r="E28" s="144"/>
      <c r="F28" s="144"/>
      <c r="G28" s="144"/>
      <c r="H28" s="1008">
        <f>H29+H33+H36</f>
        <v>1014036565.5554539</v>
      </c>
      <c r="I28" s="1008">
        <f>I29+I33</f>
        <v>0</v>
      </c>
      <c r="J28" s="1008" t="s">
        <v>237</v>
      </c>
      <c r="K28" s="1008" t="s">
        <v>237</v>
      </c>
      <c r="L28" s="1008" t="s">
        <v>237</v>
      </c>
      <c r="M28" s="145" t="s">
        <v>630</v>
      </c>
      <c r="N28" s="201"/>
      <c r="O28" s="132"/>
      <c r="P28" s="132"/>
      <c r="Q28" s="132"/>
      <c r="R28" s="132"/>
      <c r="S28" s="132"/>
      <c r="T28" s="132"/>
      <c r="U28" s="132"/>
    </row>
    <row r="29" spans="2:21">
      <c r="B29" s="161"/>
      <c r="C29" s="144"/>
      <c r="D29" s="144" t="s">
        <v>586</v>
      </c>
      <c r="E29" s="144"/>
      <c r="F29" s="144"/>
      <c r="G29" s="144"/>
      <c r="H29" s="1008">
        <f>SUM(H30:H32)</f>
        <v>389991324.87197053</v>
      </c>
      <c r="I29" s="1008">
        <f>SUM(I30:I32)</f>
        <v>0</v>
      </c>
      <c r="J29" s="1008" t="s">
        <v>237</v>
      </c>
      <c r="K29" s="1008" t="s">
        <v>237</v>
      </c>
      <c r="L29" s="1008" t="s">
        <v>237</v>
      </c>
      <c r="M29" s="145" t="s">
        <v>630</v>
      </c>
      <c r="N29" s="201"/>
      <c r="O29" s="132"/>
      <c r="P29" s="132"/>
      <c r="Q29" s="132"/>
      <c r="R29" s="132"/>
      <c r="S29" s="132"/>
      <c r="T29" s="132"/>
      <c r="U29" s="132"/>
    </row>
    <row r="30" spans="2:21">
      <c r="B30" s="161"/>
      <c r="C30" s="144"/>
      <c r="D30" s="144"/>
      <c r="E30" s="144" t="s">
        <v>48</v>
      </c>
      <c r="F30" s="144"/>
      <c r="G30" s="144"/>
      <c r="H30" s="1008">
        <v>0</v>
      </c>
      <c r="I30" s="1008">
        <v>0</v>
      </c>
      <c r="J30" s="1008" t="s">
        <v>237</v>
      </c>
      <c r="K30" s="1008" t="s">
        <v>237</v>
      </c>
      <c r="L30" s="1008" t="s">
        <v>237</v>
      </c>
      <c r="M30" s="145" t="s">
        <v>630</v>
      </c>
      <c r="N30" s="201" t="s">
        <v>633</v>
      </c>
      <c r="O30" s="132"/>
      <c r="P30" s="132"/>
      <c r="Q30" s="132"/>
      <c r="R30" s="132"/>
      <c r="S30" s="132"/>
      <c r="T30" s="132"/>
      <c r="U30" s="132"/>
    </row>
    <row r="31" spans="2:21">
      <c r="B31" s="161"/>
      <c r="C31" s="144"/>
      <c r="D31" s="144"/>
      <c r="E31" s="144" t="s">
        <v>587</v>
      </c>
      <c r="F31" s="144"/>
      <c r="G31" s="144"/>
      <c r="H31" s="1008">
        <v>0</v>
      </c>
      <c r="I31" s="1008">
        <v>0</v>
      </c>
      <c r="J31" s="1008" t="s">
        <v>237</v>
      </c>
      <c r="K31" s="1008" t="s">
        <v>237</v>
      </c>
      <c r="L31" s="1008" t="s">
        <v>237</v>
      </c>
      <c r="M31" s="145" t="s">
        <v>630</v>
      </c>
      <c r="N31" s="201" t="s">
        <v>632</v>
      </c>
      <c r="O31" s="132"/>
      <c r="P31" s="132"/>
      <c r="Q31" s="132"/>
      <c r="R31" s="132"/>
      <c r="S31" s="132"/>
      <c r="T31" s="132"/>
      <c r="U31" s="132"/>
    </row>
    <row r="32" spans="2:21">
      <c r="B32" s="161"/>
      <c r="C32" s="144"/>
      <c r="D32" s="144"/>
      <c r="E32" s="144" t="s">
        <v>280</v>
      </c>
      <c r="F32" s="144"/>
      <c r="G32" s="144"/>
      <c r="H32" s="1008">
        <f>'Energy Consumption'!H42*'Emissions Factors'!C17</f>
        <v>389991324.87197053</v>
      </c>
      <c r="I32" s="1008">
        <v>0</v>
      </c>
      <c r="J32" s="1008" t="s">
        <v>237</v>
      </c>
      <c r="K32" s="1008" t="s">
        <v>237</v>
      </c>
      <c r="L32" s="1008" t="s">
        <v>237</v>
      </c>
      <c r="M32" s="145" t="s">
        <v>630</v>
      </c>
      <c r="N32" s="201" t="s">
        <v>635</v>
      </c>
      <c r="O32" s="132"/>
      <c r="P32" s="132"/>
      <c r="Q32" s="132"/>
      <c r="R32" s="132"/>
      <c r="S32" s="132"/>
      <c r="T32" s="132"/>
      <c r="U32" s="132"/>
    </row>
    <row r="33" spans="2:53">
      <c r="B33" s="161"/>
      <c r="C33" s="144"/>
      <c r="D33" s="144" t="s">
        <v>593</v>
      </c>
      <c r="E33" s="144"/>
      <c r="F33" s="144"/>
      <c r="G33" s="144"/>
      <c r="H33" s="1008">
        <f>SUM(H34:H35)</f>
        <v>14956810.297152502</v>
      </c>
      <c r="I33" s="1008">
        <f>SUM(I34:I35)</f>
        <v>0</v>
      </c>
      <c r="J33" s="1008" t="s">
        <v>237</v>
      </c>
      <c r="K33" s="1008" t="s">
        <v>237</v>
      </c>
      <c r="L33" s="1008" t="s">
        <v>237</v>
      </c>
      <c r="M33" s="145" t="s">
        <v>630</v>
      </c>
      <c r="N33" s="201"/>
      <c r="O33" s="132"/>
      <c r="P33" s="132"/>
      <c r="Q33" s="132"/>
      <c r="R33" s="132"/>
      <c r="S33" s="132"/>
      <c r="T33" s="132"/>
      <c r="U33" s="132"/>
    </row>
    <row r="34" spans="2:53">
      <c r="B34" s="161"/>
      <c r="C34" s="144"/>
      <c r="D34" s="144"/>
      <c r="E34" s="144" t="s">
        <v>280</v>
      </c>
      <c r="F34" s="144"/>
      <c r="G34" s="144"/>
      <c r="H34" s="1008">
        <f>IF('Energy Consumption'!K44="3",0,'Energy Consumption'!H44*'Emissions Factors'!C17)</f>
        <v>14956810.297152502</v>
      </c>
      <c r="I34" s="1008">
        <v>0</v>
      </c>
      <c r="J34" s="1008" t="s">
        <v>237</v>
      </c>
      <c r="K34" s="1008" t="s">
        <v>237</v>
      </c>
      <c r="L34" s="1008" t="s">
        <v>237</v>
      </c>
      <c r="M34" s="145" t="s">
        <v>630</v>
      </c>
      <c r="N34" s="201" t="s">
        <v>637</v>
      </c>
      <c r="O34" s="132"/>
      <c r="P34" s="132"/>
      <c r="Q34" s="132"/>
      <c r="R34" s="132"/>
      <c r="S34" s="132"/>
      <c r="T34" s="132"/>
      <c r="U34" s="132"/>
    </row>
    <row r="35" spans="2:53">
      <c r="B35" s="161"/>
      <c r="C35" s="144"/>
      <c r="D35" s="144"/>
      <c r="E35" s="144" t="s">
        <v>588</v>
      </c>
      <c r="F35" s="144"/>
      <c r="G35" s="144"/>
      <c r="H35" s="1008">
        <v>0</v>
      </c>
      <c r="I35" s="1008">
        <v>0</v>
      </c>
      <c r="J35" s="1008" t="s">
        <v>237</v>
      </c>
      <c r="K35" s="1008" t="s">
        <v>237</v>
      </c>
      <c r="L35" s="1008" t="s">
        <v>237</v>
      </c>
      <c r="M35" s="145" t="s">
        <v>630</v>
      </c>
      <c r="N35" s="201" t="s">
        <v>631</v>
      </c>
      <c r="O35" s="132"/>
      <c r="P35" s="132"/>
      <c r="Q35" s="132"/>
      <c r="R35" s="132"/>
      <c r="S35" s="132"/>
      <c r="T35" s="132"/>
      <c r="U35" s="132"/>
    </row>
    <row r="36" spans="2:53">
      <c r="B36" s="161"/>
      <c r="C36" s="144"/>
      <c r="D36" s="144" t="s">
        <v>1059</v>
      </c>
      <c r="E36" s="144"/>
      <c r="F36" s="144"/>
      <c r="G36" s="144"/>
      <c r="H36" s="1008">
        <f>H37+H38</f>
        <v>609088430.38633084</v>
      </c>
      <c r="I36" s="1008">
        <f>I37+I38</f>
        <v>0</v>
      </c>
      <c r="J36" s="1008" t="s">
        <v>237</v>
      </c>
      <c r="K36" s="1008" t="s">
        <v>237</v>
      </c>
      <c r="L36" s="1008" t="s">
        <v>237</v>
      </c>
      <c r="M36" s="145" t="s">
        <v>630</v>
      </c>
      <c r="N36" s="201"/>
      <c r="O36" s="132"/>
      <c r="P36" s="132"/>
      <c r="Q36" s="132"/>
      <c r="R36" s="132"/>
      <c r="S36" s="132"/>
      <c r="T36" s="132"/>
      <c r="U36" s="132"/>
    </row>
    <row r="37" spans="2:53">
      <c r="B37" s="161"/>
      <c r="C37" s="144"/>
      <c r="D37" s="144"/>
      <c r="E37" s="144" t="s">
        <v>2533</v>
      </c>
      <c r="F37" s="144"/>
      <c r="G37" s="144"/>
      <c r="H37" s="1008">
        <f>'Energy Consumption'!H47*'Emissions Factors'!G17</f>
        <v>609088430.38633084</v>
      </c>
      <c r="I37" s="1008">
        <v>0</v>
      </c>
      <c r="J37" s="1008" t="s">
        <v>237</v>
      </c>
      <c r="K37" s="1008" t="s">
        <v>237</v>
      </c>
      <c r="L37" s="1008" t="s">
        <v>237</v>
      </c>
      <c r="M37" s="145" t="s">
        <v>630</v>
      </c>
      <c r="N37" s="201"/>
      <c r="O37" s="132"/>
      <c r="P37" s="132"/>
      <c r="Q37" s="132"/>
      <c r="R37" s="132"/>
      <c r="S37" s="132"/>
      <c r="T37" s="132"/>
      <c r="U37" s="132"/>
    </row>
    <row r="38" spans="2:53">
      <c r="B38" s="161"/>
      <c r="C38" s="144"/>
      <c r="D38" s="144"/>
      <c r="E38" s="144" t="s">
        <v>2534</v>
      </c>
      <c r="F38" s="144"/>
      <c r="G38" s="144"/>
      <c r="H38" s="1008">
        <f>'Energy Consumption'!H48*'Emissions Factors'!D17</f>
        <v>0</v>
      </c>
      <c r="I38" s="1008">
        <v>0</v>
      </c>
      <c r="J38" s="1008" t="s">
        <v>237</v>
      </c>
      <c r="K38" s="1008" t="s">
        <v>237</v>
      </c>
      <c r="L38" s="1008" t="s">
        <v>237</v>
      </c>
      <c r="M38" s="145" t="s">
        <v>630</v>
      </c>
      <c r="N38" s="201"/>
      <c r="O38" s="132"/>
      <c r="P38" s="132"/>
      <c r="Q38" s="132"/>
      <c r="R38" s="132"/>
      <c r="S38" s="132"/>
      <c r="T38" s="132"/>
      <c r="U38" s="132"/>
    </row>
    <row r="39" spans="2:53">
      <c r="B39" s="161"/>
      <c r="C39" s="144" t="s">
        <v>72</v>
      </c>
      <c r="D39" s="144"/>
      <c r="E39" s="144"/>
      <c r="F39" s="144"/>
      <c r="G39" s="144"/>
      <c r="H39" s="1008">
        <f>SUM(H40:H43)</f>
        <v>0</v>
      </c>
      <c r="I39" s="1008">
        <f>SUM(I40:I43)</f>
        <v>0</v>
      </c>
      <c r="J39" s="1008" t="s">
        <v>237</v>
      </c>
      <c r="K39" s="1008" t="s">
        <v>237</v>
      </c>
      <c r="L39" s="1008" t="s">
        <v>237</v>
      </c>
      <c r="M39" s="145" t="s">
        <v>630</v>
      </c>
      <c r="N39" s="201"/>
      <c r="O39" s="132"/>
      <c r="P39" s="132"/>
      <c r="Q39" s="132"/>
      <c r="R39" s="132"/>
      <c r="S39" s="132"/>
      <c r="T39" s="132"/>
      <c r="U39" s="132"/>
    </row>
    <row r="40" spans="2:53">
      <c r="B40" s="161"/>
      <c r="C40" s="144"/>
      <c r="D40" s="144" t="s">
        <v>589</v>
      </c>
      <c r="E40" s="144" t="str">
        <f>'Energy Consumption'!E50</f>
        <v>DAF</v>
      </c>
      <c r="F40" s="144" t="s">
        <v>1005</v>
      </c>
      <c r="G40" s="144" t="str">
        <f>'Surface Processing'!D339</f>
        <v>DAF</v>
      </c>
      <c r="H40" s="1008">
        <v>0</v>
      </c>
      <c r="I40" s="1008">
        <v>0</v>
      </c>
      <c r="J40" s="1008" t="s">
        <v>237</v>
      </c>
      <c r="K40" s="1008" t="s">
        <v>237</v>
      </c>
      <c r="L40" s="1008" t="s">
        <v>237</v>
      </c>
      <c r="M40" s="145" t="s">
        <v>630</v>
      </c>
      <c r="N40" s="201" t="s">
        <v>634</v>
      </c>
      <c r="O40" s="132"/>
      <c r="P40" s="132"/>
      <c r="Q40" s="132"/>
      <c r="R40" s="132"/>
      <c r="S40" s="132"/>
      <c r="T40" s="132"/>
      <c r="U40" s="132"/>
    </row>
    <row r="41" spans="2:53">
      <c r="B41" s="161"/>
      <c r="C41" s="144"/>
      <c r="D41" s="144" t="s">
        <v>590</v>
      </c>
      <c r="E41" s="144" t="str">
        <f>'Energy Consumption'!E51</f>
        <v>RBC</v>
      </c>
      <c r="F41" s="144" t="s">
        <v>1005</v>
      </c>
      <c r="G41" s="144" t="str">
        <f>'Surface Processing'!H339</f>
        <v>RBC</v>
      </c>
      <c r="H41" s="1008">
        <v>0</v>
      </c>
      <c r="I41" s="1008">
        <v>0</v>
      </c>
      <c r="J41" s="1008" t="s">
        <v>237</v>
      </c>
      <c r="K41" s="1008" t="s">
        <v>237</v>
      </c>
      <c r="L41" s="1008" t="s">
        <v>237</v>
      </c>
      <c r="M41" s="145" t="s">
        <v>630</v>
      </c>
      <c r="N41" s="201" t="s">
        <v>634</v>
      </c>
      <c r="O41" s="132"/>
      <c r="P41" s="132"/>
      <c r="Q41" s="132"/>
      <c r="R41" s="132"/>
      <c r="S41" s="132"/>
      <c r="T41" s="132"/>
      <c r="U41" s="132"/>
    </row>
    <row r="42" spans="2:53">
      <c r="B42" s="161"/>
      <c r="C42" s="144"/>
      <c r="D42" s="144" t="s">
        <v>591</v>
      </c>
      <c r="E42" s="144" t="str">
        <f>'Energy Consumption'!E52</f>
        <v>DMF</v>
      </c>
      <c r="F42" s="144" t="s">
        <v>1005</v>
      </c>
      <c r="G42" s="144" t="str">
        <f>'Surface Processing'!L339</f>
        <v>DMF</v>
      </c>
      <c r="H42" s="1008">
        <v>0</v>
      </c>
      <c r="I42" s="1008">
        <v>0</v>
      </c>
      <c r="J42" s="1008" t="s">
        <v>237</v>
      </c>
      <c r="K42" s="1008" t="s">
        <v>237</v>
      </c>
      <c r="L42" s="1008" t="s">
        <v>237</v>
      </c>
      <c r="M42" s="145" t="s">
        <v>630</v>
      </c>
      <c r="N42" s="201" t="s">
        <v>634</v>
      </c>
      <c r="O42" s="132"/>
      <c r="P42" s="132"/>
      <c r="Q42" s="132"/>
      <c r="R42" s="132"/>
      <c r="S42" s="132"/>
      <c r="T42" s="132"/>
      <c r="U42" s="132"/>
    </row>
    <row r="43" spans="2:53">
      <c r="B43" s="161"/>
      <c r="C43" s="144"/>
      <c r="D43" s="144" t="s">
        <v>592</v>
      </c>
      <c r="E43" s="144" t="str">
        <f>'Energy Consumption'!E53</f>
        <v>N/A</v>
      </c>
      <c r="F43" s="144" t="s">
        <v>1005</v>
      </c>
      <c r="G43" s="144" t="str">
        <f>'Surface Processing'!P339</f>
        <v>N/A</v>
      </c>
      <c r="H43" s="1008">
        <v>0</v>
      </c>
      <c r="I43" s="1008">
        <v>0</v>
      </c>
      <c r="J43" s="1008" t="s">
        <v>237</v>
      </c>
      <c r="K43" s="1008" t="s">
        <v>237</v>
      </c>
      <c r="L43" s="1008" t="s">
        <v>237</v>
      </c>
      <c r="M43" s="145" t="s">
        <v>630</v>
      </c>
      <c r="N43" s="201" t="s">
        <v>634</v>
      </c>
      <c r="O43" s="132"/>
      <c r="P43" s="132"/>
      <c r="Q43" s="132"/>
      <c r="R43" s="132"/>
      <c r="S43" s="132"/>
      <c r="T43" s="132"/>
      <c r="U43" s="132"/>
    </row>
    <row r="44" spans="2:53">
      <c r="B44" s="161"/>
      <c r="C44" s="144"/>
      <c r="D44" s="144"/>
      <c r="E44" s="144"/>
      <c r="F44" s="144"/>
      <c r="G44" s="144"/>
      <c r="H44" s="1008"/>
      <c r="I44" s="1008"/>
      <c r="J44" s="1008"/>
      <c r="K44" s="1008"/>
      <c r="L44" s="1008"/>
      <c r="M44" s="145"/>
      <c r="N44" s="201"/>
      <c r="O44" s="132"/>
      <c r="P44" s="132"/>
      <c r="Q44" s="132"/>
      <c r="R44" s="132"/>
      <c r="S44" s="132"/>
      <c r="T44" s="132"/>
      <c r="U44" s="132"/>
    </row>
    <row r="45" spans="2:53">
      <c r="B45" s="143" t="s">
        <v>671</v>
      </c>
      <c r="C45" s="922"/>
      <c r="D45" s="922"/>
      <c r="E45" s="922"/>
      <c r="F45" s="922"/>
      <c r="G45" s="922"/>
      <c r="H45" s="1009">
        <v>0</v>
      </c>
      <c r="I45" s="1009">
        <v>0</v>
      </c>
      <c r="J45" s="1009">
        <f>'Venting &amp; Fugitives'!F263*1000000/365</f>
        <v>928163880.11412191</v>
      </c>
      <c r="K45" s="1009">
        <f>Flaring!F82*1000000/365</f>
        <v>0</v>
      </c>
      <c r="L45" s="1009">
        <f>'Venting &amp; Fugitives'!F267*1000000/365</f>
        <v>0</v>
      </c>
      <c r="M45" s="923" t="s">
        <v>630</v>
      </c>
      <c r="N45" s="132"/>
      <c r="O45" s="132"/>
      <c r="P45" s="132"/>
      <c r="Q45" s="132"/>
      <c r="R45" s="132"/>
      <c r="S45" s="132"/>
      <c r="T45" s="132"/>
      <c r="U45" s="132"/>
      <c r="AT45" s="132"/>
      <c r="AU45" s="132"/>
      <c r="AV45" s="132"/>
      <c r="AW45" s="132"/>
      <c r="AX45" s="132"/>
      <c r="AY45" s="132"/>
      <c r="AZ45" s="132"/>
      <c r="BA45" s="132"/>
    </row>
    <row r="46" spans="2:53">
      <c r="B46" s="161"/>
      <c r="C46" s="144"/>
      <c r="D46" s="144"/>
      <c r="E46" s="144"/>
      <c r="F46" s="144"/>
      <c r="G46" s="144"/>
      <c r="H46" s="1008"/>
      <c r="I46" s="1008"/>
      <c r="J46" s="1008"/>
      <c r="K46" s="1008"/>
      <c r="L46" s="1008"/>
      <c r="M46" s="145"/>
      <c r="N46" s="132"/>
      <c r="O46" s="132"/>
      <c r="P46" s="132"/>
      <c r="Q46" s="132"/>
      <c r="R46" s="132"/>
      <c r="S46" s="132"/>
      <c r="T46" s="132"/>
      <c r="U46" s="132"/>
      <c r="AT46" s="132"/>
      <c r="AU46" s="132"/>
      <c r="AV46" s="132"/>
      <c r="AW46" s="132"/>
      <c r="AX46" s="132"/>
      <c r="AY46" s="132"/>
      <c r="AZ46" s="132"/>
      <c r="BA46" s="132"/>
    </row>
    <row r="47" spans="2:53">
      <c r="B47" s="143" t="s">
        <v>905</v>
      </c>
      <c r="C47" s="922"/>
      <c r="D47" s="922"/>
      <c r="E47" s="922"/>
      <c r="F47" s="922"/>
      <c r="G47" s="922"/>
      <c r="H47" s="1009">
        <v>0</v>
      </c>
      <c r="I47" s="1009">
        <v>0</v>
      </c>
      <c r="J47" s="1009">
        <v>0</v>
      </c>
      <c r="K47" s="1009">
        <v>0</v>
      </c>
      <c r="L47" s="1009">
        <v>0</v>
      </c>
      <c r="M47" s="923" t="s">
        <v>630</v>
      </c>
      <c r="AT47" s="132"/>
      <c r="AU47" s="132"/>
      <c r="AV47" s="132"/>
      <c r="AW47" s="132"/>
      <c r="AX47" s="132"/>
      <c r="AY47" s="132"/>
      <c r="AZ47" s="132"/>
      <c r="BA47" s="132"/>
    </row>
    <row r="48" spans="2:53">
      <c r="B48" s="161"/>
      <c r="C48" s="144"/>
      <c r="D48" s="144"/>
      <c r="E48" s="144"/>
      <c r="F48" s="144"/>
      <c r="G48" s="144"/>
      <c r="H48" s="1008"/>
      <c r="I48" s="1008"/>
      <c r="J48" s="1008"/>
      <c r="K48" s="1008"/>
      <c r="L48" s="1008"/>
      <c r="M48" s="145"/>
      <c r="AT48" s="132"/>
      <c r="AU48" s="132"/>
      <c r="AV48" s="132"/>
      <c r="AW48" s="132"/>
      <c r="AX48" s="132"/>
      <c r="AY48" s="132"/>
      <c r="AZ48" s="132"/>
      <c r="BA48" s="132"/>
    </row>
    <row r="49" spans="2:53">
      <c r="B49" s="143" t="s">
        <v>763</v>
      </c>
      <c r="C49" s="922"/>
      <c r="D49" s="922"/>
      <c r="E49" s="922"/>
      <c r="F49" s="922"/>
      <c r="G49" s="922"/>
      <c r="H49" s="1009">
        <f>H50</f>
        <v>0</v>
      </c>
      <c r="I49" s="1009">
        <f>I50</f>
        <v>0</v>
      </c>
      <c r="J49" s="1009">
        <f>J50</f>
        <v>0</v>
      </c>
      <c r="K49" s="1009">
        <f>K50</f>
        <v>0</v>
      </c>
      <c r="L49" s="1009">
        <f>L50</f>
        <v>0</v>
      </c>
      <c r="M49" s="923" t="s">
        <v>630</v>
      </c>
      <c r="AT49" s="132"/>
      <c r="AU49" s="132"/>
      <c r="AV49" s="132"/>
      <c r="AW49" s="132"/>
      <c r="AX49" s="132"/>
      <c r="AY49" s="132"/>
      <c r="AZ49" s="132"/>
      <c r="BA49" s="132"/>
    </row>
    <row r="50" spans="2:53">
      <c r="B50" s="161"/>
      <c r="C50" s="144" t="s">
        <v>1133</v>
      </c>
      <c r="D50" s="144"/>
      <c r="E50" s="144"/>
      <c r="F50" s="144"/>
      <c r="G50" s="144"/>
      <c r="H50" s="1008">
        <f>Electricity!M81*1000000</f>
        <v>0</v>
      </c>
      <c r="I50" s="1008">
        <v>0</v>
      </c>
      <c r="J50" s="1008">
        <v>0</v>
      </c>
      <c r="K50" s="1008">
        <v>0</v>
      </c>
      <c r="L50" s="1008">
        <v>0</v>
      </c>
      <c r="M50" s="145" t="s">
        <v>630</v>
      </c>
      <c r="AT50" s="132"/>
      <c r="AU50" s="132"/>
      <c r="AV50" s="132"/>
      <c r="AW50" s="132"/>
      <c r="AX50" s="132"/>
      <c r="AY50" s="132"/>
      <c r="AZ50" s="132"/>
      <c r="BA50" s="132"/>
    </row>
    <row r="51" spans="2:53">
      <c r="B51" s="143" t="s">
        <v>1241</v>
      </c>
      <c r="C51" s="922"/>
      <c r="D51" s="922"/>
      <c r="E51" s="922"/>
      <c r="F51" s="922"/>
      <c r="G51" s="922"/>
      <c r="H51" s="1009">
        <f>H10+H12+H14+H24+H45+H47+H49</f>
        <v>7822420360.1257372</v>
      </c>
      <c r="I51" s="1009">
        <f>I10+I12+I14+I24+I45+I47+I49</f>
        <v>135824341.11749998</v>
      </c>
      <c r="J51" s="1009">
        <f>J10+J12+J14+J24+J45+J47+J49</f>
        <v>12400566990.588018</v>
      </c>
      <c r="K51" s="1009">
        <f>K10+K12+K14+K24+K45+K47+K49</f>
        <v>1856173319.2937253</v>
      </c>
      <c r="L51" s="1009">
        <f>L10+L12+L14+L24+L45+L47+L49</f>
        <v>1872227013.7235901</v>
      </c>
      <c r="M51" s="923" t="s">
        <v>630</v>
      </c>
    </row>
    <row r="52" spans="2:53">
      <c r="B52" s="184" t="s">
        <v>862</v>
      </c>
      <c r="C52" s="119"/>
      <c r="D52" s="119"/>
      <c r="E52" s="119"/>
    </row>
    <row r="53" spans="2:53">
      <c r="B53" s="184" t="s">
        <v>1860</v>
      </c>
      <c r="C53" s="119"/>
      <c r="D53" s="119"/>
      <c r="E53" s="119"/>
    </row>
    <row r="55" spans="2:53">
      <c r="B55" s="279" t="s">
        <v>1243</v>
      </c>
    </row>
    <row r="56" spans="2:53">
      <c r="B56" s="1054" t="s">
        <v>1253</v>
      </c>
      <c r="C56" s="1054"/>
      <c r="D56" s="1054"/>
      <c r="E56" s="1054"/>
      <c r="F56" s="1054"/>
      <c r="G56" s="202"/>
      <c r="H56" s="202"/>
    </row>
    <row r="57" spans="2:53">
      <c r="B57" s="1058"/>
      <c r="C57" s="1058"/>
      <c r="D57" s="1058"/>
      <c r="E57" s="1058"/>
      <c r="F57" s="1058"/>
      <c r="G57" s="186" t="s">
        <v>339</v>
      </c>
      <c r="H57" s="186" t="s">
        <v>239</v>
      </c>
    </row>
    <row r="58" spans="2:53">
      <c r="B58" s="1056" t="s">
        <v>1251</v>
      </c>
      <c r="C58" s="1056"/>
      <c r="D58" s="1056"/>
      <c r="E58" s="1056"/>
      <c r="F58" s="1056"/>
      <c r="G58" s="687">
        <f>'Energy Consumption'!E78*IF('Energy Consumption'!E78&gt;0,'Fuel Cycle'!D69,IF('Fuel Cycle'!F10=1,'Fuel Cycle'!D47,0))</f>
        <v>1460235142.8317773</v>
      </c>
      <c r="H58" s="203" t="s">
        <v>630</v>
      </c>
    </row>
    <row r="59" spans="2:53">
      <c r="B59" s="1057" t="s">
        <v>1250</v>
      </c>
      <c r="C59" s="1057"/>
      <c r="D59" s="1057"/>
      <c r="E59" s="1057"/>
      <c r="F59" s="1057"/>
      <c r="G59" s="687">
        <f>'Energy Consumption'!E79*IF('Energy Consumption'!E79&gt;0,'Fuel Cycle'!D69,IF('Fuel Cycle'!F10=1,'Fuel Cycle'!D47,0))</f>
        <v>-190916723.7611717</v>
      </c>
      <c r="H59" s="203" t="s">
        <v>630</v>
      </c>
    </row>
    <row r="60" spans="2:53">
      <c r="B60" s="1057" t="s">
        <v>2436</v>
      </c>
      <c r="C60" s="1057"/>
      <c r="D60" s="1057"/>
      <c r="E60" s="1057"/>
      <c r="F60" s="1057"/>
      <c r="G60" s="663">
        <f>'Energy Consumption'!E80*IF('Energy Consumption'!E80&gt;0,'Fuel Cycle'!D70,IF('Fuel Cycle'!F10=1,'Fuel Cycle'!D48,0))</f>
        <v>120160708.50571598</v>
      </c>
      <c r="H60" s="203" t="s">
        <v>630</v>
      </c>
    </row>
    <row r="61" spans="2:53">
      <c r="B61" s="1057" t="s">
        <v>1249</v>
      </c>
      <c r="C61" s="1057"/>
      <c r="D61" s="1057"/>
      <c r="E61" s="1057"/>
      <c r="F61" s="1057"/>
      <c r="G61" s="663">
        <f>'Energy Consumption'!E81*IF('Energy Consumption'!E81&gt;0,'Fuel Cycle'!D71,IF('Fuel Cycle'!F10=1,'Fuel Cycle'!D49,0))</f>
        <v>2093932666.6087615</v>
      </c>
      <c r="H61" s="203" t="s">
        <v>630</v>
      </c>
    </row>
    <row r="62" spans="2:53">
      <c r="B62" s="1056" t="s">
        <v>1252</v>
      </c>
      <c r="C62" s="1056"/>
      <c r="D62" s="1056"/>
      <c r="E62" s="1056"/>
      <c r="F62" s="1056"/>
      <c r="G62" s="663" t="s">
        <v>237</v>
      </c>
      <c r="H62" s="203" t="s">
        <v>630</v>
      </c>
      <c r="I62" s="142" t="s">
        <v>1150</v>
      </c>
    </row>
    <row r="63" spans="2:53">
      <c r="B63" s="1055" t="s">
        <v>1241</v>
      </c>
      <c r="C63" s="1055"/>
      <c r="D63" s="1055"/>
      <c r="E63" s="1055"/>
      <c r="F63" s="1055"/>
      <c r="G63" s="687">
        <f>SUM(G58:G61)</f>
        <v>3483411794.1850834</v>
      </c>
      <c r="H63" s="203" t="s">
        <v>630</v>
      </c>
    </row>
  </sheetData>
  <mergeCells count="10">
    <mergeCell ref="J7:M7"/>
    <mergeCell ref="B6:M6"/>
    <mergeCell ref="B56:F56"/>
    <mergeCell ref="B63:F63"/>
    <mergeCell ref="B58:F58"/>
    <mergeCell ref="B59:F59"/>
    <mergeCell ref="B60:F60"/>
    <mergeCell ref="B61:F61"/>
    <mergeCell ref="B62:F62"/>
    <mergeCell ref="B57:F57"/>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sheetPr>
  <dimension ref="A1:X3"/>
  <sheetViews>
    <sheetView workbookViewId="0"/>
  </sheetViews>
  <sheetFormatPr defaultColWidth="8.88671875" defaultRowHeight="15"/>
  <cols>
    <col min="1" max="16384" width="8.88671875" style="99"/>
  </cols>
  <sheetData>
    <row r="1" spans="1:24" s="6" customFormat="1" ht="24" customHeight="1">
      <c r="A1" s="6" t="s">
        <v>4</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c r="A3" s="59" t="s">
        <v>1152</v>
      </c>
    </row>
  </sheetData>
  <pageMargins left="0.75" right="0.75" top="1" bottom="1" header="0.5" footer="0.5"/>
  <pageSetup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sheetPr>
  <dimension ref="A1:AB65"/>
  <sheetViews>
    <sheetView workbookViewId="0"/>
  </sheetViews>
  <sheetFormatPr defaultColWidth="8.88671875" defaultRowHeight="15"/>
  <cols>
    <col min="1" max="12" width="8.88671875" style="59"/>
    <col min="13" max="13" width="8.44140625" style="59" customWidth="1"/>
    <col min="14" max="14" width="7.5546875" style="59" customWidth="1"/>
    <col min="15" max="24" width="8.88671875" style="59"/>
    <col min="25" max="25" width="13.88671875" style="59" customWidth="1"/>
    <col min="26" max="16384" width="8.88671875" style="59"/>
  </cols>
  <sheetData>
    <row r="1" spans="1:25" s="6" customFormat="1" ht="24" customHeight="1">
      <c r="A1" s="6" t="s">
        <v>646</v>
      </c>
    </row>
    <row r="2" spans="1:25" s="73" customFormat="1">
      <c r="A2" s="59"/>
      <c r="B2" s="59"/>
      <c r="C2" s="59"/>
      <c r="D2" s="59"/>
      <c r="E2" s="59"/>
      <c r="F2" s="59"/>
      <c r="G2" s="59"/>
      <c r="H2" s="59"/>
      <c r="I2" s="59"/>
      <c r="J2" s="59"/>
      <c r="K2" s="59"/>
      <c r="L2" s="59"/>
      <c r="M2" s="59"/>
      <c r="N2" s="59"/>
      <c r="O2" s="59"/>
      <c r="P2" s="59"/>
      <c r="Q2" s="59"/>
      <c r="R2" s="59"/>
      <c r="S2" s="59"/>
      <c r="T2" s="59"/>
      <c r="U2" s="59"/>
      <c r="V2" s="59"/>
      <c r="W2" s="59"/>
      <c r="X2" s="59"/>
    </row>
    <row r="3" spans="1:25">
      <c r="A3" s="59" t="s">
        <v>962</v>
      </c>
    </row>
    <row r="6" spans="1:25" s="9" customFormat="1" ht="15.75">
      <c r="A6" s="9" t="s">
        <v>1370</v>
      </c>
    </row>
    <row r="9" spans="1:25">
      <c r="A9" s="100" t="s">
        <v>1392</v>
      </c>
      <c r="M9" s="59" t="s">
        <v>222</v>
      </c>
      <c r="N9" s="59" t="s">
        <v>221</v>
      </c>
      <c r="O9" s="59" t="s">
        <v>165</v>
      </c>
      <c r="Q9" s="59" t="s">
        <v>168</v>
      </c>
      <c r="S9" s="59" t="s">
        <v>167</v>
      </c>
      <c r="Y9" s="59" t="s">
        <v>348</v>
      </c>
    </row>
    <row r="10" spans="1:25">
      <c r="B10" s="59" t="s">
        <v>1393</v>
      </c>
      <c r="M10" s="14" t="str">
        <f>'User Inputs &amp; Results'!J66</f>
        <v>Mexico</v>
      </c>
      <c r="N10" s="204" t="s">
        <v>1042</v>
      </c>
    </row>
    <row r="11" spans="1:25">
      <c r="B11" s="59" t="s">
        <v>1497</v>
      </c>
      <c r="M11" s="14" t="str">
        <f>'User Inputs &amp; Results'!J67</f>
        <v>Cantarell</v>
      </c>
      <c r="N11" s="204" t="s">
        <v>208</v>
      </c>
    </row>
    <row r="12" spans="1:25">
      <c r="B12" s="59" t="s">
        <v>1595</v>
      </c>
      <c r="L12" s="205"/>
      <c r="M12" s="206">
        <f>'User Inputs &amp; Results'!J69</f>
        <v>8100</v>
      </c>
      <c r="N12" s="207">
        <f>'User Inputs &amp; Results'!K69</f>
        <v>7240</v>
      </c>
      <c r="O12" s="59" t="s">
        <v>220</v>
      </c>
    </row>
    <row r="13" spans="1:25">
      <c r="B13" s="100" t="s">
        <v>1657</v>
      </c>
      <c r="L13" s="205"/>
      <c r="M13" s="206">
        <f>'User Inputs &amp; Results'!J78</f>
        <v>22</v>
      </c>
      <c r="N13" s="207">
        <f>'User Inputs &amp; Results'!K78</f>
        <v>30</v>
      </c>
    </row>
    <row r="14" spans="1:25">
      <c r="B14" s="100" t="s">
        <v>1699</v>
      </c>
      <c r="I14" s="208"/>
      <c r="L14" s="205"/>
      <c r="M14" s="17">
        <f>VLOOKUP(M13,'Fuel Specs'!B21:O62,5)</f>
        <v>5.72166</v>
      </c>
      <c r="N14" s="209">
        <f>VLOOKUP(N13,'Fuel Specs'!B21:O62,5)</f>
        <v>5.5145999999999997</v>
      </c>
      <c r="O14" s="100" t="s">
        <v>1335</v>
      </c>
    </row>
    <row r="15" spans="1:25">
      <c r="I15" s="208"/>
    </row>
    <row r="16" spans="1:25">
      <c r="A16" s="100" t="s">
        <v>1155</v>
      </c>
    </row>
    <row r="17" spans="1:26">
      <c r="B17" s="59" t="s">
        <v>1394</v>
      </c>
      <c r="M17" s="20">
        <v>1</v>
      </c>
      <c r="N17" s="21">
        <v>1</v>
      </c>
      <c r="O17" s="59" t="s">
        <v>237</v>
      </c>
    </row>
    <row r="18" spans="1:26">
      <c r="C18" s="59" t="s">
        <v>223</v>
      </c>
      <c r="D18" s="59" t="s">
        <v>941</v>
      </c>
    </row>
    <row r="19" spans="1:26">
      <c r="C19" s="59" t="s">
        <v>224</v>
      </c>
      <c r="D19" s="59" t="s">
        <v>942</v>
      </c>
    </row>
    <row r="20" spans="1:26">
      <c r="B20" s="59" t="s">
        <v>1498</v>
      </c>
      <c r="M20" s="14">
        <f>IF(M17=1,37.169*EXP(0.1428*(M12/1000)),IF(M17=2,97.193*EXP(0.1215*(M12/1000))))</f>
        <v>118.17364145042735</v>
      </c>
      <c r="N20" s="210">
        <f>IF(N17=1,37.169*EXP(0.1428*(N12/1000)),IF(N17=2,97.193*EXP(0.1215*(N12/1000))))</f>
        <v>104.51672229145518</v>
      </c>
      <c r="O20" s="100" t="s">
        <v>1333</v>
      </c>
      <c r="Y20" s="211" t="s">
        <v>943</v>
      </c>
    </row>
    <row r="21" spans="1:26">
      <c r="B21" s="59" t="s">
        <v>1596</v>
      </c>
      <c r="L21" s="205"/>
      <c r="M21" s="14">
        <f>M20*M12/1000</f>
        <v>957.20649574846152</v>
      </c>
      <c r="N21" s="210">
        <f>N20*N12/1000</f>
        <v>756.70106939013544</v>
      </c>
      <c r="O21" s="100" t="s">
        <v>1334</v>
      </c>
    </row>
    <row r="24" spans="1:26">
      <c r="A24" s="100" t="s">
        <v>1156</v>
      </c>
    </row>
    <row r="25" spans="1:26">
      <c r="B25" s="59" t="s">
        <v>1395</v>
      </c>
      <c r="L25" s="205"/>
      <c r="M25" s="60">
        <v>130000</v>
      </c>
      <c r="N25" s="50">
        <v>130000</v>
      </c>
      <c r="O25" s="59" t="s">
        <v>1157</v>
      </c>
      <c r="Y25" s="211" t="s">
        <v>1158</v>
      </c>
    </row>
    <row r="26" spans="1:26">
      <c r="C26" s="59" t="s">
        <v>1159</v>
      </c>
      <c r="M26" s="206">
        <f>M25*M14</f>
        <v>743815.8</v>
      </c>
      <c r="N26" s="207">
        <f>N25*N14</f>
        <v>716898</v>
      </c>
      <c r="O26" s="100" t="s">
        <v>1334</v>
      </c>
    </row>
    <row r="27" spans="1:26">
      <c r="Z27" s="102"/>
    </row>
    <row r="28" spans="1:26">
      <c r="A28" s="100" t="s">
        <v>1160</v>
      </c>
      <c r="L28" s="205"/>
      <c r="M28" s="75">
        <f>M21/M26</f>
        <v>1.2868864788143266E-3</v>
      </c>
      <c r="N28" s="212">
        <f>N21/N26</f>
        <v>1.0555212448495259E-3</v>
      </c>
      <c r="O28" s="100" t="s">
        <v>345</v>
      </c>
    </row>
    <row r="34" spans="1:28" s="9" customFormat="1" ht="15.75">
      <c r="A34" s="9" t="s">
        <v>1371</v>
      </c>
    </row>
    <row r="35" spans="1:28" ht="15.75">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row>
    <row r="37" spans="1:28">
      <c r="A37" s="100" t="s">
        <v>1396</v>
      </c>
      <c r="M37" s="59" t="s">
        <v>222</v>
      </c>
      <c r="N37" s="59" t="s">
        <v>221</v>
      </c>
      <c r="O37" s="59" t="s">
        <v>165</v>
      </c>
      <c r="Q37" s="59" t="s">
        <v>168</v>
      </c>
      <c r="S37" s="59" t="s">
        <v>167</v>
      </c>
      <c r="Y37" s="59" t="s">
        <v>348</v>
      </c>
    </row>
    <row r="38" spans="1:28">
      <c r="B38" s="59" t="s">
        <v>1397</v>
      </c>
      <c r="M38" s="14" t="str">
        <f>'User Inputs &amp; Results'!J66</f>
        <v>Mexico</v>
      </c>
      <c r="N38" s="210" t="s">
        <v>208</v>
      </c>
    </row>
    <row r="39" spans="1:28">
      <c r="B39" s="59" t="s">
        <v>1499</v>
      </c>
      <c r="M39" s="14" t="str">
        <f>'User Inputs &amp; Results'!J67</f>
        <v>Cantarell</v>
      </c>
      <c r="N39" s="210" t="s">
        <v>208</v>
      </c>
    </row>
    <row r="40" spans="1:28">
      <c r="B40" s="59" t="s">
        <v>1597</v>
      </c>
    </row>
    <row r="41" spans="1:28">
      <c r="C41" s="666" t="s">
        <v>2389</v>
      </c>
      <c r="D41" s="59" t="s">
        <v>944</v>
      </c>
      <c r="M41" s="20">
        <v>1</v>
      </c>
      <c r="N41" s="21">
        <v>1</v>
      </c>
      <c r="O41" s="59" t="s">
        <v>237</v>
      </c>
      <c r="Y41" s="213"/>
    </row>
    <row r="42" spans="1:28">
      <c r="C42" s="666" t="s">
        <v>2390</v>
      </c>
      <c r="D42" s="59" t="s">
        <v>945</v>
      </c>
      <c r="M42" s="20">
        <v>0</v>
      </c>
      <c r="N42" s="21">
        <v>0</v>
      </c>
      <c r="O42" s="59" t="s">
        <v>237</v>
      </c>
      <c r="Y42" s="211" t="s">
        <v>946</v>
      </c>
    </row>
    <row r="43" spans="1:28">
      <c r="L43" s="59" t="s">
        <v>375</v>
      </c>
      <c r="M43" s="59" t="str">
        <f>IF(SUM(M41:M42)=1,"OK","ERROR")</f>
        <v>OK</v>
      </c>
      <c r="N43" s="59" t="str">
        <f>IF(SUM(N41:N42)=1,"OK","ERROR")</f>
        <v>OK</v>
      </c>
    </row>
    <row r="44" spans="1:28">
      <c r="B44" s="59" t="s">
        <v>1658</v>
      </c>
    </row>
    <row r="45" spans="1:28">
      <c r="C45" s="666" t="s">
        <v>2391</v>
      </c>
      <c r="D45" s="59" t="s">
        <v>947</v>
      </c>
      <c r="M45" s="206">
        <f>'User Inputs &amp; Results'!J113</f>
        <v>1</v>
      </c>
      <c r="N45" s="207">
        <f>'User Inputs &amp; Results'!K113</f>
        <v>0</v>
      </c>
      <c r="O45" s="59" t="s">
        <v>237</v>
      </c>
      <c r="Q45" s="73"/>
      <c r="S45" s="218" t="s">
        <v>948</v>
      </c>
      <c r="Y45" s="211" t="s">
        <v>949</v>
      </c>
    </row>
    <row r="46" spans="1:28" ht="15.75" customHeight="1">
      <c r="C46" s="666" t="s">
        <v>2392</v>
      </c>
      <c r="D46" s="59" t="s">
        <v>950</v>
      </c>
      <c r="M46" s="206">
        <f>'User Inputs &amp; Results'!J114</f>
        <v>0</v>
      </c>
      <c r="N46" s="207">
        <f>'User Inputs &amp; Results'!K114</f>
        <v>1</v>
      </c>
      <c r="O46" s="59" t="s">
        <v>237</v>
      </c>
      <c r="S46" s="218" t="s">
        <v>948</v>
      </c>
      <c r="Y46" s="211" t="s">
        <v>951</v>
      </c>
    </row>
    <row r="47" spans="1:28" ht="15.75" customHeight="1">
      <c r="C47" s="666" t="s">
        <v>2393</v>
      </c>
      <c r="D47" s="59" t="s">
        <v>952</v>
      </c>
      <c r="M47" s="206">
        <f>'User Inputs &amp; Results'!J115</f>
        <v>0</v>
      </c>
      <c r="N47" s="207">
        <f>'User Inputs &amp; Results'!K115</f>
        <v>0</v>
      </c>
      <c r="O47" s="59" t="s">
        <v>237</v>
      </c>
      <c r="S47" s="218" t="s">
        <v>948</v>
      </c>
      <c r="X47" s="115"/>
      <c r="Y47" s="211" t="s">
        <v>953</v>
      </c>
      <c r="Z47" s="115"/>
      <c r="AA47" s="115"/>
      <c r="AB47" s="115"/>
    </row>
    <row r="48" spans="1:28" ht="15.75" customHeight="1">
      <c r="L48" s="59" t="s">
        <v>375</v>
      </c>
      <c r="M48" s="59" t="str">
        <f>IF(SUM(M45:M47)=1,"OK","ERROR")</f>
        <v>OK</v>
      </c>
      <c r="N48" s="59" t="str">
        <f>IF(SUM(N45:N47)=1,"OK","ERROR")</f>
        <v>OK</v>
      </c>
      <c r="S48" s="218"/>
      <c r="X48" s="115"/>
      <c r="Y48" s="211"/>
      <c r="Z48" s="115"/>
      <c r="AA48" s="115"/>
      <c r="AB48" s="115"/>
    </row>
    <row r="49" spans="1:28" ht="15.75" customHeight="1">
      <c r="B49" s="666" t="s">
        <v>2767</v>
      </c>
      <c r="S49" s="218"/>
      <c r="Y49" s="211"/>
    </row>
    <row r="50" spans="1:28" ht="15.75" customHeight="1">
      <c r="C50" s="666" t="s">
        <v>2394</v>
      </c>
      <c r="D50" s="59" t="s">
        <v>954</v>
      </c>
      <c r="M50" s="206">
        <f>'User Inputs &amp; Results'!J117</f>
        <v>1</v>
      </c>
      <c r="N50" s="207">
        <f>'User Inputs &amp; Results'!K117</f>
        <v>0</v>
      </c>
      <c r="O50" s="59" t="s">
        <v>237</v>
      </c>
      <c r="Q50" s="73"/>
      <c r="S50" s="218" t="s">
        <v>948</v>
      </c>
      <c r="Y50" s="211" t="s">
        <v>955</v>
      </c>
    </row>
    <row r="51" spans="1:28" ht="15.75" customHeight="1">
      <c r="C51" s="666" t="s">
        <v>2395</v>
      </c>
      <c r="D51" s="59" t="s">
        <v>956</v>
      </c>
      <c r="M51" s="206">
        <f>'User Inputs &amp; Results'!J118</f>
        <v>0</v>
      </c>
      <c r="N51" s="207">
        <f>'User Inputs &amp; Results'!K118</f>
        <v>1</v>
      </c>
      <c r="O51" s="59" t="s">
        <v>237</v>
      </c>
      <c r="S51" s="218" t="s">
        <v>948</v>
      </c>
      <c r="Y51" s="211" t="s">
        <v>957</v>
      </c>
    </row>
    <row r="52" spans="1:28" ht="15.75" customHeight="1">
      <c r="C52" s="666" t="s">
        <v>2396</v>
      </c>
      <c r="D52" s="59" t="s">
        <v>958</v>
      </c>
      <c r="M52" s="206">
        <f>'User Inputs &amp; Results'!J119</f>
        <v>0</v>
      </c>
      <c r="N52" s="207">
        <f>'User Inputs &amp; Results'!K119</f>
        <v>0</v>
      </c>
      <c r="O52" s="59" t="s">
        <v>237</v>
      </c>
      <c r="S52" s="218" t="s">
        <v>948</v>
      </c>
      <c r="X52" s="115"/>
      <c r="Y52" s="211" t="s">
        <v>959</v>
      </c>
      <c r="Z52" s="115"/>
      <c r="AA52" s="115"/>
      <c r="AB52" s="115"/>
    </row>
    <row r="53" spans="1:28" ht="15.75" customHeight="1">
      <c r="L53" s="59" t="s">
        <v>375</v>
      </c>
      <c r="M53" s="59" t="str">
        <f>IF(SUM(M50:M52)=1,"OK","ERROR")</f>
        <v>OK</v>
      </c>
      <c r="N53" s="59" t="str">
        <f>IF(SUM(N50:N52)=1,"OK","ERROR")</f>
        <v>OK</v>
      </c>
      <c r="S53" s="218"/>
      <c r="X53" s="115"/>
      <c r="Y53" s="115"/>
      <c r="Z53" s="115"/>
      <c r="AA53" s="115"/>
      <c r="AB53" s="115"/>
    </row>
    <row r="54" spans="1:28" ht="15.75" customHeight="1">
      <c r="S54" s="218"/>
      <c r="X54" s="115"/>
      <c r="Y54" s="115"/>
      <c r="Z54" s="115"/>
      <c r="AA54" s="115"/>
      <c r="AB54" s="115"/>
    </row>
    <row r="55" spans="1:28" ht="15.75" customHeight="1">
      <c r="B55" s="666" t="s">
        <v>2768</v>
      </c>
      <c r="M55" s="20">
        <v>1</v>
      </c>
      <c r="N55" s="21">
        <v>1</v>
      </c>
      <c r="S55" s="218"/>
      <c r="X55" s="115"/>
      <c r="Y55" s="211" t="s">
        <v>2770</v>
      </c>
      <c r="Z55" s="115"/>
      <c r="AA55" s="115"/>
      <c r="AB55" s="115"/>
    </row>
    <row r="56" spans="1:28">
      <c r="S56" s="218"/>
    </row>
    <row r="57" spans="1:28">
      <c r="K57" s="59" t="s">
        <v>960</v>
      </c>
      <c r="M57" s="59">
        <f>IF(M41=1,(M45*M50*1+M45*M51*2+M45*M52*3+M46*M50*4+M46*M51*5+M46*M52*6+M47*M50*7+M47*M51*8+M47*M52*9),IF(M42=1,"bit","ERROR"))</f>
        <v>1</v>
      </c>
      <c r="N57" s="59">
        <f>IF(N41=1,(N45*N50*1+N45*N51*2+N45*N52*3+N46*N50*4+N46*N51*5+N46*N52*6+N47*N50*7+N47*N51*8+N47*N52*9),0)</f>
        <v>5</v>
      </c>
      <c r="S57" s="218"/>
    </row>
    <row r="58" spans="1:28">
      <c r="S58" s="218"/>
    </row>
    <row r="59" spans="1:28">
      <c r="A59" s="214" t="s">
        <v>1944</v>
      </c>
      <c r="S59" s="218"/>
    </row>
    <row r="60" spans="1:28" ht="19.5">
      <c r="B60" s="59" t="s">
        <v>1398</v>
      </c>
      <c r="M60" s="17">
        <f>IF(M$57=0,0,HLOOKUP($M$57,IF($M$55=1,'Emissions Factors'!$D$138:$O$141,IF($M$55=2,'Emissions Factors'!$D$128:$O$131,"ERROR")),2,TRUE))</f>
        <v>0.03</v>
      </c>
      <c r="N60" s="209">
        <f>IF(N$57=0,0,HLOOKUP($N$57,IF($N$55=1,'Emissions Factors'!$D$138:$O$141,IF($N$55=2,'Emissions Factors'!$D$128:$O$131,"ERROR")),2,TRUE))</f>
        <v>0.57000000000000006</v>
      </c>
      <c r="O60" s="215" t="s">
        <v>173</v>
      </c>
      <c r="S60" s="218" t="s">
        <v>948</v>
      </c>
      <c r="Y60" s="211" t="s">
        <v>961</v>
      </c>
    </row>
    <row r="61" spans="1:28" ht="19.5">
      <c r="B61" s="59" t="s">
        <v>1500</v>
      </c>
      <c r="M61" s="17">
        <f>IF(M$57=0,0,HLOOKUP($M$57,IF($M$55=1,'Emissions Factors'!$D$138:$O$141,IF($M$55=2,'Emissions Factors'!$D$128:$O$131,"ERROR")),3,TRUE))</f>
        <v>0</v>
      </c>
      <c r="N61" s="209">
        <f>IF(N$57=0,0,HLOOKUP($N$57,IF($N$55=1,'Emissions Factors'!$D$138:$O$141,IF($N$55=2,'Emissions Factors'!$D$128:$O$131,"ERROR")),3,TRUE))</f>
        <v>0.68</v>
      </c>
      <c r="O61" s="216" t="s">
        <v>173</v>
      </c>
      <c r="S61" s="218" t="s">
        <v>948</v>
      </c>
      <c r="Y61" s="211" t="s">
        <v>961</v>
      </c>
    </row>
    <row r="62" spans="1:28" ht="19.5">
      <c r="B62" s="59" t="s">
        <v>1598</v>
      </c>
      <c r="M62" s="17">
        <f>IF(M$57=0,0,HLOOKUP($M$57,IF($M$55=1,'Emissions Factors'!$D$138:$O$141,IF($M$55=2,'Emissions Factors'!$D$128:$O$131,"ERROR")),4,TRUE))</f>
        <v>0</v>
      </c>
      <c r="N62" s="209">
        <f>IF(N$57=0,0,HLOOKUP($N$57,IF($N$55=1,'Emissions Factors'!$D$138:$O$141,IF($N$55=2,'Emissions Factors'!$D$128:$O$131,"ERROR")),4,TRUE))</f>
        <v>5.0000000000000001E-3</v>
      </c>
      <c r="O62" s="215" t="s">
        <v>173</v>
      </c>
      <c r="S62" s="218" t="s">
        <v>948</v>
      </c>
      <c r="Y62" s="211" t="s">
        <v>961</v>
      </c>
    </row>
    <row r="65" spans="1:15" ht="19.5">
      <c r="A65" s="214" t="s">
        <v>1945</v>
      </c>
      <c r="M65" s="14">
        <f>SUM(M60:M62)</f>
        <v>0.03</v>
      </c>
      <c r="N65" s="210">
        <f>SUM(N60:N62)</f>
        <v>1.2549999999999999</v>
      </c>
      <c r="O65" s="215" t="s">
        <v>173</v>
      </c>
    </row>
  </sheetData>
  <pageMargins left="0.7" right="0.7" top="0.75" bottom="0.75" header="0.3" footer="0.3"/>
  <pageSetup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AS363"/>
  <sheetViews>
    <sheetView topLeftCell="A139" workbookViewId="0">
      <selection activeCell="M191" sqref="M191"/>
    </sheetView>
  </sheetViews>
  <sheetFormatPr defaultColWidth="8.88671875" defaultRowHeight="15"/>
  <cols>
    <col min="1" max="3" width="8.88671875" style="11"/>
    <col min="4" max="4" width="8.88671875" style="11" customWidth="1"/>
    <col min="5" max="14" width="8.88671875" style="11"/>
    <col min="15" max="15" width="10.44140625" style="11" customWidth="1"/>
    <col min="16" max="20" width="8.88671875" style="76"/>
    <col min="21" max="37" width="8.88671875" style="11"/>
    <col min="38" max="40" width="0" style="11" hidden="1" customWidth="1"/>
    <col min="41" max="16384" width="8.88671875" style="11"/>
  </cols>
  <sheetData>
    <row r="1" spans="1:26" s="6" customFormat="1" ht="24" customHeight="1">
      <c r="A1" s="6" t="s">
        <v>204</v>
      </c>
      <c r="P1" s="217"/>
      <c r="Q1" s="217"/>
      <c r="R1" s="217"/>
      <c r="S1" s="217"/>
      <c r="T1" s="217"/>
    </row>
    <row r="2" spans="1:26">
      <c r="A2" s="99"/>
      <c r="B2" s="99"/>
      <c r="C2" s="99"/>
      <c r="D2" s="99"/>
      <c r="E2" s="99"/>
      <c r="F2" s="99"/>
      <c r="G2" s="99"/>
      <c r="H2" s="99"/>
      <c r="I2" s="99"/>
      <c r="J2" s="99"/>
      <c r="K2" s="99"/>
      <c r="L2" s="99"/>
      <c r="M2" s="99"/>
      <c r="N2" s="99"/>
      <c r="O2" s="99"/>
      <c r="P2" s="218"/>
      <c r="Q2" s="218"/>
      <c r="R2" s="218"/>
      <c r="S2" s="218"/>
      <c r="T2" s="218"/>
      <c r="U2" s="99"/>
      <c r="V2" s="99"/>
      <c r="W2" s="99"/>
      <c r="X2" s="99"/>
      <c r="Y2" s="99"/>
      <c r="Z2" s="99"/>
    </row>
    <row r="3" spans="1:26">
      <c r="A3" s="99" t="s">
        <v>205</v>
      </c>
      <c r="B3" s="99"/>
      <c r="C3" s="99"/>
      <c r="D3" s="99"/>
      <c r="E3" s="99"/>
      <c r="F3" s="99"/>
      <c r="G3" s="99"/>
      <c r="H3" s="99"/>
      <c r="I3" s="99"/>
      <c r="J3" s="99"/>
      <c r="K3" s="99"/>
      <c r="L3" s="99"/>
      <c r="M3" s="99"/>
      <c r="N3" s="99"/>
      <c r="O3" s="99"/>
      <c r="P3" s="218"/>
      <c r="Q3" s="218"/>
      <c r="R3" s="218"/>
      <c r="S3" s="218"/>
      <c r="T3" s="218"/>
      <c r="U3" s="99"/>
      <c r="V3" s="99"/>
      <c r="W3" s="99"/>
      <c r="X3" s="99"/>
      <c r="Y3" s="99"/>
      <c r="Z3" s="99"/>
    </row>
    <row r="4" spans="1:26">
      <c r="A4" s="99" t="s">
        <v>217</v>
      </c>
      <c r="B4" s="99"/>
      <c r="C4" s="99"/>
      <c r="D4" s="99"/>
      <c r="E4" s="99"/>
      <c r="F4" s="99"/>
      <c r="G4" s="99"/>
      <c r="H4" s="99"/>
      <c r="I4" s="99"/>
      <c r="J4" s="99"/>
      <c r="K4" s="99"/>
      <c r="L4" s="99"/>
      <c r="M4" s="99"/>
      <c r="N4" s="99"/>
      <c r="O4" s="99"/>
      <c r="P4" s="218"/>
      <c r="Q4" s="218"/>
      <c r="R4" s="218"/>
      <c r="S4" s="218"/>
      <c r="T4" s="218"/>
      <c r="U4" s="99"/>
      <c r="V4" s="99"/>
      <c r="W4" s="99"/>
      <c r="X4" s="99"/>
      <c r="Y4" s="99"/>
      <c r="Z4" s="99"/>
    </row>
    <row r="5" spans="1:26">
      <c r="A5" s="99" t="s">
        <v>206</v>
      </c>
      <c r="B5" s="99"/>
      <c r="C5" s="99"/>
      <c r="D5" s="99"/>
      <c r="E5" s="99"/>
      <c r="F5" s="99"/>
      <c r="G5" s="99"/>
      <c r="H5" s="99"/>
      <c r="I5" s="99"/>
      <c r="J5" s="99"/>
      <c r="K5" s="99"/>
      <c r="L5" s="99"/>
      <c r="M5" s="99"/>
      <c r="N5" s="99"/>
      <c r="O5" s="99"/>
      <c r="P5" s="218"/>
      <c r="Q5" s="218"/>
      <c r="R5" s="218"/>
      <c r="S5" s="218"/>
      <c r="T5" s="218"/>
      <c r="U5" s="99"/>
      <c r="V5" s="99"/>
      <c r="W5" s="99"/>
      <c r="X5" s="99"/>
      <c r="Y5" s="99"/>
      <c r="Z5" s="99"/>
    </row>
    <row r="6" spans="1:26">
      <c r="A6" s="99" t="s">
        <v>1399</v>
      </c>
      <c r="B6" s="99"/>
      <c r="C6" s="99"/>
      <c r="D6" s="99"/>
      <c r="E6" s="99"/>
      <c r="F6" s="99"/>
      <c r="G6" s="99"/>
      <c r="H6" s="99"/>
      <c r="I6" s="99"/>
      <c r="J6" s="99"/>
      <c r="K6" s="99"/>
      <c r="L6" s="99"/>
      <c r="M6" s="99"/>
      <c r="N6" s="99"/>
      <c r="O6" s="99"/>
      <c r="P6" s="218"/>
      <c r="Q6" s="218"/>
      <c r="R6" s="218"/>
      <c r="S6" s="218"/>
      <c r="T6" s="218"/>
      <c r="U6" s="99"/>
      <c r="V6" s="99"/>
      <c r="W6" s="99"/>
      <c r="X6" s="99"/>
      <c r="Y6" s="99"/>
      <c r="Z6" s="99"/>
    </row>
    <row r="7" spans="1:26">
      <c r="A7" s="99" t="s">
        <v>1501</v>
      </c>
      <c r="B7" s="99"/>
      <c r="C7" s="99"/>
      <c r="D7" s="99"/>
      <c r="E7" s="99"/>
      <c r="F7" s="99"/>
      <c r="G7" s="99"/>
      <c r="H7" s="99"/>
      <c r="I7" s="99"/>
      <c r="J7" s="99"/>
      <c r="K7" s="99"/>
      <c r="L7" s="99"/>
      <c r="M7" s="99"/>
      <c r="N7" s="99"/>
      <c r="O7" s="99"/>
      <c r="P7" s="218"/>
      <c r="Q7" s="218"/>
      <c r="R7" s="218"/>
      <c r="S7" s="218"/>
      <c r="T7" s="218"/>
      <c r="U7" s="99"/>
      <c r="V7" s="99"/>
      <c r="W7" s="99"/>
      <c r="X7" s="99"/>
      <c r="Y7" s="99"/>
      <c r="Z7" s="99"/>
    </row>
    <row r="8" spans="1:26">
      <c r="A8" s="99" t="s">
        <v>1599</v>
      </c>
      <c r="B8" s="99"/>
      <c r="C8" s="99"/>
      <c r="D8" s="99"/>
      <c r="E8" s="99"/>
      <c r="F8" s="99"/>
      <c r="G8" s="99"/>
      <c r="H8" s="99"/>
      <c r="I8" s="99"/>
      <c r="J8" s="99"/>
      <c r="K8" s="99"/>
      <c r="L8" s="99"/>
      <c r="M8" s="99"/>
      <c r="N8" s="99"/>
      <c r="O8" s="99"/>
      <c r="P8" s="218"/>
      <c r="Q8" s="218"/>
      <c r="R8" s="218"/>
      <c r="S8" s="218"/>
      <c r="T8" s="218"/>
      <c r="U8" s="99"/>
      <c r="V8" s="99"/>
      <c r="W8" s="99"/>
      <c r="X8" s="99"/>
      <c r="Y8" s="99"/>
      <c r="Z8" s="99"/>
    </row>
    <row r="9" spans="1:26">
      <c r="A9" s="99" t="s">
        <v>1659</v>
      </c>
      <c r="B9" s="99"/>
      <c r="C9" s="99"/>
      <c r="D9" s="99"/>
      <c r="E9" s="99"/>
      <c r="F9" s="99"/>
      <c r="G9" s="99"/>
      <c r="H9" s="99"/>
      <c r="I9" s="99"/>
      <c r="J9" s="99"/>
      <c r="K9" s="99"/>
      <c r="L9" s="99"/>
      <c r="M9" s="99"/>
      <c r="N9" s="99"/>
      <c r="O9" s="99"/>
      <c r="P9" s="218"/>
      <c r="Q9" s="218"/>
      <c r="R9" s="218"/>
      <c r="S9" s="218"/>
      <c r="T9" s="218"/>
      <c r="U9" s="99"/>
      <c r="V9" s="99"/>
      <c r="W9" s="99"/>
      <c r="X9" s="99"/>
      <c r="Y9" s="99"/>
      <c r="Z9" s="99"/>
    </row>
    <row r="10" spans="1:26">
      <c r="A10" s="219" t="s">
        <v>1700</v>
      </c>
      <c r="B10" s="99"/>
      <c r="C10" s="99"/>
      <c r="D10" s="99"/>
      <c r="E10" s="99"/>
      <c r="F10" s="99"/>
      <c r="G10" s="99"/>
      <c r="H10" s="99"/>
      <c r="I10" s="99"/>
      <c r="J10" s="99"/>
      <c r="K10" s="99"/>
      <c r="L10" s="99"/>
      <c r="M10" s="99"/>
      <c r="N10" s="99"/>
      <c r="O10" s="99"/>
      <c r="P10" s="218"/>
      <c r="Q10" s="218"/>
      <c r="R10" s="218"/>
      <c r="S10" s="218"/>
      <c r="T10" s="218"/>
      <c r="U10" s="99"/>
      <c r="V10" s="99"/>
      <c r="W10" s="99"/>
      <c r="X10" s="99"/>
      <c r="Y10" s="99"/>
      <c r="Z10" s="99"/>
    </row>
    <row r="11" spans="1:26">
      <c r="A11" s="219"/>
      <c r="B11" s="99"/>
      <c r="C11" s="99"/>
      <c r="D11" s="99"/>
      <c r="E11" s="99"/>
      <c r="F11" s="99"/>
      <c r="G11" s="99"/>
      <c r="H11" s="99"/>
      <c r="I11" s="99"/>
      <c r="J11" s="99"/>
      <c r="K11" s="99"/>
      <c r="L11" s="99"/>
      <c r="M11" s="99"/>
      <c r="N11" s="99"/>
      <c r="O11" s="99"/>
      <c r="P11" s="218"/>
      <c r="Q11" s="218"/>
      <c r="R11" s="218"/>
      <c r="S11" s="218"/>
      <c r="T11" s="218"/>
      <c r="U11" s="99"/>
      <c r="V11" s="99"/>
      <c r="W11" s="99"/>
      <c r="X11" s="99"/>
      <c r="Y11" s="99"/>
      <c r="Z11" s="99"/>
    </row>
    <row r="12" spans="1:26" s="9" customFormat="1" ht="15.75">
      <c r="A12" s="9" t="s">
        <v>1372</v>
      </c>
      <c r="P12" s="220"/>
      <c r="Q12" s="220"/>
      <c r="R12" s="220"/>
      <c r="S12" s="220"/>
      <c r="T12" s="220"/>
    </row>
    <row r="13" spans="1:26" ht="15.75">
      <c r="A13" s="28"/>
      <c r="B13" s="28"/>
      <c r="C13" s="28"/>
      <c r="D13" s="28"/>
      <c r="E13" s="28"/>
      <c r="F13" s="28"/>
      <c r="G13" s="28"/>
      <c r="H13" s="28"/>
      <c r="I13" s="28"/>
      <c r="J13" s="28"/>
      <c r="K13" s="28"/>
      <c r="L13" s="28"/>
      <c r="M13" s="28"/>
      <c r="N13" s="28"/>
      <c r="O13" s="28"/>
      <c r="P13" s="221"/>
      <c r="Q13" s="221"/>
      <c r="R13" s="221"/>
      <c r="S13" s="221"/>
      <c r="T13" s="221"/>
      <c r="U13" s="28"/>
      <c r="V13" s="28"/>
      <c r="W13" s="28"/>
      <c r="X13" s="28"/>
      <c r="Y13" s="28"/>
      <c r="Z13" s="28"/>
    </row>
    <row r="14" spans="1:26" ht="15.75">
      <c r="A14" s="222" t="s">
        <v>1390</v>
      </c>
      <c r="B14" s="27"/>
      <c r="C14" s="27"/>
      <c r="D14" s="27"/>
      <c r="E14" s="27"/>
      <c r="F14" s="28"/>
      <c r="G14" s="28"/>
      <c r="H14" s="28"/>
      <c r="I14" s="28"/>
      <c r="J14" s="28"/>
      <c r="K14" s="28"/>
      <c r="L14" s="28"/>
      <c r="M14" s="99" t="s">
        <v>222</v>
      </c>
      <c r="N14" s="99" t="s">
        <v>221</v>
      </c>
      <c r="O14" s="99" t="s">
        <v>165</v>
      </c>
      <c r="P14" s="218"/>
      <c r="Q14" s="218" t="s">
        <v>168</v>
      </c>
      <c r="R14" s="218"/>
      <c r="S14" s="218" t="s">
        <v>167</v>
      </c>
      <c r="T14" s="218"/>
      <c r="U14" s="99"/>
      <c r="V14" s="99"/>
      <c r="W14" s="99"/>
      <c r="X14" s="99"/>
      <c r="Y14" s="99" t="s">
        <v>348</v>
      </c>
      <c r="Z14" s="28"/>
    </row>
    <row r="15" spans="1:26" ht="15.75">
      <c r="A15" s="27"/>
      <c r="B15" s="222" t="s">
        <v>1391</v>
      </c>
      <c r="C15" s="27"/>
      <c r="D15" s="27"/>
      <c r="E15" s="27"/>
      <c r="F15" s="28"/>
      <c r="G15" s="28"/>
      <c r="H15" s="28"/>
      <c r="I15" s="28"/>
      <c r="J15" s="28"/>
      <c r="K15" s="28"/>
      <c r="L15" s="223"/>
      <c r="M15" s="206">
        <f>'User Inputs &amp; Results'!J57</f>
        <v>0</v>
      </c>
      <c r="N15" s="207">
        <v>1</v>
      </c>
      <c r="O15" s="28"/>
      <c r="P15" s="221"/>
      <c r="Q15" s="221"/>
      <c r="R15" s="221"/>
      <c r="S15" s="221"/>
      <c r="T15" s="221"/>
      <c r="U15" s="28"/>
      <c r="V15" s="28"/>
      <c r="W15" s="28"/>
      <c r="X15" s="28"/>
      <c r="Y15" s="224"/>
      <c r="Z15" s="28"/>
    </row>
    <row r="16" spans="1:26" ht="15.75">
      <c r="A16" s="27"/>
      <c r="B16" s="222" t="s">
        <v>1502</v>
      </c>
      <c r="C16" s="27"/>
      <c r="D16" s="27"/>
      <c r="E16" s="27"/>
      <c r="F16" s="28"/>
      <c r="G16" s="28"/>
      <c r="H16" s="28"/>
      <c r="I16" s="28"/>
      <c r="J16" s="28"/>
      <c r="K16" s="28"/>
      <c r="L16" s="28"/>
      <c r="M16" s="206">
        <f>'User Inputs &amp; Results'!J58</f>
        <v>1</v>
      </c>
      <c r="N16" s="207">
        <v>1</v>
      </c>
      <c r="O16" s="28"/>
      <c r="P16" s="221"/>
      <c r="Q16" s="221"/>
      <c r="R16" s="221"/>
      <c r="S16" s="221"/>
      <c r="T16" s="221"/>
      <c r="U16" s="28"/>
      <c r="V16" s="28"/>
      <c r="W16" s="28"/>
      <c r="X16" s="28"/>
      <c r="Y16" s="28"/>
      <c r="Z16" s="28"/>
    </row>
    <row r="17" spans="1:26" ht="15.75">
      <c r="A17" s="27"/>
      <c r="B17" s="222" t="s">
        <v>1594</v>
      </c>
      <c r="C17" s="27"/>
      <c r="D17" s="27"/>
      <c r="E17" s="27"/>
      <c r="F17" s="28"/>
      <c r="G17" s="28"/>
      <c r="H17" s="28"/>
      <c r="I17" s="28"/>
      <c r="J17" s="28"/>
      <c r="K17" s="28"/>
      <c r="L17" s="29"/>
      <c r="M17" s="206">
        <f>'User Inputs &amp; Results'!J59</f>
        <v>0</v>
      </c>
      <c r="N17" s="207">
        <v>1</v>
      </c>
      <c r="O17" s="28"/>
      <c r="P17" s="221"/>
      <c r="Q17" s="221"/>
      <c r="R17" s="221"/>
      <c r="S17" s="221"/>
      <c r="T17" s="221"/>
      <c r="U17" s="28"/>
      <c r="V17" s="28"/>
      <c r="W17" s="28"/>
      <c r="X17" s="28"/>
      <c r="Y17" s="28"/>
      <c r="Z17" s="28"/>
    </row>
    <row r="18" spans="1:26" ht="15.75">
      <c r="A18" s="27"/>
      <c r="B18" s="222" t="s">
        <v>1656</v>
      </c>
      <c r="D18" s="27"/>
      <c r="E18" s="27"/>
      <c r="F18" s="28"/>
      <c r="G18" s="28"/>
      <c r="H18" s="28"/>
      <c r="I18" s="28"/>
      <c r="J18" s="28"/>
      <c r="K18" s="28"/>
      <c r="L18" s="28"/>
      <c r="M18" s="206">
        <f>'User Inputs &amp; Results'!J60</f>
        <v>0</v>
      </c>
      <c r="N18" s="207">
        <v>0</v>
      </c>
      <c r="O18" s="28"/>
      <c r="P18" s="221"/>
      <c r="Q18" s="221"/>
      <c r="R18" s="221"/>
      <c r="S18" s="221"/>
      <c r="T18" s="221"/>
      <c r="U18" s="28"/>
      <c r="V18" s="28"/>
      <c r="W18" s="28"/>
      <c r="X18" s="28"/>
      <c r="Y18" s="28"/>
      <c r="Z18" s="28"/>
    </row>
    <row r="19" spans="1:26" ht="15.75">
      <c r="A19" s="27"/>
      <c r="B19" s="222" t="s">
        <v>1698</v>
      </c>
      <c r="D19" s="27"/>
      <c r="E19" s="27"/>
      <c r="F19" s="28"/>
      <c r="G19" s="28"/>
      <c r="H19" s="28"/>
      <c r="I19" s="28"/>
      <c r="J19" s="28"/>
      <c r="K19" s="28"/>
      <c r="L19" s="28"/>
      <c r="M19" s="206">
        <f>'User Inputs &amp; Results'!J61</f>
        <v>1</v>
      </c>
      <c r="N19" s="207">
        <v>0</v>
      </c>
      <c r="O19" s="28"/>
      <c r="P19" s="221"/>
      <c r="Q19" s="221"/>
      <c r="R19" s="221"/>
      <c r="S19" s="221"/>
      <c r="T19" s="221"/>
      <c r="U19" s="28"/>
      <c r="V19" s="28"/>
      <c r="W19" s="28"/>
      <c r="X19" s="28"/>
      <c r="Y19" s="28"/>
      <c r="Z19" s="28"/>
    </row>
    <row r="20" spans="1:26" ht="15.75">
      <c r="A20" s="27"/>
      <c r="B20" s="222" t="s">
        <v>1720</v>
      </c>
      <c r="D20" s="27"/>
      <c r="E20" s="27"/>
      <c r="F20" s="28"/>
      <c r="G20" s="28"/>
      <c r="H20" s="28"/>
      <c r="I20" s="28"/>
      <c r="J20" s="28"/>
      <c r="K20" s="28"/>
      <c r="L20" s="28"/>
      <c r="M20" s="206">
        <f>'User Inputs &amp; Results'!J62</f>
        <v>1</v>
      </c>
      <c r="N20" s="207">
        <v>0</v>
      </c>
      <c r="O20" s="28"/>
      <c r="P20" s="221"/>
      <c r="Q20" s="221"/>
      <c r="R20" s="221"/>
      <c r="S20" s="221"/>
      <c r="T20" s="221"/>
      <c r="U20" s="28"/>
      <c r="V20" s="28"/>
      <c r="W20" s="28"/>
      <c r="X20" s="28"/>
      <c r="Y20" s="28"/>
      <c r="Z20" s="28"/>
    </row>
    <row r="21" spans="1:26" ht="15.75">
      <c r="A21" s="27"/>
      <c r="B21" s="12" t="s">
        <v>1731</v>
      </c>
      <c r="D21" s="27"/>
      <c r="E21" s="27"/>
      <c r="F21" s="28"/>
      <c r="G21" s="28"/>
      <c r="H21" s="28"/>
      <c r="I21" s="28"/>
      <c r="J21" s="28"/>
      <c r="K21" s="28"/>
      <c r="L21" s="223"/>
      <c r="M21" s="206">
        <f>'User Inputs &amp; Results'!J63</f>
        <v>0</v>
      </c>
      <c r="N21" s="207">
        <v>0</v>
      </c>
      <c r="O21" s="28"/>
      <c r="P21" s="221"/>
      <c r="Q21" s="221"/>
      <c r="R21" s="221"/>
      <c r="S21" s="221"/>
      <c r="T21" s="221"/>
      <c r="U21" s="28"/>
      <c r="V21" s="28"/>
      <c r="W21" s="28"/>
      <c r="X21" s="28"/>
      <c r="Y21" s="28"/>
      <c r="Z21" s="28"/>
    </row>
    <row r="22" spans="1:26" ht="15.75">
      <c r="A22" s="27"/>
      <c r="B22" s="12"/>
      <c r="D22" s="27"/>
      <c r="E22" s="27"/>
      <c r="F22" s="28"/>
      <c r="G22" s="28"/>
      <c r="H22" s="28"/>
      <c r="I22" s="28"/>
      <c r="J22" s="28"/>
      <c r="K22" s="28"/>
      <c r="L22" s="223"/>
      <c r="M22" s="223"/>
      <c r="N22" s="223"/>
      <c r="O22" s="28"/>
      <c r="P22" s="221"/>
      <c r="Q22" s="221"/>
      <c r="R22" s="221"/>
      <c r="S22" s="221"/>
      <c r="T22" s="221"/>
      <c r="U22" s="28"/>
      <c r="V22" s="28"/>
      <c r="W22" s="28"/>
      <c r="X22" s="28"/>
      <c r="Y22" s="28"/>
      <c r="Z22" s="28"/>
    </row>
    <row r="23" spans="1:26" ht="15.75">
      <c r="A23" s="27"/>
      <c r="B23" s="27"/>
      <c r="C23" s="27"/>
      <c r="D23" s="27"/>
      <c r="E23" s="27"/>
      <c r="F23" s="28"/>
      <c r="G23" s="28"/>
      <c r="H23" s="28"/>
      <c r="I23" s="28"/>
      <c r="J23" s="28"/>
      <c r="K23" s="28"/>
      <c r="L23" s="28"/>
      <c r="M23" s="225"/>
      <c r="N23" s="226"/>
      <c r="O23" s="28"/>
      <c r="P23" s="221"/>
      <c r="Q23" s="221"/>
      <c r="R23" s="221"/>
      <c r="S23" s="221"/>
      <c r="T23" s="221"/>
      <c r="U23" s="28"/>
      <c r="V23" s="28"/>
      <c r="W23" s="28"/>
      <c r="X23" s="28"/>
      <c r="Y23" s="28"/>
      <c r="Z23" s="28"/>
    </row>
    <row r="24" spans="1:26" s="9" customFormat="1" ht="15.75">
      <c r="A24" s="9" t="s">
        <v>1373</v>
      </c>
      <c r="P24" s="220"/>
      <c r="Q24" s="220"/>
      <c r="R24" s="220"/>
      <c r="S24" s="220"/>
      <c r="T24" s="220"/>
    </row>
    <row r="25" spans="1:26">
      <c r="A25" s="99"/>
      <c r="B25" s="99"/>
      <c r="C25" s="99"/>
      <c r="D25" s="99"/>
      <c r="E25" s="99"/>
      <c r="F25" s="99"/>
      <c r="G25" s="99"/>
      <c r="H25" s="99"/>
      <c r="I25" s="99"/>
      <c r="J25" s="99"/>
      <c r="K25" s="99"/>
      <c r="L25" s="99"/>
      <c r="M25" s="99"/>
      <c r="N25" s="99"/>
      <c r="O25" s="99"/>
      <c r="P25" s="218"/>
      <c r="Q25" s="218"/>
      <c r="R25" s="218"/>
      <c r="S25" s="218"/>
      <c r="T25" s="218"/>
      <c r="U25" s="99"/>
      <c r="V25" s="99"/>
      <c r="W25" s="99"/>
      <c r="X25" s="99"/>
      <c r="Y25" s="99"/>
      <c r="Z25" s="99"/>
    </row>
    <row r="26" spans="1:26">
      <c r="A26" s="99"/>
      <c r="B26" s="99"/>
      <c r="C26" s="99"/>
      <c r="D26" s="99"/>
      <c r="E26" s="99"/>
      <c r="F26" s="99"/>
      <c r="G26" s="99"/>
      <c r="H26" s="99"/>
      <c r="I26" s="99"/>
      <c r="J26" s="99"/>
      <c r="K26" s="99"/>
      <c r="L26" s="99"/>
    </row>
    <row r="27" spans="1:26" ht="15.75" customHeight="1">
      <c r="A27" s="227" t="s">
        <v>1400</v>
      </c>
      <c r="B27" s="99"/>
      <c r="C27" s="99"/>
      <c r="D27" s="99"/>
      <c r="E27" s="99"/>
      <c r="F27" s="99"/>
      <c r="G27" s="99"/>
      <c r="H27" s="99"/>
      <c r="I27" s="99"/>
      <c r="J27" s="99"/>
      <c r="K27" s="99"/>
      <c r="L27" s="99"/>
      <c r="M27" s="105"/>
      <c r="N27" s="105"/>
      <c r="O27" s="105"/>
      <c r="P27" s="228"/>
      <c r="Q27" s="228"/>
      <c r="R27" s="228"/>
      <c r="S27" s="228"/>
      <c r="T27" s="228"/>
      <c r="U27" s="105"/>
      <c r="V27" s="105"/>
      <c r="W27" s="105"/>
      <c r="X27" s="105"/>
      <c r="Y27" s="105"/>
      <c r="Z27" s="99"/>
    </row>
    <row r="28" spans="1:26" ht="15.75" customHeight="1">
      <c r="A28" s="105"/>
      <c r="B28" s="99"/>
      <c r="C28" s="99"/>
      <c r="D28" s="99"/>
      <c r="E28" s="99"/>
      <c r="F28" s="99"/>
      <c r="G28" s="99"/>
      <c r="H28" s="99"/>
      <c r="I28" s="99"/>
      <c r="J28" s="99"/>
      <c r="K28" s="99"/>
      <c r="L28" s="99"/>
      <c r="M28" s="99"/>
      <c r="N28" s="99"/>
      <c r="O28" s="99"/>
      <c r="P28" s="228"/>
      <c r="Q28" s="228"/>
      <c r="R28" s="228"/>
      <c r="S28" s="228"/>
      <c r="T28" s="228"/>
      <c r="U28" s="105"/>
      <c r="V28" s="105"/>
      <c r="W28" s="105"/>
      <c r="X28" s="105"/>
      <c r="Y28" s="105"/>
      <c r="Z28" s="99"/>
    </row>
    <row r="29" spans="1:26" ht="15.75" customHeight="1">
      <c r="B29" s="227" t="s">
        <v>1401</v>
      </c>
      <c r="C29" s="99"/>
      <c r="D29" s="99"/>
      <c r="E29" s="99"/>
      <c r="F29" s="99"/>
      <c r="G29" s="99"/>
      <c r="H29" s="99"/>
      <c r="I29" s="99"/>
      <c r="J29" s="99"/>
      <c r="K29" s="99"/>
      <c r="L29" s="99"/>
      <c r="M29" s="99" t="s">
        <v>222</v>
      </c>
      <c r="N29" s="99" t="s">
        <v>221</v>
      </c>
      <c r="O29" s="99" t="s">
        <v>165</v>
      </c>
      <c r="P29" s="218"/>
      <c r="Q29" s="218" t="s">
        <v>168</v>
      </c>
      <c r="R29" s="218"/>
      <c r="S29" s="218" t="s">
        <v>167</v>
      </c>
      <c r="T29" s="218"/>
      <c r="U29" s="99"/>
      <c r="V29" s="99"/>
      <c r="W29" s="99"/>
      <c r="X29" s="99"/>
      <c r="Y29" s="99" t="s">
        <v>348</v>
      </c>
      <c r="Z29" s="99"/>
    </row>
    <row r="30" spans="1:26" ht="15.75" customHeight="1">
      <c r="C30" s="99" t="s">
        <v>1402</v>
      </c>
      <c r="D30" s="99"/>
      <c r="E30" s="99"/>
      <c r="F30" s="99"/>
      <c r="G30" s="99"/>
      <c r="H30" s="99"/>
      <c r="I30" s="99"/>
      <c r="J30" s="99"/>
      <c r="K30" s="99"/>
      <c r="L30" s="99"/>
      <c r="M30" s="14" t="str">
        <f>'User Inputs &amp; Results'!J66</f>
        <v>Mexico</v>
      </c>
      <c r="N30" s="210" t="str">
        <f>'User Inputs &amp; Results'!K66</f>
        <v>Generic</v>
      </c>
      <c r="O30" s="666" t="s">
        <v>237</v>
      </c>
      <c r="P30" s="218"/>
      <c r="Q30" s="218"/>
      <c r="R30" s="218"/>
      <c r="S30" s="218"/>
      <c r="T30" s="218"/>
      <c r="U30" s="99"/>
      <c r="V30" s="99"/>
      <c r="W30" s="99"/>
      <c r="X30" s="99"/>
      <c r="Y30" s="99"/>
      <c r="Z30" s="99"/>
    </row>
    <row r="31" spans="1:26" ht="15.75" customHeight="1">
      <c r="C31" s="99" t="s">
        <v>1503</v>
      </c>
      <c r="D31" s="99"/>
      <c r="E31" s="99"/>
      <c r="F31" s="99"/>
      <c r="G31" s="99"/>
      <c r="H31" s="99"/>
      <c r="I31" s="99"/>
      <c r="J31" s="99"/>
      <c r="K31" s="99"/>
      <c r="L31" s="99"/>
      <c r="M31" s="14" t="str">
        <f>'User Inputs &amp; Results'!J67</f>
        <v>Cantarell</v>
      </c>
      <c r="N31" s="210" t="str">
        <f>'User Inputs &amp; Results'!K67</f>
        <v>Generic</v>
      </c>
      <c r="O31" s="666" t="s">
        <v>237</v>
      </c>
      <c r="P31" s="218"/>
      <c r="Q31" s="218"/>
      <c r="R31" s="218"/>
      <c r="S31" s="218"/>
      <c r="T31" s="218"/>
      <c r="U31" s="99"/>
      <c r="V31" s="99"/>
      <c r="W31" s="99"/>
      <c r="X31" s="99"/>
      <c r="Y31" s="99"/>
      <c r="Z31" s="99"/>
    </row>
    <row r="32" spans="1:26" ht="15.75" customHeight="1">
      <c r="C32" s="99" t="s">
        <v>1600</v>
      </c>
      <c r="D32" s="99"/>
      <c r="E32" s="99"/>
      <c r="F32" s="99"/>
      <c r="G32" s="99"/>
      <c r="H32" s="99"/>
      <c r="I32" s="99"/>
      <c r="J32" s="99"/>
      <c r="K32" s="99"/>
      <c r="L32" s="99"/>
      <c r="M32" s="14">
        <f>'User Inputs &amp; Results'!J78</f>
        <v>22</v>
      </c>
      <c r="N32" s="210">
        <f>'User Inputs &amp; Results'!K78</f>
        <v>30</v>
      </c>
      <c r="O32" s="666" t="s">
        <v>2119</v>
      </c>
      <c r="P32" s="218"/>
      <c r="Q32" s="218"/>
      <c r="R32" s="218"/>
      <c r="S32" s="218"/>
      <c r="T32" s="218"/>
      <c r="U32" s="99"/>
      <c r="V32" s="99"/>
      <c r="W32" s="99"/>
      <c r="X32" s="99"/>
      <c r="Y32" s="99"/>
      <c r="Z32" s="99"/>
    </row>
    <row r="33" spans="1:40" ht="15.75" customHeight="1">
      <c r="C33" s="99" t="s">
        <v>1660</v>
      </c>
      <c r="D33" s="99"/>
      <c r="E33" s="99"/>
      <c r="F33" s="99"/>
      <c r="G33" s="99"/>
      <c r="H33" s="99"/>
      <c r="I33" s="99"/>
      <c r="J33" s="99"/>
      <c r="K33" s="99"/>
      <c r="L33" s="99"/>
      <c r="M33" s="14">
        <f>141.5/(M32+131.5)</f>
        <v>0.92182410423452765</v>
      </c>
      <c r="N33" s="210">
        <f>141.5/(N32+131.5)</f>
        <v>0.87616099071207432</v>
      </c>
      <c r="O33" s="666" t="s">
        <v>2119</v>
      </c>
      <c r="P33" s="218"/>
      <c r="R33" s="218"/>
      <c r="S33" s="218" t="s">
        <v>2142</v>
      </c>
      <c r="T33" s="218"/>
      <c r="U33" s="99"/>
      <c r="V33" s="99"/>
      <c r="W33" s="99"/>
      <c r="X33" s="99"/>
      <c r="Y33" s="99"/>
      <c r="Z33" s="99"/>
    </row>
    <row r="34" spans="1:40" ht="15.75" customHeight="1">
      <c r="C34" s="99" t="s">
        <v>1701</v>
      </c>
      <c r="D34" s="99"/>
      <c r="E34" s="99"/>
      <c r="F34" s="99"/>
      <c r="G34" s="99"/>
      <c r="H34" s="99"/>
      <c r="I34" s="99"/>
      <c r="J34" s="99"/>
      <c r="K34" s="99"/>
      <c r="L34" s="99"/>
      <c r="M34" s="35">
        <v>2</v>
      </c>
      <c r="N34" s="39">
        <v>2</v>
      </c>
      <c r="O34" s="99" t="s">
        <v>207</v>
      </c>
      <c r="P34" s="218"/>
      <c r="Q34" s="218"/>
      <c r="R34" s="218"/>
      <c r="S34" s="218"/>
      <c r="T34" s="218"/>
      <c r="U34" s="99"/>
      <c r="V34" s="99"/>
      <c r="W34" s="99"/>
      <c r="X34" s="99"/>
      <c r="Y34" s="99"/>
      <c r="Z34" s="99"/>
    </row>
    <row r="35" spans="1:40" ht="15.75" customHeight="1">
      <c r="C35" s="229" t="s">
        <v>1721</v>
      </c>
      <c r="D35" s="99"/>
      <c r="E35" s="99"/>
      <c r="F35" s="99"/>
      <c r="G35" s="99"/>
      <c r="H35" s="99"/>
      <c r="I35" s="99"/>
      <c r="J35" s="99"/>
      <c r="K35" s="99"/>
      <c r="L35" s="99"/>
      <c r="M35" s="206">
        <f>'User Inputs &amp; Results'!J70</f>
        <v>750000</v>
      </c>
      <c r="N35" s="207">
        <f>'User Inputs &amp; Results'!K70</f>
        <v>1500</v>
      </c>
      <c r="O35" s="229" t="s">
        <v>1075</v>
      </c>
      <c r="P35" s="218"/>
      <c r="Q35" s="218"/>
      <c r="R35" s="218"/>
      <c r="S35" s="218"/>
      <c r="T35" s="218"/>
      <c r="U35" s="99"/>
      <c r="V35" s="99"/>
      <c r="W35" s="99"/>
      <c r="X35" s="99"/>
      <c r="Y35" s="99"/>
      <c r="Z35" s="99"/>
    </row>
    <row r="36" spans="1:40" ht="15.75" customHeight="1">
      <c r="D36" s="99"/>
      <c r="E36" s="99"/>
      <c r="F36" s="99"/>
      <c r="G36" s="99"/>
      <c r="H36" s="99"/>
      <c r="I36" s="211"/>
      <c r="J36" s="211"/>
      <c r="K36" s="211"/>
      <c r="L36" s="105"/>
      <c r="M36" s="230"/>
      <c r="N36" s="230"/>
      <c r="O36" s="99"/>
      <c r="P36" s="218"/>
      <c r="Q36" s="218"/>
      <c r="R36" s="218"/>
      <c r="T36" s="218"/>
      <c r="U36" s="99"/>
      <c r="V36" s="99"/>
      <c r="W36" s="99"/>
      <c r="X36" s="99"/>
      <c r="AL36" s="231"/>
      <c r="AM36" s="232" t="s">
        <v>1057</v>
      </c>
      <c r="AN36" s="233" t="s">
        <v>1058</v>
      </c>
    </row>
    <row r="37" spans="1:40" ht="15.75" customHeight="1">
      <c r="A37" s="234"/>
      <c r="B37" s="227" t="s">
        <v>1504</v>
      </c>
      <c r="C37" s="99"/>
      <c r="D37" s="99"/>
      <c r="E37" s="99"/>
      <c r="F37" s="99"/>
      <c r="G37" s="99"/>
      <c r="H37" s="99"/>
      <c r="L37" s="105"/>
      <c r="N37" s="230"/>
      <c r="O37" s="99"/>
      <c r="P37" s="218"/>
      <c r="Q37" s="218"/>
      <c r="R37" s="218"/>
      <c r="T37" s="218"/>
      <c r="U37" s="99"/>
      <c r="V37" s="99"/>
      <c r="W37" s="99"/>
      <c r="X37" s="99"/>
      <c r="AL37" s="184"/>
      <c r="AM37" s="232" t="s">
        <v>240</v>
      </c>
      <c r="AN37" s="232" t="s">
        <v>240</v>
      </c>
    </row>
    <row r="38" spans="1:40" ht="15.75" customHeight="1">
      <c r="A38" s="99"/>
      <c r="C38" s="227" t="s">
        <v>1403</v>
      </c>
      <c r="D38" s="99"/>
      <c r="E38" s="99"/>
      <c r="F38" s="99"/>
      <c r="G38" s="99"/>
      <c r="H38" s="99"/>
      <c r="L38" s="7" t="s">
        <v>216</v>
      </c>
      <c r="M38" s="14">
        <f>'User Inputs &amp; Results'!J80</f>
        <v>2.370869299565538</v>
      </c>
      <c r="N38" s="210">
        <v>2</v>
      </c>
      <c r="O38" s="99" t="s">
        <v>210</v>
      </c>
      <c r="P38" s="218"/>
      <c r="Q38" s="218"/>
      <c r="R38" s="218"/>
      <c r="S38" s="218"/>
      <c r="T38" s="218"/>
      <c r="U38" s="99"/>
      <c r="V38" s="99"/>
      <c r="W38" s="99"/>
      <c r="X38" s="99"/>
      <c r="AL38" s="72" t="s">
        <v>872</v>
      </c>
      <c r="AM38" s="235">
        <f>'Fuel Specs'!E148</f>
        <v>28</v>
      </c>
      <c r="AN38" s="235">
        <f t="shared" ref="AN38:AN44" si="0">M38*AM38/100</f>
        <v>0.66384340387835072</v>
      </c>
    </row>
    <row r="39" spans="1:40" ht="15.75" customHeight="1">
      <c r="A39" s="99"/>
      <c r="B39" s="99"/>
      <c r="C39" s="99"/>
      <c r="D39" s="99"/>
      <c r="E39" s="99"/>
      <c r="F39" s="99"/>
      <c r="G39" s="99"/>
      <c r="H39" s="99"/>
      <c r="L39" s="7" t="s">
        <v>215</v>
      </c>
      <c r="M39" s="14">
        <f>'User Inputs &amp; Results'!J81</f>
        <v>0.70588235294117652</v>
      </c>
      <c r="N39" s="210">
        <v>6</v>
      </c>
      <c r="O39" s="99" t="s">
        <v>210</v>
      </c>
      <c r="P39" s="218"/>
      <c r="Q39" s="218"/>
      <c r="R39" s="218"/>
      <c r="S39" s="218"/>
      <c r="T39" s="218"/>
      <c r="U39" s="99"/>
      <c r="V39" s="99"/>
      <c r="W39" s="99"/>
      <c r="X39" s="99"/>
      <c r="AL39" s="72" t="s">
        <v>627</v>
      </c>
      <c r="AM39" s="235">
        <f>'Fuel Specs'!E150</f>
        <v>44</v>
      </c>
      <c r="AN39" s="235">
        <f t="shared" si="0"/>
        <v>0.31058823529411766</v>
      </c>
    </row>
    <row r="40" spans="1:40" ht="15.75" customHeight="1">
      <c r="A40" s="99"/>
      <c r="B40" s="99"/>
      <c r="C40" s="99"/>
      <c r="D40" s="99"/>
      <c r="E40" s="99"/>
      <c r="F40" s="99"/>
      <c r="G40" s="99"/>
      <c r="H40" s="99"/>
      <c r="L40" s="7" t="s">
        <v>921</v>
      </c>
      <c r="M40" s="14">
        <f>'User Inputs &amp; Results'!J82</f>
        <v>95.936476909622343</v>
      </c>
      <c r="N40" s="210">
        <v>84</v>
      </c>
      <c r="O40" s="99" t="s">
        <v>210</v>
      </c>
      <c r="P40" s="218"/>
      <c r="Q40" s="218"/>
      <c r="R40" s="218"/>
      <c r="S40" s="218"/>
      <c r="T40" s="218"/>
      <c r="U40" s="99"/>
      <c r="V40" s="99"/>
      <c r="W40" s="99"/>
      <c r="X40" s="99"/>
      <c r="AL40" s="72" t="s">
        <v>211</v>
      </c>
      <c r="AM40" s="235">
        <f>'Fuel Specs'!E152</f>
        <v>16</v>
      </c>
      <c r="AN40" s="235">
        <f t="shared" si="0"/>
        <v>15.349836305539576</v>
      </c>
    </row>
    <row r="41" spans="1:40" ht="15.75" customHeight="1">
      <c r="A41" s="99"/>
      <c r="B41" s="99"/>
      <c r="C41" s="99"/>
      <c r="D41" s="99"/>
      <c r="E41" s="99"/>
      <c r="F41" s="99"/>
      <c r="G41" s="99"/>
      <c r="H41" s="99"/>
      <c r="L41" s="7" t="s">
        <v>922</v>
      </c>
      <c r="M41" s="14">
        <f>'User Inputs &amp; Results'!J83</f>
        <v>0.51618320257682326</v>
      </c>
      <c r="N41" s="210">
        <v>4</v>
      </c>
      <c r="O41" s="99" t="s">
        <v>210</v>
      </c>
      <c r="P41" s="218"/>
      <c r="Q41" s="218"/>
      <c r="R41" s="218"/>
      <c r="S41" s="218"/>
      <c r="T41" s="218"/>
      <c r="U41" s="99"/>
      <c r="V41" s="99"/>
      <c r="W41" s="99"/>
      <c r="X41" s="99"/>
      <c r="AL41" s="72" t="s">
        <v>212</v>
      </c>
      <c r="AM41" s="235">
        <f>'Fuel Specs'!E153</f>
        <v>30</v>
      </c>
      <c r="AN41" s="235">
        <f t="shared" si="0"/>
        <v>0.15485496077304697</v>
      </c>
    </row>
    <row r="42" spans="1:40" ht="15.75" customHeight="1">
      <c r="A42" s="99"/>
      <c r="B42" s="99"/>
      <c r="C42" s="99"/>
      <c r="D42" s="99"/>
      <c r="E42" s="99"/>
      <c r="F42" s="99"/>
      <c r="G42" s="99"/>
      <c r="H42" s="99"/>
      <c r="L42" s="7" t="s">
        <v>923</v>
      </c>
      <c r="M42" s="14">
        <f>'User Inputs &amp; Results'!J84</f>
        <v>0.23529411764705882</v>
      </c>
      <c r="N42" s="210">
        <v>2</v>
      </c>
      <c r="O42" s="99" t="s">
        <v>210</v>
      </c>
      <c r="P42" s="218"/>
      <c r="Q42" s="218"/>
      <c r="R42" s="218"/>
      <c r="S42" s="218"/>
      <c r="T42" s="218"/>
      <c r="U42" s="99"/>
      <c r="V42" s="99"/>
      <c r="W42" s="99"/>
      <c r="X42" s="99"/>
      <c r="AL42" s="72" t="s">
        <v>213</v>
      </c>
      <c r="AM42" s="235">
        <f>'Fuel Specs'!E154</f>
        <v>44</v>
      </c>
      <c r="AN42" s="235">
        <f t="shared" si="0"/>
        <v>0.10352941176470588</v>
      </c>
    </row>
    <row r="43" spans="1:40" ht="15.75" customHeight="1">
      <c r="A43" s="99"/>
      <c r="B43" s="99"/>
      <c r="C43" s="99"/>
      <c r="D43" s="99"/>
      <c r="E43" s="99"/>
      <c r="F43" s="99"/>
      <c r="G43" s="99"/>
      <c r="H43" s="99"/>
      <c r="L43" s="661" t="s">
        <v>2558</v>
      </c>
      <c r="M43" s="14">
        <f>'User Inputs &amp; Results'!J85</f>
        <v>0.11764705882352941</v>
      </c>
      <c r="N43" s="210">
        <v>1</v>
      </c>
      <c r="O43" s="99" t="s">
        <v>210</v>
      </c>
      <c r="P43" s="218"/>
      <c r="Q43" s="218"/>
      <c r="R43" s="218"/>
      <c r="S43" s="218"/>
      <c r="T43" s="218"/>
      <c r="U43" s="99"/>
      <c r="V43" s="99"/>
      <c r="W43" s="99"/>
      <c r="X43" s="99"/>
      <c r="AL43" s="72" t="s">
        <v>231</v>
      </c>
      <c r="AM43" s="235">
        <f>'Fuel Specs'!E155</f>
        <v>58</v>
      </c>
      <c r="AN43" s="235">
        <f t="shared" si="0"/>
        <v>6.8235294117647061E-2</v>
      </c>
    </row>
    <row r="44" spans="1:40" ht="15.75" customHeight="1">
      <c r="A44" s="99"/>
      <c r="B44" s="99"/>
      <c r="C44" s="99"/>
      <c r="D44" s="99"/>
      <c r="E44" s="99"/>
      <c r="F44" s="99"/>
      <c r="G44" s="99"/>
      <c r="H44" s="99"/>
      <c r="L44" s="7" t="s">
        <v>214</v>
      </c>
      <c r="M44" s="14">
        <f>'User Inputs &amp; Results'!J86</f>
        <v>0.11764705882352941</v>
      </c>
      <c r="N44" s="210">
        <v>1</v>
      </c>
      <c r="O44" s="99" t="s">
        <v>210</v>
      </c>
      <c r="P44" s="218"/>
      <c r="Q44" s="218"/>
      <c r="R44" s="218"/>
      <c r="S44" s="218"/>
      <c r="T44" s="218"/>
      <c r="U44" s="99"/>
      <c r="V44" s="99"/>
      <c r="W44" s="99"/>
      <c r="X44" s="99"/>
      <c r="AL44" s="72" t="s">
        <v>873</v>
      </c>
      <c r="AM44" s="235">
        <f>'Fuel Specs'!E158</f>
        <v>34</v>
      </c>
      <c r="AN44" s="235">
        <f t="shared" si="0"/>
        <v>0.04</v>
      </c>
    </row>
    <row r="45" spans="1:40" ht="15.75" customHeight="1">
      <c r="B45" s="99"/>
      <c r="C45" s="99"/>
      <c r="D45" s="99"/>
      <c r="E45" s="99"/>
      <c r="F45" s="99"/>
      <c r="G45" s="99"/>
      <c r="M45" s="236" t="str">
        <f>IF(SUM(M38:M44)=100, "OK", "ERROR")</f>
        <v>OK</v>
      </c>
      <c r="N45" s="237"/>
      <c r="O45" s="99"/>
      <c r="P45" s="218"/>
      <c r="Q45" s="218"/>
      <c r="R45" s="218"/>
      <c r="S45" s="218"/>
      <c r="T45" s="218"/>
      <c r="U45" s="99"/>
      <c r="V45" s="99"/>
      <c r="W45" s="99"/>
      <c r="X45" s="99"/>
      <c r="AL45" s="72" t="s">
        <v>748</v>
      </c>
      <c r="AM45" s="238">
        <f>SUM(AN38:AN44)</f>
        <v>16.690887611367444</v>
      </c>
      <c r="AN45" s="119"/>
    </row>
    <row r="46" spans="1:40" ht="15.75" customHeight="1">
      <c r="B46" s="99"/>
      <c r="C46" s="99"/>
      <c r="D46" s="99"/>
      <c r="E46" s="99"/>
      <c r="F46" s="99"/>
      <c r="G46" s="99"/>
      <c r="H46" s="99"/>
      <c r="M46" s="237"/>
      <c r="N46" s="237"/>
      <c r="O46" s="99"/>
      <c r="P46" s="218"/>
      <c r="Q46" s="218"/>
      <c r="R46" s="218"/>
      <c r="S46" s="218"/>
      <c r="T46" s="218"/>
      <c r="U46" s="99"/>
      <c r="V46" s="99"/>
      <c r="W46" s="99"/>
      <c r="X46" s="99"/>
      <c r="Y46" s="119"/>
      <c r="Z46" s="231"/>
      <c r="AA46" s="231"/>
    </row>
    <row r="47" spans="1:40" ht="15.75" customHeight="1">
      <c r="B47" s="99"/>
      <c r="C47" s="99" t="s">
        <v>1505</v>
      </c>
      <c r="D47" s="99"/>
      <c r="E47" s="99"/>
      <c r="F47" s="99"/>
      <c r="G47" s="99"/>
      <c r="H47" s="99"/>
      <c r="I47" s="99"/>
      <c r="J47" s="99"/>
      <c r="K47" s="99"/>
      <c r="L47" s="99"/>
      <c r="M47" s="17">
        <f>(14.7*AM45)/(10.73*(60+460))/0.0764</f>
        <v>0.5755729076243653</v>
      </c>
      <c r="N47" s="209">
        <f>(14.7*AM45)/(10.73*(60+460))/0.0764</f>
        <v>0.5755729076243653</v>
      </c>
      <c r="O47" s="666" t="s">
        <v>2119</v>
      </c>
      <c r="P47" s="218"/>
      <c r="Q47" s="218"/>
      <c r="R47" s="218"/>
      <c r="S47" s="218"/>
      <c r="T47" s="218"/>
      <c r="U47" s="99"/>
      <c r="V47" s="99"/>
      <c r="W47" s="99"/>
      <c r="X47" s="99"/>
      <c r="Y47" s="211"/>
      <c r="Z47" s="99"/>
    </row>
    <row r="48" spans="1:40" ht="15.75" customHeight="1">
      <c r="B48" s="99"/>
      <c r="C48" s="99" t="s">
        <v>1601</v>
      </c>
      <c r="D48" s="99"/>
      <c r="E48" s="99"/>
      <c r="F48" s="99"/>
      <c r="G48" s="99"/>
      <c r="H48" s="99"/>
      <c r="I48" s="99"/>
      <c r="J48" s="99"/>
      <c r="K48" s="99"/>
      <c r="L48" s="99"/>
      <c r="M48" s="206">
        <f>'User Inputs &amp; Results'!J90</f>
        <v>2125</v>
      </c>
      <c r="N48" s="207">
        <f>'User Inputs &amp; Results'!K90</f>
        <v>908</v>
      </c>
      <c r="O48" s="229" t="s">
        <v>1074</v>
      </c>
      <c r="P48" s="218"/>
      <c r="Q48" s="218"/>
      <c r="R48" s="218"/>
      <c r="S48" s="218"/>
      <c r="T48" s="218"/>
      <c r="U48" s="99"/>
      <c r="V48" s="99"/>
      <c r="W48" s="99"/>
      <c r="X48" s="99"/>
      <c r="Y48" s="99"/>
      <c r="Z48" s="99"/>
    </row>
    <row r="49" spans="1:28" ht="15.75" customHeight="1">
      <c r="B49" s="99"/>
      <c r="C49" s="239" t="s">
        <v>1661</v>
      </c>
      <c r="D49" s="99"/>
      <c r="E49" s="99"/>
      <c r="F49" s="99"/>
      <c r="G49" s="99"/>
      <c r="H49" s="99"/>
      <c r="I49" s="213"/>
      <c r="J49" s="59"/>
      <c r="K49" s="99"/>
      <c r="L49" s="240" t="str">
        <f>IF(AND(AND(M20=1,M186=1),NOT(M49=100)),"ERROR","OK")</f>
        <v>OK</v>
      </c>
      <c r="M49" s="206">
        <f>IF('User Inputs &amp; Results'!J97=-1,0,'User Inputs &amp; Results'!J97*100)</f>
        <v>100</v>
      </c>
      <c r="N49" s="207">
        <f>'User Inputs &amp; Results'!K97*100</f>
        <v>0</v>
      </c>
      <c r="O49" s="99" t="s">
        <v>166</v>
      </c>
      <c r="P49" s="218"/>
      <c r="Q49" s="218"/>
      <c r="R49" s="218"/>
      <c r="S49" s="218"/>
      <c r="T49" s="218"/>
      <c r="U49" s="99"/>
      <c r="V49" s="99"/>
      <c r="W49" s="99"/>
      <c r="X49" s="99"/>
      <c r="Y49" s="99"/>
      <c r="Z49" s="99"/>
    </row>
    <row r="50" spans="1:28" ht="15.75" customHeight="1">
      <c r="A50" s="99"/>
      <c r="B50" s="99"/>
      <c r="C50" s="99"/>
      <c r="D50" s="99"/>
      <c r="E50" s="99"/>
      <c r="F50" s="99"/>
      <c r="G50" s="99"/>
      <c r="H50" s="99"/>
      <c r="I50" s="99"/>
      <c r="J50" s="99"/>
      <c r="K50" s="99"/>
      <c r="L50" s="99"/>
      <c r="M50" s="230"/>
      <c r="N50" s="230"/>
      <c r="O50" s="99"/>
      <c r="P50" s="218"/>
      <c r="Q50" s="218"/>
      <c r="R50" s="218"/>
      <c r="S50" s="218"/>
      <c r="T50" s="218"/>
      <c r="U50" s="99"/>
      <c r="V50" s="99"/>
      <c r="W50" s="99"/>
      <c r="X50" s="99"/>
      <c r="Y50" s="99"/>
      <c r="Z50" s="99"/>
    </row>
    <row r="51" spans="1:28" ht="15.75" customHeight="1">
      <c r="B51" s="227" t="s">
        <v>1602</v>
      </c>
      <c r="C51" s="99"/>
      <c r="D51" s="99"/>
      <c r="E51" s="99"/>
      <c r="F51" s="99"/>
      <c r="G51" s="99"/>
      <c r="H51" s="99"/>
      <c r="I51" s="99"/>
      <c r="J51" s="99"/>
      <c r="K51" s="99"/>
      <c r="L51" s="99"/>
      <c r="M51" s="230"/>
      <c r="N51" s="230"/>
      <c r="O51" s="99"/>
      <c r="P51" s="218"/>
      <c r="Q51" s="218"/>
      <c r="R51" s="218"/>
      <c r="T51" s="218"/>
      <c r="U51" s="99"/>
      <c r="V51" s="99"/>
      <c r="W51" s="99"/>
      <c r="X51" s="99"/>
      <c r="Y51" s="99"/>
      <c r="Z51" s="99"/>
    </row>
    <row r="52" spans="1:28" ht="15.75" customHeight="1">
      <c r="C52" s="99" t="s">
        <v>1404</v>
      </c>
      <c r="D52" s="99"/>
      <c r="E52" s="99"/>
      <c r="F52" s="99"/>
      <c r="G52" s="99"/>
      <c r="H52" s="99"/>
      <c r="I52" s="99"/>
      <c r="J52" s="99"/>
      <c r="K52" s="99"/>
      <c r="L52" s="99"/>
      <c r="M52" s="14">
        <f>'User Inputs &amp; Results'!J91</f>
        <v>0.25</v>
      </c>
      <c r="N52" s="210">
        <f>'User Inputs &amp; Results'!K91</f>
        <v>4.3083690574453417</v>
      </c>
      <c r="O52" s="56" t="s">
        <v>875</v>
      </c>
      <c r="P52" s="218"/>
      <c r="Q52" s="218"/>
      <c r="R52" s="218"/>
      <c r="S52" s="218"/>
      <c r="T52" s="218"/>
      <c r="U52" s="99"/>
      <c r="V52" s="99"/>
      <c r="W52" s="99"/>
      <c r="X52" s="99"/>
      <c r="Y52" s="99"/>
      <c r="Z52" s="99"/>
    </row>
    <row r="53" spans="1:28" ht="15.75" customHeight="1">
      <c r="C53" s="99" t="s">
        <v>1506</v>
      </c>
      <c r="D53" s="99"/>
      <c r="E53" s="99"/>
      <c r="F53" s="99"/>
      <c r="G53" s="99"/>
      <c r="H53" s="99"/>
      <c r="I53" s="99"/>
      <c r="J53" s="99"/>
      <c r="K53" s="99"/>
      <c r="L53" s="241"/>
      <c r="M53" s="20">
        <v>5000</v>
      </c>
      <c r="N53" s="21">
        <v>5000</v>
      </c>
      <c r="O53" s="99" t="s">
        <v>243</v>
      </c>
      <c r="P53" s="218"/>
      <c r="Q53" s="218"/>
      <c r="R53" s="218"/>
      <c r="S53" s="218" t="s">
        <v>261</v>
      </c>
      <c r="T53" s="218"/>
      <c r="U53" s="99"/>
      <c r="V53" s="99"/>
      <c r="W53" s="99"/>
      <c r="X53" s="99"/>
      <c r="Y53" s="99"/>
      <c r="Z53" s="99"/>
    </row>
    <row r="54" spans="1:28" ht="15.75" customHeight="1">
      <c r="C54" s="99" t="s">
        <v>1603</v>
      </c>
      <c r="D54" s="99"/>
      <c r="E54" s="99"/>
      <c r="F54" s="99"/>
      <c r="G54" s="99"/>
      <c r="H54" s="99"/>
      <c r="I54" s="99"/>
      <c r="J54" s="99"/>
      <c r="K54" s="213"/>
      <c r="L54" s="241"/>
      <c r="M54" s="242">
        <f>1+M53*0.695*10^-6</f>
        <v>1.0034749999999999</v>
      </c>
      <c r="N54" s="243">
        <f>1+N53*0.695*10^-6</f>
        <v>1.0034749999999999</v>
      </c>
      <c r="O54" s="666" t="s">
        <v>2119</v>
      </c>
      <c r="P54" s="218"/>
      <c r="Q54" s="218"/>
      <c r="R54" s="218"/>
      <c r="S54" s="218" t="s">
        <v>2138</v>
      </c>
      <c r="T54" s="218"/>
      <c r="U54" s="99"/>
      <c r="V54" s="99"/>
      <c r="W54" s="99"/>
      <c r="X54" s="99"/>
      <c r="Y54" s="99"/>
      <c r="Z54" s="99"/>
    </row>
    <row r="55" spans="1:28" ht="15.75" customHeight="1">
      <c r="C55" s="99" t="s">
        <v>1662</v>
      </c>
      <c r="D55" s="99"/>
      <c r="E55" s="99"/>
      <c r="F55" s="99"/>
      <c r="G55" s="99"/>
      <c r="H55" s="99"/>
      <c r="I55" s="99"/>
      <c r="J55" s="99"/>
      <c r="K55" s="99"/>
      <c r="L55" s="241"/>
      <c r="M55" s="14">
        <f>M54*62.4</f>
        <v>62.616839999999989</v>
      </c>
      <c r="N55" s="210">
        <f>N54*62.4</f>
        <v>62.616839999999989</v>
      </c>
      <c r="O55" s="99" t="s">
        <v>244</v>
      </c>
      <c r="P55" s="218"/>
      <c r="Q55" s="218"/>
      <c r="R55" s="218"/>
      <c r="S55" s="218"/>
      <c r="T55" s="218"/>
      <c r="U55" s="99"/>
      <c r="V55" s="99"/>
      <c r="W55" s="99"/>
      <c r="X55" s="99"/>
      <c r="Y55" s="99"/>
      <c r="Z55" s="99"/>
    </row>
    <row r="56" spans="1:28" ht="15.75" customHeight="1">
      <c r="C56" s="99" t="s">
        <v>1702</v>
      </c>
      <c r="D56" s="99"/>
      <c r="E56" s="99"/>
      <c r="F56" s="99"/>
      <c r="G56" s="99"/>
      <c r="H56" s="99"/>
      <c r="I56" s="99"/>
      <c r="J56" s="99"/>
      <c r="K56" s="99"/>
      <c r="L56" s="241" t="str">
        <f>IF(AND(M18=1,NOT(M56=100)),"ERROR","OK")</f>
        <v>OK</v>
      </c>
      <c r="M56" s="206">
        <f>'User Inputs &amp; Results'!J98*100</f>
        <v>100</v>
      </c>
      <c r="N56" s="207">
        <f>'User Inputs &amp; Results'!K98*100</f>
        <v>100</v>
      </c>
      <c r="O56" s="99" t="s">
        <v>166</v>
      </c>
      <c r="P56" s="218"/>
      <c r="Q56" s="218"/>
      <c r="R56" s="218"/>
      <c r="S56" s="218"/>
      <c r="T56" s="218"/>
      <c r="U56" s="99"/>
      <c r="V56" s="99"/>
      <c r="W56" s="99"/>
      <c r="X56" s="99"/>
      <c r="Y56" s="99"/>
      <c r="Z56" s="99"/>
    </row>
    <row r="57" spans="1:28" ht="15.75" customHeight="1">
      <c r="A57" s="99"/>
      <c r="B57" s="99"/>
      <c r="C57" s="99"/>
      <c r="D57" s="99"/>
      <c r="E57" s="99"/>
      <c r="F57" s="99"/>
      <c r="G57" s="99"/>
      <c r="H57" s="99"/>
      <c r="I57" s="99"/>
      <c r="J57" s="99"/>
      <c r="K57" s="99"/>
      <c r="L57" s="241"/>
      <c r="M57" s="230"/>
      <c r="N57" s="230"/>
      <c r="O57" s="99"/>
      <c r="P57" s="218"/>
      <c r="Q57" s="218"/>
      <c r="R57" s="218"/>
      <c r="S57" s="218"/>
      <c r="T57" s="218"/>
      <c r="U57" s="99"/>
      <c r="V57" s="99"/>
      <c r="W57" s="99"/>
      <c r="X57" s="99"/>
      <c r="Y57" s="99"/>
      <c r="Z57" s="99"/>
    </row>
    <row r="58" spans="1:28" ht="15.75" customHeight="1">
      <c r="B58" s="227" t="s">
        <v>1663</v>
      </c>
      <c r="C58" s="99"/>
      <c r="D58" s="99"/>
      <c r="E58" s="99"/>
      <c r="F58" s="99"/>
      <c r="G58" s="99"/>
      <c r="H58" s="99"/>
      <c r="I58" s="99"/>
      <c r="J58" s="99"/>
      <c r="K58" s="99"/>
      <c r="L58" s="99"/>
      <c r="M58" s="230"/>
      <c r="N58" s="230"/>
      <c r="O58" s="99"/>
      <c r="P58" s="218"/>
      <c r="Q58" s="218"/>
      <c r="R58" s="218"/>
      <c r="S58" s="218"/>
      <c r="T58" s="218"/>
      <c r="U58" s="99"/>
      <c r="V58" s="99"/>
      <c r="W58" s="99"/>
      <c r="X58" s="99"/>
      <c r="Y58" s="99"/>
      <c r="Z58" s="99"/>
    </row>
    <row r="59" spans="1:28" ht="15.75" customHeight="1">
      <c r="C59" s="56" t="s">
        <v>2129</v>
      </c>
      <c r="D59" s="99"/>
      <c r="E59" s="99"/>
      <c r="F59" s="99"/>
      <c r="G59" s="99"/>
      <c r="H59" s="99"/>
      <c r="I59" s="99"/>
      <c r="J59" s="99"/>
      <c r="K59" s="99"/>
      <c r="L59" s="99"/>
      <c r="M59" s="206">
        <f>'User Inputs &amp; Results'!J75</f>
        <v>1470</v>
      </c>
      <c r="N59" s="207">
        <f>'User Inputs &amp; Results'!K75</f>
        <v>1741.5</v>
      </c>
      <c r="O59" s="99" t="s">
        <v>219</v>
      </c>
      <c r="P59" s="218"/>
      <c r="Q59" s="218"/>
      <c r="R59" s="218"/>
      <c r="S59" s="218"/>
      <c r="T59" s="218"/>
      <c r="U59" s="99"/>
      <c r="V59" s="99"/>
      <c r="W59" s="99"/>
      <c r="X59" s="99"/>
      <c r="Y59" s="99"/>
      <c r="Z59" s="99"/>
    </row>
    <row r="60" spans="1:28" ht="15.75" customHeight="1">
      <c r="C60" s="99" t="s">
        <v>1507</v>
      </c>
      <c r="D60" s="99"/>
      <c r="E60" s="99"/>
      <c r="F60" s="99"/>
      <c r="G60" s="99"/>
      <c r="H60" s="99"/>
      <c r="I60" s="99"/>
      <c r="J60" s="99"/>
      <c r="K60" s="99"/>
      <c r="L60" s="99"/>
      <c r="M60" s="230"/>
      <c r="N60" s="230"/>
      <c r="O60" s="99"/>
      <c r="P60" s="218"/>
      <c r="Q60" s="218"/>
      <c r="R60" s="218"/>
      <c r="S60" s="218"/>
      <c r="T60" s="218"/>
      <c r="U60" s="99"/>
      <c r="V60" s="99"/>
      <c r="W60" s="99"/>
      <c r="X60" s="99"/>
      <c r="Y60" s="99"/>
      <c r="Z60" s="99"/>
    </row>
    <row r="61" spans="1:28" ht="15.75" customHeight="1">
      <c r="D61" s="56" t="s">
        <v>2130</v>
      </c>
      <c r="E61" s="99"/>
      <c r="F61" s="99"/>
      <c r="G61" s="99"/>
      <c r="H61" s="99"/>
      <c r="I61" s="99"/>
      <c r="J61" s="99"/>
      <c r="K61" s="99"/>
      <c r="L61" s="99"/>
      <c r="M61" s="206">
        <f>'User Inputs &amp; Results'!J69</f>
        <v>8100</v>
      </c>
      <c r="N61" s="207">
        <f>'User Inputs &amp; Results'!K69</f>
        <v>7240</v>
      </c>
      <c r="O61" s="99" t="s">
        <v>220</v>
      </c>
      <c r="P61" s="218"/>
      <c r="Q61" s="218"/>
      <c r="R61" s="218"/>
      <c r="S61" s="218"/>
      <c r="T61" s="218"/>
      <c r="U61" s="99"/>
      <c r="V61" s="99"/>
      <c r="W61" s="99"/>
      <c r="X61" s="99"/>
      <c r="Y61" s="99"/>
      <c r="Z61" s="99"/>
    </row>
    <row r="62" spans="1:28" ht="15.75" customHeight="1">
      <c r="D62" s="56" t="s">
        <v>2131</v>
      </c>
      <c r="E62" s="99"/>
      <c r="F62" s="99"/>
      <c r="G62" s="99"/>
      <c r="H62" s="99"/>
      <c r="I62" s="99"/>
      <c r="J62" s="99"/>
      <c r="K62" s="99"/>
      <c r="L62" s="99"/>
      <c r="M62" s="663">
        <f>'User Inputs &amp; Results'!J73</f>
        <v>9.625</v>
      </c>
      <c r="N62" s="662">
        <f>'User Inputs &amp; Results'!K73</f>
        <v>2.7749999999999999</v>
      </c>
      <c r="O62" s="99" t="s">
        <v>241</v>
      </c>
      <c r="P62" s="218"/>
      <c r="Q62" s="218"/>
      <c r="R62" s="218"/>
      <c r="S62" s="218"/>
      <c r="T62" s="218"/>
      <c r="U62" s="99"/>
      <c r="V62" s="99"/>
    </row>
    <row r="63" spans="1:28" ht="15.75" customHeight="1">
      <c r="C63" s="56" t="s">
        <v>2132</v>
      </c>
      <c r="D63" s="99"/>
      <c r="E63" s="99"/>
      <c r="F63" s="99"/>
      <c r="G63" s="99"/>
      <c r="H63" s="99"/>
      <c r="I63" s="99"/>
      <c r="J63" s="99"/>
      <c r="K63" s="99"/>
      <c r="L63" s="99"/>
      <c r="M63" s="20">
        <v>1000</v>
      </c>
      <c r="N63" s="21">
        <v>1000</v>
      </c>
      <c r="O63" s="99" t="s">
        <v>219</v>
      </c>
      <c r="P63" s="218"/>
      <c r="Q63" s="218"/>
      <c r="R63" s="218"/>
      <c r="S63" s="218" t="s">
        <v>2141</v>
      </c>
      <c r="T63" s="218"/>
      <c r="U63" s="99"/>
      <c r="V63" s="99"/>
      <c r="Y63" s="99"/>
      <c r="Z63" s="99"/>
      <c r="AA63" s="99"/>
      <c r="AB63" s="99"/>
    </row>
    <row r="64" spans="1:28" ht="15" customHeight="1">
      <c r="C64" s="95" t="s">
        <v>1664</v>
      </c>
      <c r="D64" s="99"/>
      <c r="E64" s="99"/>
      <c r="F64" s="99"/>
      <c r="G64" s="99"/>
      <c r="H64" s="99"/>
      <c r="I64" s="99"/>
      <c r="J64" s="99"/>
      <c r="K64" s="99"/>
      <c r="L64" s="869" t="str">
        <f>IF(M64&gt;0,"OK","ERROR")</f>
        <v>OK</v>
      </c>
      <c r="M64" s="206">
        <f>'User Inputs &amp; Results'!J71</f>
        <v>210</v>
      </c>
      <c r="N64" s="207">
        <f>'User Inputs &amp; Results'!K71</f>
        <v>4098</v>
      </c>
      <c r="O64" s="661" t="s">
        <v>2119</v>
      </c>
      <c r="P64" s="218"/>
      <c r="Q64" s="218"/>
      <c r="R64" s="218"/>
      <c r="S64" s="218"/>
      <c r="T64" s="218"/>
      <c r="U64" s="99"/>
      <c r="V64" s="99"/>
      <c r="W64" s="99"/>
      <c r="X64" s="99"/>
      <c r="Y64" s="211"/>
      <c r="Z64" s="99"/>
    </row>
    <row r="65" spans="1:26" ht="15" customHeight="1">
      <c r="C65" s="643" t="s">
        <v>2431</v>
      </c>
      <c r="D65" s="99"/>
      <c r="E65" s="99"/>
      <c r="F65" s="99"/>
      <c r="G65" s="99"/>
      <c r="H65" s="99"/>
      <c r="I65" s="99"/>
      <c r="J65" s="99"/>
      <c r="K65" s="99"/>
      <c r="L65" s="869"/>
      <c r="M65" s="663">
        <f>'User Inputs &amp; Results'!J72</f>
        <v>9</v>
      </c>
      <c r="N65" s="662">
        <f>'User Inputs &amp; Results'!K72</f>
        <v>175</v>
      </c>
      <c r="O65" s="661" t="s">
        <v>2119</v>
      </c>
      <c r="P65" s="218"/>
      <c r="Q65" s="218"/>
      <c r="R65" s="218"/>
      <c r="S65" s="218"/>
      <c r="T65" s="218"/>
      <c r="U65" s="99"/>
      <c r="V65" s="99"/>
      <c r="W65" s="99"/>
      <c r="X65" s="99"/>
      <c r="Y65" s="211"/>
      <c r="Z65" s="99"/>
    </row>
    <row r="66" spans="1:26" ht="15" customHeight="1">
      <c r="C66" s="643" t="s">
        <v>2300</v>
      </c>
      <c r="D66" s="99"/>
      <c r="E66" s="99"/>
      <c r="F66" s="99"/>
      <c r="G66" s="99"/>
      <c r="H66" s="99"/>
      <c r="I66" s="99"/>
      <c r="J66" s="99"/>
      <c r="K66" s="99"/>
      <c r="L66" s="869" t="str">
        <f>IF((M59-((M35+M35*M52)/M64)/M66)&gt;=0,"OK","ERROR")</f>
        <v>OK</v>
      </c>
      <c r="M66" s="663">
        <f>'User Inputs &amp; Results'!J74</f>
        <v>150</v>
      </c>
      <c r="N66" s="662">
        <f>'User Inputs &amp; Results'!K74</f>
        <v>3</v>
      </c>
      <c r="O66" s="661" t="s">
        <v>2299</v>
      </c>
      <c r="P66" s="218"/>
      <c r="Q66" s="218"/>
      <c r="R66" s="218"/>
      <c r="S66" s="218"/>
      <c r="T66" s="218"/>
      <c r="U66" s="99"/>
      <c r="V66" s="99"/>
      <c r="W66" s="99"/>
      <c r="X66" s="99"/>
      <c r="Y66" s="211"/>
      <c r="Z66" s="99"/>
    </row>
    <row r="67" spans="1:26" ht="15" customHeight="1">
      <c r="C67" s="643" t="s">
        <v>2301</v>
      </c>
      <c r="D67" s="99"/>
      <c r="E67" s="99"/>
      <c r="F67" s="99"/>
      <c r="G67" s="99"/>
      <c r="H67" s="99"/>
      <c r="I67" s="99"/>
      <c r="J67" s="99"/>
      <c r="K67" s="99"/>
      <c r="L67" s="244"/>
      <c r="M67" s="672">
        <f>N67</f>
        <v>150</v>
      </c>
      <c r="N67" s="673">
        <f>M66</f>
        <v>150</v>
      </c>
      <c r="O67" s="661" t="s">
        <v>2299</v>
      </c>
      <c r="P67" s="218"/>
      <c r="Q67" s="218"/>
      <c r="R67" s="218"/>
      <c r="S67" s="218"/>
      <c r="T67" s="218"/>
      <c r="U67" s="99"/>
      <c r="V67" s="99"/>
      <c r="W67" s="99"/>
      <c r="X67" s="99"/>
      <c r="Y67" s="211"/>
      <c r="Z67" s="99"/>
    </row>
    <row r="68" spans="1:26" ht="15" customHeight="1">
      <c r="C68" s="643" t="s">
        <v>2302</v>
      </c>
      <c r="D68" s="99"/>
      <c r="E68" s="99"/>
      <c r="F68" s="99"/>
      <c r="G68" s="99"/>
      <c r="H68" s="99"/>
      <c r="I68" s="99"/>
      <c r="J68" s="99"/>
      <c r="K68" s="99"/>
      <c r="L68" s="244"/>
      <c r="M68" s="640">
        <v>0.02</v>
      </c>
      <c r="N68" s="664">
        <v>0.02</v>
      </c>
      <c r="O68" s="661" t="s">
        <v>2119</v>
      </c>
      <c r="P68" s="218"/>
      <c r="Q68" s="218"/>
      <c r="R68" s="218"/>
      <c r="S68" s="218"/>
      <c r="T68" s="218"/>
      <c r="U68" s="99"/>
      <c r="V68" s="99"/>
      <c r="W68" s="99"/>
      <c r="X68" s="99"/>
      <c r="Y68" s="211"/>
      <c r="Z68" s="99"/>
    </row>
    <row r="69" spans="1:26" ht="15" customHeight="1">
      <c r="B69" s="99"/>
      <c r="C69" s="99"/>
      <c r="D69" s="99"/>
      <c r="E69" s="99"/>
      <c r="F69" s="99"/>
      <c r="G69" s="99"/>
      <c r="H69" s="99"/>
      <c r="I69" s="99"/>
      <c r="J69" s="99"/>
      <c r="K69" s="99"/>
      <c r="L69" s="99"/>
      <c r="M69" s="123"/>
      <c r="N69" s="245"/>
      <c r="O69" s="7"/>
      <c r="P69" s="218"/>
      <c r="Q69" s="218"/>
      <c r="R69" s="218"/>
      <c r="S69" s="218"/>
      <c r="T69" s="218"/>
      <c r="U69" s="99"/>
      <c r="V69" s="99"/>
      <c r="W69" s="99"/>
      <c r="X69" s="99"/>
      <c r="Y69" s="99"/>
      <c r="Z69" s="99"/>
    </row>
    <row r="70" spans="1:26" ht="15.75" customHeight="1">
      <c r="A70" s="227" t="s">
        <v>1508</v>
      </c>
      <c r="B70" s="99"/>
      <c r="C70" s="99"/>
      <c r="D70" s="99"/>
      <c r="E70" s="99"/>
      <c r="F70" s="99"/>
      <c r="G70" s="99"/>
      <c r="H70" s="99"/>
      <c r="I70" s="99"/>
      <c r="J70" s="99"/>
      <c r="K70" s="99"/>
      <c r="L70" s="99"/>
      <c r="M70" s="230"/>
      <c r="N70" s="230"/>
      <c r="O70" s="99"/>
      <c r="P70" s="218"/>
      <c r="Q70" s="218"/>
      <c r="R70" s="218"/>
      <c r="S70" s="218"/>
      <c r="T70" s="218"/>
      <c r="U70" s="99"/>
      <c r="V70" s="99"/>
      <c r="W70" s="99"/>
      <c r="X70" s="99"/>
      <c r="Y70" s="99"/>
      <c r="Z70" s="99"/>
    </row>
    <row r="71" spans="1:26" ht="15.75" customHeight="1">
      <c r="B71" s="56" t="s">
        <v>2133</v>
      </c>
      <c r="C71" s="99"/>
      <c r="D71" s="99"/>
      <c r="E71" s="99"/>
      <c r="F71" s="99"/>
      <c r="G71" s="99"/>
      <c r="H71" s="99"/>
      <c r="I71" s="99"/>
      <c r="J71" s="99"/>
      <c r="K71" s="99"/>
      <c r="L71" s="99"/>
      <c r="M71" s="20">
        <v>65</v>
      </c>
      <c r="N71" s="21">
        <v>65</v>
      </c>
      <c r="O71" s="99" t="s">
        <v>166</v>
      </c>
      <c r="P71" s="218"/>
      <c r="Q71" s="218"/>
      <c r="R71" s="218"/>
      <c r="S71" s="218"/>
      <c r="T71" s="218"/>
      <c r="U71" s="99"/>
      <c r="V71" s="99"/>
      <c r="W71" s="99"/>
      <c r="X71" s="99"/>
      <c r="Y71" s="99"/>
      <c r="Z71" s="99"/>
    </row>
    <row r="72" spans="1:26" ht="15.75" customHeight="1">
      <c r="B72" s="227" t="s">
        <v>1509</v>
      </c>
      <c r="C72" s="99"/>
      <c r="D72" s="99"/>
      <c r="E72" s="99"/>
      <c r="F72" s="99"/>
      <c r="G72" s="99"/>
      <c r="H72" s="99"/>
      <c r="I72" s="99"/>
      <c r="J72" s="99"/>
      <c r="K72" s="99"/>
      <c r="L72" s="99"/>
      <c r="M72" s="20">
        <v>1</v>
      </c>
      <c r="N72" s="21">
        <v>1</v>
      </c>
      <c r="O72" s="666" t="s">
        <v>237</v>
      </c>
      <c r="P72" s="218"/>
      <c r="Q72" s="218"/>
      <c r="R72" s="218"/>
      <c r="S72" s="218"/>
      <c r="T72" s="218"/>
      <c r="U72" s="99"/>
      <c r="V72" s="99"/>
      <c r="W72" s="99"/>
      <c r="X72" s="99"/>
      <c r="Y72" s="99"/>
      <c r="Z72" s="99"/>
    </row>
    <row r="73" spans="1:26" ht="15.75" customHeight="1">
      <c r="C73" s="99" t="s">
        <v>223</v>
      </c>
      <c r="D73" s="218" t="s">
        <v>1083</v>
      </c>
      <c r="E73" s="99"/>
      <c r="F73" s="99"/>
      <c r="G73" s="99"/>
      <c r="H73" s="99"/>
      <c r="I73" s="99"/>
      <c r="J73" s="99"/>
      <c r="K73" s="99"/>
      <c r="L73" s="99"/>
      <c r="M73" s="230"/>
      <c r="N73" s="230"/>
      <c r="O73" s="99"/>
      <c r="P73" s="218"/>
      <c r="Q73" s="218"/>
      <c r="R73" s="218"/>
      <c r="S73" s="674"/>
      <c r="T73" s="218"/>
      <c r="U73" s="99"/>
      <c r="V73" s="99"/>
      <c r="W73" s="99"/>
      <c r="X73" s="99"/>
      <c r="Y73" s="99"/>
      <c r="Z73" s="99"/>
    </row>
    <row r="74" spans="1:26" ht="15.75" customHeight="1">
      <c r="B74" s="99"/>
      <c r="C74" s="99" t="s">
        <v>224</v>
      </c>
      <c r="D74" s="99" t="s">
        <v>861</v>
      </c>
      <c r="E74" s="99"/>
      <c r="F74" s="99"/>
      <c r="G74" s="99"/>
      <c r="H74" s="99"/>
      <c r="I74" s="99"/>
      <c r="J74" s="99"/>
      <c r="K74" s="99"/>
      <c r="L74" s="99"/>
      <c r="M74" s="230"/>
      <c r="N74" s="230"/>
      <c r="O74" s="99"/>
      <c r="P74" s="218"/>
      <c r="Q74" s="218"/>
      <c r="R74" s="218"/>
      <c r="S74" s="218"/>
      <c r="T74" s="218"/>
      <c r="U74" s="99"/>
      <c r="V74" s="99"/>
      <c r="W74" s="99"/>
      <c r="X74" s="99"/>
      <c r="Y74" s="99"/>
      <c r="Z74" s="99"/>
    </row>
    <row r="75" spans="1:26" ht="15.75" customHeight="1">
      <c r="B75" s="99"/>
      <c r="C75" s="99" t="s">
        <v>225</v>
      </c>
      <c r="D75" s="99" t="s">
        <v>226</v>
      </c>
      <c r="E75" s="99"/>
      <c r="F75" s="99"/>
      <c r="G75" s="99"/>
      <c r="H75" s="99"/>
      <c r="I75" s="99"/>
      <c r="J75" s="99"/>
      <c r="K75" s="99"/>
      <c r="L75" s="99"/>
      <c r="M75" s="230"/>
      <c r="N75" s="230"/>
      <c r="O75" s="99"/>
      <c r="P75" s="218"/>
      <c r="Q75" s="218"/>
      <c r="R75" s="218"/>
      <c r="S75" s="218"/>
      <c r="T75" s="218"/>
      <c r="U75" s="99"/>
      <c r="V75" s="99"/>
      <c r="W75" s="99"/>
      <c r="X75" s="99"/>
      <c r="Y75" s="99"/>
      <c r="Z75" s="99"/>
    </row>
    <row r="76" spans="1:26" ht="15.75" customHeight="1">
      <c r="B76" s="99"/>
      <c r="C76" s="99" t="s">
        <v>227</v>
      </c>
      <c r="D76" s="218" t="s">
        <v>228</v>
      </c>
      <c r="E76" s="99"/>
      <c r="F76" s="99"/>
      <c r="G76" s="99"/>
      <c r="H76" s="99"/>
      <c r="I76" s="99"/>
      <c r="J76" s="99"/>
      <c r="K76" s="99"/>
      <c r="L76" s="99"/>
      <c r="M76" s="230"/>
      <c r="N76" s="230"/>
      <c r="O76" s="99"/>
      <c r="P76" s="218"/>
      <c r="Q76" s="218"/>
      <c r="R76" s="218"/>
      <c r="S76" s="218"/>
      <c r="T76" s="218"/>
      <c r="U76" s="99"/>
      <c r="V76" s="99"/>
      <c r="W76" s="99"/>
      <c r="X76" s="99"/>
      <c r="Y76" s="99"/>
      <c r="Z76" s="99"/>
    </row>
    <row r="77" spans="1:26" ht="15.75" customHeight="1">
      <c r="B77" s="227" t="s">
        <v>1604</v>
      </c>
      <c r="C77" s="99"/>
      <c r="D77" s="99"/>
      <c r="E77" s="99"/>
      <c r="F77" s="99"/>
      <c r="G77" s="99"/>
      <c r="H77" s="99"/>
      <c r="I77" s="99"/>
      <c r="J77" s="99"/>
      <c r="K77" s="99"/>
      <c r="L77" s="246"/>
      <c r="M77" s="20">
        <v>1</v>
      </c>
      <c r="N77" s="21">
        <v>1</v>
      </c>
      <c r="O77" s="666" t="s">
        <v>237</v>
      </c>
      <c r="P77" s="218"/>
      <c r="Q77" s="218"/>
      <c r="R77" s="218"/>
      <c r="S77" s="218"/>
      <c r="T77" s="218"/>
      <c r="U77" s="99"/>
      <c r="V77" s="99"/>
      <c r="W77" s="99"/>
      <c r="X77" s="99"/>
      <c r="Y77" s="99"/>
      <c r="Z77" s="99"/>
    </row>
    <row r="78" spans="1:26" ht="15.75" customHeight="1">
      <c r="B78" s="99"/>
      <c r="C78" s="99" t="s">
        <v>223</v>
      </c>
      <c r="D78" s="59" t="s">
        <v>1010</v>
      </c>
      <c r="E78" s="99"/>
      <c r="F78" s="99"/>
      <c r="G78" s="99"/>
      <c r="H78" s="99"/>
      <c r="I78" s="99"/>
      <c r="J78" s="99"/>
      <c r="K78" s="99"/>
      <c r="L78" s="99"/>
      <c r="M78" s="230"/>
      <c r="N78" s="230"/>
      <c r="O78" s="99"/>
      <c r="P78" s="218"/>
      <c r="Q78" s="218"/>
      <c r="R78" s="218"/>
      <c r="S78" s="218"/>
      <c r="T78" s="218"/>
      <c r="U78" s="99"/>
      <c r="V78" s="99"/>
      <c r="W78" s="99"/>
      <c r="X78" s="99"/>
      <c r="Y78" s="99"/>
      <c r="Z78" s="99"/>
    </row>
    <row r="79" spans="1:26" ht="15.75" customHeight="1">
      <c r="B79" s="99"/>
      <c r="C79" s="99" t="s">
        <v>224</v>
      </c>
      <c r="D79" s="99" t="s">
        <v>229</v>
      </c>
      <c r="E79" s="99"/>
      <c r="F79" s="99"/>
      <c r="G79" s="99"/>
      <c r="H79" s="99"/>
      <c r="I79" s="99"/>
      <c r="J79" s="99"/>
      <c r="K79" s="99"/>
      <c r="L79" s="99"/>
      <c r="M79" s="230"/>
      <c r="N79" s="230"/>
      <c r="O79" s="99"/>
      <c r="P79" s="218"/>
      <c r="Q79" s="218"/>
      <c r="R79" s="218"/>
      <c r="S79" s="218"/>
      <c r="T79" s="218"/>
      <c r="U79" s="99"/>
      <c r="V79" s="99"/>
      <c r="W79" s="99"/>
      <c r="X79" s="99"/>
      <c r="Y79" s="99"/>
      <c r="Z79" s="99"/>
    </row>
    <row r="80" spans="1:26" ht="15.75" customHeight="1">
      <c r="B80" s="99"/>
      <c r="C80" s="99" t="s">
        <v>225</v>
      </c>
      <c r="D80" s="99" t="s">
        <v>230</v>
      </c>
      <c r="E80" s="99"/>
      <c r="F80" s="99"/>
      <c r="G80" s="99"/>
      <c r="H80" s="99"/>
      <c r="I80" s="99"/>
      <c r="J80" s="99"/>
      <c r="K80" s="99"/>
      <c r="L80" s="99"/>
      <c r="M80" s="230"/>
      <c r="N80" s="230"/>
      <c r="O80" s="99"/>
      <c r="P80" s="218"/>
      <c r="Q80" s="218"/>
      <c r="R80" s="218"/>
      <c r="S80" s="218"/>
      <c r="T80" s="218"/>
      <c r="U80" s="99"/>
      <c r="V80" s="99"/>
      <c r="W80" s="99"/>
      <c r="X80" s="99"/>
      <c r="Y80" s="99"/>
      <c r="Z80" s="99"/>
    </row>
    <row r="81" spans="1:26" ht="15.75" customHeight="1">
      <c r="B81" s="227" t="s">
        <v>1665</v>
      </c>
      <c r="C81" s="99"/>
      <c r="D81" s="99"/>
      <c r="E81" s="99"/>
      <c r="F81" s="99"/>
      <c r="G81" s="99"/>
      <c r="H81" s="99"/>
      <c r="I81" s="99"/>
      <c r="J81" s="99"/>
      <c r="K81" s="99"/>
      <c r="L81" s="99"/>
      <c r="P81" s="218"/>
      <c r="Q81" s="218"/>
      <c r="R81" s="218"/>
      <c r="S81" s="218"/>
      <c r="T81" s="218"/>
      <c r="U81" s="99"/>
      <c r="V81" s="99"/>
      <c r="W81" s="99"/>
      <c r="X81" s="99"/>
      <c r="Y81" s="99"/>
      <c r="Z81" s="99"/>
    </row>
    <row r="82" spans="1:26" ht="15.75" customHeight="1">
      <c r="B82" s="99"/>
      <c r="C82" s="227" t="s">
        <v>1405</v>
      </c>
      <c r="D82" s="99"/>
      <c r="E82" s="99"/>
      <c r="F82" s="99"/>
      <c r="G82" s="99"/>
      <c r="H82" s="99"/>
      <c r="I82" s="99"/>
      <c r="J82" s="99"/>
      <c r="K82" s="99"/>
      <c r="L82" s="99"/>
      <c r="M82" s="206">
        <f>N82</f>
        <v>6111.9</v>
      </c>
      <c r="N82" s="207">
        <f>NgEngEff(M229)</f>
        <v>6111.9</v>
      </c>
      <c r="O82" s="99" t="s">
        <v>784</v>
      </c>
      <c r="P82" s="218"/>
      <c r="Q82" s="218"/>
      <c r="R82" s="218"/>
      <c r="S82" s="218"/>
      <c r="T82" s="218"/>
      <c r="U82" s="99"/>
      <c r="V82" s="99"/>
      <c r="W82" s="99"/>
      <c r="X82" s="99"/>
      <c r="Y82" s="99"/>
      <c r="Z82" s="99"/>
    </row>
    <row r="83" spans="1:26" ht="15.75" customHeight="1">
      <c r="B83" s="99"/>
      <c r="C83" s="227" t="s">
        <v>1510</v>
      </c>
      <c r="D83" s="99"/>
      <c r="E83" s="99"/>
      <c r="F83" s="99"/>
      <c r="G83" s="99"/>
      <c r="H83" s="99"/>
      <c r="I83" s="99"/>
      <c r="J83" s="99"/>
      <c r="K83" s="99"/>
      <c r="L83" s="99"/>
      <c r="M83" s="17">
        <f>N83</f>
        <v>0.77096110352026936</v>
      </c>
      <c r="N83" s="209">
        <f>ElecMotEff(M229)/'Input data'!E53</f>
        <v>0.77096110352026936</v>
      </c>
      <c r="O83" s="99" t="s">
        <v>870</v>
      </c>
      <c r="P83" s="218"/>
      <c r="Q83" s="218"/>
      <c r="R83" s="218"/>
      <c r="S83" s="218"/>
      <c r="T83" s="218"/>
      <c r="U83" s="99"/>
      <c r="V83" s="99"/>
      <c r="W83" s="99"/>
      <c r="X83" s="99"/>
      <c r="Y83" s="99"/>
      <c r="Z83" s="99"/>
    </row>
    <row r="84" spans="1:26" ht="15.75" customHeight="1">
      <c r="B84" s="99"/>
      <c r="C84" s="227" t="s">
        <v>1605</v>
      </c>
      <c r="D84" s="99"/>
      <c r="E84" s="99"/>
      <c r="F84" s="99"/>
      <c r="G84" s="99"/>
      <c r="H84" s="99"/>
      <c r="I84" s="99"/>
      <c r="J84" s="99"/>
      <c r="K84" s="99"/>
      <c r="L84" s="99"/>
      <c r="M84" s="206">
        <f>N84</f>
        <v>5945.7</v>
      </c>
      <c r="N84" s="207">
        <f>DieselEngEff(M229)</f>
        <v>5945.7</v>
      </c>
      <c r="O84" s="99" t="s">
        <v>784</v>
      </c>
      <c r="P84" s="218"/>
      <c r="Q84" s="218"/>
      <c r="R84" s="218"/>
      <c r="S84" s="218"/>
      <c r="T84" s="218"/>
      <c r="U84" s="99"/>
      <c r="V84" s="99"/>
      <c r="W84" s="99"/>
      <c r="X84" s="99"/>
      <c r="Y84" s="99"/>
      <c r="Z84" s="99"/>
    </row>
    <row r="85" spans="1:26" ht="15.75" customHeight="1">
      <c r="B85" s="99"/>
      <c r="C85" s="227" t="s">
        <v>1666</v>
      </c>
      <c r="D85" s="99"/>
      <c r="E85" s="99"/>
      <c r="F85" s="99"/>
      <c r="G85" s="99"/>
      <c r="H85" s="99"/>
      <c r="I85" s="99"/>
      <c r="J85" s="99"/>
      <c r="K85" s="99"/>
      <c r="L85" s="99"/>
      <c r="M85" s="206">
        <f>N85</f>
        <v>6533.7</v>
      </c>
      <c r="N85" s="207">
        <f>NgTurbEff(M229)</f>
        <v>6533.7</v>
      </c>
      <c r="O85" s="99" t="s">
        <v>784</v>
      </c>
      <c r="P85" s="218"/>
      <c r="Q85" s="218"/>
      <c r="R85" s="218"/>
      <c r="S85" s="218"/>
      <c r="T85" s="218"/>
      <c r="U85" s="99"/>
      <c r="V85" s="99"/>
      <c r="W85" s="99"/>
      <c r="X85" s="99"/>
      <c r="Y85" s="99"/>
      <c r="Z85" s="99"/>
    </row>
    <row r="86" spans="1:26" ht="15.75" customHeight="1">
      <c r="A86" s="99"/>
      <c r="B86" s="99"/>
      <c r="C86" s="99"/>
      <c r="D86" s="99"/>
      <c r="E86" s="99"/>
      <c r="F86" s="99"/>
      <c r="G86" s="99"/>
      <c r="H86" s="99"/>
      <c r="I86" s="99"/>
      <c r="J86" s="99"/>
      <c r="K86" s="99"/>
      <c r="L86" s="99"/>
      <c r="M86" s="230"/>
      <c r="N86" s="230"/>
      <c r="O86" s="99"/>
      <c r="P86" s="218"/>
      <c r="Q86" s="218"/>
      <c r="R86" s="218"/>
      <c r="S86" s="218"/>
      <c r="T86" s="218"/>
      <c r="U86" s="99"/>
      <c r="V86" s="99"/>
      <c r="W86" s="99"/>
      <c r="X86" s="99"/>
      <c r="Y86" s="99"/>
      <c r="Z86" s="99"/>
    </row>
    <row r="87" spans="1:26" ht="15.75" customHeight="1">
      <c r="A87" s="227" t="s">
        <v>1606</v>
      </c>
      <c r="B87" s="99"/>
      <c r="C87" s="99"/>
      <c r="D87" s="99"/>
      <c r="E87" s="99"/>
      <c r="F87" s="99"/>
      <c r="G87" s="99"/>
      <c r="H87" s="99"/>
      <c r="I87" s="99"/>
      <c r="J87" s="99"/>
      <c r="K87" s="99"/>
      <c r="L87" s="99"/>
      <c r="M87" s="230"/>
      <c r="N87" s="230"/>
      <c r="O87" s="99"/>
      <c r="P87" s="218"/>
      <c r="Q87" s="218"/>
      <c r="R87" s="218"/>
      <c r="S87" s="218"/>
      <c r="T87" s="218"/>
      <c r="U87" s="99"/>
      <c r="V87" s="99"/>
      <c r="W87" s="99"/>
      <c r="X87" s="99"/>
      <c r="Y87" s="99"/>
      <c r="Z87" s="99"/>
    </row>
    <row r="88" spans="1:26" ht="15.75" customHeight="1">
      <c r="B88" s="56" t="s">
        <v>2127</v>
      </c>
      <c r="C88" s="99"/>
      <c r="D88" s="99"/>
      <c r="E88" s="99"/>
      <c r="F88" s="99"/>
      <c r="G88" s="99"/>
      <c r="H88" s="99"/>
      <c r="I88" s="99"/>
      <c r="J88" s="99"/>
      <c r="K88" s="99"/>
      <c r="L88" s="99"/>
      <c r="M88" s="20">
        <v>65</v>
      </c>
      <c r="N88" s="21">
        <v>65</v>
      </c>
      <c r="O88" s="99" t="s">
        <v>166</v>
      </c>
      <c r="P88" s="218"/>
      <c r="Q88" s="218"/>
      <c r="R88" s="218"/>
      <c r="S88" s="218"/>
      <c r="T88" s="218"/>
      <c r="U88" s="99"/>
      <c r="V88" s="99"/>
      <c r="W88" s="99"/>
      <c r="X88" s="99"/>
      <c r="Y88" s="234"/>
      <c r="Z88" s="99"/>
    </row>
    <row r="89" spans="1:26" ht="15.75" customHeight="1">
      <c r="B89" s="227" t="s">
        <v>1511</v>
      </c>
      <c r="C89" s="99"/>
      <c r="D89" s="99"/>
      <c r="E89" s="99"/>
      <c r="F89" s="99"/>
      <c r="G89" s="99"/>
      <c r="H89" s="99"/>
      <c r="I89" s="99"/>
      <c r="J89" s="99"/>
      <c r="K89" s="99"/>
      <c r="L89" s="99"/>
      <c r="M89" s="20">
        <v>1</v>
      </c>
      <c r="N89" s="21">
        <v>1</v>
      </c>
      <c r="O89" s="666" t="s">
        <v>237</v>
      </c>
      <c r="P89" s="218"/>
      <c r="Q89" s="218"/>
      <c r="R89" s="218"/>
      <c r="S89" s="218"/>
      <c r="T89" s="218"/>
      <c r="U89" s="99"/>
      <c r="V89" s="99"/>
      <c r="W89" s="99"/>
      <c r="X89" s="99"/>
      <c r="Y89" s="99"/>
      <c r="Z89" s="99"/>
    </row>
    <row r="90" spans="1:26" ht="15.75" customHeight="1">
      <c r="C90" s="99" t="s">
        <v>223</v>
      </c>
      <c r="D90" s="218" t="s">
        <v>1083</v>
      </c>
      <c r="E90" s="99"/>
      <c r="F90" s="99"/>
      <c r="G90" s="99"/>
      <c r="H90" s="99"/>
      <c r="I90" s="99"/>
      <c r="J90" s="99"/>
      <c r="K90" s="99"/>
      <c r="L90" s="99"/>
      <c r="M90" s="230"/>
      <c r="N90" s="230"/>
      <c r="O90" s="99"/>
      <c r="P90" s="218"/>
      <c r="Q90" s="218"/>
      <c r="R90" s="218"/>
      <c r="S90" s="218"/>
      <c r="T90" s="218"/>
      <c r="U90" s="99"/>
      <c r="V90" s="99"/>
      <c r="W90" s="99"/>
      <c r="X90" s="99"/>
      <c r="Y90" s="99"/>
      <c r="Z90" s="99"/>
    </row>
    <row r="91" spans="1:26" ht="15.75" customHeight="1">
      <c r="B91" s="99"/>
      <c r="C91" s="99" t="s">
        <v>224</v>
      </c>
      <c r="D91" s="99" t="s">
        <v>861</v>
      </c>
      <c r="E91" s="99"/>
      <c r="F91" s="99"/>
      <c r="G91" s="99"/>
      <c r="H91" s="99"/>
      <c r="I91" s="99"/>
      <c r="J91" s="99"/>
      <c r="K91" s="99"/>
      <c r="L91" s="99"/>
      <c r="M91" s="230"/>
      <c r="N91" s="230"/>
      <c r="O91" s="99"/>
      <c r="P91" s="218"/>
      <c r="Q91" s="218"/>
      <c r="R91" s="218"/>
      <c r="S91" s="218"/>
      <c r="T91" s="218"/>
      <c r="U91" s="99"/>
      <c r="V91" s="99"/>
      <c r="W91" s="99"/>
      <c r="X91" s="99"/>
      <c r="Y91" s="99"/>
      <c r="Z91" s="99"/>
    </row>
    <row r="92" spans="1:26" ht="15.75" customHeight="1">
      <c r="B92" s="99"/>
      <c r="C92" s="99" t="s">
        <v>225</v>
      </c>
      <c r="D92" s="99" t="s">
        <v>226</v>
      </c>
      <c r="E92" s="99"/>
      <c r="F92" s="99"/>
      <c r="G92" s="99"/>
      <c r="H92" s="99"/>
      <c r="I92" s="99"/>
      <c r="J92" s="99"/>
      <c r="K92" s="99"/>
      <c r="L92" s="99"/>
      <c r="M92" s="230"/>
      <c r="N92" s="230"/>
      <c r="O92" s="99"/>
      <c r="P92" s="218"/>
      <c r="Q92" s="218"/>
      <c r="R92" s="218"/>
      <c r="S92" s="218"/>
      <c r="T92" s="218"/>
      <c r="U92" s="99"/>
      <c r="V92" s="99"/>
      <c r="W92" s="99"/>
      <c r="X92" s="99"/>
      <c r="Y92" s="99"/>
      <c r="Z92" s="99"/>
    </row>
    <row r="93" spans="1:26" ht="15.75" customHeight="1">
      <c r="B93" s="99"/>
      <c r="C93" s="99" t="s">
        <v>227</v>
      </c>
      <c r="D93" s="99" t="s">
        <v>228</v>
      </c>
      <c r="E93" s="99"/>
      <c r="F93" s="99"/>
      <c r="G93" s="99"/>
      <c r="H93" s="99"/>
      <c r="I93" s="99"/>
      <c r="J93" s="99"/>
      <c r="K93" s="99"/>
      <c r="L93" s="99"/>
      <c r="M93" s="230"/>
      <c r="N93" s="230"/>
      <c r="O93" s="99"/>
      <c r="P93" s="218"/>
      <c r="Q93" s="218"/>
      <c r="R93" s="218"/>
      <c r="S93" s="218"/>
      <c r="T93" s="218"/>
      <c r="U93" s="99"/>
      <c r="V93" s="99"/>
      <c r="W93" s="99"/>
      <c r="X93" s="99"/>
      <c r="Y93" s="99"/>
      <c r="Z93" s="99"/>
    </row>
    <row r="94" spans="1:26" ht="15.75" customHeight="1">
      <c r="B94" s="227" t="s">
        <v>1607</v>
      </c>
      <c r="C94" s="99"/>
      <c r="D94" s="99"/>
      <c r="E94" s="99"/>
      <c r="F94" s="99"/>
      <c r="G94" s="99"/>
      <c r="H94" s="99"/>
      <c r="I94" s="99"/>
      <c r="J94" s="99"/>
      <c r="K94" s="99"/>
      <c r="L94" s="99"/>
      <c r="M94" s="20">
        <v>1</v>
      </c>
      <c r="N94" s="21">
        <v>1</v>
      </c>
      <c r="O94" s="666" t="s">
        <v>237</v>
      </c>
      <c r="P94" s="218"/>
      <c r="Q94" s="218"/>
      <c r="R94" s="218"/>
      <c r="S94" s="218"/>
      <c r="T94" s="218"/>
      <c r="U94" s="99"/>
      <c r="V94" s="99"/>
      <c r="W94" s="99"/>
      <c r="X94" s="99"/>
      <c r="Y94" s="99"/>
      <c r="Z94" s="99"/>
    </row>
    <row r="95" spans="1:26" ht="15.75" customHeight="1">
      <c r="B95" s="99"/>
      <c r="C95" s="99" t="s">
        <v>223</v>
      </c>
      <c r="D95" s="59" t="s">
        <v>1010</v>
      </c>
      <c r="E95" s="99"/>
      <c r="F95" s="99"/>
      <c r="G95" s="99"/>
      <c r="H95" s="99"/>
      <c r="I95" s="99"/>
      <c r="J95" s="99"/>
      <c r="K95" s="99"/>
      <c r="L95" s="99"/>
      <c r="M95" s="230"/>
      <c r="N95" s="230"/>
      <c r="O95" s="99"/>
      <c r="P95" s="218"/>
      <c r="Q95" s="218"/>
      <c r="R95" s="218"/>
      <c r="S95" s="218"/>
      <c r="T95" s="218"/>
      <c r="U95" s="99"/>
      <c r="V95" s="99"/>
      <c r="W95" s="99"/>
      <c r="X95" s="99"/>
      <c r="Y95" s="99"/>
      <c r="Z95" s="99"/>
    </row>
    <row r="96" spans="1:26" ht="15.75" customHeight="1">
      <c r="B96" s="99"/>
      <c r="C96" s="99" t="s">
        <v>224</v>
      </c>
      <c r="D96" s="99" t="s">
        <v>229</v>
      </c>
      <c r="E96" s="99"/>
      <c r="F96" s="99"/>
      <c r="G96" s="99"/>
      <c r="H96" s="99"/>
      <c r="I96" s="99"/>
      <c r="J96" s="99"/>
      <c r="K96" s="99"/>
      <c r="L96" s="99"/>
      <c r="M96" s="230"/>
      <c r="N96" s="230"/>
      <c r="O96" s="99"/>
      <c r="P96" s="218"/>
      <c r="Q96" s="218"/>
      <c r="R96" s="218"/>
      <c r="S96" s="218"/>
      <c r="T96" s="218"/>
      <c r="U96" s="99"/>
      <c r="V96" s="99"/>
      <c r="W96" s="99"/>
      <c r="X96" s="99"/>
      <c r="Y96" s="99"/>
      <c r="Z96" s="99"/>
    </row>
    <row r="97" spans="1:26" ht="15.75" customHeight="1">
      <c r="B97" s="99"/>
      <c r="C97" s="99" t="s">
        <v>225</v>
      </c>
      <c r="D97" s="99" t="s">
        <v>230</v>
      </c>
      <c r="E97" s="99"/>
      <c r="F97" s="99"/>
      <c r="G97" s="99"/>
      <c r="H97" s="99"/>
      <c r="I97" s="99"/>
      <c r="J97" s="99"/>
      <c r="K97" s="99"/>
      <c r="L97" s="99"/>
      <c r="M97" s="230"/>
      <c r="N97" s="230"/>
      <c r="O97" s="99"/>
      <c r="P97" s="218"/>
      <c r="Q97" s="218"/>
      <c r="R97" s="218"/>
      <c r="S97" s="218"/>
      <c r="T97" s="218"/>
      <c r="U97" s="99"/>
      <c r="V97" s="99"/>
      <c r="W97" s="99"/>
      <c r="X97" s="99"/>
      <c r="Y97" s="99"/>
      <c r="Z97" s="99"/>
    </row>
    <row r="98" spans="1:26" ht="15.75" customHeight="1">
      <c r="B98" s="227" t="s">
        <v>1667</v>
      </c>
      <c r="C98" s="99"/>
      <c r="D98" s="99"/>
      <c r="E98" s="99"/>
      <c r="F98" s="99"/>
      <c r="G98" s="99"/>
      <c r="H98" s="99"/>
      <c r="I98" s="99"/>
      <c r="J98" s="99"/>
      <c r="K98" s="99"/>
      <c r="L98" s="99"/>
      <c r="P98" s="218"/>
      <c r="Q98" s="218"/>
      <c r="R98" s="218"/>
      <c r="S98" s="218"/>
      <c r="T98" s="218"/>
      <c r="U98" s="99"/>
      <c r="V98" s="99"/>
      <c r="W98" s="99"/>
      <c r="X98" s="99"/>
      <c r="Y98" s="99"/>
      <c r="Z98" s="99"/>
    </row>
    <row r="99" spans="1:26" ht="15.75" customHeight="1">
      <c r="B99" s="99"/>
      <c r="C99" s="227" t="s">
        <v>1406</v>
      </c>
      <c r="D99" s="99"/>
      <c r="E99" s="99"/>
      <c r="F99" s="99"/>
      <c r="G99" s="99"/>
      <c r="H99" s="99"/>
      <c r="I99" s="99"/>
      <c r="J99" s="99"/>
      <c r="K99" s="99"/>
      <c r="L99" s="99"/>
      <c r="M99" s="206">
        <f>N99</f>
        <v>7922.4</v>
      </c>
      <c r="N99" s="207">
        <f>NgEngEff(M239)</f>
        <v>7922.4</v>
      </c>
      <c r="O99" s="99" t="s">
        <v>784</v>
      </c>
      <c r="P99" s="218"/>
      <c r="Q99" s="218"/>
      <c r="R99" s="218"/>
      <c r="S99" s="218"/>
      <c r="T99" s="218"/>
      <c r="U99" s="99"/>
      <c r="V99" s="99"/>
      <c r="W99" s="99"/>
      <c r="X99" s="99"/>
      <c r="Y99" s="99"/>
      <c r="Z99" s="99"/>
    </row>
    <row r="100" spans="1:26" ht="15.75" customHeight="1">
      <c r="B100" s="99"/>
      <c r="C100" s="227" t="s">
        <v>1512</v>
      </c>
      <c r="D100" s="99"/>
      <c r="E100" s="99"/>
      <c r="F100" s="99"/>
      <c r="G100" s="99"/>
      <c r="H100" s="99"/>
      <c r="I100" s="99"/>
      <c r="J100" s="99"/>
      <c r="K100" s="99"/>
      <c r="L100" s="99"/>
      <c r="M100" s="17">
        <f>N100</f>
        <v>0</v>
      </c>
      <c r="N100" s="209">
        <f>IF(M239=0,0,ElecMotEff(M239)/'Input data'!E53)</f>
        <v>0</v>
      </c>
      <c r="O100" s="99" t="s">
        <v>870</v>
      </c>
      <c r="P100" s="218"/>
      <c r="Q100" s="218"/>
      <c r="R100" s="218"/>
      <c r="S100" s="218"/>
      <c r="T100" s="218"/>
      <c r="U100" s="99"/>
      <c r="V100" s="99"/>
      <c r="W100" s="99"/>
      <c r="X100" s="99"/>
      <c r="Y100" s="99"/>
      <c r="Z100" s="99"/>
    </row>
    <row r="101" spans="1:26" ht="15.75" customHeight="1">
      <c r="B101" s="99"/>
      <c r="C101" s="227" t="s">
        <v>1608</v>
      </c>
      <c r="D101" s="99"/>
      <c r="E101" s="99"/>
      <c r="F101" s="99"/>
      <c r="G101" s="99"/>
      <c r="H101" s="99"/>
      <c r="I101" s="99"/>
      <c r="J101" s="99"/>
      <c r="K101" s="99"/>
      <c r="L101" s="99"/>
      <c r="M101" s="206">
        <f>N101</f>
        <v>7235.4</v>
      </c>
      <c r="N101" s="207">
        <f>DieselEngEff(M239)</f>
        <v>7235.4</v>
      </c>
      <c r="O101" s="99" t="s">
        <v>784</v>
      </c>
      <c r="P101" s="218"/>
      <c r="Q101" s="218"/>
      <c r="R101" s="218"/>
      <c r="S101" s="218"/>
      <c r="T101" s="218"/>
      <c r="U101" s="99"/>
      <c r="V101" s="99"/>
      <c r="W101" s="99"/>
      <c r="X101" s="99"/>
      <c r="Y101" s="99"/>
      <c r="Z101" s="99"/>
    </row>
    <row r="102" spans="1:26" ht="15.75" customHeight="1">
      <c r="A102"/>
      <c r="B102"/>
      <c r="C102" t="s">
        <v>1668</v>
      </c>
      <c r="D102"/>
      <c r="E102"/>
      <c r="F102"/>
      <c r="G102"/>
      <c r="H102"/>
      <c r="I102"/>
      <c r="J102"/>
      <c r="K102"/>
      <c r="L102"/>
      <c r="M102" s="206">
        <f>N102</f>
        <v>9219.6</v>
      </c>
      <c r="N102" s="207">
        <f>NgTurbEff(M239)</f>
        <v>9219.6</v>
      </c>
      <c r="O102" s="99" t="s">
        <v>784</v>
      </c>
      <c r="P102" s="218"/>
      <c r="Q102" s="218"/>
      <c r="R102" s="218"/>
      <c r="S102" s="218"/>
      <c r="T102" s="218"/>
      <c r="U102" s="99"/>
      <c r="V102" s="99"/>
      <c r="W102" s="99"/>
      <c r="X102" s="99"/>
      <c r="Y102" s="99"/>
      <c r="Z102" s="99"/>
    </row>
    <row r="103" spans="1:26" ht="15.75" customHeight="1">
      <c r="A103"/>
      <c r="B103"/>
      <c r="C103"/>
      <c r="D103"/>
      <c r="E103"/>
      <c r="F103"/>
      <c r="G103"/>
      <c r="H103"/>
      <c r="I103"/>
      <c r="J103"/>
      <c r="K103"/>
      <c r="L103"/>
      <c r="M103" s="230"/>
      <c r="N103" s="667"/>
      <c r="O103" s="99"/>
      <c r="P103" s="218"/>
      <c r="Q103" s="218"/>
      <c r="R103" s="218"/>
      <c r="S103" s="218"/>
      <c r="T103" s="218"/>
      <c r="U103" s="99"/>
      <c r="V103" s="99"/>
      <c r="W103" s="99"/>
      <c r="X103" s="99"/>
      <c r="Y103" s="99"/>
      <c r="Z103" s="99"/>
    </row>
    <row r="104" spans="1:26" ht="15.75" customHeight="1">
      <c r="A104"/>
      <c r="B104" t="s">
        <v>2305</v>
      </c>
      <c r="C104"/>
      <c r="D104"/>
      <c r="E104"/>
      <c r="F104"/>
      <c r="G104"/>
      <c r="H104"/>
      <c r="I104"/>
      <c r="J104"/>
      <c r="K104"/>
      <c r="L104"/>
      <c r="M104"/>
      <c r="N104"/>
      <c r="O104"/>
      <c r="P104" s="218"/>
      <c r="Q104" s="218"/>
      <c r="R104" s="218"/>
      <c r="S104" s="218"/>
      <c r="T104" s="218"/>
      <c r="U104" s="99"/>
      <c r="V104" s="99"/>
      <c r="W104" s="99"/>
      <c r="X104" s="99"/>
      <c r="Y104" s="99"/>
      <c r="Z104" s="99"/>
    </row>
    <row r="105" spans="1:26" ht="15.75" customHeight="1">
      <c r="A105"/>
      <c r="B105"/>
      <c r="C105" t="s">
        <v>2304</v>
      </c>
      <c r="D105"/>
      <c r="E105"/>
      <c r="F105"/>
      <c r="G105"/>
      <c r="H105"/>
      <c r="I105"/>
      <c r="J105"/>
      <c r="K105"/>
      <c r="L105"/>
      <c r="M105" s="675">
        <v>0</v>
      </c>
      <c r="N105" s="676">
        <v>0</v>
      </c>
      <c r="O105" t="s">
        <v>219</v>
      </c>
      <c r="P105" s="218"/>
      <c r="Q105" s="218"/>
      <c r="R105" s="218"/>
      <c r="S105" s="218"/>
      <c r="T105" s="218"/>
      <c r="U105" s="99"/>
      <c r="V105" s="99"/>
      <c r="W105" s="99"/>
      <c r="X105" s="99"/>
      <c r="Y105" s="248" t="s">
        <v>2139</v>
      </c>
      <c r="Z105" s="99"/>
    </row>
    <row r="106" spans="1:26" ht="15.75" customHeight="1">
      <c r="A106"/>
      <c r="B106"/>
      <c r="C106" t="s">
        <v>2303</v>
      </c>
      <c r="D106"/>
      <c r="E106"/>
      <c r="F106"/>
      <c r="G106"/>
      <c r="H106"/>
      <c r="I106"/>
      <c r="J106"/>
      <c r="K106"/>
      <c r="L106"/>
      <c r="M106" s="677">
        <f>N106</f>
        <v>0</v>
      </c>
      <c r="N106" s="678">
        <f>IF(M59+M107+M108-0.43*M61&gt;0,M59+M107+M108-0.43*M61,0)</f>
        <v>0</v>
      </c>
      <c r="O106" t="s">
        <v>219</v>
      </c>
      <c r="P106" s="218"/>
      <c r="Q106" s="218"/>
      <c r="R106" s="218"/>
      <c r="S106" s="218"/>
      <c r="T106" s="218"/>
      <c r="U106" s="99"/>
      <c r="V106" s="99"/>
      <c r="W106" s="99"/>
      <c r="X106" s="99"/>
      <c r="Y106" s="248"/>
      <c r="Z106" s="99"/>
    </row>
    <row r="107" spans="1:26" ht="15.75" customHeight="1">
      <c r="A107"/>
      <c r="B107"/>
      <c r="C107"/>
      <c r="D107" t="s">
        <v>2371</v>
      </c>
      <c r="E107"/>
      <c r="F107"/>
      <c r="G107"/>
      <c r="H107"/>
      <c r="I107"/>
      <c r="J107"/>
      <c r="K107"/>
      <c r="L107"/>
      <c r="M107" s="663">
        <f>((M68*M61*(((M56/100)*'Surface Processing'!R326/M65*('Input data'!E35/(24*60*60))/(3.142*(M62/24)^2))^2))/(2*(M62/12)*32.2))*0.43</f>
        <v>9.679053605372868</v>
      </c>
      <c r="N107" s="662">
        <f>((N68*N61*(((N56/100)*'Surface Processing'!R326/N65*('Input data'!E35/(24*60*60))/(3.142*(N62/24)^2))^2))/(2*(N62/12)*32.2))*0.43</f>
        <v>11.486404801898546</v>
      </c>
      <c r="O107" t="s">
        <v>219</v>
      </c>
      <c r="P107" s="218"/>
      <c r="Q107" s="218"/>
      <c r="R107" s="218"/>
      <c r="S107" s="218"/>
      <c r="T107" s="218"/>
      <c r="U107" s="99"/>
      <c r="V107" s="99"/>
      <c r="W107" s="99"/>
      <c r="X107" s="99"/>
      <c r="Y107" s="248"/>
      <c r="Z107" s="99"/>
    </row>
    <row r="108" spans="1:26" ht="15.75" customHeight="1">
      <c r="A108"/>
      <c r="B108"/>
      <c r="C108"/>
      <c r="D108" t="s">
        <v>2370</v>
      </c>
      <c r="E108"/>
      <c r="F108"/>
      <c r="G108"/>
      <c r="H108"/>
      <c r="I108"/>
      <c r="J108"/>
      <c r="K108"/>
      <c r="L108"/>
      <c r="M108" s="663">
        <f>((M56/100)*'Surface Processing'!R326/M65)/M67</f>
        <v>138.88888888888889</v>
      </c>
      <c r="N108" s="662">
        <f>((N56/100)*'Surface Processing'!R326/N65)/N67</f>
        <v>7.1428571428571423</v>
      </c>
      <c r="O108" t="s">
        <v>219</v>
      </c>
      <c r="P108" s="218"/>
      <c r="Q108" s="218"/>
      <c r="R108" s="218"/>
      <c r="S108" s="218"/>
      <c r="T108" s="218"/>
      <c r="U108" s="99"/>
      <c r="V108" s="99"/>
      <c r="W108" s="99"/>
      <c r="X108" s="99"/>
      <c r="Y108" s="99"/>
      <c r="Z108" s="99"/>
    </row>
    <row r="109" spans="1:26" ht="15.75" customHeight="1">
      <c r="A109" t="s">
        <v>2601</v>
      </c>
      <c r="B109"/>
      <c r="C109"/>
      <c r="D109"/>
      <c r="E109"/>
      <c r="F109"/>
      <c r="G109"/>
      <c r="H109"/>
      <c r="I109"/>
      <c r="J109"/>
      <c r="K109"/>
      <c r="L109"/>
      <c r="M109" s="230"/>
      <c r="N109" s="230"/>
      <c r="O109" s="99"/>
      <c r="P109" s="218"/>
      <c r="Q109" s="218"/>
      <c r="R109" s="218"/>
      <c r="S109" s="218"/>
      <c r="T109" s="218"/>
      <c r="U109" s="99"/>
      <c r="V109" s="99"/>
      <c r="W109" s="99"/>
      <c r="X109" s="99"/>
      <c r="Y109" s="211"/>
      <c r="Z109" s="99"/>
    </row>
    <row r="110" spans="1:26" ht="15.75" customHeight="1">
      <c r="A110"/>
      <c r="B110" t="s">
        <v>2336</v>
      </c>
      <c r="C110"/>
      <c r="D110"/>
      <c r="E110"/>
      <c r="F110"/>
      <c r="G110"/>
      <c r="H110"/>
      <c r="I110"/>
      <c r="J110"/>
      <c r="K110"/>
      <c r="L110"/>
      <c r="M110" s="247"/>
      <c r="N110" s="247"/>
      <c r="O110" s="99"/>
      <c r="P110" s="218"/>
      <c r="Q110" s="218"/>
      <c r="R110" s="218"/>
      <c r="S110" s="218"/>
      <c r="T110" s="218"/>
      <c r="U110" s="99"/>
      <c r="V110" s="99"/>
      <c r="W110" s="99"/>
      <c r="X110" s="99"/>
      <c r="Y110" s="99"/>
      <c r="Z110" s="99"/>
    </row>
    <row r="111" spans="1:26" ht="15.75" customHeight="1">
      <c r="A111"/>
      <c r="B111"/>
      <c r="C111" t="s">
        <v>2337</v>
      </c>
      <c r="D111"/>
      <c r="E111"/>
      <c r="F111"/>
      <c r="G111"/>
      <c r="H111"/>
      <c r="I111"/>
      <c r="J111"/>
      <c r="K111"/>
      <c r="L111"/>
      <c r="M111" s="60">
        <v>125</v>
      </c>
      <c r="N111" s="50">
        <v>125</v>
      </c>
      <c r="O111" s="99" t="s">
        <v>236</v>
      </c>
      <c r="P111" s="218"/>
      <c r="Q111" s="218"/>
      <c r="R111" s="218"/>
      <c r="S111" s="218"/>
      <c r="T111" s="218"/>
      <c r="U111" s="99"/>
      <c r="V111" s="99"/>
      <c r="W111" s="99"/>
      <c r="X111" s="99"/>
      <c r="Y111" s="211"/>
      <c r="Z111" s="99"/>
    </row>
    <row r="112" spans="1:26" ht="15.75" customHeight="1">
      <c r="A112"/>
      <c r="B112"/>
      <c r="C112" t="s">
        <v>2338</v>
      </c>
      <c r="D112"/>
      <c r="E112"/>
      <c r="F112"/>
      <c r="G112"/>
      <c r="H112"/>
      <c r="I112"/>
      <c r="J112"/>
      <c r="K112"/>
      <c r="L112"/>
      <c r="M112" s="60">
        <f>N112</f>
        <v>1984.7</v>
      </c>
      <c r="N112" s="50">
        <f>M59+500+14.7</f>
        <v>1984.7</v>
      </c>
      <c r="O112" s="99" t="s">
        <v>236</v>
      </c>
      <c r="P112" s="218"/>
      <c r="Q112" s="218"/>
      <c r="R112" s="218"/>
      <c r="S112" s="218"/>
      <c r="T112" s="218"/>
      <c r="U112" s="99"/>
      <c r="V112" s="99"/>
      <c r="W112" s="99"/>
      <c r="X112" s="99"/>
      <c r="Y112" s="99"/>
      <c r="Z112" s="99"/>
    </row>
    <row r="113" spans="1:32" ht="15.75" customHeight="1">
      <c r="A113"/>
      <c r="B113"/>
      <c r="C113" t="s">
        <v>2339</v>
      </c>
      <c r="D113"/>
      <c r="E113"/>
      <c r="F113"/>
      <c r="G113"/>
      <c r="H113"/>
      <c r="I113"/>
      <c r="J113"/>
      <c r="K113"/>
      <c r="L113"/>
      <c r="M113" s="663" t="str">
        <f>IF(M17=0,"NA",IF(M112/M111&lt;5, M112/M111, IF((M112/M111)^(1/2)&lt;5, (M112/M111)^(1/2), IF((M112/M111)^(1/3)&lt;5, (M112/M111)^(1/3),IF((M112/M111)^(1/4)&lt;5, (M112/M111)^(1/4), (M112/M111)^(1/5))))))</f>
        <v>NA</v>
      </c>
      <c r="N113" s="662" t="str">
        <f>IF(M17=0,"NA",IF(N112/N111&lt;5, N112/N111, IF((N112/N111)^(1/2)&lt;5, (N112/N111)^(1/2), IF((N112/N111)^(1/3)&lt;5, (N112/N111)^(1/3),IF((N112/N111)^(1/4)&lt;5, (N112/N111)^(1/4), (N112/N111)^(1/5))))))</f>
        <v>NA</v>
      </c>
      <c r="O113" s="666" t="s">
        <v>2119</v>
      </c>
      <c r="P113" s="218"/>
      <c r="Q113" s="218"/>
      <c r="R113" s="218"/>
      <c r="S113" s="218"/>
      <c r="T113" s="218"/>
      <c r="U113" s="99"/>
      <c r="V113" s="99"/>
      <c r="W113" s="99"/>
      <c r="X113" s="99"/>
      <c r="Y113" s="99"/>
      <c r="Z113" s="99"/>
    </row>
    <row r="114" spans="1:32" ht="15.75" customHeight="1">
      <c r="C114" s="666" t="s">
        <v>2340</v>
      </c>
      <c r="D114" s="99"/>
      <c r="E114" s="99"/>
      <c r="F114" s="99"/>
      <c r="G114" s="99"/>
      <c r="H114" s="99"/>
      <c r="I114" s="99"/>
      <c r="J114" s="99"/>
      <c r="K114" s="99"/>
      <c r="L114" s="99"/>
      <c r="M114" s="687" t="str">
        <f>IF(M17=0,"NA",IF(M112/M111=M113,1,IF((M112/M111)^(1/2)=M113, 2, IF((M112/M111)^(1/3)=M113,3,IF((M112/M111)^(1/4)=M113,4,5)))))</f>
        <v>NA</v>
      </c>
      <c r="N114" s="709" t="str">
        <f>IF(M17=0,"NA",IF(N112/N111=N113,1,IF((N112/N111)^(1/2)=N113, 2, IF((N112/N111)^(1/3)=N113,3,IF((N112/N111)^(1/4)=N113,4,5)))))</f>
        <v>NA</v>
      </c>
      <c r="O114" s="666" t="s">
        <v>2119</v>
      </c>
      <c r="P114" s="218"/>
      <c r="Q114" s="218"/>
      <c r="R114" s="218"/>
      <c r="S114" s="218"/>
      <c r="T114" s="218"/>
      <c r="U114" s="99"/>
      <c r="V114" s="99"/>
      <c r="W114" s="99"/>
      <c r="X114" s="99"/>
      <c r="Y114" s="99"/>
      <c r="Z114" s="99"/>
    </row>
    <row r="115" spans="1:32" ht="15.75" customHeight="1">
      <c r="C115" s="666" t="s">
        <v>2341</v>
      </c>
      <c r="D115" s="99"/>
      <c r="E115" s="99"/>
      <c r="F115" s="99"/>
      <c r="G115" s="99"/>
      <c r="H115" s="99"/>
      <c r="I115" s="99"/>
      <c r="J115" s="99"/>
      <c r="K115" s="99"/>
      <c r="L115" s="99"/>
      <c r="M115" s="20">
        <v>196.7</v>
      </c>
      <c r="N115" s="21">
        <v>196.7</v>
      </c>
      <c r="O115" s="7" t="s">
        <v>566</v>
      </c>
      <c r="P115" s="218"/>
      <c r="Q115" s="218"/>
      <c r="R115" s="218"/>
      <c r="S115" s="218"/>
      <c r="T115" s="218"/>
      <c r="U115" s="99"/>
      <c r="V115" s="99"/>
      <c r="W115" s="99"/>
      <c r="X115" s="99"/>
      <c r="Y115" s="99"/>
      <c r="Z115" s="99"/>
    </row>
    <row r="116" spans="1:32" ht="15.75" customHeight="1">
      <c r="C116" s="666" t="s">
        <v>2342</v>
      </c>
      <c r="D116" s="99"/>
      <c r="E116" s="99"/>
      <c r="F116" s="99"/>
      <c r="G116" s="99"/>
      <c r="H116" s="99"/>
      <c r="I116" s="99"/>
      <c r="J116" s="99"/>
      <c r="K116" s="99"/>
      <c r="L116" s="99"/>
      <c r="M116" s="14" t="str">
        <f>IF(M17=0,"NA",IF(M114&gt;1,((((M115+460)*(M113^((M120-1)/M120)))-460)-M115)*0.2+M115,"NA"))</f>
        <v>NA</v>
      </c>
      <c r="N116" s="210" t="str">
        <f>IF(M17=0,"NA",IF(N114&gt;1,((((N115+460)*(N113^((N120-1)/N120)))-460)-N115)*0.2+N115,"NA"))</f>
        <v>NA</v>
      </c>
      <c r="O116" s="7" t="s">
        <v>566</v>
      </c>
      <c r="P116" s="218"/>
      <c r="Q116" s="218"/>
      <c r="R116" s="218"/>
      <c r="S116" s="218" t="s">
        <v>2137</v>
      </c>
      <c r="T116" s="218"/>
      <c r="U116" s="99"/>
      <c r="V116" s="99"/>
      <c r="W116" s="99"/>
      <c r="X116" s="99"/>
      <c r="Y116" s="248" t="s">
        <v>933</v>
      </c>
      <c r="Z116" s="99"/>
    </row>
    <row r="117" spans="1:32" ht="15.75" customHeight="1">
      <c r="C117" s="666" t="s">
        <v>2343</v>
      </c>
      <c r="D117" s="99"/>
      <c r="E117" s="99"/>
      <c r="F117" s="99"/>
      <c r="G117" s="99"/>
      <c r="H117" s="99"/>
      <c r="I117" s="99"/>
      <c r="J117" s="99"/>
      <c r="K117" s="99"/>
      <c r="L117" s="99"/>
      <c r="M117" s="14" t="str">
        <f>IF(M17=0,"NA",IF(M114&gt;2,((((M116+460)*(M113^((M120-1)/M120)))-460)-M116)*0.2+M116,"NA"))</f>
        <v>NA</v>
      </c>
      <c r="N117" s="210" t="str">
        <f>IF(M17=0,"NA",IF(N114&gt;2,((((N116+460)*(N113^((N120-1)/N120)))-460)-N116)*0.2+N116,"NA"))</f>
        <v>NA</v>
      </c>
      <c r="O117" s="7" t="s">
        <v>566</v>
      </c>
      <c r="P117" s="218"/>
      <c r="Q117" s="218"/>
      <c r="R117" s="218"/>
      <c r="S117" s="218"/>
      <c r="T117" s="218"/>
      <c r="U117" s="99"/>
      <c r="V117" s="99"/>
      <c r="W117" s="99"/>
      <c r="X117" s="99"/>
      <c r="Y117" s="99"/>
      <c r="Z117" s="99"/>
    </row>
    <row r="118" spans="1:32" ht="15.75" customHeight="1">
      <c r="C118" s="666" t="s">
        <v>2615</v>
      </c>
      <c r="D118" s="99"/>
      <c r="E118" s="99"/>
      <c r="F118" s="99"/>
      <c r="G118" s="99"/>
      <c r="H118" s="99"/>
      <c r="I118" s="99"/>
      <c r="J118" s="99"/>
      <c r="K118" s="99"/>
      <c r="L118" s="99"/>
      <c r="M118" s="14" t="str">
        <f>IF(M17=0,"NA",IF(M114&gt;3,((((M117+460)*(M113^((M120-1)/M120)))-460)-M117)*0.2+M117,"NA"))</f>
        <v>NA</v>
      </c>
      <c r="N118" s="210" t="str">
        <f>IF(M17=0,"NA",IF(N114&gt;3,((((N117+460)*(N113^((N120-1)/N120)))-460)-N117)*0.2+N117,"NA"))</f>
        <v>NA</v>
      </c>
      <c r="O118" s="7" t="s">
        <v>566</v>
      </c>
      <c r="P118" s="218"/>
      <c r="Q118" s="218"/>
      <c r="R118" s="218"/>
      <c r="S118" s="218"/>
      <c r="T118" s="218"/>
      <c r="U118" s="99"/>
      <c r="V118" s="99"/>
      <c r="W118" s="99"/>
      <c r="X118" s="99"/>
      <c r="Y118" s="99"/>
      <c r="Z118" s="99"/>
    </row>
    <row r="119" spans="1:32" ht="15.75" customHeight="1">
      <c r="C119" s="666" t="s">
        <v>2602</v>
      </c>
      <c r="D119" s="99"/>
      <c r="E119" s="99"/>
      <c r="F119" s="99"/>
      <c r="G119" s="99"/>
      <c r="H119" s="99"/>
      <c r="I119" s="99"/>
      <c r="J119" s="99"/>
      <c r="K119" s="99"/>
      <c r="L119" s="99"/>
      <c r="M119" s="14" t="str">
        <f>IF(M17=0,"NA",IF(M114&gt;4,((((M118+460)*(M113^((M120-1)/M120)))-460)-M118)*0.2+M118,"NA"))</f>
        <v>NA</v>
      </c>
      <c r="N119" s="210" t="str">
        <f>IF(M17=0,"NA",IF(N114&gt;4,((((N118+460)*(N113^((N120-1)/N120)))-460)-N118)*0.2+N118,"NA"))</f>
        <v>NA</v>
      </c>
      <c r="O119" s="7" t="s">
        <v>566</v>
      </c>
      <c r="P119" s="674"/>
      <c r="Q119" s="218"/>
      <c r="R119" s="218"/>
      <c r="S119" s="218"/>
      <c r="T119" s="218"/>
      <c r="U119" s="99"/>
      <c r="V119" s="99"/>
      <c r="W119" s="99"/>
      <c r="X119" s="99"/>
      <c r="Y119" s="99"/>
      <c r="Z119" s="99"/>
    </row>
    <row r="120" spans="1:32" ht="15.75" customHeight="1">
      <c r="C120" s="666" t="s">
        <v>2603</v>
      </c>
      <c r="D120" s="99"/>
      <c r="E120" s="99"/>
      <c r="F120" s="99"/>
      <c r="G120" s="99"/>
      <c r="H120" s="99"/>
      <c r="I120" s="99"/>
      <c r="J120" s="99"/>
      <c r="K120" s="99"/>
      <c r="L120" s="99"/>
      <c r="M120" s="20">
        <v>1.28</v>
      </c>
      <c r="N120" s="21">
        <v>1.28</v>
      </c>
      <c r="O120" s="666" t="s">
        <v>2119</v>
      </c>
      <c r="P120" s="218"/>
      <c r="Q120" s="218"/>
      <c r="R120" s="218"/>
      <c r="S120" s="218" t="s">
        <v>235</v>
      </c>
      <c r="T120" s="218"/>
      <c r="U120" s="99"/>
      <c r="V120" s="99"/>
      <c r="W120" s="99"/>
      <c r="X120" s="99"/>
      <c r="Y120" s="211" t="s">
        <v>881</v>
      </c>
      <c r="Z120" s="211"/>
      <c r="AA120" s="211"/>
      <c r="AB120" s="211"/>
      <c r="AE120" s="211"/>
      <c r="AF120" s="211"/>
    </row>
    <row r="121" spans="1:32" ht="15.75" customHeight="1">
      <c r="C121" s="666" t="s">
        <v>2604</v>
      </c>
      <c r="D121" s="99"/>
      <c r="E121" s="99"/>
      <c r="F121" s="99"/>
      <c r="G121" s="99"/>
      <c r="H121" s="99"/>
      <c r="I121" s="99"/>
      <c r="J121" s="99"/>
      <c r="K121" s="99"/>
      <c r="L121" s="218"/>
      <c r="M121" s="20">
        <v>75</v>
      </c>
      <c r="N121" s="21">
        <v>75</v>
      </c>
      <c r="O121" s="218" t="s">
        <v>166</v>
      </c>
      <c r="P121" s="218"/>
      <c r="Q121" s="218"/>
      <c r="R121" s="218"/>
      <c r="S121" s="218"/>
      <c r="T121" s="218"/>
      <c r="U121" s="99"/>
      <c r="V121" s="99"/>
      <c r="W121" s="99"/>
      <c r="X121" s="99"/>
      <c r="Y121" s="99"/>
      <c r="Z121" s="99"/>
    </row>
    <row r="122" spans="1:32" ht="15.75" customHeight="1">
      <c r="B122" s="666" t="s">
        <v>2344</v>
      </c>
      <c r="C122" s="99"/>
      <c r="D122" s="99"/>
      <c r="E122" s="99"/>
      <c r="F122" s="99"/>
      <c r="G122" s="99"/>
      <c r="H122" s="99"/>
      <c r="I122" s="99"/>
      <c r="J122" s="99"/>
      <c r="K122" s="99"/>
      <c r="L122" s="218"/>
      <c r="M122" s="249"/>
      <c r="N122" s="249"/>
      <c r="O122" s="218"/>
      <c r="P122" s="218"/>
      <c r="Q122" s="218"/>
      <c r="R122" s="218"/>
      <c r="S122" s="218"/>
      <c r="T122" s="218"/>
      <c r="U122" s="99"/>
      <c r="V122" s="99"/>
      <c r="W122" s="99"/>
      <c r="X122" s="99"/>
      <c r="Y122" s="99"/>
      <c r="Z122" s="99"/>
    </row>
    <row r="123" spans="1:32" ht="15.75" customHeight="1">
      <c r="C123" s="666" t="s">
        <v>2345</v>
      </c>
      <c r="D123" s="99"/>
      <c r="E123" s="99"/>
      <c r="F123" s="99"/>
      <c r="G123" s="99"/>
      <c r="H123" s="99"/>
      <c r="I123" s="99"/>
      <c r="J123" s="99"/>
      <c r="K123" s="99"/>
      <c r="L123" s="99"/>
      <c r="M123" s="20">
        <v>2</v>
      </c>
      <c r="N123" s="21">
        <v>2</v>
      </c>
      <c r="O123" s="666" t="s">
        <v>237</v>
      </c>
      <c r="P123" s="218"/>
      <c r="Q123" s="218"/>
      <c r="R123" s="218"/>
      <c r="S123" s="218"/>
      <c r="T123" s="218"/>
      <c r="U123" s="99"/>
      <c r="V123" s="99"/>
      <c r="W123" s="99"/>
      <c r="X123" s="99"/>
      <c r="Y123" s="99"/>
      <c r="Z123" s="99"/>
    </row>
    <row r="124" spans="1:32" ht="15.75" customHeight="1">
      <c r="B124" s="99"/>
      <c r="D124" s="99" t="s">
        <v>223</v>
      </c>
      <c r="E124" s="99" t="s">
        <v>861</v>
      </c>
      <c r="F124" s="99"/>
      <c r="G124" s="99"/>
      <c r="H124" s="99"/>
      <c r="I124" s="99"/>
      <c r="J124" s="99"/>
      <c r="K124" s="99"/>
      <c r="L124" s="99"/>
      <c r="M124" s="230"/>
      <c r="N124" s="230"/>
      <c r="O124" s="99"/>
      <c r="P124" s="218"/>
      <c r="Q124" s="218"/>
      <c r="R124" s="218"/>
      <c r="S124" s="218"/>
      <c r="T124" s="218"/>
      <c r="U124" s="99"/>
      <c r="V124" s="99"/>
      <c r="W124" s="99"/>
      <c r="X124" s="99"/>
      <c r="Y124" s="99"/>
      <c r="Z124" s="99"/>
    </row>
    <row r="125" spans="1:32" ht="15.75" customHeight="1">
      <c r="B125" s="99"/>
      <c r="D125" s="99" t="s">
        <v>224</v>
      </c>
      <c r="E125" s="218" t="s">
        <v>1083</v>
      </c>
      <c r="F125" s="99"/>
      <c r="G125" s="99"/>
      <c r="H125" s="99"/>
      <c r="I125" s="99"/>
      <c r="J125" s="99"/>
      <c r="K125" s="99"/>
      <c r="L125" s="99"/>
      <c r="M125" s="230"/>
      <c r="N125" s="230"/>
      <c r="O125" s="99"/>
      <c r="P125" s="218"/>
      <c r="Q125" s="218"/>
      <c r="R125" s="218"/>
      <c r="S125" s="218"/>
      <c r="T125" s="218"/>
      <c r="U125" s="99"/>
      <c r="V125" s="99"/>
      <c r="W125" s="99"/>
      <c r="X125" s="99"/>
      <c r="Y125" s="99"/>
      <c r="Z125" s="99"/>
    </row>
    <row r="126" spans="1:32" ht="15.75" customHeight="1">
      <c r="C126" s="666" t="s">
        <v>2346</v>
      </c>
      <c r="D126" s="99"/>
      <c r="E126" s="99"/>
      <c r="F126" s="99"/>
      <c r="G126" s="99"/>
      <c r="H126" s="99"/>
      <c r="I126" s="99"/>
      <c r="J126" s="99"/>
      <c r="K126" s="99"/>
      <c r="L126" s="99"/>
      <c r="M126" s="20">
        <v>1</v>
      </c>
      <c r="N126" s="21">
        <v>1</v>
      </c>
      <c r="O126" s="666" t="s">
        <v>237</v>
      </c>
      <c r="P126" s="218"/>
      <c r="Q126" s="218"/>
      <c r="R126" s="218"/>
      <c r="S126" s="218"/>
      <c r="T126" s="218"/>
      <c r="U126" s="99"/>
      <c r="V126" s="99"/>
      <c r="W126" s="99"/>
      <c r="X126" s="99"/>
      <c r="Y126" s="99"/>
      <c r="Z126" s="99"/>
    </row>
    <row r="127" spans="1:32" ht="15.75" customHeight="1">
      <c r="B127" s="99"/>
      <c r="D127" s="99" t="s">
        <v>223</v>
      </c>
      <c r="E127" s="59" t="s">
        <v>1010</v>
      </c>
      <c r="F127" s="99"/>
      <c r="G127" s="99"/>
      <c r="H127" s="99"/>
      <c r="I127" s="99"/>
      <c r="J127" s="99"/>
      <c r="K127" s="99"/>
      <c r="L127" s="99"/>
      <c r="M127" s="230"/>
      <c r="N127" s="230"/>
      <c r="O127" s="99"/>
      <c r="P127" s="218"/>
      <c r="Q127" s="218"/>
      <c r="R127" s="218"/>
      <c r="S127" s="218"/>
      <c r="T127" s="218"/>
      <c r="U127" s="99"/>
      <c r="V127" s="99"/>
      <c r="W127" s="99"/>
      <c r="X127" s="99"/>
      <c r="Y127" s="99"/>
      <c r="Z127" s="99"/>
    </row>
    <row r="128" spans="1:32" ht="15.75" customHeight="1">
      <c r="B128" s="99"/>
      <c r="D128" s="99" t="s">
        <v>224</v>
      </c>
      <c r="E128" s="99" t="s">
        <v>229</v>
      </c>
      <c r="F128" s="99"/>
      <c r="G128" s="99"/>
      <c r="H128" s="99"/>
      <c r="I128" s="99"/>
      <c r="J128" s="99"/>
      <c r="K128" s="99"/>
      <c r="L128" s="99"/>
      <c r="M128" s="230"/>
      <c r="N128" s="230"/>
      <c r="O128" s="99"/>
      <c r="P128" s="218"/>
      <c r="Q128" s="218"/>
      <c r="R128" s="218"/>
      <c r="S128" s="218"/>
      <c r="T128" s="218"/>
      <c r="U128" s="99"/>
      <c r="V128" s="99"/>
      <c r="W128" s="99"/>
      <c r="X128" s="99"/>
      <c r="Y128" s="99"/>
      <c r="Z128" s="99"/>
    </row>
    <row r="129" spans="1:26" ht="15.75" customHeight="1">
      <c r="B129" s="99"/>
      <c r="D129" s="99" t="s">
        <v>225</v>
      </c>
      <c r="E129" s="99" t="s">
        <v>230</v>
      </c>
      <c r="F129" s="99"/>
      <c r="G129" s="99"/>
      <c r="H129" s="99"/>
      <c r="I129" s="99"/>
      <c r="J129" s="99"/>
      <c r="K129" s="99"/>
      <c r="L129" s="99"/>
      <c r="M129" s="230"/>
      <c r="N129" s="230"/>
      <c r="O129" s="99"/>
      <c r="P129" s="218"/>
      <c r="Q129" s="218"/>
      <c r="R129" s="218"/>
      <c r="S129" s="218"/>
      <c r="T129" s="218"/>
      <c r="U129" s="99"/>
      <c r="V129" s="99"/>
      <c r="W129" s="99"/>
      <c r="X129" s="99"/>
      <c r="Y129" s="99"/>
      <c r="Z129" s="99"/>
    </row>
    <row r="130" spans="1:26" ht="15.75" customHeight="1">
      <c r="C130" s="666" t="s">
        <v>2347</v>
      </c>
      <c r="D130" s="99"/>
      <c r="E130" s="99"/>
      <c r="F130" s="99"/>
      <c r="G130" s="99"/>
      <c r="H130" s="99"/>
      <c r="I130" s="99"/>
      <c r="J130" s="99"/>
      <c r="K130" s="99"/>
      <c r="L130" s="99"/>
      <c r="P130" s="218"/>
      <c r="Q130" s="218"/>
      <c r="R130" s="218"/>
      <c r="S130" s="218"/>
      <c r="T130" s="218"/>
      <c r="U130" s="99"/>
      <c r="V130" s="99"/>
      <c r="W130" s="99"/>
      <c r="X130" s="99"/>
      <c r="Y130" s="99"/>
      <c r="Z130" s="99"/>
    </row>
    <row r="131" spans="1:26" ht="15.75" customHeight="1">
      <c r="A131"/>
      <c r="B131"/>
      <c r="C131"/>
      <c r="D131" t="s">
        <v>2348</v>
      </c>
      <c r="E131"/>
      <c r="F131"/>
      <c r="G131"/>
      <c r="H131"/>
      <c r="I131"/>
      <c r="J131"/>
      <c r="K131"/>
      <c r="L131"/>
      <c r="M131" s="17">
        <f>N131</f>
        <v>0.77096110352026936</v>
      </c>
      <c r="N131" s="209">
        <f>IF(M262=0,0,ElecMotEff(M262)/'Input data'!E53)</f>
        <v>0.77096110352026936</v>
      </c>
      <c r="O131" s="99" t="s">
        <v>870</v>
      </c>
      <c r="P131" s="218"/>
      <c r="Q131" s="218"/>
      <c r="R131" s="218"/>
      <c r="S131" s="218"/>
      <c r="T131" s="218"/>
      <c r="U131" s="99"/>
      <c r="V131" s="99"/>
      <c r="W131" s="99"/>
      <c r="X131" s="99"/>
      <c r="Y131" s="99"/>
      <c r="Z131" s="99"/>
    </row>
    <row r="132" spans="1:26" ht="15.75" customHeight="1">
      <c r="A132"/>
      <c r="B132"/>
      <c r="C132"/>
      <c r="D132" t="s">
        <v>2349</v>
      </c>
      <c r="E132"/>
      <c r="F132"/>
      <c r="G132"/>
      <c r="H132"/>
      <c r="I132"/>
      <c r="J132"/>
      <c r="K132"/>
      <c r="L132"/>
      <c r="M132" s="206">
        <f>N132</f>
        <v>6111.9</v>
      </c>
      <c r="N132" s="207">
        <f>NgEngEff(M262)</f>
        <v>6111.9</v>
      </c>
      <c r="O132" s="99" t="s">
        <v>784</v>
      </c>
      <c r="P132" s="218"/>
      <c r="Q132" s="218"/>
      <c r="R132" s="218"/>
      <c r="S132" s="218"/>
      <c r="T132" s="221"/>
      <c r="U132" s="28"/>
      <c r="V132" s="28"/>
      <c r="W132" s="28"/>
      <c r="X132" s="28"/>
      <c r="Y132" s="28"/>
      <c r="Z132" s="28"/>
    </row>
    <row r="133" spans="1:26" ht="15.75" customHeight="1">
      <c r="A133"/>
      <c r="B133"/>
      <c r="C133"/>
      <c r="D133"/>
      <c r="E133"/>
      <c r="F133"/>
      <c r="G133"/>
      <c r="H133"/>
      <c r="I133"/>
      <c r="J133"/>
      <c r="K133"/>
      <c r="L133"/>
      <c r="M133" s="250"/>
      <c r="N133" s="230"/>
      <c r="O133" s="99"/>
      <c r="P133" s="218"/>
      <c r="Q133" s="218"/>
      <c r="R133" s="218"/>
      <c r="S133" s="218"/>
      <c r="T133" s="221"/>
      <c r="U133" s="28"/>
      <c r="V133" s="28"/>
      <c r="W133" s="28"/>
      <c r="X133" s="28"/>
      <c r="Y133" s="28"/>
      <c r="Z133" s="28"/>
    </row>
    <row r="134" spans="1:26" ht="15.75" customHeight="1">
      <c r="A134" t="s">
        <v>1703</v>
      </c>
      <c r="B134"/>
      <c r="C134"/>
      <c r="D134"/>
      <c r="E134"/>
      <c r="F134"/>
      <c r="G134"/>
      <c r="H134"/>
      <c r="I134"/>
      <c r="J134"/>
      <c r="K134"/>
      <c r="L134"/>
      <c r="M134" s="230"/>
      <c r="N134" s="230"/>
      <c r="O134" s="99"/>
      <c r="P134" s="218"/>
      <c r="Q134" s="218"/>
      <c r="R134" s="218"/>
      <c r="S134" s="218"/>
      <c r="T134" s="221"/>
      <c r="U134" s="28"/>
      <c r="V134" s="28"/>
      <c r="W134" s="28"/>
      <c r="X134" s="28"/>
      <c r="Y134" s="211"/>
      <c r="Z134" s="99"/>
    </row>
    <row r="135" spans="1:26" ht="15.75" customHeight="1">
      <c r="A135"/>
      <c r="B135" t="s">
        <v>1407</v>
      </c>
      <c r="C135"/>
      <c r="D135"/>
      <c r="E135"/>
      <c r="F135"/>
      <c r="G135"/>
      <c r="H135"/>
      <c r="I135"/>
      <c r="J135"/>
      <c r="K135"/>
      <c r="L135"/>
      <c r="M135" s="14">
        <f>'User Inputs &amp; Results'!J92*M35</f>
        <v>937500</v>
      </c>
      <c r="N135" s="210">
        <f>'User Inputs &amp; Results'!K92*N35</f>
        <v>1875</v>
      </c>
      <c r="O135" s="59" t="s">
        <v>266</v>
      </c>
      <c r="P135" s="218"/>
      <c r="Q135" s="218"/>
      <c r="R135" s="218"/>
      <c r="S135" s="218"/>
      <c r="T135" s="221"/>
      <c r="U135" s="28"/>
      <c r="V135" s="28"/>
      <c r="W135" s="28"/>
      <c r="X135" s="28"/>
      <c r="Y135" s="28"/>
      <c r="Z135" s="28"/>
    </row>
    <row r="136" spans="1:26" ht="15.75" customHeight="1">
      <c r="A136"/>
      <c r="B136" t="s">
        <v>2308</v>
      </c>
      <c r="C136"/>
      <c r="D136"/>
      <c r="E136"/>
      <c r="F136"/>
      <c r="G136"/>
      <c r="H136"/>
      <c r="I136"/>
      <c r="J136"/>
      <c r="K136"/>
      <c r="L136"/>
      <c r="M136" s="257"/>
      <c r="N136" s="257"/>
      <c r="O136"/>
      <c r="P136" s="218"/>
      <c r="Q136" s="218"/>
      <c r="R136" s="218"/>
      <c r="S136" s="218"/>
      <c r="T136" s="221"/>
      <c r="U136" s="28"/>
      <c r="V136" s="28"/>
      <c r="W136" s="28"/>
      <c r="X136" s="28"/>
      <c r="Y136" s="248" t="s">
        <v>2139</v>
      </c>
      <c r="Z136" s="28"/>
    </row>
    <row r="137" spans="1:26" ht="15.75" customHeight="1">
      <c r="A137"/>
      <c r="B137"/>
      <c r="C137" t="s">
        <v>2306</v>
      </c>
      <c r="D137"/>
      <c r="E137"/>
      <c r="F137"/>
      <c r="G137"/>
      <c r="H137"/>
      <c r="I137"/>
      <c r="J137"/>
      <c r="K137"/>
      <c r="L137"/>
      <c r="M137" s="677">
        <v>0</v>
      </c>
      <c r="N137" s="678">
        <v>0</v>
      </c>
      <c r="O137" t="s">
        <v>219</v>
      </c>
      <c r="P137" s="218"/>
      <c r="Q137" s="218"/>
      <c r="R137" s="218"/>
      <c r="S137" s="218"/>
      <c r="T137" s="221"/>
      <c r="U137" s="28"/>
      <c r="V137" s="28"/>
      <c r="W137" s="28"/>
      <c r="X137" s="28"/>
      <c r="Y137" s="248"/>
      <c r="Z137" s="28"/>
    </row>
    <row r="138" spans="1:26" ht="15.75" customHeight="1">
      <c r="A138"/>
      <c r="B138"/>
      <c r="C138" t="s">
        <v>2307</v>
      </c>
      <c r="D138"/>
      <c r="E138"/>
      <c r="F138"/>
      <c r="G138"/>
      <c r="H138"/>
      <c r="I138"/>
      <c r="J138"/>
      <c r="K138"/>
      <c r="L138"/>
      <c r="M138" s="677">
        <f>N138</f>
        <v>0</v>
      </c>
      <c r="N138" s="678">
        <f>IF(M59+M139+M140-0.43*M61&gt;0,M59+M139+M140-0.43*M61,0)</f>
        <v>0</v>
      </c>
      <c r="O138" t="s">
        <v>219</v>
      </c>
      <c r="P138" s="218"/>
      <c r="Q138" s="218"/>
      <c r="R138" s="218"/>
      <c r="S138" s="218"/>
      <c r="T138" s="221"/>
      <c r="U138" s="28"/>
      <c r="V138" s="28"/>
      <c r="W138" s="28"/>
      <c r="X138" s="28"/>
      <c r="Y138" s="248"/>
      <c r="Z138" s="28"/>
    </row>
    <row r="139" spans="1:26" ht="15.75" customHeight="1">
      <c r="A139"/>
      <c r="B139"/>
      <c r="C139"/>
      <c r="D139" t="s">
        <v>2373</v>
      </c>
      <c r="E139"/>
      <c r="F139"/>
      <c r="G139"/>
      <c r="H139"/>
      <c r="I139"/>
      <c r="J139"/>
      <c r="K139"/>
      <c r="L139"/>
      <c r="M139" s="663">
        <f>((M68*M61*(((M135/M65)*('Input data'!E35/(24*60*60))/(3.142*(M62/24)^2))^2))/(2*(M62/12)*32.2))*0.43</f>
        <v>241.97634013432179</v>
      </c>
      <c r="N139" s="662">
        <f>((N68*N61*(((N135/N65)*('Input data'!E35/(24*60*60))/(3.142*(N62/24)^2))^2))/(2*(N62/12)*32.2))*0.43</f>
        <v>1.1486404801898547E-3</v>
      </c>
      <c r="O139" t="s">
        <v>219</v>
      </c>
      <c r="P139" s="218"/>
      <c r="Q139" s="218"/>
      <c r="R139" s="218"/>
      <c r="S139" s="218"/>
      <c r="T139" s="221"/>
      <c r="U139" s="28"/>
      <c r="V139" s="28"/>
      <c r="W139" s="28"/>
      <c r="X139" s="28"/>
      <c r="Y139" s="248"/>
      <c r="Z139" s="28"/>
    </row>
    <row r="140" spans="1:26" ht="15.75" customHeight="1">
      <c r="A140"/>
      <c r="B140"/>
      <c r="C140"/>
      <c r="D140" t="s">
        <v>2372</v>
      </c>
      <c r="E140"/>
      <c r="F140"/>
      <c r="G140"/>
      <c r="H140"/>
      <c r="I140"/>
      <c r="J140"/>
      <c r="K140"/>
      <c r="L140"/>
      <c r="M140" s="663">
        <f>(M135/M65)/M67</f>
        <v>694.44444444444446</v>
      </c>
      <c r="N140" s="662">
        <f>(N135/N65)/N67</f>
        <v>7.1428571428571425E-2</v>
      </c>
      <c r="O140" s="483" t="s">
        <v>219</v>
      </c>
      <c r="P140" s="218"/>
      <c r="Q140" s="218"/>
      <c r="R140" s="218"/>
      <c r="S140" s="218"/>
      <c r="T140" s="221"/>
      <c r="U140" s="28"/>
      <c r="V140" s="28"/>
      <c r="W140" s="28"/>
      <c r="X140" s="28"/>
      <c r="Z140" s="28"/>
    </row>
    <row r="141" spans="1:26" ht="15.75" customHeight="1">
      <c r="A141"/>
      <c r="B141" t="s">
        <v>1609</v>
      </c>
      <c r="C141"/>
      <c r="D141"/>
      <c r="E141"/>
      <c r="F141"/>
      <c r="G141"/>
      <c r="H141"/>
      <c r="I141"/>
      <c r="J141"/>
      <c r="K141"/>
      <c r="L141"/>
      <c r="M141" s="230"/>
      <c r="N141" s="230"/>
      <c r="O141" s="99"/>
      <c r="P141" s="218"/>
      <c r="Q141" s="218"/>
      <c r="R141" s="218"/>
      <c r="S141" s="218"/>
      <c r="T141" s="221"/>
      <c r="U141" s="28"/>
      <c r="V141" s="28"/>
      <c r="W141" s="28"/>
      <c r="X141" s="28"/>
      <c r="Y141" s="28"/>
      <c r="Z141" s="28"/>
    </row>
    <row r="142" spans="1:26" ht="15.75" customHeight="1">
      <c r="A142"/>
      <c r="B142"/>
      <c r="C142" t="s">
        <v>2128</v>
      </c>
      <c r="D142"/>
      <c r="E142"/>
      <c r="F142"/>
      <c r="G142"/>
      <c r="H142"/>
      <c r="I142"/>
      <c r="J142"/>
      <c r="K142"/>
      <c r="L142"/>
      <c r="M142" s="20">
        <v>65</v>
      </c>
      <c r="N142" s="21">
        <v>65</v>
      </c>
      <c r="O142" s="99" t="s">
        <v>166</v>
      </c>
      <c r="P142" s="218"/>
      <c r="Q142" s="218"/>
      <c r="R142" s="218"/>
      <c r="S142" s="218"/>
      <c r="T142" s="221"/>
      <c r="U142" s="28"/>
      <c r="V142" s="28"/>
      <c r="W142" s="28"/>
      <c r="X142" s="28"/>
      <c r="Y142" s="28"/>
      <c r="Z142" s="28"/>
    </row>
    <row r="143" spans="1:26" ht="15.75" customHeight="1">
      <c r="A143"/>
      <c r="B143"/>
      <c r="C143" t="s">
        <v>1513</v>
      </c>
      <c r="D143"/>
      <c r="E143"/>
      <c r="F143"/>
      <c r="G143"/>
      <c r="H143"/>
      <c r="I143"/>
      <c r="J143"/>
      <c r="K143"/>
      <c r="L143"/>
      <c r="M143" s="20">
        <v>1</v>
      </c>
      <c r="N143" s="21">
        <v>1</v>
      </c>
      <c r="O143" s="666" t="s">
        <v>237</v>
      </c>
      <c r="P143" s="218"/>
      <c r="Q143" s="218"/>
      <c r="R143" s="218"/>
      <c r="S143" s="218"/>
      <c r="T143" s="221"/>
      <c r="U143" s="28"/>
      <c r="V143" s="28"/>
      <c r="W143" s="28"/>
      <c r="X143" s="28"/>
      <c r="Y143" s="28"/>
      <c r="Z143" s="28"/>
    </row>
    <row r="144" spans="1:26" ht="15.75" customHeight="1">
      <c r="A144"/>
      <c r="B144"/>
      <c r="C144"/>
      <c r="D144" t="s">
        <v>223</v>
      </c>
      <c r="E144" t="s">
        <v>1083</v>
      </c>
      <c r="F144"/>
      <c r="G144"/>
      <c r="H144"/>
      <c r="I144"/>
      <c r="J144"/>
      <c r="K144"/>
      <c r="L144"/>
      <c r="M144" s="230"/>
      <c r="N144" s="230"/>
      <c r="O144" s="99"/>
      <c r="P144" s="218"/>
      <c r="Q144" s="218"/>
      <c r="R144" s="218"/>
      <c r="S144" s="218"/>
      <c r="T144" s="221"/>
      <c r="U144" s="28"/>
      <c r="V144" s="28"/>
      <c r="W144" s="28"/>
      <c r="X144" s="28"/>
      <c r="Y144" s="28"/>
      <c r="Z144" s="28"/>
    </row>
    <row r="145" spans="1:26" ht="15.75" customHeight="1">
      <c r="A145"/>
      <c r="B145"/>
      <c r="C145"/>
      <c r="D145" t="s">
        <v>224</v>
      </c>
      <c r="E145" t="s">
        <v>861</v>
      </c>
      <c r="F145"/>
      <c r="G145"/>
      <c r="H145"/>
      <c r="I145"/>
      <c r="J145"/>
      <c r="K145"/>
      <c r="L145"/>
      <c r="M145" s="230"/>
      <c r="N145" s="230"/>
      <c r="O145" s="99"/>
      <c r="P145" s="218"/>
      <c r="Q145" s="218"/>
      <c r="R145" s="218"/>
      <c r="S145" s="218"/>
      <c r="T145" s="221"/>
      <c r="U145" s="28"/>
      <c r="V145" s="28"/>
      <c r="W145" s="28"/>
      <c r="X145" s="28"/>
      <c r="Y145" s="28"/>
      <c r="Z145" s="28"/>
    </row>
    <row r="146" spans="1:26" ht="15.75" customHeight="1">
      <c r="A146"/>
      <c r="B146"/>
      <c r="C146"/>
      <c r="D146" t="s">
        <v>225</v>
      </c>
      <c r="E146" t="s">
        <v>226</v>
      </c>
      <c r="F146"/>
      <c r="G146"/>
      <c r="H146"/>
      <c r="I146"/>
      <c r="J146"/>
      <c r="K146"/>
      <c r="L146"/>
      <c r="M146" s="230"/>
      <c r="N146" s="230"/>
      <c r="O146" s="99"/>
      <c r="P146" s="218"/>
      <c r="Q146" s="218"/>
      <c r="R146" s="218"/>
      <c r="S146" s="218"/>
      <c r="T146" s="221"/>
      <c r="U146" s="28"/>
      <c r="V146" s="28"/>
      <c r="W146" s="28"/>
      <c r="X146" s="28"/>
      <c r="Y146" s="28"/>
      <c r="Z146" s="28"/>
    </row>
    <row r="147" spans="1:26" ht="15.75" customHeight="1">
      <c r="A147"/>
      <c r="B147"/>
      <c r="C147"/>
      <c r="D147" t="s">
        <v>227</v>
      </c>
      <c r="E147" t="s">
        <v>228</v>
      </c>
      <c r="F147"/>
      <c r="G147"/>
      <c r="H147"/>
      <c r="I147"/>
      <c r="J147"/>
      <c r="K147"/>
      <c r="L147"/>
      <c r="M147" s="230"/>
      <c r="N147" s="230"/>
      <c r="O147" s="99"/>
      <c r="P147" s="218"/>
      <c r="Q147" s="218"/>
      <c r="R147" s="218"/>
      <c r="S147" s="218"/>
      <c r="T147" s="221"/>
      <c r="U147" s="28"/>
      <c r="V147" s="28"/>
      <c r="W147" s="28"/>
      <c r="X147" s="28"/>
      <c r="Y147" s="28"/>
      <c r="Z147" s="28"/>
    </row>
    <row r="148" spans="1:26" ht="15.75" customHeight="1">
      <c r="A148"/>
      <c r="B148"/>
      <c r="C148" t="s">
        <v>1610</v>
      </c>
      <c r="D148"/>
      <c r="E148"/>
      <c r="F148"/>
      <c r="G148"/>
      <c r="H148"/>
      <c r="I148"/>
      <c r="J148"/>
      <c r="K148"/>
      <c r="L148"/>
      <c r="M148" s="20">
        <v>1</v>
      </c>
      <c r="N148" s="21">
        <v>1</v>
      </c>
      <c r="O148" s="666" t="s">
        <v>237</v>
      </c>
      <c r="P148" s="218"/>
      <c r="Q148" s="218"/>
      <c r="R148" s="218"/>
      <c r="S148" s="218"/>
      <c r="T148" s="221"/>
      <c r="U148" s="28"/>
      <c r="V148" s="28"/>
      <c r="W148" s="28"/>
      <c r="X148" s="28"/>
      <c r="Y148" s="28"/>
      <c r="Z148" s="28"/>
    </row>
    <row r="149" spans="1:26" ht="15.75" customHeight="1">
      <c r="A149"/>
      <c r="B149"/>
      <c r="C149"/>
      <c r="D149" t="s">
        <v>223</v>
      </c>
      <c r="E149" t="s">
        <v>1010</v>
      </c>
      <c r="F149"/>
      <c r="G149"/>
      <c r="H149"/>
      <c r="I149"/>
      <c r="J149"/>
      <c r="K149"/>
      <c r="L149"/>
      <c r="M149" s="230"/>
      <c r="N149" s="230"/>
      <c r="O149" s="99"/>
      <c r="P149" s="218"/>
      <c r="Q149" s="218"/>
      <c r="R149" s="218"/>
      <c r="S149" s="218"/>
      <c r="T149" s="221"/>
      <c r="U149" s="28"/>
      <c r="V149" s="28"/>
      <c r="W149" s="28"/>
      <c r="X149" s="28"/>
      <c r="Y149" s="28"/>
      <c r="Z149" s="28"/>
    </row>
    <row r="150" spans="1:26" ht="15.75" customHeight="1">
      <c r="A150"/>
      <c r="B150"/>
      <c r="C150"/>
      <c r="D150" t="s">
        <v>224</v>
      </c>
      <c r="E150" t="s">
        <v>229</v>
      </c>
      <c r="F150"/>
      <c r="G150"/>
      <c r="H150"/>
      <c r="I150"/>
      <c r="J150"/>
      <c r="K150"/>
      <c r="L150"/>
      <c r="M150" s="230"/>
      <c r="N150" s="230"/>
      <c r="O150" s="99"/>
      <c r="P150" s="218"/>
      <c r="Q150" s="218"/>
      <c r="R150" s="218"/>
      <c r="S150" s="218"/>
      <c r="T150" s="221"/>
      <c r="U150" s="28"/>
      <c r="V150" s="28"/>
      <c r="W150" s="28"/>
      <c r="X150" s="28"/>
      <c r="Y150" s="28"/>
      <c r="Z150" s="28"/>
    </row>
    <row r="151" spans="1:26" ht="15.75" customHeight="1">
      <c r="A151"/>
      <c r="B151"/>
      <c r="C151"/>
      <c r="D151" t="s">
        <v>225</v>
      </c>
      <c r="E151" t="s">
        <v>230</v>
      </c>
      <c r="F151"/>
      <c r="G151"/>
      <c r="H151"/>
      <c r="I151"/>
      <c r="J151"/>
      <c r="K151"/>
      <c r="L151"/>
      <c r="M151" s="230"/>
      <c r="N151" s="230"/>
      <c r="O151" s="99"/>
      <c r="P151" s="218"/>
      <c r="Q151" s="218"/>
      <c r="R151" s="218"/>
      <c r="S151" s="218"/>
      <c r="T151" s="221"/>
      <c r="U151" s="28"/>
      <c r="V151" s="28"/>
      <c r="W151" s="28"/>
      <c r="X151" s="28"/>
      <c r="Y151" s="28"/>
      <c r="Z151" s="28"/>
    </row>
    <row r="152" spans="1:26" ht="15.75" customHeight="1">
      <c r="A152"/>
      <c r="B152"/>
      <c r="C152" t="s">
        <v>1669</v>
      </c>
      <c r="D152"/>
      <c r="E152"/>
      <c r="F152"/>
      <c r="G152"/>
      <c r="H152"/>
      <c r="I152"/>
      <c r="J152"/>
      <c r="K152"/>
      <c r="L152"/>
      <c r="P152" s="218"/>
      <c r="Q152" s="218"/>
      <c r="R152" s="218"/>
      <c r="S152" s="218"/>
      <c r="T152" s="221"/>
      <c r="U152" s="28"/>
      <c r="V152" s="28"/>
      <c r="W152" s="28"/>
      <c r="X152" s="28"/>
      <c r="Y152" s="28"/>
      <c r="Z152" s="28"/>
    </row>
    <row r="153" spans="1:26" ht="15.75" customHeight="1">
      <c r="A153"/>
      <c r="B153"/>
      <c r="C153"/>
      <c r="D153" t="s">
        <v>1408</v>
      </c>
      <c r="E153"/>
      <c r="F153"/>
      <c r="G153"/>
      <c r="H153"/>
      <c r="I153"/>
      <c r="J153"/>
      <c r="K153"/>
      <c r="L153"/>
      <c r="M153" s="14" t="str">
        <f>N153</f>
        <v>NA</v>
      </c>
      <c r="N153" s="210" t="str">
        <f>IF(M18=0,"NA",NgEngEff(M270))</f>
        <v>NA</v>
      </c>
      <c r="O153" s="99" t="s">
        <v>784</v>
      </c>
      <c r="P153" s="218"/>
      <c r="Q153" s="218"/>
      <c r="R153" s="218"/>
      <c r="S153" s="218"/>
      <c r="T153" s="221"/>
      <c r="U153" s="28"/>
      <c r="V153" s="28"/>
      <c r="W153" s="28"/>
      <c r="X153" s="28"/>
      <c r="Y153" s="28"/>
      <c r="Z153" s="28"/>
    </row>
    <row r="154" spans="1:26" ht="15.75" customHeight="1">
      <c r="C154" s="99"/>
      <c r="D154" s="59" t="s">
        <v>1514</v>
      </c>
      <c r="E154" s="99"/>
      <c r="F154" s="99"/>
      <c r="G154" s="99"/>
      <c r="H154" s="99"/>
      <c r="I154" s="99"/>
      <c r="J154" s="99"/>
      <c r="K154" s="99"/>
      <c r="M154" s="14" t="str">
        <f>N154</f>
        <v>NA</v>
      </c>
      <c r="N154" s="210" t="str">
        <f>IF(M18=0,"NA",ElecMotEff(M270)/'Input data'!E53)</f>
        <v>NA</v>
      </c>
      <c r="O154" s="99" t="s">
        <v>870</v>
      </c>
      <c r="P154" s="218"/>
      <c r="Q154" s="218"/>
      <c r="R154" s="218"/>
      <c r="S154" s="218"/>
      <c r="T154" s="221"/>
      <c r="U154" s="28"/>
      <c r="V154" s="28"/>
      <c r="W154" s="28"/>
      <c r="X154" s="28"/>
      <c r="Y154" s="28"/>
      <c r="Z154" s="28"/>
    </row>
    <row r="155" spans="1:26" ht="15.75" customHeight="1">
      <c r="C155" s="99"/>
      <c r="D155" s="59" t="s">
        <v>1611</v>
      </c>
      <c r="E155" s="99"/>
      <c r="F155" s="99"/>
      <c r="G155" s="99"/>
      <c r="H155" s="99"/>
      <c r="I155" s="99"/>
      <c r="J155" s="99"/>
      <c r="K155" s="99"/>
      <c r="M155" s="14" t="str">
        <f>N155</f>
        <v>NA</v>
      </c>
      <c r="N155" s="210" t="str">
        <f>IF(M18=0,"NA",DieselEngEff(M270))</f>
        <v>NA</v>
      </c>
      <c r="O155" s="99" t="s">
        <v>784</v>
      </c>
      <c r="P155" s="218"/>
      <c r="Q155" s="218"/>
      <c r="R155" s="218"/>
      <c r="S155" s="218"/>
      <c r="T155" s="221"/>
      <c r="U155" s="28"/>
      <c r="V155" s="28"/>
      <c r="W155" s="28"/>
      <c r="X155" s="28"/>
      <c r="Y155" s="28"/>
      <c r="Z155" s="28"/>
    </row>
    <row r="156" spans="1:26" ht="15.75" customHeight="1">
      <c r="A156"/>
      <c r="B156"/>
      <c r="C156"/>
      <c r="D156" t="s">
        <v>1670</v>
      </c>
      <c r="E156"/>
      <c r="F156"/>
      <c r="G156"/>
      <c r="H156"/>
      <c r="I156"/>
      <c r="J156"/>
      <c r="K156"/>
      <c r="L156"/>
      <c r="M156" s="14" t="str">
        <f>N156</f>
        <v>NA</v>
      </c>
      <c r="N156" s="210" t="str">
        <f>IF(M18=0,"NA",NgTurbEff(M270))</f>
        <v>NA</v>
      </c>
      <c r="O156" s="99" t="s">
        <v>784</v>
      </c>
      <c r="P156" s="218"/>
      <c r="Q156" s="218"/>
      <c r="R156" s="218"/>
      <c r="S156" s="218"/>
      <c r="T156" s="221"/>
      <c r="U156" s="28"/>
      <c r="V156" s="28"/>
      <c r="W156" s="28"/>
      <c r="X156" s="28"/>
      <c r="Y156" s="28"/>
      <c r="Z156" s="28"/>
    </row>
    <row r="157" spans="1:26" ht="15.75" customHeight="1">
      <c r="A157"/>
      <c r="B157"/>
      <c r="C157"/>
      <c r="D157"/>
      <c r="E157"/>
      <c r="F157"/>
      <c r="G157"/>
      <c r="H157"/>
      <c r="I157"/>
      <c r="J157"/>
      <c r="K157"/>
      <c r="L157"/>
      <c r="M157" s="230"/>
      <c r="N157" s="230"/>
      <c r="O157" s="99"/>
      <c r="P157" s="218"/>
      <c r="Q157" s="218"/>
      <c r="R157" s="218"/>
      <c r="S157" s="218"/>
      <c r="T157" s="221"/>
      <c r="U157" s="28"/>
      <c r="V157" s="28"/>
      <c r="W157" s="28"/>
      <c r="X157" s="28"/>
      <c r="Y157" s="28"/>
      <c r="Z157" s="28"/>
    </row>
    <row r="158" spans="1:26" ht="15.75" customHeight="1">
      <c r="A158" t="s">
        <v>1722</v>
      </c>
      <c r="B158"/>
      <c r="C158"/>
      <c r="D158"/>
      <c r="E158"/>
      <c r="F158"/>
      <c r="G158"/>
      <c r="H158"/>
      <c r="I158"/>
      <c r="J158"/>
      <c r="K158"/>
      <c r="L158"/>
      <c r="M158" s="230"/>
      <c r="N158" s="230"/>
      <c r="O158" s="99"/>
      <c r="P158" s="218"/>
      <c r="Q158" s="218"/>
      <c r="R158" s="218"/>
      <c r="S158" s="218"/>
      <c r="T158" s="221"/>
      <c r="U158" s="28"/>
      <c r="V158" s="28"/>
      <c r="W158" s="28"/>
      <c r="X158" s="28"/>
      <c r="Y158" s="211"/>
      <c r="Z158" s="28"/>
    </row>
    <row r="159" spans="1:26" ht="15.75" customHeight="1">
      <c r="A159"/>
      <c r="B159" t="s">
        <v>1409</v>
      </c>
      <c r="C159"/>
      <c r="D159"/>
      <c r="E159"/>
      <c r="F159"/>
      <c r="G159"/>
      <c r="H159"/>
      <c r="I159"/>
      <c r="J159"/>
      <c r="K159"/>
      <c r="L159"/>
      <c r="M159" s="14">
        <f>IF(M19=1,'User Inputs &amp; Results'!J93*(M35+M52*M35)/1000,"NA")</f>
        <v>1406250</v>
      </c>
      <c r="N159" s="210">
        <f>IF(M19=1,'User Inputs &amp; Results'!K93*(N35+N52*N35)/1000,"NA")</f>
        <v>11943.830379252018</v>
      </c>
      <c r="O159" s="59" t="s">
        <v>1261</v>
      </c>
      <c r="P159" s="218"/>
      <c r="Q159" s="218"/>
      <c r="R159" s="218"/>
      <c r="S159" s="218" t="s">
        <v>2123</v>
      </c>
      <c r="T159" s="221"/>
      <c r="U159" s="28"/>
      <c r="V159" s="28"/>
      <c r="W159" s="28"/>
      <c r="X159" s="28"/>
      <c r="Y159" s="252" t="s">
        <v>2140</v>
      </c>
      <c r="Z159" s="28"/>
    </row>
    <row r="160" spans="1:26" ht="15.75" customHeight="1">
      <c r="A160"/>
      <c r="B160" t="s">
        <v>2609</v>
      </c>
      <c r="C160"/>
      <c r="D160"/>
      <c r="E160"/>
      <c r="F160"/>
      <c r="G160"/>
      <c r="H160"/>
      <c r="I160"/>
      <c r="J160"/>
      <c r="K160"/>
      <c r="L160"/>
      <c r="M160" s="230"/>
      <c r="N160" s="230"/>
      <c r="O160" s="99"/>
      <c r="P160" s="218"/>
      <c r="Q160" s="218"/>
      <c r="R160" s="218"/>
      <c r="S160" s="218"/>
      <c r="T160" s="218"/>
      <c r="U160" s="99"/>
      <c r="V160" s="28"/>
      <c r="W160" s="28"/>
      <c r="X160" s="28"/>
      <c r="Y160" s="28"/>
      <c r="Z160" s="28"/>
    </row>
    <row r="161" spans="1:26" ht="15.75" customHeight="1">
      <c r="A161"/>
      <c r="B161"/>
      <c r="C161" t="s">
        <v>2322</v>
      </c>
      <c r="D161"/>
      <c r="E161"/>
      <c r="F161"/>
      <c r="G161"/>
      <c r="H161"/>
      <c r="I161"/>
      <c r="J161"/>
      <c r="K161"/>
      <c r="L161"/>
      <c r="M161" s="247"/>
      <c r="N161" s="247"/>
      <c r="O161" s="99"/>
      <c r="P161" s="218"/>
      <c r="Q161" s="218"/>
      <c r="R161" s="218"/>
      <c r="S161" s="218"/>
      <c r="T161" s="218"/>
      <c r="U161" s="99"/>
      <c r="V161" s="28"/>
      <c r="W161" s="28"/>
      <c r="X161" s="28"/>
      <c r="Y161" s="28"/>
      <c r="Z161" s="28"/>
    </row>
    <row r="162" spans="1:26" ht="15.75" customHeight="1">
      <c r="A162"/>
      <c r="B162"/>
      <c r="C162"/>
      <c r="D162" t="s">
        <v>2323</v>
      </c>
      <c r="E162"/>
      <c r="F162"/>
      <c r="G162"/>
      <c r="H162"/>
      <c r="I162"/>
      <c r="J162"/>
      <c r="K162"/>
      <c r="L162"/>
      <c r="M162" s="60">
        <v>125</v>
      </c>
      <c r="N162" s="50">
        <v>125</v>
      </c>
      <c r="O162" s="99" t="s">
        <v>236</v>
      </c>
      <c r="P162" s="218"/>
      <c r="Q162" s="218"/>
      <c r="R162" s="218"/>
      <c r="S162" s="218"/>
      <c r="T162" s="218"/>
      <c r="U162" s="99"/>
      <c r="V162" s="28"/>
      <c r="W162" s="28"/>
      <c r="X162" s="28"/>
      <c r="Y162" s="28"/>
      <c r="Z162" s="28"/>
    </row>
    <row r="163" spans="1:26" ht="15.75" customHeight="1">
      <c r="A163"/>
      <c r="B163"/>
      <c r="C163"/>
      <c r="D163" t="s">
        <v>2324</v>
      </c>
      <c r="E163"/>
      <c r="F163"/>
      <c r="G163"/>
      <c r="H163"/>
      <c r="I163"/>
      <c r="J163"/>
      <c r="K163"/>
      <c r="L163"/>
      <c r="M163" s="682">
        <f>N163</f>
        <v>849.7</v>
      </c>
      <c r="N163" s="681">
        <f>(M59/2)+100+14.7</f>
        <v>849.7</v>
      </c>
      <c r="O163" s="99" t="s">
        <v>236</v>
      </c>
      <c r="P163" s="218"/>
      <c r="Q163" s="218"/>
      <c r="R163" s="218"/>
      <c r="S163" s="218"/>
      <c r="T163" s="218"/>
      <c r="U163" s="99"/>
      <c r="V163" s="28"/>
      <c r="W163" s="28"/>
      <c r="X163" s="28"/>
      <c r="Y163" s="28"/>
      <c r="Z163" s="28"/>
    </row>
    <row r="164" spans="1:26" ht="15.75" customHeight="1">
      <c r="A164"/>
      <c r="B164"/>
      <c r="C164"/>
      <c r="D164" t="s">
        <v>2325</v>
      </c>
      <c r="E164"/>
      <c r="F164"/>
      <c r="G164"/>
      <c r="H164"/>
      <c r="I164"/>
      <c r="J164"/>
      <c r="K164"/>
      <c r="L164"/>
      <c r="M164" s="663">
        <f>IF(M19=0,"NA",IF(M163/M162&lt;5, M163/M162, IF((M163/M162)^(1/2)&lt;5, (M163/M162)^(1/2), IF((M163/M162)^(1/3)&lt;5, (M163/M162)^(1/3),IF((M163/M162)^(1/4)&lt;5, (M163/M162)^(1/4), (M163/M162)^(1/5))))))</f>
        <v>2.6072207424765552</v>
      </c>
      <c r="N164" s="662">
        <f>IF(M19=0,"NA",IF(N163/N162&lt;5, N163/N162, IF((N163/N162)^(1/2)&lt;5, (N163/N162)^(1/2), IF((N163/N162)^(1/3)&lt;5, (N163/N162)^(1/3),IF((N163/N162)^(1/4)&lt;5, (N163/N162)^(1/4), (N163/N162)^(1/5))))))</f>
        <v>2.6072207424765552</v>
      </c>
      <c r="O164" s="666" t="s">
        <v>2119</v>
      </c>
      <c r="P164" s="218"/>
      <c r="Q164" s="218"/>
      <c r="R164" s="218"/>
      <c r="S164" s="218"/>
      <c r="T164" s="218"/>
      <c r="U164" s="99"/>
      <c r="V164" s="28"/>
      <c r="W164" s="28"/>
      <c r="X164" s="28"/>
      <c r="Y164" s="28"/>
      <c r="Z164" s="28"/>
    </row>
    <row r="165" spans="1:26" ht="15.75" customHeight="1">
      <c r="A165"/>
      <c r="B165"/>
      <c r="C165"/>
      <c r="D165" t="s">
        <v>2326</v>
      </c>
      <c r="E165"/>
      <c r="F165"/>
      <c r="G165"/>
      <c r="H165"/>
      <c r="I165"/>
      <c r="J165"/>
      <c r="K165"/>
      <c r="L165"/>
      <c r="M165" s="687">
        <f>IF(M19=0,"NA",IF(M163/M162=M164,1,IF((M163/M162)^(1/2)=M164, 2, IF((M163/M162)^(1/3)=M164,3,IF((M163/M162)^(1/4)=M164,4,5)))))</f>
        <v>2</v>
      </c>
      <c r="N165" s="709">
        <f>IF(M19=0,"NA",IF(N163/N162=N164,1,IF((N163/N162)^(1/2)=N164, 2, IF((N163/N162)^(1/3)=N164,3,IF((N163/N162)^(1/4)=N164,4,5)))))</f>
        <v>2</v>
      </c>
      <c r="O165" s="666" t="s">
        <v>2119</v>
      </c>
      <c r="P165" s="218"/>
      <c r="Q165" s="218"/>
      <c r="R165" s="218"/>
      <c r="S165" s="218"/>
      <c r="T165" s="218"/>
      <c r="U165" s="99"/>
      <c r="V165" s="28"/>
      <c r="W165" s="28"/>
      <c r="X165" s="28"/>
      <c r="Y165" s="28"/>
      <c r="Z165" s="28"/>
    </row>
    <row r="166" spans="1:26" ht="15.75" customHeight="1">
      <c r="A166"/>
      <c r="B166"/>
      <c r="C166"/>
      <c r="D166" t="s">
        <v>2327</v>
      </c>
      <c r="E166"/>
      <c r="F166"/>
      <c r="G166"/>
      <c r="H166"/>
      <c r="I166"/>
      <c r="J166"/>
      <c r="K166"/>
      <c r="L166"/>
      <c r="M166" s="20">
        <v>196.7</v>
      </c>
      <c r="N166" s="21">
        <v>196.7</v>
      </c>
      <c r="O166" s="67" t="s">
        <v>566</v>
      </c>
      <c r="P166" s="218"/>
      <c r="Q166" s="218"/>
      <c r="R166" s="218"/>
      <c r="S166" s="218"/>
      <c r="T166" s="218"/>
      <c r="U166" s="99"/>
      <c r="V166" s="28"/>
      <c r="W166" s="28"/>
      <c r="X166" s="28"/>
      <c r="Y166" s="28"/>
      <c r="Z166" s="28"/>
    </row>
    <row r="167" spans="1:26" ht="15.75" customHeight="1">
      <c r="A167"/>
      <c r="B167"/>
      <c r="C167"/>
      <c r="D167" t="s">
        <v>2328</v>
      </c>
      <c r="E167"/>
      <c r="F167"/>
      <c r="G167"/>
      <c r="H167"/>
      <c r="I167"/>
      <c r="J167"/>
      <c r="K167"/>
      <c r="L167"/>
      <c r="M167" s="14">
        <f>IF(M19=0,"NA",IF(M165&gt;1,((((M166+460)*(M164^((M171-1)/M171)))-460)-M166)*0.2+M166,"NA"))</f>
        <v>227.33049381762135</v>
      </c>
      <c r="N167" s="210">
        <f>IF(M19=0,"NA",IF(N165&gt;1,((((N166+460)*(M164^((M171-1)/M171)))-460)-N166)*0.2+N166,"NA"))</f>
        <v>227.33049381762135</v>
      </c>
      <c r="O167" s="7" t="s">
        <v>566</v>
      </c>
      <c r="P167" s="218"/>
      <c r="Q167" s="218"/>
      <c r="R167" s="218"/>
      <c r="S167" s="218"/>
      <c r="T167" s="218"/>
      <c r="U167" s="99"/>
      <c r="V167" s="28"/>
      <c r="W167" s="28"/>
      <c r="X167" s="28"/>
      <c r="Y167" s="28"/>
      <c r="Z167" s="28"/>
    </row>
    <row r="168" spans="1:26" ht="15.75" customHeight="1">
      <c r="A168"/>
      <c r="B168"/>
      <c r="C168"/>
      <c r="D168" t="s">
        <v>2329</v>
      </c>
      <c r="E168"/>
      <c r="F168"/>
      <c r="G168"/>
      <c r="H168"/>
      <c r="I168"/>
      <c r="J168"/>
      <c r="K168"/>
      <c r="L168"/>
      <c r="M168" s="14" t="str">
        <f>IF(M19=0,"NA",IF(M165&gt;2,((((M167+460)*(M164^((M171-1)/M171)))-460)-M167)*0.2+M167,"NA"))</f>
        <v>NA</v>
      </c>
      <c r="N168" s="210" t="str">
        <f>IF(M19=0,"NA",IF(N165&gt;2,((((N167+460)*(N164^((N171-1)/N171)))-460)-N167)*0.2+N167,"NA"))</f>
        <v>NA</v>
      </c>
      <c r="O168" s="7" t="s">
        <v>566</v>
      </c>
      <c r="P168" s="218"/>
      <c r="Q168" s="218"/>
      <c r="R168" s="218"/>
      <c r="S168" s="218"/>
      <c r="T168" s="218"/>
      <c r="U168" s="99"/>
      <c r="V168" s="28"/>
      <c r="W168" s="28"/>
      <c r="X168" s="28"/>
      <c r="Y168" s="28"/>
      <c r="Z168" s="28"/>
    </row>
    <row r="169" spans="1:26" ht="15.75" customHeight="1">
      <c r="A169"/>
      <c r="B169"/>
      <c r="C169"/>
      <c r="D169" t="s">
        <v>2607</v>
      </c>
      <c r="E169"/>
      <c r="F169"/>
      <c r="G169"/>
      <c r="H169"/>
      <c r="I169"/>
      <c r="J169"/>
      <c r="K169"/>
      <c r="L169"/>
      <c r="M169" s="14" t="str">
        <f>IF(M19=0,"NA",IF(M165&gt;3,((((M168+460)*(M164^((M171-1)/M171)))-460)-M168)*0.2+M168,"NA"))</f>
        <v>NA</v>
      </c>
      <c r="N169" s="210" t="str">
        <f>IF(M19=0,"NA",IF(N165&gt;3,((((N168+460)*(N164^((N171-1)/N171)))-460)-N168)*0.2+N168,"NA"))</f>
        <v>NA</v>
      </c>
      <c r="O169" s="7" t="s">
        <v>566</v>
      </c>
      <c r="P169" s="218"/>
      <c r="Q169" s="218"/>
      <c r="R169" s="218"/>
      <c r="S169" s="218"/>
      <c r="T169" s="218"/>
      <c r="U169" s="99"/>
      <c r="V169" s="28"/>
      <c r="W169" s="28"/>
      <c r="X169" s="28"/>
      <c r="Y169" s="28"/>
      <c r="Z169" s="28"/>
    </row>
    <row r="170" spans="1:26" ht="15.75" customHeight="1">
      <c r="A170"/>
      <c r="B170"/>
      <c r="C170"/>
      <c r="D170" t="s">
        <v>2608</v>
      </c>
      <c r="E170"/>
      <c r="F170"/>
      <c r="G170"/>
      <c r="H170"/>
      <c r="I170"/>
      <c r="J170"/>
      <c r="K170"/>
      <c r="L170"/>
      <c r="M170" s="14" t="str">
        <f>IF(M19=0,"NA",IF(M165&gt;4,((((M169+460)*(M164^((M171-1)/M171)))-460)-M169)*0.2+M169,"NA"))</f>
        <v>NA</v>
      </c>
      <c r="N170" s="210" t="str">
        <f>IF(M19=0,"NA",IF(N165&gt;4,((((N169+460)*(N164^((N171-1)/N171)))-460)-N169)*0.2+N169,"NA"))</f>
        <v>NA</v>
      </c>
      <c r="O170" s="7" t="s">
        <v>566</v>
      </c>
      <c r="P170" s="218"/>
      <c r="Q170" s="218"/>
      <c r="R170" s="218"/>
      <c r="S170" s="218"/>
      <c r="T170" s="218"/>
      <c r="U170" s="99"/>
      <c r="V170" s="28"/>
      <c r="W170" s="28"/>
      <c r="X170" s="28"/>
      <c r="Y170" s="28"/>
      <c r="Z170" s="28"/>
    </row>
    <row r="171" spans="1:26" ht="15.75" customHeight="1">
      <c r="A171"/>
      <c r="B171"/>
      <c r="C171"/>
      <c r="D171" t="s">
        <v>2605</v>
      </c>
      <c r="E171"/>
      <c r="F171"/>
      <c r="G171"/>
      <c r="H171"/>
      <c r="I171"/>
      <c r="J171"/>
      <c r="K171"/>
      <c r="L171"/>
      <c r="M171" s="20">
        <v>1.28</v>
      </c>
      <c r="N171" s="21">
        <v>1.28</v>
      </c>
      <c r="O171" s="666" t="s">
        <v>2119</v>
      </c>
      <c r="P171" s="218"/>
      <c r="Q171" s="218"/>
      <c r="R171" s="218"/>
      <c r="S171" s="218" t="s">
        <v>235</v>
      </c>
      <c r="T171" s="218"/>
      <c r="U171" s="99"/>
      <c r="V171" s="28"/>
      <c r="W171" s="28"/>
      <c r="X171" s="28"/>
      <c r="Y171" s="211" t="s">
        <v>881</v>
      </c>
      <c r="Z171" s="28"/>
    </row>
    <row r="172" spans="1:26" ht="15.75" customHeight="1">
      <c r="A172"/>
      <c r="B172"/>
      <c r="C172"/>
      <c r="D172" t="s">
        <v>2606</v>
      </c>
      <c r="E172"/>
      <c r="F172"/>
      <c r="G172"/>
      <c r="H172"/>
      <c r="I172"/>
      <c r="J172"/>
      <c r="K172"/>
      <c r="L172"/>
      <c r="M172" s="20">
        <v>75</v>
      </c>
      <c r="N172" s="21">
        <v>75</v>
      </c>
      <c r="O172" s="99" t="s">
        <v>166</v>
      </c>
      <c r="P172" s="218"/>
      <c r="Q172" s="218"/>
      <c r="R172" s="218"/>
      <c r="S172" s="218"/>
      <c r="T172" s="218"/>
      <c r="U172" s="99"/>
      <c r="V172" s="28"/>
      <c r="W172" s="28"/>
      <c r="X172" s="28"/>
      <c r="Y172" s="28"/>
      <c r="Z172" s="28"/>
    </row>
    <row r="173" spans="1:26" ht="15.75" customHeight="1">
      <c r="A173"/>
      <c r="B173" t="s">
        <v>2330</v>
      </c>
      <c r="C173"/>
      <c r="D173"/>
      <c r="E173"/>
      <c r="F173"/>
      <c r="G173"/>
      <c r="H173"/>
      <c r="I173"/>
      <c r="J173"/>
      <c r="K173"/>
      <c r="L173"/>
      <c r="M173" s="247"/>
      <c r="N173" s="247"/>
      <c r="O173" s="99"/>
      <c r="P173" s="218"/>
      <c r="Q173" s="218"/>
      <c r="R173" s="218"/>
      <c r="S173" s="218"/>
      <c r="T173" s="218"/>
      <c r="U173" s="99"/>
      <c r="V173" s="28"/>
      <c r="W173" s="28"/>
      <c r="X173" s="28"/>
      <c r="Y173" s="28"/>
      <c r="Z173" s="28"/>
    </row>
    <row r="174" spans="1:26" ht="15.75" customHeight="1">
      <c r="A174"/>
      <c r="B174"/>
      <c r="C174" t="s">
        <v>2331</v>
      </c>
      <c r="D174"/>
      <c r="E174"/>
      <c r="F174"/>
      <c r="G174"/>
      <c r="H174"/>
      <c r="I174"/>
      <c r="J174"/>
      <c r="K174"/>
      <c r="L174"/>
      <c r="M174" s="20">
        <v>2</v>
      </c>
      <c r="N174" s="21">
        <v>2</v>
      </c>
      <c r="O174" s="666" t="s">
        <v>237</v>
      </c>
      <c r="P174" s="218"/>
      <c r="Q174" s="218"/>
      <c r="R174" s="218"/>
      <c r="S174" s="218"/>
      <c r="T174" s="218"/>
      <c r="U174" s="99"/>
      <c r="V174" s="28"/>
      <c r="W174" s="28"/>
      <c r="X174" s="28"/>
      <c r="Y174" s="28"/>
      <c r="Z174" s="28"/>
    </row>
    <row r="175" spans="1:26" ht="15.75" customHeight="1">
      <c r="A175"/>
      <c r="B175"/>
      <c r="C175"/>
      <c r="D175" t="s">
        <v>223</v>
      </c>
      <c r="E175" t="s">
        <v>861</v>
      </c>
      <c r="F175"/>
      <c r="G175"/>
      <c r="H175"/>
      <c r="I175"/>
      <c r="J175"/>
      <c r="K175"/>
      <c r="L175"/>
      <c r="M175" s="230"/>
      <c r="N175" s="230"/>
      <c r="O175" s="99"/>
      <c r="P175" s="218"/>
      <c r="Q175" s="218"/>
      <c r="R175" s="218"/>
      <c r="S175" s="218"/>
      <c r="T175" s="218"/>
      <c r="U175" s="99"/>
      <c r="V175" s="28"/>
      <c r="W175" s="28"/>
      <c r="X175" s="28"/>
      <c r="Y175" s="28"/>
      <c r="Z175" s="28"/>
    </row>
    <row r="176" spans="1:26" ht="15.75" customHeight="1">
      <c r="A176"/>
      <c r="B176"/>
      <c r="C176"/>
      <c r="D176" t="s">
        <v>224</v>
      </c>
      <c r="E176" t="s">
        <v>1083</v>
      </c>
      <c r="F176"/>
      <c r="G176"/>
      <c r="H176"/>
      <c r="I176"/>
      <c r="J176"/>
      <c r="K176"/>
      <c r="L176"/>
      <c r="M176" s="230"/>
      <c r="N176" s="230"/>
      <c r="O176" s="99"/>
      <c r="P176" s="218"/>
      <c r="Q176" s="218"/>
      <c r="R176" s="218"/>
      <c r="S176" s="218"/>
      <c r="T176" s="218"/>
      <c r="U176" s="99"/>
      <c r="V176" s="28"/>
      <c r="W176" s="28"/>
      <c r="X176" s="28"/>
      <c r="Y176" s="28"/>
      <c r="Z176" s="28"/>
    </row>
    <row r="177" spans="1:45" ht="15.75" customHeight="1">
      <c r="A177"/>
      <c r="B177"/>
      <c r="C177" t="s">
        <v>2332</v>
      </c>
      <c r="D177"/>
      <c r="E177"/>
      <c r="F177"/>
      <c r="G177"/>
      <c r="H177"/>
      <c r="I177"/>
      <c r="J177"/>
      <c r="K177"/>
      <c r="L177"/>
      <c r="M177" s="20">
        <v>1</v>
      </c>
      <c r="N177" s="21">
        <v>1</v>
      </c>
      <c r="O177" s="666" t="s">
        <v>237</v>
      </c>
      <c r="P177" s="218"/>
      <c r="Q177" s="218"/>
      <c r="R177" s="218"/>
      <c r="S177" s="218"/>
      <c r="T177" s="218"/>
      <c r="U177" s="99"/>
      <c r="V177" s="28"/>
      <c r="W177" s="28"/>
      <c r="X177" s="28"/>
      <c r="Y177" s="28"/>
      <c r="Z177" s="28"/>
    </row>
    <row r="178" spans="1:45" ht="15.75" customHeight="1">
      <c r="A178"/>
      <c r="B178"/>
      <c r="C178"/>
      <c r="D178" t="s">
        <v>223</v>
      </c>
      <c r="E178" t="s">
        <v>1010</v>
      </c>
      <c r="F178"/>
      <c r="G178"/>
      <c r="H178"/>
      <c r="I178"/>
      <c r="J178"/>
      <c r="K178"/>
      <c r="L178"/>
      <c r="M178" s="230"/>
      <c r="N178" s="230"/>
      <c r="O178" s="99"/>
      <c r="P178" s="218"/>
      <c r="Q178" s="218"/>
      <c r="R178" s="218"/>
      <c r="S178" s="218"/>
      <c r="T178" s="218"/>
      <c r="U178" s="99"/>
      <c r="V178" s="28"/>
      <c r="W178" s="28"/>
      <c r="X178" s="28"/>
      <c r="Y178" s="28"/>
      <c r="Z178" s="28"/>
    </row>
    <row r="179" spans="1:45" ht="15.75" customHeight="1">
      <c r="A179"/>
      <c r="B179"/>
      <c r="C179"/>
      <c r="D179" t="s">
        <v>224</v>
      </c>
      <c r="E179" t="s">
        <v>229</v>
      </c>
      <c r="F179"/>
      <c r="G179"/>
      <c r="H179"/>
      <c r="I179"/>
      <c r="J179"/>
      <c r="K179"/>
      <c r="L179"/>
      <c r="M179" s="230"/>
      <c r="N179" s="230"/>
      <c r="O179" s="99"/>
      <c r="P179" s="218"/>
      <c r="Q179" s="218"/>
      <c r="R179" s="218"/>
      <c r="S179" s="218"/>
      <c r="T179" s="218"/>
      <c r="U179" s="99"/>
      <c r="V179" s="28"/>
      <c r="W179" s="28"/>
      <c r="X179" s="28"/>
      <c r="Y179" s="28"/>
      <c r="Z179" s="28"/>
    </row>
    <row r="180" spans="1:45" ht="15.75" customHeight="1">
      <c r="A180"/>
      <c r="B180"/>
      <c r="C180"/>
      <c r="D180" t="s">
        <v>225</v>
      </c>
      <c r="E180" t="s">
        <v>230</v>
      </c>
      <c r="F180"/>
      <c r="G180"/>
      <c r="H180"/>
      <c r="I180"/>
      <c r="J180"/>
      <c r="K180"/>
      <c r="L180"/>
      <c r="M180" s="230"/>
      <c r="N180" s="230"/>
      <c r="O180" s="99"/>
      <c r="P180" s="218"/>
      <c r="Q180" s="218"/>
      <c r="R180" s="218"/>
      <c r="S180" s="218"/>
      <c r="T180" s="218"/>
      <c r="U180" s="99"/>
      <c r="V180" s="28"/>
      <c r="W180" s="28"/>
      <c r="X180" s="28"/>
      <c r="Y180" s="28"/>
      <c r="Z180" s="28"/>
    </row>
    <row r="181" spans="1:45" ht="15.75" customHeight="1">
      <c r="A181"/>
      <c r="B181"/>
      <c r="C181" t="s">
        <v>2333</v>
      </c>
      <c r="D181"/>
      <c r="E181"/>
      <c r="F181"/>
      <c r="G181"/>
      <c r="H181"/>
      <c r="I181"/>
      <c r="J181"/>
      <c r="K181"/>
      <c r="L181"/>
      <c r="P181" s="218"/>
      <c r="Q181" s="218"/>
      <c r="R181" s="218"/>
      <c r="S181" s="218"/>
      <c r="T181" s="218"/>
      <c r="U181" s="99"/>
      <c r="V181" s="28"/>
      <c r="W181" s="28"/>
      <c r="X181" s="28"/>
      <c r="Y181" s="28"/>
      <c r="Z181" s="28"/>
    </row>
    <row r="182" spans="1:45" ht="15.75" customHeight="1">
      <c r="A182"/>
      <c r="B182"/>
      <c r="C182"/>
      <c r="D182" t="s">
        <v>2334</v>
      </c>
      <c r="E182"/>
      <c r="F182"/>
      <c r="G182"/>
      <c r="H182"/>
      <c r="I182"/>
      <c r="J182"/>
      <c r="K182"/>
      <c r="L182"/>
      <c r="M182" s="14">
        <f>N182</f>
        <v>0.77096110352026936</v>
      </c>
      <c r="N182" s="210">
        <f>IF(M19=0,"NA",ElecMotEff(M293)/'Input data'!E53)</f>
        <v>0.77096110352026936</v>
      </c>
      <c r="O182" s="99" t="s">
        <v>870</v>
      </c>
      <c r="P182" s="218"/>
      <c r="Q182" s="218"/>
      <c r="R182" s="218"/>
      <c r="S182" s="218"/>
      <c r="T182" s="218"/>
      <c r="U182" s="99"/>
      <c r="V182" s="28"/>
      <c r="W182" s="28"/>
      <c r="X182" s="28"/>
      <c r="Y182" s="28"/>
      <c r="Z182" s="28"/>
    </row>
    <row r="183" spans="1:45" ht="15.75" customHeight="1">
      <c r="A183"/>
      <c r="B183"/>
      <c r="C183"/>
      <c r="D183" t="s">
        <v>2335</v>
      </c>
      <c r="E183"/>
      <c r="F183"/>
      <c r="G183"/>
      <c r="H183"/>
      <c r="I183"/>
      <c r="J183"/>
      <c r="K183"/>
      <c r="L183"/>
      <c r="M183" s="14">
        <f>N183</f>
        <v>6111.9</v>
      </c>
      <c r="N183" s="210">
        <f>IF(M19=0,"NA",NgEngEff(M293))</f>
        <v>6111.9</v>
      </c>
      <c r="O183" s="99" t="s">
        <v>784</v>
      </c>
      <c r="P183" s="218"/>
      <c r="Q183" s="218"/>
      <c r="R183" s="218"/>
      <c r="S183" s="218"/>
      <c r="T183" s="221"/>
      <c r="U183" s="28"/>
      <c r="V183" s="28"/>
      <c r="W183" s="28"/>
      <c r="X183" s="28"/>
      <c r="Y183" s="28"/>
      <c r="Z183" s="28"/>
    </row>
    <row r="184" spans="1:45" ht="15.75" customHeight="1">
      <c r="A184"/>
      <c r="B184"/>
      <c r="C184"/>
      <c r="D184"/>
      <c r="E184"/>
      <c r="F184"/>
      <c r="G184"/>
      <c r="H184"/>
      <c r="I184"/>
      <c r="J184"/>
      <c r="K184"/>
      <c r="L184"/>
      <c r="M184" s="250"/>
      <c r="N184" s="230"/>
      <c r="O184" s="99"/>
      <c r="P184" s="218"/>
      <c r="Q184" s="218"/>
      <c r="R184" s="218"/>
      <c r="S184" s="218"/>
      <c r="T184" s="221"/>
      <c r="U184" s="28"/>
      <c r="V184" s="28"/>
      <c r="W184" s="28"/>
      <c r="X184" s="28"/>
      <c r="Y184" s="28"/>
      <c r="Z184" s="28"/>
    </row>
    <row r="185" spans="1:45" ht="15.75" customHeight="1">
      <c r="A185" t="s">
        <v>1732</v>
      </c>
      <c r="B185"/>
      <c r="C185"/>
      <c r="D185"/>
      <c r="E185"/>
      <c r="F185"/>
      <c r="G185"/>
      <c r="H185"/>
      <c r="I185"/>
      <c r="J185"/>
      <c r="K185"/>
      <c r="L185"/>
      <c r="M185" s="230"/>
      <c r="N185" s="230"/>
      <c r="O185" s="99"/>
      <c r="P185" s="218"/>
      <c r="Q185" s="218"/>
      <c r="R185" s="218"/>
      <c r="S185" s="218"/>
      <c r="T185" s="221"/>
      <c r="U185" s="28"/>
      <c r="V185" s="28"/>
      <c r="W185" s="28"/>
      <c r="X185" s="28"/>
      <c r="Y185" s="254"/>
      <c r="Z185" s="28"/>
    </row>
    <row r="186" spans="1:45" ht="15.75" customHeight="1">
      <c r="A186"/>
      <c r="B186" t="s">
        <v>1410</v>
      </c>
      <c r="C186"/>
      <c r="D186"/>
      <c r="E186"/>
      <c r="F186"/>
      <c r="G186"/>
      <c r="H186"/>
      <c r="I186"/>
      <c r="J186"/>
      <c r="K186"/>
      <c r="L186"/>
      <c r="M186" s="1030">
        <v>2</v>
      </c>
      <c r="N186" s="21">
        <v>1</v>
      </c>
      <c r="O186" s="59" t="s">
        <v>237</v>
      </c>
      <c r="P186" s="218"/>
      <c r="Q186" s="218"/>
      <c r="R186" s="218"/>
      <c r="S186" s="218"/>
      <c r="T186" s="221"/>
      <c r="U186" s="28"/>
      <c r="V186" s="28"/>
      <c r="W186" s="28"/>
      <c r="X186" s="28"/>
      <c r="Y186" s="28"/>
      <c r="Z186" s="28"/>
    </row>
    <row r="187" spans="1:45" ht="15.75" customHeight="1">
      <c r="A187"/>
      <c r="B187"/>
      <c r="C187" t="s">
        <v>1260</v>
      </c>
      <c r="D187"/>
      <c r="E187"/>
      <c r="F187"/>
      <c r="G187"/>
      <c r="H187"/>
      <c r="I187"/>
      <c r="J187"/>
      <c r="K187"/>
      <c r="L187"/>
      <c r="P187" s="218"/>
      <c r="Q187" s="218"/>
      <c r="R187" s="218"/>
      <c r="S187" s="218"/>
      <c r="T187" s="221"/>
      <c r="U187" s="28"/>
      <c r="V187" s="28"/>
      <c r="W187" s="28"/>
      <c r="X187" s="28"/>
      <c r="Y187" s="28"/>
      <c r="Z187" s="28"/>
    </row>
    <row r="188" spans="1:45" ht="15.75" customHeight="1">
      <c r="A188"/>
      <c r="B188"/>
      <c r="C188" t="s">
        <v>3851</v>
      </c>
      <c r="D188"/>
      <c r="E188"/>
      <c r="F188"/>
      <c r="G188"/>
      <c r="H188"/>
      <c r="I188"/>
      <c r="J188"/>
      <c r="K188"/>
      <c r="L188"/>
      <c r="M188" s="230"/>
      <c r="N188" s="230"/>
      <c r="O188" s="99"/>
      <c r="P188" s="218"/>
      <c r="Q188" s="218"/>
      <c r="R188" s="218"/>
      <c r="S188" s="218"/>
      <c r="T188" s="221"/>
      <c r="U188" s="28"/>
      <c r="V188" s="28"/>
      <c r="W188" s="28"/>
      <c r="X188" s="28"/>
      <c r="Y188" s="28"/>
      <c r="Z188" s="28"/>
    </row>
    <row r="189" spans="1:45" ht="13.5" customHeight="1">
      <c r="A189"/>
      <c r="B189" t="s">
        <v>1515</v>
      </c>
      <c r="C189"/>
      <c r="D189"/>
      <c r="E189"/>
      <c r="F189"/>
      <c r="G189"/>
      <c r="H189"/>
      <c r="I189"/>
      <c r="J189"/>
      <c r="K189"/>
      <c r="L189"/>
      <c r="M189" s="14">
        <f>IF(M20=1,'User Inputs &amp; Results'!J94*M35/1000,"NA")</f>
        <v>750000</v>
      </c>
      <c r="N189" s="685">
        <f>IF(M20=1,IF(M186=1,'User Inputs &amp; Results'!K94*N35/1000,1200*N35/1000),"NA")</f>
        <v>1800</v>
      </c>
      <c r="O189" s="59" t="s">
        <v>1261</v>
      </c>
      <c r="P189" s="218"/>
      <c r="Q189" s="218"/>
      <c r="R189" s="218"/>
      <c r="S189" s="218" t="s">
        <v>3863</v>
      </c>
      <c r="T189" s="221"/>
      <c r="U189" s="28"/>
      <c r="V189" s="28"/>
      <c r="W189" s="28"/>
      <c r="X189" s="28"/>
      <c r="Y189" s="252" t="s">
        <v>3852</v>
      </c>
      <c r="Z189" s="28"/>
    </row>
    <row r="190" spans="1:45" ht="13.5" customHeight="1">
      <c r="A190"/>
      <c r="B190" t="s">
        <v>2350</v>
      </c>
      <c r="C190"/>
      <c r="D190"/>
      <c r="E190"/>
      <c r="F190"/>
      <c r="G190"/>
      <c r="H190"/>
      <c r="I190"/>
      <c r="J190"/>
      <c r="K190"/>
      <c r="L190"/>
      <c r="M190" s="256"/>
      <c r="N190" s="256"/>
      <c r="O190" s="99"/>
      <c r="P190" s="218"/>
      <c r="Q190" s="218"/>
      <c r="R190" s="218"/>
      <c r="S190" s="218"/>
      <c r="T190" s="221"/>
      <c r="U190" s="28"/>
      <c r="V190" s="28"/>
      <c r="W190" s="28"/>
      <c r="X190" s="28"/>
      <c r="Y190" s="28"/>
      <c r="Z190" s="28"/>
    </row>
    <row r="191" spans="1:45" ht="18.75" customHeight="1">
      <c r="A191"/>
      <c r="B191"/>
      <c r="C191" t="s">
        <v>2351</v>
      </c>
      <c r="D191"/>
      <c r="E191"/>
      <c r="F191"/>
      <c r="G191"/>
      <c r="H191"/>
      <c r="I191"/>
      <c r="J191"/>
      <c r="K191"/>
      <c r="L191" t="str">
        <f>IF(AND(M186=1,M191&gt;0),"ERROR","OK")</f>
        <v>OK</v>
      </c>
      <c r="M191" s="1031">
        <f>N191</f>
        <v>4.1567164179104471E-3</v>
      </c>
      <c r="N191" s="868">
        <f>(500500/1200-185)/1000000*'Input data'!E59*24/1</f>
        <v>4.1567164179104471E-3</v>
      </c>
      <c r="O191" s="99" t="s">
        <v>598</v>
      </c>
      <c r="R191" s="218"/>
      <c r="S191" s="218" t="s">
        <v>3864</v>
      </c>
      <c r="T191" s="221"/>
      <c r="U191" s="28"/>
      <c r="V191" s="28"/>
      <c r="W191" s="866">
        <f>N191*'Input data'!E39</f>
        <v>0.14679305486492533</v>
      </c>
      <c r="X191" s="218" t="s">
        <v>3825</v>
      </c>
      <c r="Y191" s="252" t="s">
        <v>3853</v>
      </c>
      <c r="Z191" s="28"/>
      <c r="AA191" s="643"/>
      <c r="AB191" s="643"/>
      <c r="AC191" s="643"/>
      <c r="AD191" s="643"/>
      <c r="AE191" s="643"/>
      <c r="AF191" s="643"/>
      <c r="AG191" s="643"/>
      <c r="AH191" s="643"/>
      <c r="AI191" s="643"/>
      <c r="AJ191" s="643"/>
      <c r="AK191" s="643"/>
      <c r="AL191" s="643"/>
      <c r="AM191" s="643"/>
      <c r="AN191" s="643"/>
      <c r="AO191" s="643"/>
      <c r="AP191" s="643"/>
      <c r="AQ191" s="643"/>
      <c r="AR191" s="643"/>
      <c r="AS191" s="643"/>
    </row>
    <row r="192" spans="1:45" ht="17.25" customHeight="1">
      <c r="A192"/>
      <c r="B192" t="s">
        <v>2610</v>
      </c>
      <c r="C192"/>
      <c r="D192"/>
      <c r="E192"/>
      <c r="F192"/>
      <c r="G192"/>
      <c r="H192"/>
      <c r="I192"/>
      <c r="J192"/>
      <c r="K192"/>
      <c r="L192"/>
      <c r="M192" s="230"/>
      <c r="N192" s="230"/>
      <c r="O192" s="99"/>
      <c r="R192" s="218"/>
      <c r="S192" s="218"/>
      <c r="T192" s="218"/>
      <c r="U192" s="99"/>
      <c r="V192" s="28"/>
      <c r="W192" s="866">
        <f>W191*273/(273+15.6)</f>
        <v>0.13885829514249692</v>
      </c>
      <c r="X192" s="218" t="s">
        <v>3821</v>
      </c>
      <c r="Y192" s="252" t="s">
        <v>3822</v>
      </c>
      <c r="Z192" s="28"/>
      <c r="AA192" s="643"/>
      <c r="AB192" s="643"/>
      <c r="AC192" s="643"/>
      <c r="AD192" s="643"/>
      <c r="AE192" s="643"/>
      <c r="AF192" s="643"/>
      <c r="AG192" s="643"/>
      <c r="AH192" s="643"/>
      <c r="AI192" s="643"/>
      <c r="AJ192" s="643"/>
      <c r="AK192" s="643"/>
      <c r="AL192" s="643"/>
      <c r="AM192" s="643"/>
      <c r="AN192" s="643"/>
      <c r="AO192" s="643"/>
      <c r="AP192" s="643"/>
      <c r="AQ192" s="643"/>
      <c r="AR192" s="643"/>
      <c r="AS192" s="643"/>
    </row>
    <row r="193" spans="1:45" ht="15.75" customHeight="1">
      <c r="A193"/>
      <c r="B193"/>
      <c r="C193" t="s">
        <v>2352</v>
      </c>
      <c r="D193"/>
      <c r="E193"/>
      <c r="F193"/>
      <c r="G193"/>
      <c r="H193"/>
      <c r="I193"/>
      <c r="J193"/>
      <c r="K193"/>
      <c r="L193"/>
      <c r="M193" s="247"/>
      <c r="N193" s="247"/>
      <c r="O193" s="99"/>
      <c r="P193" s="218"/>
      <c r="Q193" s="218"/>
      <c r="R193" s="218"/>
      <c r="S193" s="218"/>
      <c r="T193" s="218"/>
      <c r="U193" s="99"/>
      <c r="V193" s="28"/>
      <c r="W193" s="28"/>
      <c r="X193" s="28"/>
      <c r="Y193" s="252" t="s">
        <v>3823</v>
      </c>
      <c r="Z193" s="28"/>
      <c r="AA193" s="643"/>
      <c r="AB193" s="643"/>
      <c r="AC193" s="643"/>
      <c r="AD193" s="643"/>
      <c r="AE193" s="643"/>
      <c r="AF193" s="643"/>
      <c r="AG193" s="643"/>
      <c r="AH193" s="643"/>
      <c r="AI193" s="643"/>
      <c r="AJ193" s="643"/>
      <c r="AK193" s="643"/>
      <c r="AL193" s="643"/>
      <c r="AM193" s="643"/>
      <c r="AN193" s="643"/>
      <c r="AO193" s="643"/>
      <c r="AP193" s="643"/>
      <c r="AQ193" s="643"/>
      <c r="AR193" s="643"/>
      <c r="AS193" s="643"/>
    </row>
    <row r="194" spans="1:45" ht="15.75" customHeight="1">
      <c r="A194"/>
      <c r="B194"/>
      <c r="C194"/>
      <c r="D194" t="s">
        <v>2353</v>
      </c>
      <c r="E194"/>
      <c r="F194"/>
      <c r="G194"/>
      <c r="H194"/>
      <c r="I194"/>
      <c r="J194"/>
      <c r="K194"/>
      <c r="L194"/>
      <c r="M194" s="60">
        <v>125</v>
      </c>
      <c r="N194" s="50">
        <v>125</v>
      </c>
      <c r="O194" s="99" t="s">
        <v>236</v>
      </c>
      <c r="P194" s="218"/>
      <c r="Q194" s="218"/>
      <c r="R194" s="218"/>
      <c r="S194" s="218"/>
      <c r="T194" s="218"/>
      <c r="U194" s="99"/>
      <c r="V194" s="28"/>
      <c r="W194" s="28"/>
      <c r="X194" s="28"/>
      <c r="Y194" s="252" t="s">
        <v>3824</v>
      </c>
      <c r="Z194" s="28"/>
      <c r="AA194" s="643"/>
      <c r="AB194" s="643"/>
      <c r="AC194" s="643"/>
      <c r="AD194" s="643"/>
      <c r="AE194" s="643"/>
      <c r="AF194" s="643"/>
      <c r="AG194" s="643"/>
      <c r="AH194" s="643"/>
      <c r="AI194" s="643"/>
      <c r="AJ194" s="643"/>
      <c r="AK194" s="643"/>
      <c r="AL194" s="643"/>
      <c r="AM194" s="643"/>
      <c r="AN194" s="643"/>
      <c r="AO194" s="643"/>
      <c r="AP194" s="643"/>
      <c r="AQ194" s="643"/>
      <c r="AR194" s="643"/>
      <c r="AS194" s="643"/>
    </row>
    <row r="195" spans="1:45" ht="15.75" customHeight="1">
      <c r="A195"/>
      <c r="B195"/>
      <c r="C195"/>
      <c r="D195" t="s">
        <v>2354</v>
      </c>
      <c r="E195"/>
      <c r="F195"/>
      <c r="G195"/>
      <c r="H195"/>
      <c r="I195"/>
      <c r="J195"/>
      <c r="K195"/>
      <c r="L195"/>
      <c r="M195" s="682">
        <f>N195</f>
        <v>1984.7</v>
      </c>
      <c r="N195" s="681">
        <f>M59+500+14.7</f>
        <v>1984.7</v>
      </c>
      <c r="O195" s="99" t="s">
        <v>236</v>
      </c>
      <c r="P195" s="218"/>
      <c r="Q195" s="218"/>
      <c r="R195" s="218"/>
      <c r="S195" s="218"/>
      <c r="T195" s="218"/>
      <c r="U195" s="99"/>
      <c r="V195" s="28"/>
      <c r="W195" s="28"/>
      <c r="X195" s="28"/>
      <c r="Y195" s="252" t="s">
        <v>3854</v>
      </c>
      <c r="Z195" s="28"/>
      <c r="AA195" s="643"/>
      <c r="AB195" s="643"/>
      <c r="AC195" s="643"/>
      <c r="AD195" s="643"/>
      <c r="AE195" s="643"/>
      <c r="AF195" s="643"/>
      <c r="AG195" s="643"/>
      <c r="AH195" s="643"/>
      <c r="AI195" s="643"/>
      <c r="AJ195" s="643"/>
      <c r="AK195" s="643"/>
      <c r="AL195" s="643"/>
      <c r="AM195" s="643"/>
      <c r="AN195" s="643"/>
      <c r="AO195" s="643"/>
      <c r="AP195" s="643"/>
      <c r="AQ195" s="643"/>
      <c r="AR195" s="643"/>
      <c r="AS195" s="643"/>
    </row>
    <row r="196" spans="1:45" ht="15.75" customHeight="1">
      <c r="A196"/>
      <c r="B196"/>
      <c r="C196"/>
      <c r="D196" t="s">
        <v>2355</v>
      </c>
      <c r="E196"/>
      <c r="F196"/>
      <c r="G196"/>
      <c r="H196"/>
      <c r="I196"/>
      <c r="J196"/>
      <c r="K196"/>
      <c r="L196"/>
      <c r="M196" s="672">
        <f>IF(M20=0,"NA",IF(M195/M194&lt;5, M195/M194, IF((M195/M194)^(1/2)&lt;5, (M195/M194)^(1/2), IF((M195/M194)^(1/3)&lt;5, (M195/M194)^(1/3),IF((M195/M194)^(1/4)&lt;5, (M195/M194)^(1/4), (M195/M194)^(1/5))))))</f>
        <v>3.9846706262876985</v>
      </c>
      <c r="N196" s="673">
        <f>IF(M20=0,"NA",IF(N195/N194&lt;5, N195/N194, IF((N195/N194)^(1/2)&lt;5, (N195/N194)^(1/2), IF((N195/N194)^(1/3)&lt;5, (N195/N194)^(1/3),IF((N195/N194)^(1/4)&lt;5, (N195/N194)^(1/4), (N195/N194)^(1/5))))))</f>
        <v>3.9846706262876985</v>
      </c>
      <c r="O196" s="666" t="s">
        <v>2119</v>
      </c>
      <c r="P196" s="218"/>
      <c r="Q196" s="218"/>
      <c r="R196" s="218"/>
      <c r="S196" s="218"/>
      <c r="T196" s="218"/>
      <c r="U196" s="99"/>
      <c r="V196" s="28"/>
      <c r="W196" s="28"/>
      <c r="X196" s="28"/>
      <c r="Y196" s="28"/>
      <c r="Z196" s="28"/>
    </row>
    <row r="197" spans="1:45" ht="15.75" customHeight="1">
      <c r="A197"/>
      <c r="B197"/>
      <c r="C197"/>
      <c r="D197" t="s">
        <v>2356</v>
      </c>
      <c r="E197"/>
      <c r="F197"/>
      <c r="G197"/>
      <c r="H197"/>
      <c r="I197"/>
      <c r="J197"/>
      <c r="K197"/>
      <c r="L197"/>
      <c r="M197" s="640">
        <f>IF(M20=0,"NA",IF(M195/M194=M196,1,IF((M195/M194)^(1/2)=M196, 2, IF((M195/M194)^(1/3)=M196,3,IF((M195/M194)^(1/4)=M196,4,5)))))</f>
        <v>2</v>
      </c>
      <c r="N197" s="648">
        <f>IF(M20=0,"NA",IF(N195/N194=N196,1,IF((N195/N194)^(1/2)=N196, 2, IF((N195/N194)^(1/3)=N196,3,IF((N195/N194)^(1/4)=N196,4,5)))))</f>
        <v>2</v>
      </c>
      <c r="O197" s="666" t="s">
        <v>2119</v>
      </c>
      <c r="P197" s="218"/>
      <c r="Q197" s="218"/>
      <c r="R197" s="218"/>
      <c r="S197" s="218"/>
      <c r="T197" s="218"/>
      <c r="U197" s="99"/>
      <c r="V197" s="28"/>
      <c r="W197" s="28"/>
      <c r="X197" s="28"/>
      <c r="Y197" s="252"/>
      <c r="Z197" s="28"/>
    </row>
    <row r="198" spans="1:45" ht="15.75" customHeight="1">
      <c r="A198"/>
      <c r="B198"/>
      <c r="C198"/>
      <c r="D198" t="s">
        <v>2357</v>
      </c>
      <c r="E198"/>
      <c r="F198"/>
      <c r="G198"/>
      <c r="H198"/>
      <c r="I198"/>
      <c r="J198"/>
      <c r="K198"/>
      <c r="L198"/>
      <c r="M198" s="20">
        <v>196.7</v>
      </c>
      <c r="N198" s="21">
        <v>196.7</v>
      </c>
      <c r="O198" s="7" t="s">
        <v>566</v>
      </c>
      <c r="P198" s="218"/>
      <c r="Q198" s="218"/>
      <c r="R198" s="218"/>
      <c r="S198" s="218"/>
      <c r="T198" s="218"/>
      <c r="U198" s="99"/>
      <c r="V198" s="28"/>
      <c r="W198" s="28"/>
      <c r="X198" s="28"/>
      <c r="Y198" s="28"/>
      <c r="Z198" s="28"/>
    </row>
    <row r="199" spans="1:45" ht="15.75" customHeight="1">
      <c r="A199"/>
      <c r="B199"/>
      <c r="C199"/>
      <c r="D199" t="s">
        <v>2358</v>
      </c>
      <c r="E199"/>
      <c r="F199"/>
      <c r="G199"/>
      <c r="H199"/>
      <c r="I199"/>
      <c r="J199"/>
      <c r="K199"/>
      <c r="L199"/>
      <c r="M199" s="14">
        <f>IF(M20=0,"NA",IF(M197&gt;1,((((M198+460)*(M196^((M203-1)/M203)))-460)-M198)*0.2+M198,"NA"))</f>
        <v>260.31649384351095</v>
      </c>
      <c r="N199" s="210">
        <f>IF(M20=0,"NA",IF(N197&gt;1,((((N198+460)*(N196^((N203-1)/N203)))-460)-N198)*0.2+N198,"NA"))</f>
        <v>260.31649384351095</v>
      </c>
      <c r="O199" s="7" t="s">
        <v>566</v>
      </c>
      <c r="P199" s="218"/>
      <c r="Q199" s="218"/>
      <c r="R199" s="218"/>
      <c r="S199" s="218"/>
      <c r="T199" s="218"/>
      <c r="U199" s="99"/>
      <c r="V199" s="28"/>
      <c r="W199" s="28"/>
      <c r="X199" s="28"/>
      <c r="Y199" s="28"/>
      <c r="Z199" s="28"/>
    </row>
    <row r="200" spans="1:45" ht="15.75" customHeight="1">
      <c r="A200"/>
      <c r="B200"/>
      <c r="C200"/>
      <c r="D200" t="s">
        <v>2359</v>
      </c>
      <c r="E200"/>
      <c r="F200"/>
      <c r="G200"/>
      <c r="H200"/>
      <c r="I200"/>
      <c r="J200"/>
      <c r="K200"/>
      <c r="L200"/>
      <c r="M200" s="14" t="str">
        <f>IF(M20=0,"NA",IF(M197&gt;2,((((M199+460)*(M196^((M203-1)/M203)))-460)-M199)*0.2+M199,"NA"))</f>
        <v>NA</v>
      </c>
      <c r="N200" s="210" t="str">
        <f>IF(M20=0,"NA",IF(N197&gt;2,((((N199+460)*(N196^((N203-1)/N203)))-460)-N199)*0.2+N199,"NA"))</f>
        <v>NA</v>
      </c>
      <c r="O200" s="7" t="s">
        <v>566</v>
      </c>
      <c r="P200" s="218"/>
      <c r="Q200" s="218"/>
      <c r="R200" s="218"/>
      <c r="S200" s="218"/>
      <c r="T200" s="218"/>
      <c r="U200" s="99"/>
      <c r="V200" s="28"/>
      <c r="W200" s="28"/>
      <c r="X200" s="28"/>
      <c r="Y200" s="28"/>
      <c r="Z200" s="28"/>
    </row>
    <row r="201" spans="1:45" ht="15.75" customHeight="1">
      <c r="A201"/>
      <c r="B201"/>
      <c r="C201"/>
      <c r="D201" t="s">
        <v>2613</v>
      </c>
      <c r="E201"/>
      <c r="F201"/>
      <c r="G201"/>
      <c r="H201"/>
      <c r="I201"/>
      <c r="J201"/>
      <c r="K201"/>
      <c r="L201"/>
      <c r="M201" s="14" t="str">
        <f>IF(M20=0,"NA",IF(M197&gt;3,((((M200+460)*(M196^((M203-1)/M203)))-460)-M200)*0.2+M200,"NA"))</f>
        <v>NA</v>
      </c>
      <c r="N201" s="210" t="str">
        <f>IF(M20=0,"NA",IF(N197&gt;3,((((N200+460)*(N196^((N203-1)/N203)))-460)-N200)*0.2+N200,"NA"))</f>
        <v>NA</v>
      </c>
      <c r="O201" s="7" t="s">
        <v>566</v>
      </c>
      <c r="P201" s="218"/>
      <c r="Q201" s="218"/>
      <c r="R201" s="218"/>
      <c r="S201" s="218"/>
      <c r="T201" s="218"/>
      <c r="U201" s="99"/>
      <c r="V201" s="28"/>
      <c r="W201" s="28"/>
      <c r="X201" s="28"/>
      <c r="Y201" s="28"/>
      <c r="Z201" s="28"/>
    </row>
    <row r="202" spans="1:45" ht="15.75" customHeight="1">
      <c r="A202"/>
      <c r="B202"/>
      <c r="C202"/>
      <c r="D202" t="s">
        <v>2614</v>
      </c>
      <c r="E202"/>
      <c r="F202"/>
      <c r="G202"/>
      <c r="H202"/>
      <c r="I202"/>
      <c r="J202"/>
      <c r="K202"/>
      <c r="L202"/>
      <c r="M202" s="14" t="str">
        <f>IF(M20=0,"NA",IF(M197&gt;4,((((M201+460)*(M196^((M203-1)/M203)))-460)-M201)*0.2+M201,"NA"))</f>
        <v>NA</v>
      </c>
      <c r="N202" s="210" t="str">
        <f>IF(M20=0,"NA",IF(N197&gt;4,((((N201+460)*(N196^((N203-1)/N203)))-460)-N201)*0.2+N201,"NA"))</f>
        <v>NA</v>
      </c>
      <c r="O202" s="7" t="s">
        <v>566</v>
      </c>
      <c r="P202" s="218"/>
      <c r="Q202" s="218"/>
      <c r="R202" s="218"/>
      <c r="S202" s="218"/>
      <c r="T202" s="218"/>
      <c r="U202" s="99"/>
      <c r="V202" s="28"/>
      <c r="W202" s="28"/>
      <c r="X202" s="28"/>
      <c r="Y202" s="28"/>
      <c r="Z202" s="28"/>
    </row>
    <row r="203" spans="1:45" ht="15.75" customHeight="1">
      <c r="A203"/>
      <c r="B203"/>
      <c r="C203"/>
      <c r="D203" t="s">
        <v>2611</v>
      </c>
      <c r="E203"/>
      <c r="F203"/>
      <c r="G203"/>
      <c r="H203"/>
      <c r="I203"/>
      <c r="J203"/>
      <c r="K203"/>
      <c r="L203" t="str">
        <f>IF(AND(AND(M20=1,M186=2),NOT(M203=1.4)),"ERROR","OK")</f>
        <v>OK</v>
      </c>
      <c r="M203" s="20">
        <f>N203</f>
        <v>1.4</v>
      </c>
      <c r="N203" s="21">
        <f>IF(M186=1,1.28,1.4)</f>
        <v>1.4</v>
      </c>
      <c r="O203" s="666" t="s">
        <v>2119</v>
      </c>
      <c r="P203" s="218"/>
      <c r="Q203" s="218"/>
      <c r="R203" s="218"/>
      <c r="S203" s="218" t="s">
        <v>235</v>
      </c>
      <c r="T203" s="218"/>
      <c r="U203" s="99"/>
      <c r="V203" s="28"/>
      <c r="W203" s="28"/>
      <c r="X203" s="28"/>
      <c r="Y203" s="211" t="s">
        <v>881</v>
      </c>
      <c r="Z203" s="28"/>
    </row>
    <row r="204" spans="1:45" ht="15.75" customHeight="1">
      <c r="A204"/>
      <c r="B204"/>
      <c r="C204"/>
      <c r="D204" t="s">
        <v>2612</v>
      </c>
      <c r="E204"/>
      <c r="F204"/>
      <c r="G204"/>
      <c r="H204"/>
      <c r="I204"/>
      <c r="J204"/>
      <c r="K204"/>
      <c r="L204"/>
      <c r="M204" s="20">
        <v>75</v>
      </c>
      <c r="N204" s="21">
        <v>75</v>
      </c>
      <c r="O204" s="99" t="s">
        <v>166</v>
      </c>
      <c r="P204" s="218"/>
      <c r="Q204" s="218"/>
      <c r="R204" s="218"/>
      <c r="S204" s="218"/>
      <c r="T204" s="218"/>
      <c r="U204" s="99"/>
      <c r="V204" s="28"/>
      <c r="W204" s="28"/>
      <c r="X204" s="28"/>
      <c r="Y204" s="28"/>
      <c r="Z204" s="28"/>
    </row>
    <row r="205" spans="1:45" ht="15.75" customHeight="1">
      <c r="A205"/>
      <c r="B205" t="s">
        <v>2360</v>
      </c>
      <c r="C205"/>
      <c r="D205"/>
      <c r="E205"/>
      <c r="F205"/>
      <c r="G205"/>
      <c r="H205"/>
      <c r="I205"/>
      <c r="J205"/>
      <c r="K205"/>
      <c r="L205"/>
      <c r="M205" s="259"/>
      <c r="N205" s="259"/>
      <c r="O205" s="99"/>
      <c r="P205" s="218"/>
      <c r="Q205" s="218"/>
      <c r="R205" s="218"/>
      <c r="S205" s="218"/>
      <c r="T205" s="218"/>
      <c r="U205" s="99"/>
      <c r="V205" s="28"/>
      <c r="W205" s="28"/>
      <c r="X205" s="28"/>
      <c r="Y205" s="28"/>
      <c r="Z205" s="28"/>
    </row>
    <row r="206" spans="1:45" ht="15.75" customHeight="1">
      <c r="A206"/>
      <c r="B206"/>
      <c r="C206" t="s">
        <v>2361</v>
      </c>
      <c r="D206"/>
      <c r="E206"/>
      <c r="F206"/>
      <c r="G206"/>
      <c r="H206"/>
      <c r="I206"/>
      <c r="J206"/>
      <c r="K206"/>
      <c r="L206"/>
      <c r="M206" s="20">
        <v>2</v>
      </c>
      <c r="N206" s="21">
        <v>2</v>
      </c>
      <c r="O206" s="666" t="s">
        <v>237</v>
      </c>
      <c r="P206" s="218"/>
      <c r="Q206" s="218"/>
      <c r="R206" s="218"/>
      <c r="S206" s="218"/>
      <c r="T206" s="218"/>
      <c r="U206" s="99"/>
      <c r="V206" s="28"/>
      <c r="W206" s="28"/>
      <c r="X206" s="28"/>
      <c r="Y206" s="28"/>
      <c r="Z206" s="28"/>
    </row>
    <row r="207" spans="1:45" ht="15.75" customHeight="1">
      <c r="A207"/>
      <c r="B207"/>
      <c r="C207"/>
      <c r="D207" t="s">
        <v>223</v>
      </c>
      <c r="E207" t="s">
        <v>861</v>
      </c>
      <c r="F207"/>
      <c r="G207"/>
      <c r="H207"/>
      <c r="I207"/>
      <c r="J207"/>
      <c r="K207"/>
      <c r="L207"/>
      <c r="M207" s="230"/>
      <c r="N207" s="230"/>
      <c r="O207" s="99"/>
      <c r="P207" s="218"/>
      <c r="Q207" s="218"/>
      <c r="R207" s="218"/>
      <c r="S207" s="218"/>
      <c r="T207" s="218"/>
      <c r="U207" s="99"/>
      <c r="V207" s="28"/>
      <c r="W207" s="28"/>
      <c r="X207" s="28"/>
      <c r="Y207" s="28"/>
      <c r="Z207" s="28"/>
    </row>
    <row r="208" spans="1:45" ht="15.75" customHeight="1">
      <c r="A208"/>
      <c r="B208"/>
      <c r="C208"/>
      <c r="D208" t="s">
        <v>224</v>
      </c>
      <c r="E208" t="s">
        <v>1083</v>
      </c>
      <c r="F208"/>
      <c r="G208"/>
      <c r="H208"/>
      <c r="I208"/>
      <c r="J208"/>
      <c r="K208"/>
      <c r="L208"/>
      <c r="M208" s="230"/>
      <c r="N208" s="230"/>
      <c r="O208" s="99"/>
      <c r="P208" s="218"/>
      <c r="Q208" s="218"/>
      <c r="R208" s="218"/>
      <c r="S208" s="218"/>
      <c r="T208" s="218"/>
      <c r="U208" s="99"/>
      <c r="V208" s="28"/>
      <c r="W208" s="28"/>
      <c r="X208" s="28"/>
      <c r="Y208" s="28"/>
      <c r="Z208" s="28"/>
    </row>
    <row r="209" spans="1:45" ht="15.75" customHeight="1">
      <c r="A209"/>
      <c r="B209"/>
      <c r="C209" t="s">
        <v>2362</v>
      </c>
      <c r="D209"/>
      <c r="E209"/>
      <c r="F209"/>
      <c r="G209"/>
      <c r="H209"/>
      <c r="I209"/>
      <c r="J209"/>
      <c r="K209"/>
      <c r="L209"/>
      <c r="M209" s="20">
        <v>1</v>
      </c>
      <c r="N209" s="21">
        <v>1</v>
      </c>
      <c r="O209" s="666" t="s">
        <v>237</v>
      </c>
      <c r="P209" s="218"/>
      <c r="Q209" s="218"/>
      <c r="R209" s="218"/>
      <c r="S209" s="218"/>
      <c r="T209" s="218"/>
      <c r="U209" s="99"/>
      <c r="V209" s="28"/>
      <c r="W209" s="28"/>
      <c r="X209" s="28"/>
      <c r="Y209" s="28"/>
      <c r="Z209" s="28"/>
    </row>
    <row r="210" spans="1:45" ht="15.75" customHeight="1">
      <c r="A210"/>
      <c r="B210"/>
      <c r="C210"/>
      <c r="D210" t="s">
        <v>223</v>
      </c>
      <c r="E210" t="s">
        <v>1010</v>
      </c>
      <c r="F210"/>
      <c r="G210"/>
      <c r="H210"/>
      <c r="I210"/>
      <c r="J210"/>
      <c r="K210"/>
      <c r="L210"/>
      <c r="M210" s="230"/>
      <c r="N210" s="230"/>
      <c r="O210" s="99"/>
      <c r="P210" s="218"/>
      <c r="Q210" s="218"/>
      <c r="R210" s="218"/>
      <c r="S210" s="218"/>
      <c r="T210" s="218"/>
      <c r="U210" s="99"/>
      <c r="V210" s="28"/>
      <c r="W210" s="28"/>
      <c r="X210" s="28"/>
      <c r="Y210" s="28"/>
      <c r="Z210" s="28"/>
    </row>
    <row r="211" spans="1:45" ht="15.75" customHeight="1">
      <c r="A211"/>
      <c r="B211"/>
      <c r="C211"/>
      <c r="D211" t="s">
        <v>224</v>
      </c>
      <c r="E211" t="s">
        <v>229</v>
      </c>
      <c r="F211"/>
      <c r="G211"/>
      <c r="H211"/>
      <c r="I211"/>
      <c r="J211"/>
      <c r="K211"/>
      <c r="L211"/>
      <c r="M211" s="230"/>
      <c r="N211" s="230"/>
      <c r="O211" s="99"/>
      <c r="P211" s="218"/>
      <c r="Q211" s="218"/>
      <c r="R211" s="218"/>
      <c r="S211" s="218"/>
      <c r="T211" s="218"/>
      <c r="U211" s="99"/>
      <c r="V211" s="28"/>
      <c r="W211" s="28"/>
      <c r="X211" s="28"/>
      <c r="Y211" s="28"/>
      <c r="Z211" s="28"/>
    </row>
    <row r="212" spans="1:45" ht="15.75" customHeight="1">
      <c r="A212"/>
      <c r="B212"/>
      <c r="C212"/>
      <c r="D212" t="s">
        <v>225</v>
      </c>
      <c r="E212" t="s">
        <v>230</v>
      </c>
      <c r="F212"/>
      <c r="G212"/>
      <c r="H212"/>
      <c r="I212"/>
      <c r="J212"/>
      <c r="K212"/>
      <c r="L212"/>
      <c r="M212" s="230"/>
      <c r="N212" s="230"/>
      <c r="O212" s="99"/>
      <c r="P212" s="218"/>
      <c r="Q212" s="218"/>
      <c r="R212" s="218"/>
      <c r="S212" s="218"/>
      <c r="T212" s="218"/>
      <c r="U212" s="99"/>
      <c r="V212" s="28"/>
      <c r="W212" s="28"/>
      <c r="X212" s="28"/>
      <c r="Y212" s="28"/>
      <c r="Z212" s="28"/>
    </row>
    <row r="213" spans="1:45" ht="15.75" customHeight="1">
      <c r="A213"/>
      <c r="B213"/>
      <c r="C213" t="s">
        <v>2363</v>
      </c>
      <c r="D213"/>
      <c r="E213"/>
      <c r="F213"/>
      <c r="G213"/>
      <c r="H213"/>
      <c r="I213"/>
      <c r="J213"/>
      <c r="K213"/>
      <c r="L213"/>
      <c r="P213" s="218"/>
      <c r="Q213" s="218"/>
      <c r="R213" s="218"/>
      <c r="S213" s="218"/>
      <c r="T213" s="218"/>
      <c r="U213" s="99"/>
      <c r="V213" s="28"/>
      <c r="W213" s="28"/>
      <c r="X213" s="28"/>
      <c r="Y213" s="28"/>
      <c r="Z213" s="28"/>
    </row>
    <row r="214" spans="1:45" ht="15.75" customHeight="1">
      <c r="A214"/>
      <c r="B214"/>
      <c r="C214"/>
      <c r="D214" t="s">
        <v>2364</v>
      </c>
      <c r="E214"/>
      <c r="F214"/>
      <c r="G214"/>
      <c r="H214"/>
      <c r="I214"/>
      <c r="J214"/>
      <c r="K214"/>
      <c r="L214"/>
      <c r="M214" s="14">
        <f>N214</f>
        <v>0.77096110352026936</v>
      </c>
      <c r="N214" s="210">
        <f>IF(M20=0,"NA",ElecMotEff(M314)/'Input data'!E53)</f>
        <v>0.77096110352026936</v>
      </c>
      <c r="O214" s="99" t="s">
        <v>870</v>
      </c>
      <c r="P214" s="218"/>
      <c r="Q214" s="218"/>
      <c r="R214" s="218"/>
      <c r="S214" s="218"/>
      <c r="T214" s="218"/>
      <c r="U214" s="99"/>
      <c r="V214" s="28"/>
      <c r="W214" s="28"/>
      <c r="X214" s="28"/>
      <c r="Y214" s="28"/>
      <c r="Z214" s="28"/>
    </row>
    <row r="215" spans="1:45" ht="15.75" customHeight="1">
      <c r="A215"/>
      <c r="B215"/>
      <c r="C215"/>
      <c r="D215" t="s">
        <v>2365</v>
      </c>
      <c r="E215"/>
      <c r="F215"/>
      <c r="G215"/>
      <c r="H215"/>
      <c r="I215"/>
      <c r="J215"/>
      <c r="K215"/>
      <c r="L215"/>
      <c r="M215" s="14">
        <f>N215</f>
        <v>6111.9</v>
      </c>
      <c r="N215" s="210">
        <f>IF(M20=0,"NA",NgEngEff(M314))</f>
        <v>6111.9</v>
      </c>
      <c r="O215" s="99" t="s">
        <v>784</v>
      </c>
      <c r="P215" s="218"/>
      <c r="Q215" s="218"/>
      <c r="R215" s="218"/>
      <c r="S215" s="218"/>
      <c r="T215" s="218"/>
      <c r="U215" s="99"/>
      <c r="V215" s="28"/>
      <c r="W215" s="28"/>
      <c r="X215" s="28"/>
      <c r="Y215" s="28"/>
      <c r="Z215" s="28"/>
    </row>
    <row r="216" spans="1:45" ht="15.75" customHeight="1">
      <c r="A216"/>
      <c r="B216"/>
      <c r="C216"/>
      <c r="D216"/>
      <c r="E216"/>
      <c r="F216"/>
      <c r="G216"/>
      <c r="H216"/>
      <c r="I216"/>
      <c r="J216"/>
      <c r="K216"/>
      <c r="L216"/>
      <c r="M216"/>
      <c r="N216" s="230"/>
      <c r="O216" s="99"/>
      <c r="P216" s="218"/>
      <c r="Q216" s="218"/>
      <c r="R216" s="218"/>
      <c r="S216" s="218"/>
      <c r="T216" s="218"/>
      <c r="U216" s="99"/>
      <c r="V216" s="28"/>
      <c r="W216" s="28"/>
      <c r="X216" s="28"/>
      <c r="Y216" s="28"/>
      <c r="Z216" s="28"/>
    </row>
    <row r="217" spans="1:45" ht="15.75" customHeight="1">
      <c r="A217" t="s">
        <v>1739</v>
      </c>
      <c r="B217"/>
      <c r="C217"/>
      <c r="D217"/>
      <c r="E217"/>
      <c r="F217"/>
      <c r="G217"/>
      <c r="H217"/>
      <c r="I217"/>
      <c r="J217"/>
      <c r="K217"/>
      <c r="L217"/>
      <c r="M217"/>
      <c r="N217" s="230"/>
      <c r="O217" s="99"/>
      <c r="P217" s="218"/>
      <c r="Q217" s="218"/>
      <c r="R217" s="218"/>
      <c r="S217" s="218"/>
      <c r="T217" s="218"/>
      <c r="U217" s="99"/>
      <c r="V217" s="28"/>
      <c r="W217" s="28"/>
      <c r="X217" s="28"/>
      <c r="Y217" s="28"/>
      <c r="Z217" s="28"/>
    </row>
    <row r="218" spans="1:45" ht="15.75" customHeight="1">
      <c r="A218"/>
      <c r="B218" t="s">
        <v>1411</v>
      </c>
      <c r="C218"/>
      <c r="D218"/>
      <c r="E218"/>
      <c r="F218"/>
      <c r="G218"/>
      <c r="H218"/>
      <c r="I218"/>
      <c r="J218"/>
      <c r="K218"/>
      <c r="L218"/>
      <c r="M218" s="15">
        <f>IF(M21=0,3,'User Inputs &amp; Results'!J95)</f>
        <v>3</v>
      </c>
      <c r="N218" s="210">
        <f>IF(N21=0,3,'User Inputs &amp; Results'!K95)</f>
        <v>3</v>
      </c>
      <c r="O218" s="99" t="s">
        <v>871</v>
      </c>
      <c r="P218" s="218"/>
      <c r="Q218" s="218"/>
      <c r="R218" s="218"/>
      <c r="S218" s="218"/>
      <c r="T218" s="218"/>
      <c r="U218" s="99"/>
      <c r="V218" s="28"/>
      <c r="W218" s="28"/>
      <c r="X218" s="28"/>
      <c r="Y218" s="28"/>
      <c r="Z218" s="28"/>
    </row>
    <row r="219" spans="1:45" ht="15.75" customHeight="1">
      <c r="A219"/>
      <c r="B219" t="s">
        <v>1516</v>
      </c>
      <c r="C219"/>
      <c r="D219"/>
      <c r="E219"/>
      <c r="F219"/>
      <c r="G219"/>
      <c r="H219"/>
      <c r="I219"/>
      <c r="J219"/>
      <c r="K219"/>
      <c r="L219"/>
      <c r="M219" s="206">
        <f>M218*M35</f>
        <v>2250000</v>
      </c>
      <c r="N219" s="207">
        <f>N218*N35</f>
        <v>4500</v>
      </c>
      <c r="O219" s="99" t="s">
        <v>352</v>
      </c>
      <c r="P219" s="218"/>
      <c r="Q219" s="218"/>
      <c r="R219" s="218"/>
      <c r="S219" s="218"/>
      <c r="T219" s="218"/>
      <c r="U219" s="99"/>
      <c r="V219" s="28"/>
      <c r="W219" s="28"/>
      <c r="X219" s="28"/>
      <c r="Y219" s="28"/>
      <c r="Z219" s="28"/>
    </row>
    <row r="220" spans="1:45" ht="15.75">
      <c r="A220"/>
      <c r="B220"/>
      <c r="C220"/>
      <c r="D220"/>
      <c r="E220"/>
      <c r="F220"/>
      <c r="G220"/>
      <c r="H220"/>
      <c r="I220"/>
      <c r="J220"/>
      <c r="K220"/>
      <c r="L220"/>
      <c r="M220" s="250"/>
      <c r="N220" s="230"/>
      <c r="O220" s="99"/>
      <c r="P220" s="218"/>
      <c r="Q220" s="218"/>
      <c r="R220" s="218"/>
      <c r="S220" s="218"/>
      <c r="T220" s="218"/>
      <c r="U220" s="99"/>
      <c r="V220" s="28"/>
      <c r="W220" s="28"/>
      <c r="X220" s="28"/>
      <c r="Y220" s="28"/>
      <c r="Z220" s="28"/>
    </row>
    <row r="221" spans="1:45" s="9" customFormat="1" ht="18.75" customHeight="1">
      <c r="A221" s="9" t="s">
        <v>1374</v>
      </c>
      <c r="P221" s="220"/>
      <c r="Q221" s="220"/>
      <c r="R221" s="220"/>
      <c r="S221" s="220"/>
      <c r="T221" s="220"/>
    </row>
    <row r="222" spans="1:45" s="99" customFormat="1" ht="15" customHeight="1">
      <c r="P222" s="218"/>
      <c r="Q222" s="218"/>
      <c r="R222" s="218"/>
      <c r="S222" s="218"/>
      <c r="T222" s="218"/>
    </row>
    <row r="223" spans="1:45" s="99" customFormat="1" ht="15" customHeight="1">
      <c r="M223" s="99" t="s">
        <v>164</v>
      </c>
      <c r="N223" s="99" t="s">
        <v>239</v>
      </c>
      <c r="P223" s="219" t="s">
        <v>348</v>
      </c>
      <c r="Q223" s="218"/>
      <c r="R223" s="218"/>
      <c r="S223" s="218"/>
      <c r="T223" s="218"/>
      <c r="AS223" s="99" t="s">
        <v>171</v>
      </c>
    </row>
    <row r="224" spans="1:45" s="99" customFormat="1" ht="15" customHeight="1">
      <c r="A224" s="227" t="s">
        <v>1412</v>
      </c>
      <c r="N224" s="11"/>
      <c r="P224" s="218"/>
      <c r="Q224" s="218"/>
      <c r="R224" s="218"/>
      <c r="S224" s="218"/>
      <c r="T224" s="218"/>
    </row>
    <row r="225" spans="1:45" ht="15" customHeight="1">
      <c r="B225" s="12" t="s">
        <v>1413</v>
      </c>
      <c r="M225" s="14">
        <f>SUM(M226:M227)</f>
        <v>3287.6143505341506</v>
      </c>
      <c r="N225" s="11" t="s">
        <v>219</v>
      </c>
      <c r="Y225" s="88"/>
    </row>
    <row r="226" spans="1:45" ht="15" customHeight="1">
      <c r="C226" s="12" t="s">
        <v>1414</v>
      </c>
      <c r="M226" s="14">
        <f>M61*((M33*1/(M52+1)+1*M52/(M52+1))/2.31)</f>
        <v>3287.1948898007527</v>
      </c>
      <c r="N226" s="73" t="s">
        <v>219</v>
      </c>
      <c r="AE226" s="88"/>
    </row>
    <row r="227" spans="1:45" ht="15" customHeight="1">
      <c r="C227" s="12" t="s">
        <v>1517</v>
      </c>
      <c r="M227" s="14">
        <f>((M68*M61*((((1+M52)*M35/M64)*('Input data'!E35/(24*60*60))/(3.142*(M62/24)^2))^2))/(2*(M62/12)*32.2))*((M33*1/(M52+1)+1*M52/(M52+1))/2.31)</f>
        <v>0.41946073339779116</v>
      </c>
      <c r="N227" s="73" t="s">
        <v>219</v>
      </c>
      <c r="AE227" s="88"/>
    </row>
    <row r="228" spans="1:45" ht="15" customHeight="1">
      <c r="B228" s="12" t="s">
        <v>1518</v>
      </c>
      <c r="M228" s="14">
        <f>IF(((M63+M225)-(M59-(1+M52)*(M35/M64)/M66))&lt;0,0,((M63+M225)-(M59-(1+M52)*(M35/M64)/M66)))</f>
        <v>2847.3762552960552</v>
      </c>
      <c r="N228" s="73" t="s">
        <v>219</v>
      </c>
    </row>
    <row r="229" spans="1:45" ht="15" customHeight="1">
      <c r="B229" s="12" t="s">
        <v>1612</v>
      </c>
      <c r="M229" s="14" t="str">
        <f>IF(M15=0,"NA",1.05*(M230*M228*1.701*10^-5)/(M231/100))</f>
        <v>NA</v>
      </c>
      <c r="N229" s="11" t="s">
        <v>787</v>
      </c>
      <c r="AS229" s="11" t="s">
        <v>246</v>
      </c>
    </row>
    <row r="230" spans="1:45" ht="15" customHeight="1">
      <c r="C230" s="87" t="s">
        <v>2134</v>
      </c>
      <c r="M230" s="14" t="str">
        <f>IF(M15=0,"NA",M35/M64+M52*M35/M64)</f>
        <v>NA</v>
      </c>
      <c r="N230" s="92" t="s">
        <v>1336</v>
      </c>
      <c r="O230" s="78"/>
    </row>
    <row r="231" spans="1:45" ht="15" customHeight="1">
      <c r="C231" s="12" t="s">
        <v>1519</v>
      </c>
      <c r="M231" s="14" t="str">
        <f>IF(M15=0,"NA",M71)</f>
        <v>NA</v>
      </c>
      <c r="N231" s="11" t="s">
        <v>166</v>
      </c>
    </row>
    <row r="232" spans="1:45" ht="15" customHeight="1">
      <c r="B232" s="12" t="s">
        <v>1671</v>
      </c>
      <c r="M232" s="260"/>
    </row>
    <row r="233" spans="1:45" ht="15" customHeight="1">
      <c r="C233" s="12" t="s">
        <v>1415</v>
      </c>
      <c r="M233" s="14">
        <f>IF(M15=0,0,IF(M72=1,M82,IF(M72=2,M83,IF(M72=3,M84,M85))))</f>
        <v>0</v>
      </c>
      <c r="N233" s="11" t="str">
        <f>IF(M72=2,"kWh/bhp-hr","Btu/bhp-hr")</f>
        <v>Btu/bhp-hr</v>
      </c>
      <c r="P233" s="261"/>
    </row>
    <row r="234" spans="1:45" ht="15" customHeight="1">
      <c r="C234" s="12" t="s">
        <v>1520</v>
      </c>
      <c r="M234" s="14">
        <f>IF(M72=2,M233*24,M233*24/1000000)</f>
        <v>0</v>
      </c>
      <c r="N234" s="11" t="str">
        <f>IF(M72=2,"kWh/bhp-d","MMBtu/bhp-d")</f>
        <v>MMBtu/bhp-d</v>
      </c>
      <c r="P234" s="261"/>
    </row>
    <row r="235" spans="1:45" ht="15" customHeight="1">
      <c r="C235" s="643" t="s">
        <v>1613</v>
      </c>
      <c r="M235" s="14">
        <f>IF(M15=0,0,M234*M229)*M64</f>
        <v>0</v>
      </c>
      <c r="N235" s="11" t="str">
        <f>IF(M72=2,"kWh/d","MMBtu/d")</f>
        <v>MMBtu/d</v>
      </c>
    </row>
    <row r="236" spans="1:45" ht="15" customHeight="1"/>
    <row r="237" spans="1:45" ht="15" customHeight="1">
      <c r="A237" s="12" t="s">
        <v>1521</v>
      </c>
    </row>
    <row r="238" spans="1:45" ht="15" customHeight="1">
      <c r="B238" s="651" t="s">
        <v>2309</v>
      </c>
      <c r="M238" s="14">
        <f>IF(M16=0,"NA",M106-M105)</f>
        <v>0</v>
      </c>
      <c r="N238" s="11" t="s">
        <v>236</v>
      </c>
    </row>
    <row r="239" spans="1:45" ht="15" customHeight="1">
      <c r="B239" s="12" t="s">
        <v>1522</v>
      </c>
      <c r="M239" s="14">
        <f>IF(M16=0,"NA",(1.05*M240*M238*1.701*10^-5)/(M241/100))</f>
        <v>0</v>
      </c>
      <c r="N239" s="11" t="s">
        <v>787</v>
      </c>
    </row>
    <row r="240" spans="1:45" ht="15" customHeight="1">
      <c r="C240" s="87" t="s">
        <v>2136</v>
      </c>
      <c r="D240" s="257"/>
      <c r="M240" s="14">
        <f>IF(M16=0,"NA",(M56/100)*'Surface Processing'!R326/M65)</f>
        <v>20833.333333333332</v>
      </c>
      <c r="N240" s="11" t="s">
        <v>266</v>
      </c>
      <c r="O240" s="78"/>
    </row>
    <row r="241" spans="1:31" ht="15" customHeight="1">
      <c r="C241" s="12" t="s">
        <v>1523</v>
      </c>
      <c r="M241" s="14">
        <f>IF(M16=0,"NA",M88)</f>
        <v>65</v>
      </c>
      <c r="N241" s="11" t="s">
        <v>166</v>
      </c>
    </row>
    <row r="242" spans="1:31" ht="15" customHeight="1">
      <c r="B242" s="12" t="s">
        <v>1614</v>
      </c>
      <c r="M242" s="260"/>
    </row>
    <row r="243" spans="1:31" ht="15" customHeight="1">
      <c r="C243" s="12" t="s">
        <v>1416</v>
      </c>
      <c r="M243" s="14">
        <f>IF(M16=0,0,IF(M89=1,M99,IF(M89=2,M100,IF(M89=3,M101,M102))))</f>
        <v>7922.4</v>
      </c>
      <c r="N243" s="11" t="str">
        <f>IF(M89=2,"kWh/bhp-hr","Btu/bhp-hr")</f>
        <v>Btu/bhp-hr</v>
      </c>
    </row>
    <row r="244" spans="1:31" ht="15" customHeight="1">
      <c r="C244" s="12" t="s">
        <v>1524</v>
      </c>
      <c r="M244" s="14">
        <f>IF(M89=2,M243*24,M243*24/1000000)</f>
        <v>0.19013759999999999</v>
      </c>
      <c r="N244" s="11" t="str">
        <f>IF(M89=2,"kWh/bhp-d","MMBtu/bhp-d")</f>
        <v>MMBtu/bhp-d</v>
      </c>
    </row>
    <row r="245" spans="1:31" ht="15" customHeight="1">
      <c r="C245" s="643" t="s">
        <v>2374</v>
      </c>
      <c r="D245" s="257"/>
      <c r="M245" s="14">
        <f>IF(M16=0,0,M244*M239*M65)</f>
        <v>0</v>
      </c>
      <c r="N245" s="11" t="str">
        <f>IF(M89=2,"kWh/d","MMBtu/d")</f>
        <v>MMBtu/d</v>
      </c>
    </row>
    <row r="246" spans="1:31" ht="15" customHeight="1"/>
    <row r="247" spans="1:31" ht="15" customHeight="1">
      <c r="A247" s="255" t="s">
        <v>1615</v>
      </c>
      <c r="B247" s="257"/>
      <c r="C247" s="257"/>
    </row>
    <row r="248" spans="1:31" ht="15" customHeight="1">
      <c r="A248" s="257"/>
      <c r="B248" s="651" t="s">
        <v>2628</v>
      </c>
      <c r="C248" s="257"/>
      <c r="T248" s="11"/>
    </row>
    <row r="249" spans="1:31" ht="15" customHeight="1">
      <c r="C249" s="643" t="s">
        <v>2630</v>
      </c>
      <c r="M249" s="14" t="str">
        <f>IF(M17=0,"NA",M111*M113)</f>
        <v>NA</v>
      </c>
      <c r="N249" s="11" t="s">
        <v>236</v>
      </c>
      <c r="AE249" s="88"/>
    </row>
    <row r="250" spans="1:31" ht="15" customHeight="1">
      <c r="C250" s="643" t="s">
        <v>2631</v>
      </c>
      <c r="M250" s="14" t="str">
        <f>IF(M17=0,"NA",IF(M114&gt;1,M249*M113,"NA"))</f>
        <v>NA</v>
      </c>
      <c r="N250" s="11" t="s">
        <v>236</v>
      </c>
      <c r="S250" s="643"/>
      <c r="T250" s="11"/>
    </row>
    <row r="251" spans="1:31" ht="15" customHeight="1">
      <c r="C251" s="643" t="s">
        <v>2632</v>
      </c>
      <c r="M251" s="14" t="str">
        <f>IF(M17=0,"NA",IF(M114&gt;2,M250*M113,"NA"))</f>
        <v>NA</v>
      </c>
      <c r="N251" s="11" t="s">
        <v>236</v>
      </c>
      <c r="S251" s="11"/>
      <c r="T251" s="11"/>
    </row>
    <row r="252" spans="1:31" ht="15" customHeight="1">
      <c r="C252" s="643" t="s">
        <v>2633</v>
      </c>
      <c r="M252" s="14" t="str">
        <f>IF(M17=0,"NA",IF(M114&gt;3,M251*M113,"NA"))</f>
        <v>NA</v>
      </c>
      <c r="N252" s="11" t="s">
        <v>236</v>
      </c>
    </row>
    <row r="253" spans="1:31" ht="15" customHeight="1">
      <c r="C253" s="643" t="s">
        <v>2634</v>
      </c>
      <c r="M253" s="14" t="str">
        <f>IF(M17=0,"NA",IF(M114&gt;4,M252*M113,"NA"))</f>
        <v>NA</v>
      </c>
      <c r="N253" s="11" t="s">
        <v>236</v>
      </c>
      <c r="P253" s="11"/>
    </row>
    <row r="254" spans="1:31" ht="15" customHeight="1">
      <c r="B254" s="643" t="s">
        <v>2629</v>
      </c>
    </row>
    <row r="255" spans="1:31" ht="15" customHeight="1">
      <c r="C255" s="651" t="s">
        <v>2623</v>
      </c>
      <c r="M255" s="14" t="str">
        <f>IF(M17=0,"NA",(M120/(M120-1))*(3.027*14.7/(60+460))*(M115+460)*(M113^((M120-1)/M120)-1))</f>
        <v>NA</v>
      </c>
      <c r="N255" s="11" t="s">
        <v>247</v>
      </c>
    </row>
    <row r="256" spans="1:31" ht="15" customHeight="1">
      <c r="C256" s="651" t="s">
        <v>2624</v>
      </c>
      <c r="M256" s="14" t="str">
        <f>IF(M17=0,"NA",IF(M114&gt;1,(M120/(M120-1))*(3.027*14.7/(60+460))*(M116+460)*(M113^((M120-1)/M120)-1),"NA"))</f>
        <v>NA</v>
      </c>
      <c r="N256" s="11" t="s">
        <v>247</v>
      </c>
    </row>
    <row r="257" spans="1:16" ht="15" customHeight="1">
      <c r="C257" s="651" t="s">
        <v>2625</v>
      </c>
      <c r="M257" s="14" t="str">
        <f>IF(M17=0,"NA",IF(M114&gt;2,(M120/(M120-1))*(3.027*14.7/(60+460))*(M117+460)*(M113^((M120-1)/M120)-1),"NA"))</f>
        <v>NA</v>
      </c>
      <c r="N257" s="11" t="s">
        <v>247</v>
      </c>
    </row>
    <row r="258" spans="1:16" ht="15" customHeight="1">
      <c r="C258" s="643" t="s">
        <v>2626</v>
      </c>
      <c r="M258" s="14" t="str">
        <f>IF(M17=0,"NA",IF(M114&gt;3,(M120/(M120-1))*(3.027*14.7/(60+460))*(M118+460)*(M113^((M120-1)/M120)-1),"NA"))</f>
        <v>NA</v>
      </c>
      <c r="N258" s="11" t="s">
        <v>247</v>
      </c>
    </row>
    <row r="259" spans="1:16" ht="15" customHeight="1">
      <c r="C259" s="643" t="s">
        <v>2627</v>
      </c>
      <c r="M259" s="14" t="str">
        <f>IF(M17=0,"NA",IF(M114&gt;4,(M120/(M120-1))*(3.027*14.7/(60+460))*(M119+460)*(M113^((M120-1)/M120)-1),"NA"))</f>
        <v>NA</v>
      </c>
      <c r="N259" s="11" t="s">
        <v>247</v>
      </c>
    </row>
    <row r="260" spans="1:16" ht="15" customHeight="1">
      <c r="B260" s="643" t="s">
        <v>2616</v>
      </c>
      <c r="M260" s="14" t="str">
        <f>IF(M17=0,"NA",IF(M114=1,M255,IF(M114=2,M255+M256,IF(M114=3,SUM(M255:M257),IF(M114=4,SUM(M255:M258),SUM(M255:M259))))))</f>
        <v>NA</v>
      </c>
      <c r="N260" s="11" t="s">
        <v>247</v>
      </c>
      <c r="P260" s="262"/>
    </row>
    <row r="261" spans="1:16" ht="15" customHeight="1">
      <c r="B261" s="666" t="s">
        <v>2617</v>
      </c>
      <c r="M261" s="14" t="str">
        <f>IF(M17=0,"NA",M260*'Gas Balance'!AL32)</f>
        <v>NA</v>
      </c>
      <c r="N261" s="11" t="s">
        <v>245</v>
      </c>
    </row>
    <row r="262" spans="1:16" ht="15" customHeight="1">
      <c r="B262" s="643" t="s">
        <v>2618</v>
      </c>
      <c r="M262" s="14" t="str">
        <f>IF(M17=0,"NA",M261/(M121/100))</f>
        <v>NA</v>
      </c>
      <c r="N262" s="11" t="s">
        <v>787</v>
      </c>
    </row>
    <row r="263" spans="1:16" ht="15" customHeight="1">
      <c r="B263" s="643" t="s">
        <v>2619</v>
      </c>
      <c r="M263" s="260"/>
    </row>
    <row r="264" spans="1:16" ht="15" customHeight="1">
      <c r="C264" s="643" t="s">
        <v>2620</v>
      </c>
      <c r="M264" s="14">
        <f>IF(M17=0,0,IF(M123=1,M131,M132))</f>
        <v>0</v>
      </c>
      <c r="N264" s="11" t="str">
        <f>IF(M123=1,"kWh/bhp-hr","Btu/bhp-hr")</f>
        <v>Btu/bhp-hr</v>
      </c>
    </row>
    <row r="265" spans="1:16" ht="15" customHeight="1">
      <c r="C265" s="643" t="s">
        <v>2621</v>
      </c>
      <c r="M265" s="14">
        <f>IF(M17=0,0,IF(M123=1,M264*24,M264*24/1000000))</f>
        <v>0</v>
      </c>
      <c r="N265" s="11" t="str">
        <f>IF(M123=1,"kWh/bhp-d","MMBtu/bhp-d")</f>
        <v>MMBtu/bhp-d</v>
      </c>
    </row>
    <row r="266" spans="1:16" ht="15" customHeight="1">
      <c r="C266" s="643" t="s">
        <v>2622</v>
      </c>
      <c r="M266" s="15">
        <f>IF(M17=0,0,M265*M262)</f>
        <v>0</v>
      </c>
      <c r="N266" s="11" t="str">
        <f>IF(M123=1,"kWh/d","MMBtu/d")</f>
        <v>MMBtu/d</v>
      </c>
    </row>
    <row r="267" spans="1:16" ht="15" customHeight="1"/>
    <row r="268" spans="1:16" ht="15" customHeight="1">
      <c r="A268" s="76" t="s">
        <v>1672</v>
      </c>
    </row>
    <row r="269" spans="1:16" ht="15" customHeight="1">
      <c r="B269" s="651" t="s">
        <v>2310</v>
      </c>
      <c r="M269" s="14" t="str">
        <f>IF(M18=0,"NA",M138-M137)</f>
        <v>NA</v>
      </c>
      <c r="N269" s="11" t="s">
        <v>236</v>
      </c>
    </row>
    <row r="270" spans="1:16" ht="15" customHeight="1">
      <c r="B270" s="12" t="s">
        <v>1525</v>
      </c>
      <c r="M270" s="14" t="str">
        <f>IF(M18=0,"NA",(1.05*M271*M269*1.701*10^-5)/(M272/100))</f>
        <v>NA</v>
      </c>
      <c r="N270" s="11" t="s">
        <v>787</v>
      </c>
    </row>
    <row r="271" spans="1:16" ht="15" customHeight="1">
      <c r="C271" s="87" t="s">
        <v>2135</v>
      </c>
      <c r="D271" s="257"/>
      <c r="M271" s="14" t="str">
        <f>IF(M18=0,"NA",M135/M65)</f>
        <v>NA</v>
      </c>
      <c r="N271" s="11" t="s">
        <v>266</v>
      </c>
    </row>
    <row r="272" spans="1:16" ht="15" customHeight="1">
      <c r="C272" s="12" t="s">
        <v>1526</v>
      </c>
      <c r="M272" s="14" t="str">
        <f>IF(M18=0,"NA",M142)</f>
        <v>NA</v>
      </c>
      <c r="N272" s="11" t="s">
        <v>166</v>
      </c>
      <c r="O272" s="78"/>
    </row>
    <row r="273" spans="1:18" ht="15" customHeight="1">
      <c r="B273" s="12" t="s">
        <v>1616</v>
      </c>
      <c r="M273" s="260"/>
    </row>
    <row r="274" spans="1:18" ht="15" customHeight="1">
      <c r="C274" s="12" t="s">
        <v>1417</v>
      </c>
      <c r="M274" s="14">
        <f>IF(M18=0,0,IF(M143=1,M153,IF(M143=2,M154,IF(M143=3,M155,M156))))</f>
        <v>0</v>
      </c>
      <c r="N274" s="11" t="str">
        <f>IF(M143=2,"kWh/bhp-hr","Btu/bhp-hr")</f>
        <v>Btu/bhp-hr</v>
      </c>
    </row>
    <row r="275" spans="1:18" ht="15" customHeight="1">
      <c r="C275" s="12" t="s">
        <v>1527</v>
      </c>
      <c r="M275" s="14">
        <f>IF(M143=2,M274*24,M274*24/1000000)</f>
        <v>0</v>
      </c>
      <c r="N275" s="11" t="str">
        <f>IF(M143=2,"kWh/bhp-d","MMBtu/bhp-d")</f>
        <v>MMBtu/bhp-d</v>
      </c>
    </row>
    <row r="276" spans="1:18" ht="15" customHeight="1">
      <c r="C276" s="643" t="s">
        <v>2375</v>
      </c>
      <c r="D276" s="257"/>
      <c r="M276" s="14">
        <f>IF(M18=0,0,M275*M270*M65)</f>
        <v>0</v>
      </c>
      <c r="N276" s="11" t="str">
        <f>IF(M143=2,"kWh/d","MMBtu/d")</f>
        <v>MMBtu/d</v>
      </c>
    </row>
    <row r="277" spans="1:18" ht="15" customHeight="1"/>
    <row r="278" spans="1:18" ht="15" customHeight="1">
      <c r="A278" s="253" t="s">
        <v>1704</v>
      </c>
      <c r="B278" s="257"/>
    </row>
    <row r="279" spans="1:18" ht="15" customHeight="1">
      <c r="A279" s="257"/>
      <c r="B279" s="651" t="s">
        <v>2635</v>
      </c>
      <c r="R279" s="11"/>
    </row>
    <row r="280" spans="1:18" ht="15" customHeight="1">
      <c r="C280" s="643" t="s">
        <v>2636</v>
      </c>
      <c r="M280" s="14">
        <f>IF(M19=0,"NA",M162*M164)</f>
        <v>325.9025928095694</v>
      </c>
      <c r="N280" s="11" t="s">
        <v>236</v>
      </c>
    </row>
    <row r="281" spans="1:18" ht="15" customHeight="1">
      <c r="C281" s="643" t="s">
        <v>2637</v>
      </c>
      <c r="M281" s="14">
        <f>IF(M19=0,"NA",IF(M165&gt;1,M280*M164,"NA"))</f>
        <v>849.69999999999993</v>
      </c>
      <c r="N281" s="11" t="s">
        <v>236</v>
      </c>
      <c r="Q281" s="11"/>
    </row>
    <row r="282" spans="1:18" ht="15" customHeight="1">
      <c r="C282" s="643" t="s">
        <v>2638</v>
      </c>
      <c r="M282" s="14" t="str">
        <f>IF(M19=0,"NA",IF(M165&gt;2,M281*M164,"NA"))</f>
        <v>NA</v>
      </c>
      <c r="N282" s="11" t="s">
        <v>236</v>
      </c>
    </row>
    <row r="283" spans="1:18" ht="15" customHeight="1">
      <c r="C283" s="643" t="s">
        <v>2639</v>
      </c>
      <c r="M283" s="14" t="str">
        <f>IF(M19=0,"NA",IF(M165&gt;3,M282*M164,"NA"))</f>
        <v>NA</v>
      </c>
      <c r="N283" s="11" t="s">
        <v>236</v>
      </c>
      <c r="Q283" s="11"/>
    </row>
    <row r="284" spans="1:18" ht="15" customHeight="1">
      <c r="C284" s="643" t="s">
        <v>2640</v>
      </c>
      <c r="M284" s="14" t="str">
        <f>IF(M19=0,"NA",IF(M165&gt;4,M283*M164,"NA"))</f>
        <v>NA</v>
      </c>
      <c r="N284" s="11" t="s">
        <v>236</v>
      </c>
    </row>
    <row r="285" spans="1:18" ht="15" customHeight="1">
      <c r="B285" s="643" t="s">
        <v>2645</v>
      </c>
      <c r="M285" s="724"/>
    </row>
    <row r="286" spans="1:18" ht="15" customHeight="1">
      <c r="C286" s="651" t="s">
        <v>2641</v>
      </c>
      <c r="M286" s="14">
        <f>IF(M19=0,"NA",(M171/(M171-1))*(3.027*14.7/(60+460))*(M166+460)*(M164^((M171-1)/M171)-1))</f>
        <v>59.910418477068788</v>
      </c>
      <c r="N286" s="11" t="s">
        <v>247</v>
      </c>
    </row>
    <row r="287" spans="1:18" ht="15" customHeight="1">
      <c r="C287" s="651" t="s">
        <v>2642</v>
      </c>
      <c r="M287" s="14">
        <f>IF(M19=0,"NA",IF(M165&gt;1,(M171/(M171-1))*(3.027*14.7/(60+460))*(M167+460)*(M164^((M171-1)/M171)-1),"NA"))</f>
        <v>62.704823384595755</v>
      </c>
      <c r="N287" s="11" t="s">
        <v>247</v>
      </c>
    </row>
    <row r="288" spans="1:18" ht="15" customHeight="1">
      <c r="C288" s="651" t="s">
        <v>2643</v>
      </c>
      <c r="M288" s="14" t="str">
        <f>IF(M19=0,"NA",IF(M165&gt;2,(M171/(M171-1))*(3.027*14.7/(60+460))*(M168+460)*(M164^((M171-1)/M171)-1),"NA"))</f>
        <v>NA</v>
      </c>
      <c r="N288" s="11" t="s">
        <v>247</v>
      </c>
    </row>
    <row r="289" spans="1:14" ht="15" customHeight="1">
      <c r="C289" s="643" t="s">
        <v>2644</v>
      </c>
      <c r="M289" s="14" t="str">
        <f>IF(M19=0,"NA",IF(M165&gt;3,(M171/(M171-1))*(3.027*14.7/(60+460))*(M169+460)*(M164^((M171-1)/M171)-1),"NA"))</f>
        <v>NA</v>
      </c>
      <c r="N289" s="11" t="s">
        <v>247</v>
      </c>
    </row>
    <row r="290" spans="1:14" ht="15" customHeight="1">
      <c r="C290" s="643" t="s">
        <v>2627</v>
      </c>
      <c r="M290" s="14" t="str">
        <f>IF(M19=0,"NA",IF(M165&gt;4,(M171/(M171-1))*(3.027*14.7/(60+460))*(M170+460)*(M164^((M171-1)/M171)-1),"NA"))</f>
        <v>NA</v>
      </c>
      <c r="N290" s="11" t="s">
        <v>247</v>
      </c>
    </row>
    <row r="291" spans="1:14" ht="15" customHeight="1">
      <c r="B291" s="643" t="s">
        <v>2646</v>
      </c>
      <c r="M291" s="14">
        <f>IF(M19=0,"NA",IF(M165=1,M286,IF(M165=2,M286+M287,IF(M165=3,SUM(M286:M288),IF(M165=4,SUM(M286:M289),SUM(M286:M290))))))</f>
        <v>122.61524186166454</v>
      </c>
      <c r="N291" s="11" t="s">
        <v>247</v>
      </c>
    </row>
    <row r="292" spans="1:14" ht="15" customHeight="1">
      <c r="B292" s="643" t="s">
        <v>2647</v>
      </c>
      <c r="M292" s="14">
        <f>IF(M19=0,"NA",M291*M159/1000)</f>
        <v>172427.68386796577</v>
      </c>
      <c r="N292" s="11" t="s">
        <v>245</v>
      </c>
    </row>
    <row r="293" spans="1:14" ht="15" customHeight="1">
      <c r="B293" s="643" t="s">
        <v>2648</v>
      </c>
      <c r="M293" s="14">
        <f>IF(M19=0,"NA",M292/(M172/100))</f>
        <v>229903.57849062103</v>
      </c>
      <c r="N293" s="11" t="s">
        <v>787</v>
      </c>
    </row>
    <row r="294" spans="1:14" ht="15" customHeight="1">
      <c r="B294" s="643" t="s">
        <v>2649</v>
      </c>
      <c r="M294" s="260"/>
    </row>
    <row r="295" spans="1:14" ht="15" customHeight="1">
      <c r="C295" s="643" t="s">
        <v>2650</v>
      </c>
      <c r="M295" s="14">
        <f>IF(M19=0,0,IF(M174=1,M182,M183))</f>
        <v>6111.9</v>
      </c>
      <c r="N295" s="11" t="str">
        <f>IF(M174=1,"kWh/bhp-hr","Btu/bhp-hr")</f>
        <v>Btu/bhp-hr</v>
      </c>
    </row>
    <row r="296" spans="1:14" ht="15" customHeight="1">
      <c r="C296" s="643" t="s">
        <v>2651</v>
      </c>
      <c r="M296" s="14">
        <f>IF(M174=1,M295*24,M295*24/1000000)</f>
        <v>0.14668559999999997</v>
      </c>
      <c r="N296" s="11" t="str">
        <f>IF(M174=1,"kWh/bhp-d","MMBtu/bhp-d")</f>
        <v>MMBtu/bhp-d</v>
      </c>
    </row>
    <row r="297" spans="1:14" ht="15" customHeight="1">
      <c r="C297" s="643" t="s">
        <v>2652</v>
      </c>
      <c r="M297" s="14">
        <f>IF(M19=0,0,M296*M293)</f>
        <v>33723.544353043835</v>
      </c>
      <c r="N297" s="11" t="str">
        <f>IF(M174=1,"kWh/d","MMBtu/d")</f>
        <v>MMBtu/d</v>
      </c>
    </row>
    <row r="298" spans="1:14" ht="15" customHeight="1"/>
    <row r="299" spans="1:14" ht="15" customHeight="1">
      <c r="A299" s="253" t="s">
        <v>1723</v>
      </c>
      <c r="B299" s="257"/>
      <c r="C299" s="257"/>
    </row>
    <row r="300" spans="1:14" ht="15" customHeight="1">
      <c r="A300" s="257"/>
      <c r="B300" s="651" t="s">
        <v>2653</v>
      </c>
      <c r="C300" s="257"/>
    </row>
    <row r="301" spans="1:14" ht="15" customHeight="1">
      <c r="C301" s="643" t="s">
        <v>2654</v>
      </c>
      <c r="M301" s="14">
        <f>IF(M20=0,"NA",M194*M196)</f>
        <v>498.08382828596234</v>
      </c>
      <c r="N301" s="11" t="s">
        <v>236</v>
      </c>
    </row>
    <row r="302" spans="1:14" ht="15" customHeight="1">
      <c r="C302" s="643" t="s">
        <v>2655</v>
      </c>
      <c r="M302" s="14">
        <f>IF(M20=0,"NA",IF(M197&gt;1,M301*M196,"NA"))</f>
        <v>1984.7</v>
      </c>
      <c r="N302" s="11" t="s">
        <v>236</v>
      </c>
    </row>
    <row r="303" spans="1:14" ht="15" customHeight="1">
      <c r="C303" s="643" t="s">
        <v>2656</v>
      </c>
      <c r="M303" s="14" t="str">
        <f>IF(M20=0,"NA",IF(M197&gt;2,M302*M196,"NA"))</f>
        <v>NA</v>
      </c>
      <c r="N303" s="11" t="s">
        <v>236</v>
      </c>
    </row>
    <row r="304" spans="1:14" ht="15" customHeight="1">
      <c r="C304" s="643" t="s">
        <v>2657</v>
      </c>
      <c r="M304" s="14" t="str">
        <f>IF(M20=0,"NA",IF(M197&gt;3,M303*M196,"NA"))</f>
        <v>NA</v>
      </c>
      <c r="N304" s="11" t="s">
        <v>236</v>
      </c>
    </row>
    <row r="305" spans="1:16" ht="15" customHeight="1">
      <c r="C305" s="643" t="s">
        <v>2658</v>
      </c>
      <c r="M305" s="14" t="str">
        <f>IF(M20=0,"NA",IF(M197&gt;4,M304*M196,"NA"))</f>
        <v>NA</v>
      </c>
      <c r="N305" s="11" t="s">
        <v>236</v>
      </c>
    </row>
    <row r="306" spans="1:16" ht="15" customHeight="1">
      <c r="B306" s="643" t="s">
        <v>2664</v>
      </c>
      <c r="M306" s="724"/>
    </row>
    <row r="307" spans="1:16" ht="15" customHeight="1">
      <c r="C307" s="651" t="s">
        <v>2659</v>
      </c>
      <c r="M307" s="14">
        <f>IF(M20=0,"NA",(M203/(M203-1))*(3.027*14.7/(60+460))*(M198+460)*(M196^((M203-1)/M203)-1))</f>
        <v>95.265179588159867</v>
      </c>
      <c r="N307" s="11" t="s">
        <v>247</v>
      </c>
    </row>
    <row r="308" spans="1:16" ht="15" customHeight="1">
      <c r="C308" s="651" t="s">
        <v>2660</v>
      </c>
      <c r="M308" s="14">
        <f>IF(M20=0,"NA",IF(M197&gt;1,(M203/(M203-1))*(3.027*14.7/(60+460))*(M199+460)*(M196^((M203-1)/M203)-1),"NA"))</f>
        <v>104.49380256786311</v>
      </c>
      <c r="N308" s="11" t="s">
        <v>247</v>
      </c>
    </row>
    <row r="309" spans="1:16" ht="15" customHeight="1">
      <c r="C309" s="651" t="s">
        <v>2661</v>
      </c>
      <c r="M309" s="14" t="str">
        <f>IF(M20=0,"NA",IF(M197&gt;2,(M203/(M203-1))*(3.027*14.7/(60+460))*(M200+460)*(M196^((M203-1)/M203)-1),"NA"))</f>
        <v>NA</v>
      </c>
      <c r="N309" s="11" t="s">
        <v>247</v>
      </c>
    </row>
    <row r="310" spans="1:16" ht="15" customHeight="1">
      <c r="C310" s="643" t="s">
        <v>2662</v>
      </c>
      <c r="M310" s="14" t="str">
        <f>IF(M20=0,"NA",IF(M197&gt;3,(M203/(M203-1))*(3.027*14.7/(60+460))*(M201+460)*(M196^((M203-1)/M203)-1),"NA"))</f>
        <v>NA</v>
      </c>
      <c r="N310" s="11" t="s">
        <v>247</v>
      </c>
    </row>
    <row r="311" spans="1:16" ht="15" customHeight="1">
      <c r="C311" s="643" t="s">
        <v>2663</v>
      </c>
      <c r="M311" s="14" t="str">
        <f>IF(M20=0,"NA",IF(M197&gt;4,(M203/(M203-1))*(3.027*14.7/(60+460))*(M202+460)*(M196^((M203-1)/M203)-1),"NA"))</f>
        <v>NA</v>
      </c>
      <c r="N311" s="11" t="s">
        <v>247</v>
      </c>
    </row>
    <row r="312" spans="1:16" ht="15" customHeight="1">
      <c r="B312" s="643" t="s">
        <v>2665</v>
      </c>
      <c r="M312" s="14">
        <f>IF(M20=0,"NA",IF(M197=1,M307,IF(M197=2,M307+M308,IF(M197=3,SUM(M307:M309),IF(M197=4,SUM(M307:M310),SUM(M307:M311))))))</f>
        <v>199.75898215602297</v>
      </c>
      <c r="N312" s="11" t="s">
        <v>247</v>
      </c>
      <c r="P312" s="262"/>
    </row>
    <row r="313" spans="1:16" ht="15" customHeight="1">
      <c r="B313" s="643" t="s">
        <v>2666</v>
      </c>
      <c r="M313" s="14">
        <f>IF(M20=0,"NA",M312*M189/1000)</f>
        <v>149819.23661701725</v>
      </c>
      <c r="N313" s="11" t="s">
        <v>245</v>
      </c>
    </row>
    <row r="314" spans="1:16" ht="15" customHeight="1">
      <c r="B314" s="643" t="s">
        <v>2667</v>
      </c>
      <c r="M314" s="14">
        <f>IF(M20=0,"NA",M313/(M204/100))</f>
        <v>199758.982156023</v>
      </c>
      <c r="N314" s="11" t="s">
        <v>787</v>
      </c>
    </row>
    <row r="315" spans="1:16" ht="15" customHeight="1">
      <c r="B315" s="643" t="s">
        <v>2668</v>
      </c>
      <c r="M315" s="260"/>
    </row>
    <row r="316" spans="1:16" ht="15" customHeight="1">
      <c r="C316" s="643" t="s">
        <v>2669</v>
      </c>
      <c r="M316" s="14">
        <f>IF(M20=0,0,IF(M206=1,M214,M215))</f>
        <v>6111.9</v>
      </c>
      <c r="N316" s="11" t="str">
        <f>IF(M206=1,"kWh/bhp-hr","Btu/bhp-hr")</f>
        <v>Btu/bhp-hr</v>
      </c>
    </row>
    <row r="317" spans="1:16" ht="15" customHeight="1">
      <c r="C317" s="643" t="s">
        <v>2670</v>
      </c>
      <c r="M317" s="14">
        <f>IF(M206=1,M316*24,M316*24/1000000)</f>
        <v>0.14668559999999997</v>
      </c>
      <c r="N317" s="11" t="str">
        <f>IF(M206=1,"kWh/bhp-d","MMBtu/bhp-d")</f>
        <v>MMBtu/bhp-d</v>
      </c>
    </row>
    <row r="318" spans="1:16" ht="15" customHeight="1">
      <c r="C318" s="643" t="s">
        <v>2671</v>
      </c>
      <c r="M318" s="14">
        <f>IF(M20=0,0,M317*M314)</f>
        <v>29301.766152945522</v>
      </c>
      <c r="N318" s="11" t="str">
        <f>IF(M206=1,"kWh/d","MMBtu/d")</f>
        <v>MMBtu/d</v>
      </c>
    </row>
    <row r="319" spans="1:16" ht="15" customHeight="1"/>
    <row r="320" spans="1:16" ht="15" customHeight="1">
      <c r="A320" s="12" t="s">
        <v>1733</v>
      </c>
      <c r="M320" s="263"/>
    </row>
    <row r="321" spans="2:14" ht="15" customHeight="1">
      <c r="B321" s="12" t="s">
        <v>1418</v>
      </c>
      <c r="M321" s="264"/>
    </row>
    <row r="322" spans="2:14" ht="15" customHeight="1">
      <c r="C322" s="12" t="s">
        <v>1419</v>
      </c>
      <c r="M322" s="265">
        <f>IF(M21=0,0,IF('Steam Injection'!M72=1,'Steam Injection'!M281,'Steam Injection'!M282)*'Steam Injection'!M18)</f>
        <v>0</v>
      </c>
      <c r="N322" s="11" t="s">
        <v>268</v>
      </c>
    </row>
    <row r="323" spans="2:14" ht="15" customHeight="1">
      <c r="C323" s="12" t="s">
        <v>1528</v>
      </c>
      <c r="M323" s="265">
        <f>IF(M21=0,0,'Steam Injection'!M482*'Steam Injection'!M19)</f>
        <v>0</v>
      </c>
      <c r="N323" s="11" t="s">
        <v>268</v>
      </c>
    </row>
    <row r="324" spans="2:14" ht="15" customHeight="1">
      <c r="B324" s="87" t="s">
        <v>1617</v>
      </c>
      <c r="M324" s="14">
        <f>IF(M21=0,0,'Steam Injection'!M19*'Steam Injection'!M486)</f>
        <v>0</v>
      </c>
      <c r="N324" s="11" t="s">
        <v>268</v>
      </c>
    </row>
    <row r="325" spans="2:14" ht="15" customHeight="1"/>
    <row r="326" spans="2:14" ht="15" customHeight="1"/>
    <row r="353" spans="2:8">
      <c r="B353" s="102"/>
      <c r="C353" s="102"/>
      <c r="D353" s="102"/>
      <c r="E353" s="102"/>
      <c r="F353" s="102"/>
      <c r="G353" s="102"/>
      <c r="H353" s="102"/>
    </row>
    <row r="354" spans="2:8">
      <c r="B354" s="102"/>
      <c r="C354" s="102"/>
      <c r="D354" s="102"/>
      <c r="E354" s="102"/>
      <c r="F354" s="102"/>
      <c r="G354" s="102"/>
      <c r="H354" s="102"/>
    </row>
    <row r="355" spans="2:8">
      <c r="B355" s="102"/>
      <c r="C355" s="102"/>
      <c r="D355" s="102"/>
      <c r="E355" s="102"/>
      <c r="F355" s="102"/>
      <c r="G355" s="102"/>
      <c r="H355" s="102"/>
    </row>
    <row r="356" spans="2:8">
      <c r="B356" s="102"/>
      <c r="C356" s="102"/>
      <c r="D356" s="102"/>
      <c r="E356" s="102"/>
      <c r="F356" s="102"/>
      <c r="G356" s="102"/>
      <c r="H356" s="102"/>
    </row>
    <row r="357" spans="2:8">
      <c r="B357" s="102"/>
      <c r="C357" s="102"/>
      <c r="D357" s="102"/>
      <c r="E357" s="102"/>
      <c r="F357" s="102"/>
      <c r="G357" s="102"/>
      <c r="H357" s="102"/>
    </row>
    <row r="358" spans="2:8">
      <c r="B358" s="102"/>
      <c r="C358" s="102"/>
      <c r="D358" s="102"/>
      <c r="E358" s="102"/>
      <c r="F358" s="102"/>
      <c r="G358" s="102"/>
      <c r="H358" s="102"/>
    </row>
    <row r="359" spans="2:8">
      <c r="B359" s="102"/>
      <c r="C359" s="102"/>
      <c r="D359" s="102"/>
      <c r="E359" s="102"/>
      <c r="F359" s="102"/>
      <c r="G359" s="102"/>
      <c r="H359" s="102"/>
    </row>
    <row r="360" spans="2:8">
      <c r="B360" s="102"/>
      <c r="C360" s="102"/>
      <c r="D360" s="102"/>
      <c r="E360" s="102"/>
      <c r="F360" s="102"/>
      <c r="G360" s="102"/>
      <c r="H360" s="102"/>
    </row>
    <row r="361" spans="2:8">
      <c r="B361" s="102"/>
      <c r="C361" s="102"/>
      <c r="D361" s="102"/>
      <c r="E361" s="102"/>
      <c r="F361" s="102"/>
      <c r="G361" s="102"/>
      <c r="H361" s="102"/>
    </row>
    <row r="362" spans="2:8">
      <c r="B362" s="102"/>
      <c r="C362" s="102"/>
      <c r="D362" s="102"/>
      <c r="E362" s="102"/>
      <c r="F362" s="102"/>
      <c r="G362" s="102"/>
      <c r="H362" s="102"/>
    </row>
    <row r="363" spans="2:8">
      <c r="B363" s="102"/>
      <c r="C363" s="102"/>
      <c r="D363" s="102"/>
      <c r="E363" s="102"/>
      <c r="F363" s="102"/>
      <c r="G363" s="102"/>
      <c r="H363" s="102"/>
    </row>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sheetPr>
  <dimension ref="A1:AT349"/>
  <sheetViews>
    <sheetView workbookViewId="0"/>
  </sheetViews>
  <sheetFormatPr defaultColWidth="8.88671875" defaultRowHeight="15"/>
  <cols>
    <col min="1" max="2" width="9" style="11" customWidth="1"/>
    <col min="3" max="19" width="6.5546875" style="11" customWidth="1"/>
    <col min="20" max="29" width="9" style="11" customWidth="1"/>
    <col min="30" max="16384" width="8.88671875" style="11"/>
  </cols>
  <sheetData>
    <row r="1" spans="1:25" s="6" customFormat="1" ht="24" customHeight="1">
      <c r="A1" s="6" t="s">
        <v>3789</v>
      </c>
    </row>
    <row r="2" spans="1:25">
      <c r="A2" s="99"/>
      <c r="B2" s="99"/>
      <c r="C2" s="99"/>
      <c r="D2" s="99"/>
      <c r="E2" s="99"/>
      <c r="F2" s="99"/>
      <c r="G2" s="99"/>
      <c r="H2" s="99"/>
      <c r="I2" s="99"/>
      <c r="J2" s="99"/>
      <c r="K2" s="99"/>
      <c r="L2" s="99"/>
      <c r="M2" s="99"/>
      <c r="N2" s="99"/>
      <c r="O2" s="99"/>
      <c r="P2" s="99"/>
      <c r="Q2" s="99"/>
      <c r="R2" s="99"/>
      <c r="S2" s="99"/>
      <c r="T2" s="99"/>
      <c r="U2" s="99"/>
      <c r="V2" s="99"/>
      <c r="W2" s="99"/>
      <c r="X2" s="99"/>
    </row>
    <row r="3" spans="1:25">
      <c r="A3" s="99" t="s">
        <v>254</v>
      </c>
      <c r="B3" s="99"/>
      <c r="C3" s="99"/>
      <c r="D3" s="99"/>
      <c r="E3" s="99"/>
      <c r="F3" s="99"/>
      <c r="G3" s="99"/>
      <c r="H3" s="99"/>
      <c r="I3" s="99"/>
      <c r="J3" s="99"/>
      <c r="K3" s="99"/>
      <c r="L3" s="99"/>
      <c r="M3" s="99"/>
      <c r="N3" s="99"/>
      <c r="O3" s="99"/>
      <c r="P3" s="99"/>
      <c r="Q3" s="99"/>
      <c r="R3" s="99"/>
      <c r="S3" s="99"/>
      <c r="T3" s="99"/>
      <c r="U3" s="99"/>
      <c r="V3" s="99"/>
      <c r="W3" s="99"/>
      <c r="X3" s="99"/>
    </row>
    <row r="4" spans="1:25">
      <c r="B4" s="99"/>
      <c r="C4" s="99"/>
      <c r="D4" s="99"/>
      <c r="E4" s="99"/>
      <c r="F4" s="99"/>
      <c r="G4" s="99"/>
      <c r="H4" s="99"/>
      <c r="I4" s="99"/>
      <c r="J4" s="99"/>
      <c r="K4" s="99"/>
      <c r="L4" s="99"/>
      <c r="M4" s="99"/>
      <c r="N4" s="99"/>
      <c r="O4" s="99"/>
      <c r="P4" s="99"/>
      <c r="Q4" s="99"/>
      <c r="R4" s="99"/>
      <c r="S4" s="99"/>
      <c r="T4" s="99"/>
      <c r="U4" s="99"/>
      <c r="V4" s="99"/>
      <c r="W4" s="99"/>
      <c r="X4" s="99"/>
    </row>
    <row r="5" spans="1:25">
      <c r="A5" s="99"/>
      <c r="B5" s="99"/>
      <c r="C5" s="99"/>
      <c r="D5" s="99"/>
      <c r="E5" s="99"/>
      <c r="F5" s="99"/>
      <c r="G5" s="99"/>
      <c r="H5" s="99"/>
      <c r="I5" s="99"/>
      <c r="J5" s="99"/>
      <c r="K5" s="99"/>
      <c r="L5" s="99"/>
      <c r="M5" s="99"/>
      <c r="N5" s="99"/>
      <c r="O5" s="99"/>
      <c r="P5" s="99"/>
      <c r="Q5" s="99"/>
      <c r="R5" s="99"/>
      <c r="S5" s="99"/>
      <c r="T5" s="99"/>
      <c r="U5" s="99"/>
      <c r="V5" s="99"/>
      <c r="W5" s="99"/>
      <c r="X5" s="99"/>
    </row>
    <row r="6" spans="1:25" s="9" customFormat="1" ht="15.75">
      <c r="A6" s="9" t="s">
        <v>1372</v>
      </c>
    </row>
    <row r="7" spans="1:25">
      <c r="A7" s="99"/>
      <c r="B7" s="99"/>
      <c r="C7" s="99"/>
      <c r="D7" s="99"/>
      <c r="E7" s="99"/>
      <c r="F7" s="99"/>
      <c r="G7" s="99"/>
      <c r="H7" s="99"/>
      <c r="I7" s="99"/>
      <c r="J7" s="99"/>
      <c r="K7" s="99"/>
      <c r="L7" s="99"/>
      <c r="M7" s="99"/>
      <c r="N7" s="99"/>
      <c r="O7" s="99"/>
      <c r="P7" s="99"/>
      <c r="Q7" s="99"/>
      <c r="R7" s="99"/>
      <c r="S7" s="99"/>
      <c r="T7" s="99"/>
      <c r="U7" s="99"/>
      <c r="V7" s="99"/>
      <c r="W7" s="99"/>
      <c r="X7" s="99"/>
    </row>
    <row r="8" spans="1:25" s="98" customFormat="1" ht="15.75">
      <c r="A8" s="98" t="s">
        <v>1420</v>
      </c>
    </row>
    <row r="9" spans="1:25">
      <c r="A9" s="99"/>
      <c r="B9" s="99"/>
      <c r="C9" s="99"/>
      <c r="D9" s="99"/>
      <c r="E9" s="99"/>
      <c r="F9" s="99"/>
      <c r="G9" s="99"/>
      <c r="H9" s="99"/>
      <c r="I9" s="99"/>
      <c r="J9" s="99"/>
      <c r="K9" s="99"/>
      <c r="L9" s="99"/>
      <c r="M9" s="99"/>
      <c r="N9" s="99"/>
      <c r="O9" s="99"/>
      <c r="P9" s="99"/>
      <c r="Q9" s="99"/>
      <c r="R9" s="99"/>
      <c r="S9" s="99"/>
      <c r="T9" s="99"/>
      <c r="U9" s="99"/>
      <c r="V9" s="99"/>
      <c r="W9" s="99"/>
      <c r="X9" s="99"/>
    </row>
    <row r="10" spans="1:25" ht="15" customHeight="1">
      <c r="A10" s="99"/>
      <c r="B10" s="99"/>
      <c r="C10" s="99"/>
      <c r="D10" s="99"/>
      <c r="E10" s="99"/>
      <c r="F10" s="99"/>
      <c r="G10" s="99"/>
      <c r="H10" s="99"/>
      <c r="I10" s="99"/>
      <c r="J10" s="99"/>
      <c r="K10" s="99"/>
      <c r="L10" s="99"/>
      <c r="M10" s="99" t="s">
        <v>222</v>
      </c>
      <c r="N10" s="99" t="s">
        <v>221</v>
      </c>
      <c r="O10" s="99" t="s">
        <v>165</v>
      </c>
      <c r="P10" s="99"/>
      <c r="Q10" s="99" t="s">
        <v>168</v>
      </c>
      <c r="R10" s="99"/>
      <c r="S10" s="99" t="s">
        <v>167</v>
      </c>
      <c r="T10" s="99"/>
      <c r="U10" s="99"/>
      <c r="W10" s="105"/>
      <c r="X10" s="99"/>
      <c r="Y10" s="99" t="s">
        <v>348</v>
      </c>
    </row>
    <row r="11" spans="1:25" ht="15" customHeight="1">
      <c r="A11" s="666" t="s">
        <v>2544</v>
      </c>
      <c r="B11" s="99"/>
      <c r="C11" s="99"/>
      <c r="D11" s="99"/>
      <c r="E11" s="99"/>
      <c r="G11" s="99"/>
      <c r="H11" s="99"/>
      <c r="I11" s="99"/>
      <c r="J11" s="99"/>
      <c r="K11" s="99"/>
      <c r="L11" s="99"/>
      <c r="M11" s="230"/>
      <c r="N11" s="230"/>
      <c r="O11" s="99"/>
      <c r="P11" s="99"/>
      <c r="Q11" s="211"/>
      <c r="R11" s="211"/>
      <c r="S11" s="218"/>
      <c r="T11" s="211"/>
      <c r="U11" s="211"/>
      <c r="V11" s="211"/>
      <c r="W11" s="211"/>
      <c r="X11" s="99"/>
    </row>
    <row r="12" spans="1:25" ht="15" customHeight="1">
      <c r="B12" s="666" t="s">
        <v>2545</v>
      </c>
      <c r="C12" s="99"/>
      <c r="D12" s="99"/>
      <c r="E12" s="99"/>
      <c r="G12" s="99"/>
      <c r="H12" s="99"/>
      <c r="I12" s="99"/>
      <c r="J12" s="99"/>
      <c r="K12" s="99"/>
      <c r="L12" s="99"/>
      <c r="M12" s="206">
        <f>'User Inputs &amp; Results'!J102</f>
        <v>0</v>
      </c>
      <c r="N12" s="207">
        <v>0</v>
      </c>
      <c r="O12" s="99" t="s">
        <v>237</v>
      </c>
      <c r="P12" s="99"/>
      <c r="Q12" s="211"/>
      <c r="R12" s="211"/>
      <c r="S12" s="218"/>
      <c r="T12" s="211"/>
      <c r="U12" s="211"/>
      <c r="V12" s="211"/>
      <c r="W12" s="211"/>
      <c r="X12" s="99"/>
    </row>
    <row r="13" spans="1:25" ht="15" customHeight="1">
      <c r="A13" s="105"/>
      <c r="C13" s="99" t="s">
        <v>271</v>
      </c>
      <c r="D13" s="99"/>
      <c r="E13" s="99"/>
      <c r="G13" s="99"/>
      <c r="H13" s="99"/>
      <c r="I13" s="99"/>
      <c r="J13" s="99"/>
      <c r="K13" s="99"/>
      <c r="L13" s="99"/>
      <c r="M13" s="230"/>
      <c r="N13" s="230"/>
      <c r="O13" s="99"/>
      <c r="P13" s="99"/>
      <c r="Q13" s="211"/>
      <c r="R13" s="211"/>
      <c r="S13" s="218"/>
      <c r="T13" s="211"/>
      <c r="U13" s="211"/>
      <c r="V13" s="211"/>
      <c r="W13" s="211"/>
      <c r="X13" s="99"/>
    </row>
    <row r="14" spans="1:25" customFormat="1" ht="15" customHeight="1">
      <c r="C14" t="s">
        <v>252</v>
      </c>
      <c r="M14" s="230"/>
      <c r="N14" s="230"/>
    </row>
    <row r="15" spans="1:25" customFormat="1" ht="15" customHeight="1">
      <c r="B15" t="s">
        <v>2546</v>
      </c>
      <c r="M15" s="679">
        <v>14</v>
      </c>
      <c r="N15" s="680">
        <v>14</v>
      </c>
      <c r="O15" t="s">
        <v>166</v>
      </c>
    </row>
    <row r="16" spans="1:25" customFormat="1" ht="15" customHeight="1">
      <c r="B16" t="s">
        <v>2547</v>
      </c>
      <c r="M16" s="679">
        <v>90</v>
      </c>
      <c r="N16" s="680">
        <v>90</v>
      </c>
      <c r="O16" t="s">
        <v>3855</v>
      </c>
    </row>
    <row r="17" spans="1:25" customFormat="1" ht="15" customHeight="1">
      <c r="B17" t="s">
        <v>2548</v>
      </c>
      <c r="M17" s="679">
        <v>165</v>
      </c>
      <c r="N17" s="680">
        <v>165</v>
      </c>
      <c r="O17" t="s">
        <v>3855</v>
      </c>
    </row>
    <row r="18" spans="1:25" customFormat="1" ht="15" customHeight="1">
      <c r="B18" t="s">
        <v>2549</v>
      </c>
      <c r="M18" s="679">
        <v>150</v>
      </c>
      <c r="N18" s="680">
        <v>150</v>
      </c>
      <c r="O18" t="s">
        <v>3856</v>
      </c>
      <c r="S18" t="s">
        <v>1073</v>
      </c>
    </row>
    <row r="19" spans="1:25" customFormat="1" ht="15" customHeight="1">
      <c r="B19" t="s">
        <v>2550</v>
      </c>
      <c r="M19" s="679">
        <v>350</v>
      </c>
      <c r="N19" s="680">
        <v>350</v>
      </c>
      <c r="O19" t="s">
        <v>3856</v>
      </c>
    </row>
    <row r="20" spans="1:25" customFormat="1" ht="15" customHeight="1">
      <c r="B20" t="s">
        <v>2551</v>
      </c>
      <c r="M20" s="679">
        <v>2</v>
      </c>
      <c r="N20" s="680">
        <v>2</v>
      </c>
      <c r="O20" t="s">
        <v>166</v>
      </c>
    </row>
    <row r="21" spans="1:25" customFormat="1" ht="15" customHeight="1">
      <c r="B21" t="s">
        <v>2552</v>
      </c>
      <c r="M21" s="271"/>
      <c r="N21" s="719"/>
    </row>
    <row r="22" spans="1:25" customFormat="1" ht="15" customHeight="1">
      <c r="C22" t="s">
        <v>2553</v>
      </c>
      <c r="M22" s="679">
        <v>1</v>
      </c>
      <c r="N22" s="680">
        <v>1</v>
      </c>
      <c r="O22" t="s">
        <v>237</v>
      </c>
    </row>
    <row r="23" spans="1:25" customFormat="1" ht="15" customHeight="1">
      <c r="D23" t="s">
        <v>343</v>
      </c>
    </row>
    <row r="24" spans="1:25" customFormat="1" ht="15" customHeight="1">
      <c r="D24" t="s">
        <v>344</v>
      </c>
    </row>
    <row r="25" spans="1:25" customFormat="1" ht="15" customHeight="1">
      <c r="C25" t="s">
        <v>2554</v>
      </c>
      <c r="M25" s="679">
        <v>1</v>
      </c>
      <c r="N25" s="680">
        <v>1</v>
      </c>
      <c r="O25" t="s">
        <v>237</v>
      </c>
    </row>
    <row r="26" spans="1:25" customFormat="1" ht="15" customHeight="1">
      <c r="D26" t="s">
        <v>223</v>
      </c>
      <c r="E26" t="s">
        <v>1010</v>
      </c>
    </row>
    <row r="27" spans="1:25" customFormat="1" ht="15" customHeight="1">
      <c r="D27" t="s">
        <v>224</v>
      </c>
      <c r="E27" t="s">
        <v>229</v>
      </c>
    </row>
    <row r="28" spans="1:25" customFormat="1" ht="15" customHeight="1">
      <c r="D28" t="s">
        <v>225</v>
      </c>
      <c r="E28" t="s">
        <v>230</v>
      </c>
    </row>
    <row r="29" spans="1:25" customFormat="1" ht="15" customHeight="1">
      <c r="C29" t="s">
        <v>2555</v>
      </c>
      <c r="M29" s="720">
        <f>N29</f>
        <v>1.25</v>
      </c>
      <c r="N29" s="721">
        <f>1/0.8</f>
        <v>1.25</v>
      </c>
      <c r="O29" t="s">
        <v>354</v>
      </c>
      <c r="S29" t="s">
        <v>869</v>
      </c>
      <c r="Y29" t="s">
        <v>2143</v>
      </c>
    </row>
    <row r="30" spans="1:25" customFormat="1" ht="15" customHeight="1">
      <c r="M30" s="677">
        <v>366.33680555555554</v>
      </c>
      <c r="N30" s="678">
        <f>(N29/'Input data'!$E$54)*1000</f>
        <v>366.33680555555554</v>
      </c>
      <c r="O30" t="s">
        <v>346</v>
      </c>
    </row>
    <row r="31" spans="1:25" customFormat="1" ht="15" customHeight="1"/>
    <row r="32" spans="1:25" customFormat="1" ht="15" customHeight="1">
      <c r="A32" t="s">
        <v>1529</v>
      </c>
    </row>
    <row r="33" spans="1:25" ht="15" customHeight="1">
      <c r="A33"/>
      <c r="B33" t="s">
        <v>1421</v>
      </c>
      <c r="C33"/>
      <c r="D33"/>
      <c r="E33"/>
      <c r="F33"/>
      <c r="G33"/>
      <c r="H33"/>
      <c r="I33"/>
      <c r="J33"/>
      <c r="K33"/>
      <c r="L33"/>
      <c r="M33" s="14">
        <f>'User Inputs &amp; Results'!J103</f>
        <v>1</v>
      </c>
      <c r="N33" s="210">
        <f>'User Inputs &amp; Results'!K103</f>
        <v>1</v>
      </c>
      <c r="O33" s="99" t="s">
        <v>237</v>
      </c>
      <c r="Q33" s="72"/>
      <c r="R33" s="72"/>
      <c r="S33" s="76"/>
      <c r="T33" s="72"/>
      <c r="U33" s="72"/>
      <c r="V33" s="72"/>
      <c r="W33" s="72"/>
    </row>
    <row r="34" spans="1:25" ht="15" customHeight="1">
      <c r="B34" s="105"/>
      <c r="C34" s="99" t="s">
        <v>271</v>
      </c>
      <c r="D34" s="99"/>
      <c r="E34" s="99"/>
      <c r="F34" s="99"/>
      <c r="G34" s="99"/>
      <c r="H34" s="99"/>
      <c r="I34" s="99"/>
      <c r="J34" s="99"/>
      <c r="K34" s="99"/>
      <c r="L34" s="99"/>
      <c r="O34" s="99"/>
      <c r="Q34" s="72"/>
      <c r="R34" s="72"/>
      <c r="S34" s="76"/>
      <c r="T34" s="72"/>
      <c r="U34" s="72"/>
      <c r="V34" s="72"/>
      <c r="W34" s="72"/>
    </row>
    <row r="35" spans="1:25" ht="15" customHeight="1">
      <c r="B35" s="105"/>
      <c r="C35" s="99" t="s">
        <v>252</v>
      </c>
      <c r="D35" s="99"/>
      <c r="E35" s="99"/>
      <c r="F35" s="99"/>
      <c r="G35" s="99"/>
      <c r="H35" s="99"/>
      <c r="I35" s="99"/>
      <c r="J35" s="99"/>
      <c r="K35" s="99"/>
      <c r="L35" s="99"/>
      <c r="M35"/>
      <c r="N35"/>
      <c r="O35" s="99"/>
      <c r="Q35" s="72"/>
      <c r="R35" s="72"/>
      <c r="S35" s="76"/>
      <c r="T35" s="72"/>
      <c r="U35" s="72"/>
      <c r="V35" s="72"/>
      <c r="W35" s="72"/>
    </row>
    <row r="36" spans="1:25" ht="15" customHeight="1">
      <c r="B36" s="227" t="s">
        <v>1530</v>
      </c>
      <c r="C36" s="99"/>
      <c r="D36" s="99"/>
      <c r="E36" s="99"/>
      <c r="F36" s="99"/>
      <c r="G36" s="99"/>
      <c r="H36" s="99"/>
      <c r="J36" s="266"/>
      <c r="K36" s="267"/>
      <c r="L36" s="99"/>
      <c r="M36"/>
      <c r="N36"/>
      <c r="O36" s="99"/>
      <c r="Q36" s="72"/>
      <c r="R36" s="72"/>
      <c r="S36" s="76"/>
      <c r="T36" s="72"/>
      <c r="U36" s="72"/>
      <c r="V36" s="72"/>
      <c r="W36" s="72"/>
    </row>
    <row r="37" spans="1:25" ht="15" customHeight="1">
      <c r="B37" s="251" t="s">
        <v>270</v>
      </c>
      <c r="C37" s="99"/>
      <c r="D37" s="99"/>
      <c r="E37" s="99"/>
      <c r="F37" s="99"/>
      <c r="G37" s="99"/>
      <c r="H37" s="99"/>
      <c r="J37" s="266"/>
      <c r="K37" s="267"/>
      <c r="L37" s="99"/>
      <c r="M37"/>
      <c r="N37"/>
      <c r="O37" s="99"/>
      <c r="Q37" s="72"/>
      <c r="R37" s="72"/>
      <c r="S37" s="76"/>
      <c r="T37" s="72"/>
      <c r="U37" s="72"/>
      <c r="V37" s="72"/>
      <c r="W37" s="72"/>
    </row>
    <row r="38" spans="1:25" ht="15" customHeight="1">
      <c r="B38" s="99"/>
      <c r="C38" s="99" t="s">
        <v>1422</v>
      </c>
      <c r="D38" s="99"/>
      <c r="E38" s="99"/>
      <c r="F38" s="99"/>
      <c r="G38" s="99"/>
      <c r="H38" s="99"/>
      <c r="J38" s="266"/>
      <c r="K38" s="267"/>
      <c r="L38" s="99"/>
      <c r="M38" s="20">
        <v>100</v>
      </c>
      <c r="N38" s="21">
        <v>100</v>
      </c>
      <c r="O38" s="99" t="s">
        <v>219</v>
      </c>
      <c r="Q38" s="72"/>
      <c r="R38" s="72"/>
      <c r="S38" s="76"/>
      <c r="T38" s="72"/>
      <c r="U38" s="72"/>
      <c r="W38" s="72"/>
      <c r="Y38" s="72" t="s">
        <v>1069</v>
      </c>
    </row>
    <row r="39" spans="1:25" ht="15" customHeight="1">
      <c r="C39" s="99" t="s">
        <v>1531</v>
      </c>
      <c r="M39" s="20">
        <v>120</v>
      </c>
      <c r="N39" s="21">
        <v>120</v>
      </c>
      <c r="O39" s="99" t="s">
        <v>566</v>
      </c>
      <c r="Q39" s="72"/>
      <c r="R39" s="72"/>
      <c r="S39" s="76"/>
      <c r="T39" s="72"/>
      <c r="U39" s="72"/>
      <c r="V39" s="72"/>
      <c r="W39" s="72"/>
    </row>
    <row r="40" spans="1:25" ht="15" customHeight="1">
      <c r="C40" s="99" t="s">
        <v>1618</v>
      </c>
      <c r="K40" s="91"/>
      <c r="M40" s="20">
        <v>344</v>
      </c>
      <c r="N40" s="21">
        <v>344</v>
      </c>
      <c r="O40" s="99" t="s">
        <v>566</v>
      </c>
      <c r="Q40" s="72"/>
      <c r="R40" s="72"/>
      <c r="S40" s="76"/>
      <c r="T40" s="72"/>
      <c r="U40" s="72"/>
      <c r="V40" s="72"/>
      <c r="W40" s="72"/>
    </row>
    <row r="41" spans="1:25" ht="15" customHeight="1">
      <c r="C41" s="99" t="s">
        <v>1673</v>
      </c>
      <c r="K41" s="91"/>
      <c r="M41" s="20">
        <v>150</v>
      </c>
      <c r="N41" s="21">
        <v>150</v>
      </c>
      <c r="O41" s="99" t="s">
        <v>887</v>
      </c>
      <c r="Q41" s="72"/>
      <c r="R41" s="72"/>
      <c r="S41" s="76"/>
      <c r="T41" s="72"/>
      <c r="U41" s="72"/>
      <c r="V41" s="72"/>
      <c r="W41" s="72"/>
    </row>
    <row r="42" spans="1:25" ht="15" customHeight="1">
      <c r="C42" s="99" t="s">
        <v>1705</v>
      </c>
      <c r="K42" s="91"/>
      <c r="M42" s="20">
        <v>2</v>
      </c>
      <c r="N42" s="21">
        <v>2</v>
      </c>
      <c r="O42" s="99" t="s">
        <v>166</v>
      </c>
      <c r="Q42" s="72"/>
      <c r="R42" s="72"/>
      <c r="S42" s="76"/>
      <c r="T42" s="72"/>
      <c r="U42" s="72"/>
      <c r="V42" s="72"/>
      <c r="W42" s="72"/>
    </row>
    <row r="43" spans="1:25" ht="15" customHeight="1">
      <c r="C43" s="99" t="s">
        <v>1724</v>
      </c>
      <c r="K43" s="91"/>
      <c r="M43" s="272"/>
      <c r="N43" s="270"/>
      <c r="O43" s="99"/>
      <c r="Q43" s="72"/>
      <c r="R43" s="72"/>
      <c r="S43" s="76"/>
      <c r="T43" s="72"/>
      <c r="U43" s="72"/>
      <c r="V43" s="72"/>
      <c r="W43" s="72"/>
    </row>
    <row r="44" spans="1:25" ht="15" customHeight="1">
      <c r="C44" s="99"/>
      <c r="D44" s="99" t="s">
        <v>1423</v>
      </c>
      <c r="E44" s="99"/>
      <c r="F44" s="99"/>
      <c r="G44" s="99"/>
      <c r="H44" s="99"/>
      <c r="J44" s="266"/>
      <c r="K44" s="267"/>
      <c r="L44" s="99"/>
      <c r="M44" s="20">
        <v>1</v>
      </c>
      <c r="N44" s="273">
        <v>1</v>
      </c>
      <c r="O44" s="99" t="s">
        <v>237</v>
      </c>
      <c r="P44" s="99"/>
      <c r="Q44" s="72"/>
      <c r="R44" s="72"/>
      <c r="S44" s="76"/>
      <c r="T44" s="72"/>
      <c r="U44" s="72"/>
      <c r="V44" s="72"/>
      <c r="W44" s="72"/>
    </row>
    <row r="45" spans="1:25" ht="15" customHeight="1">
      <c r="C45" s="99"/>
      <c r="D45" s="99"/>
      <c r="E45" s="99" t="s">
        <v>343</v>
      </c>
      <c r="F45" s="99"/>
      <c r="G45" s="99"/>
      <c r="H45" s="99"/>
      <c r="J45" s="266"/>
      <c r="K45" s="267"/>
      <c r="L45" s="99"/>
      <c r="M45" s="268"/>
      <c r="N45" s="270"/>
      <c r="O45" s="99"/>
      <c r="P45" s="99"/>
      <c r="Q45" s="72"/>
      <c r="R45" s="72"/>
      <c r="S45" s="76"/>
      <c r="T45" s="72"/>
      <c r="U45" s="72"/>
      <c r="V45" s="72"/>
      <c r="W45" s="72"/>
    </row>
    <row r="46" spans="1:25" ht="15" customHeight="1">
      <c r="C46" s="99"/>
      <c r="D46" s="99"/>
      <c r="E46" s="99" t="s">
        <v>344</v>
      </c>
      <c r="F46" s="99"/>
      <c r="G46" s="99"/>
      <c r="H46" s="99"/>
      <c r="J46" s="266"/>
      <c r="K46" s="267"/>
      <c r="L46" s="99"/>
      <c r="M46" s="268"/>
      <c r="N46" s="270"/>
      <c r="O46" s="99"/>
      <c r="P46" s="99"/>
      <c r="Q46" s="72"/>
      <c r="R46" s="72"/>
      <c r="S46" s="76"/>
      <c r="T46" s="72"/>
      <c r="U46" s="72"/>
      <c r="V46" s="72"/>
      <c r="W46" s="72"/>
    </row>
    <row r="47" spans="1:25" ht="15" customHeight="1">
      <c r="C47" s="99"/>
      <c r="D47" s="99" t="s">
        <v>1532</v>
      </c>
      <c r="E47" s="99"/>
      <c r="F47" s="99"/>
      <c r="G47" s="99"/>
      <c r="H47" s="99"/>
      <c r="J47" s="266"/>
      <c r="K47" s="267"/>
      <c r="L47" s="99"/>
      <c r="M47" s="20">
        <v>1</v>
      </c>
      <c r="N47" s="273">
        <v>1</v>
      </c>
      <c r="O47" s="99" t="s">
        <v>237</v>
      </c>
      <c r="P47" s="99"/>
      <c r="Q47" s="72"/>
      <c r="R47" s="72"/>
      <c r="S47" s="76"/>
      <c r="T47" s="72"/>
      <c r="U47" s="72"/>
      <c r="V47" s="72"/>
      <c r="W47" s="72"/>
    </row>
    <row r="48" spans="1:25" ht="15" customHeight="1">
      <c r="C48" s="99"/>
      <c r="E48" s="99" t="s">
        <v>223</v>
      </c>
      <c r="F48" s="59" t="s">
        <v>1010</v>
      </c>
      <c r="G48" s="99"/>
      <c r="H48" s="99"/>
      <c r="J48" s="266"/>
      <c r="K48" s="267"/>
      <c r="L48" s="99"/>
      <c r="M48" s="268"/>
      <c r="N48" s="270"/>
      <c r="O48" s="99"/>
      <c r="P48" s="99"/>
      <c r="Q48" s="72"/>
      <c r="R48" s="72"/>
      <c r="S48" s="76"/>
      <c r="T48" s="72"/>
      <c r="U48" s="72"/>
      <c r="V48" s="72"/>
      <c r="W48" s="72"/>
    </row>
    <row r="49" spans="1:27" ht="15" customHeight="1">
      <c r="C49" s="99"/>
      <c r="E49" s="99" t="s">
        <v>224</v>
      </c>
      <c r="F49" s="99" t="s">
        <v>229</v>
      </c>
      <c r="G49" s="99"/>
      <c r="H49" s="99"/>
      <c r="J49" s="266"/>
      <c r="K49" s="267"/>
      <c r="L49" s="99"/>
      <c r="M49" s="268"/>
      <c r="N49" s="270"/>
      <c r="O49" s="99"/>
      <c r="P49" s="99"/>
      <c r="Q49" s="72"/>
      <c r="R49" s="72"/>
      <c r="S49" s="76"/>
      <c r="T49" s="72"/>
      <c r="U49" s="72"/>
      <c r="V49" s="72"/>
      <c r="W49" s="72"/>
    </row>
    <row r="50" spans="1:27" ht="15" customHeight="1">
      <c r="C50" s="99"/>
      <c r="E50" s="99" t="s">
        <v>225</v>
      </c>
      <c r="F50" s="99" t="s">
        <v>230</v>
      </c>
      <c r="G50" s="99"/>
      <c r="H50" s="99"/>
      <c r="J50" s="266"/>
      <c r="K50" s="267"/>
      <c r="L50" s="99"/>
      <c r="M50" s="268"/>
      <c r="N50" s="270"/>
      <c r="O50" s="99"/>
      <c r="P50" s="99"/>
      <c r="Q50" s="72"/>
      <c r="R50" s="72"/>
      <c r="S50" s="76"/>
      <c r="T50" s="72"/>
      <c r="U50" s="72"/>
      <c r="V50" s="72"/>
      <c r="W50" s="72"/>
    </row>
    <row r="51" spans="1:27" ht="15" customHeight="1">
      <c r="C51" s="99"/>
      <c r="D51" s="99" t="s">
        <v>1619</v>
      </c>
      <c r="E51" s="99"/>
      <c r="F51" s="99"/>
      <c r="G51" s="99"/>
      <c r="H51" s="99"/>
      <c r="J51" s="266"/>
      <c r="K51" s="267"/>
      <c r="L51" s="99"/>
      <c r="M51" s="14">
        <f>N51</f>
        <v>1.25</v>
      </c>
      <c r="N51" s="210">
        <f>1/0.8</f>
        <v>1.25</v>
      </c>
      <c r="O51" s="666" t="s">
        <v>354</v>
      </c>
      <c r="P51" s="99"/>
      <c r="Q51" s="72"/>
      <c r="R51" s="72"/>
      <c r="S51" s="76"/>
      <c r="T51" s="72"/>
      <c r="U51" s="72"/>
      <c r="V51" s="72"/>
      <c r="W51" s="72"/>
    </row>
    <row r="52" spans="1:27" ht="15" customHeight="1">
      <c r="B52" s="99"/>
      <c r="C52" s="99"/>
      <c r="D52" s="99"/>
      <c r="E52" s="99"/>
      <c r="F52" s="99"/>
      <c r="G52" s="99"/>
      <c r="H52" s="99"/>
      <c r="J52" s="266"/>
      <c r="K52" s="267"/>
      <c r="L52" s="99"/>
      <c r="M52" s="35">
        <v>366.33680555555554</v>
      </c>
      <c r="N52" s="39">
        <f>(N51/'Input data'!$E$54)*1000</f>
        <v>366.33680555555554</v>
      </c>
      <c r="O52" s="99" t="s">
        <v>346</v>
      </c>
      <c r="P52" s="99"/>
      <c r="Q52" s="72"/>
      <c r="R52" s="72"/>
      <c r="S52" s="76"/>
      <c r="T52" s="72"/>
      <c r="U52" s="72"/>
      <c r="V52" s="72"/>
      <c r="W52" s="72"/>
    </row>
    <row r="53" spans="1:27" ht="15" customHeight="1">
      <c r="B53" s="99"/>
      <c r="C53" s="99"/>
      <c r="D53" s="99"/>
      <c r="E53" s="99"/>
      <c r="F53" s="99"/>
      <c r="G53" s="99"/>
      <c r="H53" s="99"/>
      <c r="J53" s="266"/>
      <c r="K53" s="267"/>
      <c r="L53" s="99"/>
      <c r="M53" s="268"/>
      <c r="N53" s="270"/>
      <c r="O53" s="99"/>
      <c r="P53" s="99"/>
      <c r="S53" s="76"/>
    </row>
    <row r="54" spans="1:27" s="98" customFormat="1" ht="15.95" customHeight="1">
      <c r="A54" s="98" t="s">
        <v>1533</v>
      </c>
      <c r="S54" s="274"/>
    </row>
    <row r="55" spans="1:27" ht="15" customHeight="1">
      <c r="A55" s="99"/>
      <c r="B55" s="99"/>
      <c r="C55" s="99"/>
      <c r="D55" s="99"/>
      <c r="E55" s="99"/>
      <c r="F55" s="99"/>
      <c r="G55" s="99"/>
      <c r="H55" s="99"/>
      <c r="I55" s="99"/>
      <c r="J55" s="99"/>
      <c r="K55" s="99"/>
      <c r="L55" s="99"/>
      <c r="M55" s="99"/>
      <c r="N55" s="99"/>
      <c r="O55" s="99"/>
      <c r="P55" s="99"/>
      <c r="Q55" s="99"/>
      <c r="R55" s="99"/>
      <c r="S55" s="218"/>
      <c r="T55" s="99"/>
      <c r="U55" s="99"/>
      <c r="V55" s="99"/>
      <c r="W55" s="99"/>
      <c r="X55" s="99"/>
    </row>
    <row r="56" spans="1:27" ht="15" customHeight="1">
      <c r="A56" s="99"/>
      <c r="B56" s="99"/>
      <c r="C56" s="99"/>
      <c r="D56" s="99"/>
      <c r="E56" s="99"/>
      <c r="F56" s="99"/>
      <c r="G56" s="99"/>
      <c r="H56" s="99"/>
      <c r="I56" s="99"/>
      <c r="J56" s="99"/>
      <c r="K56" s="99"/>
      <c r="L56" s="99"/>
      <c r="M56" s="99" t="s">
        <v>222</v>
      </c>
      <c r="N56" s="99" t="s">
        <v>221</v>
      </c>
      <c r="O56" s="99" t="s">
        <v>165</v>
      </c>
      <c r="P56" s="99"/>
      <c r="Q56" s="99" t="s">
        <v>168</v>
      </c>
      <c r="R56" s="99"/>
      <c r="S56" s="218" t="s">
        <v>167</v>
      </c>
      <c r="T56" s="99"/>
      <c r="U56" s="99"/>
      <c r="V56" s="99"/>
      <c r="W56" s="99"/>
      <c r="X56" s="99"/>
      <c r="AA56" s="275" t="s">
        <v>348</v>
      </c>
    </row>
    <row r="57" spans="1:27" ht="15" customHeight="1">
      <c r="A57" t="s">
        <v>2464</v>
      </c>
      <c r="B57"/>
      <c r="C57"/>
      <c r="D57"/>
      <c r="E57"/>
      <c r="F57"/>
      <c r="G57"/>
      <c r="H57"/>
      <c r="I57"/>
      <c r="J57"/>
      <c r="K57"/>
      <c r="L57"/>
      <c r="M57" s="99"/>
      <c r="N57" s="99"/>
      <c r="O57" s="99"/>
      <c r="P57" s="99"/>
      <c r="Q57" s="99"/>
      <c r="R57" s="99"/>
      <c r="S57" s="218"/>
      <c r="T57" s="99"/>
      <c r="U57" s="99"/>
      <c r="V57" s="99"/>
      <c r="W57" s="99"/>
      <c r="X57" s="99"/>
      <c r="AA57" s="275"/>
    </row>
    <row r="58" spans="1:27" ht="15" customHeight="1">
      <c r="A58"/>
      <c r="B58" t="s">
        <v>2700</v>
      </c>
      <c r="C58"/>
      <c r="D58"/>
      <c r="E58"/>
      <c r="F58"/>
      <c r="G58"/>
      <c r="H58"/>
      <c r="I58"/>
      <c r="J58"/>
      <c r="K58"/>
      <c r="L58"/>
      <c r="M58" s="687">
        <f>'User Inputs &amp; Results'!J104</f>
        <v>1</v>
      </c>
      <c r="N58" s="709">
        <f>'User Inputs &amp; Results'!K104</f>
        <v>1</v>
      </c>
      <c r="O58" s="99" t="s">
        <v>237</v>
      </c>
      <c r="P58" s="99"/>
      <c r="Q58" s="99"/>
      <c r="R58" s="99"/>
      <c r="S58" s="218"/>
      <c r="T58" s="99"/>
      <c r="U58" s="99"/>
      <c r="V58" s="99"/>
      <c r="W58" s="99"/>
      <c r="X58" s="99"/>
      <c r="AA58" s="275"/>
    </row>
    <row r="59" spans="1:27" ht="15" customHeight="1">
      <c r="A59"/>
      <c r="B59"/>
      <c r="C59" t="s">
        <v>271</v>
      </c>
      <c r="D59"/>
      <c r="E59"/>
      <c r="F59"/>
      <c r="G59"/>
      <c r="H59"/>
      <c r="I59"/>
      <c r="J59"/>
      <c r="K59"/>
      <c r="L59"/>
      <c r="M59" s="99"/>
      <c r="N59" s="99"/>
      <c r="O59" s="99"/>
      <c r="P59" s="99"/>
      <c r="Q59" s="99"/>
      <c r="R59" s="99"/>
      <c r="S59" s="218"/>
      <c r="T59" s="99"/>
      <c r="U59" s="99"/>
      <c r="V59" s="99"/>
      <c r="W59" s="99"/>
      <c r="X59" s="99"/>
      <c r="AA59" s="275"/>
    </row>
    <row r="60" spans="1:27" ht="15" customHeight="1">
      <c r="A60"/>
      <c r="B60"/>
      <c r="C60" t="s">
        <v>252</v>
      </c>
      <c r="D60"/>
      <c r="E60"/>
      <c r="F60"/>
      <c r="G60"/>
      <c r="H60"/>
      <c r="I60"/>
      <c r="J60"/>
      <c r="K60"/>
      <c r="L60"/>
      <c r="M60" s="99"/>
      <c r="N60" s="99"/>
      <c r="O60"/>
      <c r="P60" s="99"/>
      <c r="Q60" s="99"/>
      <c r="R60" s="99"/>
      <c r="S60" s="218"/>
      <c r="T60" s="99"/>
      <c r="U60" s="99"/>
      <c r="V60" s="99"/>
      <c r="W60" s="99"/>
      <c r="X60" s="99"/>
      <c r="AA60" s="275"/>
    </row>
    <row r="61" spans="1:27" ht="15" customHeight="1">
      <c r="A61"/>
      <c r="B61" t="s">
        <v>2701</v>
      </c>
      <c r="C61"/>
      <c r="D61"/>
      <c r="E61"/>
      <c r="F61"/>
      <c r="G61"/>
      <c r="H61"/>
      <c r="I61"/>
      <c r="J61"/>
      <c r="K61"/>
      <c r="L61"/>
      <c r="M61" s="687">
        <f>'User Inputs &amp; Results'!J105</f>
        <v>1</v>
      </c>
      <c r="N61" s="709">
        <f>'User Inputs &amp; Results'!K105</f>
        <v>1</v>
      </c>
      <c r="O61" t="s">
        <v>237</v>
      </c>
      <c r="P61" s="99"/>
      <c r="Q61" s="99"/>
      <c r="R61" s="99"/>
      <c r="S61" s="218"/>
      <c r="T61" s="99"/>
      <c r="U61" s="99"/>
      <c r="V61" s="99"/>
      <c r="W61" s="99"/>
      <c r="X61" s="99"/>
      <c r="AA61" s="275"/>
    </row>
    <row r="62" spans="1:27" ht="15" customHeight="1">
      <c r="A62"/>
      <c r="B62"/>
      <c r="C62" t="s">
        <v>271</v>
      </c>
      <c r="D62"/>
      <c r="E62"/>
      <c r="F62"/>
      <c r="G62"/>
      <c r="H62"/>
      <c r="I62"/>
      <c r="J62"/>
      <c r="K62"/>
      <c r="L62"/>
      <c r="M62"/>
      <c r="N62"/>
      <c r="O62"/>
      <c r="P62" s="99"/>
      <c r="Q62" s="99"/>
      <c r="R62" s="99"/>
      <c r="S62" s="218"/>
      <c r="T62" s="99"/>
      <c r="U62" s="99"/>
      <c r="V62" s="99"/>
      <c r="W62" s="99"/>
      <c r="X62" s="99"/>
      <c r="AA62" s="275"/>
    </row>
    <row r="63" spans="1:27" ht="15" customHeight="1">
      <c r="A63"/>
      <c r="B63"/>
      <c r="C63" t="s">
        <v>252</v>
      </c>
      <c r="D63"/>
      <c r="E63"/>
      <c r="F63"/>
      <c r="G63"/>
      <c r="H63"/>
      <c r="I63"/>
      <c r="J63"/>
      <c r="K63"/>
      <c r="L63"/>
      <c r="M63"/>
      <c r="N63"/>
      <c r="O63"/>
      <c r="P63" s="99"/>
      <c r="Q63" s="99"/>
      <c r="R63" s="99"/>
      <c r="S63" s="218"/>
      <c r="T63" s="99"/>
      <c r="U63" s="99"/>
      <c r="V63" s="99"/>
      <c r="W63" s="99"/>
      <c r="X63" s="99"/>
      <c r="AA63" s="275"/>
    </row>
    <row r="64" spans="1:27" ht="15" customHeight="1">
      <c r="A64"/>
      <c r="B64" t="s">
        <v>2702</v>
      </c>
      <c r="C64"/>
      <c r="D64"/>
      <c r="E64"/>
      <c r="F64"/>
      <c r="G64"/>
      <c r="H64"/>
      <c r="I64"/>
      <c r="J64"/>
      <c r="K64"/>
      <c r="L64"/>
      <c r="M64" s="687">
        <f>'User Inputs &amp; Results'!J106</f>
        <v>1</v>
      </c>
      <c r="N64" s="709">
        <f>'User Inputs &amp; Results'!K106</f>
        <v>1</v>
      </c>
      <c r="O64" t="s">
        <v>237</v>
      </c>
      <c r="P64" s="99"/>
      <c r="Q64" s="99"/>
      <c r="R64" s="99"/>
      <c r="S64" s="218"/>
      <c r="T64" s="99"/>
      <c r="U64" s="99"/>
      <c r="V64" s="99"/>
      <c r="W64" s="99"/>
      <c r="X64" s="99"/>
      <c r="AA64" s="275"/>
    </row>
    <row r="65" spans="1:27" ht="15" customHeight="1">
      <c r="A65"/>
      <c r="B65"/>
      <c r="C65" t="s">
        <v>271</v>
      </c>
      <c r="D65"/>
      <c r="E65"/>
      <c r="F65"/>
      <c r="G65"/>
      <c r="H65"/>
      <c r="I65"/>
      <c r="J65"/>
      <c r="K65"/>
      <c r="L65"/>
      <c r="M65"/>
      <c r="N65"/>
      <c r="O65"/>
      <c r="P65" s="99"/>
      <c r="Q65" s="99"/>
      <c r="R65" s="99"/>
      <c r="S65" s="218"/>
      <c r="T65" s="99"/>
      <c r="U65" s="99"/>
      <c r="V65" s="99"/>
      <c r="W65" s="99"/>
      <c r="X65" s="99"/>
      <c r="AA65" s="275"/>
    </row>
    <row r="66" spans="1:27" ht="15" customHeight="1">
      <c r="A66"/>
      <c r="B66"/>
      <c r="C66" t="s">
        <v>252</v>
      </c>
      <c r="D66"/>
      <c r="E66"/>
      <c r="F66"/>
      <c r="G66"/>
      <c r="H66"/>
      <c r="I66"/>
      <c r="J66"/>
      <c r="K66"/>
      <c r="L66"/>
      <c r="M66"/>
      <c r="N66"/>
      <c r="O66"/>
      <c r="P66" s="99"/>
      <c r="Q66" s="99"/>
      <c r="R66" s="99"/>
      <c r="S66" s="218"/>
      <c r="T66" s="99"/>
      <c r="U66" s="99"/>
      <c r="V66" s="99"/>
      <c r="W66" s="99"/>
      <c r="X66" s="99"/>
      <c r="AA66" s="275"/>
    </row>
    <row r="67" spans="1:27" ht="15" customHeight="1">
      <c r="A67"/>
      <c r="B67"/>
      <c r="C67"/>
      <c r="D67"/>
      <c r="E67"/>
      <c r="F67"/>
      <c r="G67"/>
      <c r="H67"/>
      <c r="I67"/>
      <c r="J67"/>
      <c r="K67"/>
      <c r="L67"/>
      <c r="M67"/>
      <c r="N67"/>
      <c r="O67"/>
      <c r="P67" s="99"/>
      <c r="Q67" s="99"/>
      <c r="R67" s="99"/>
      <c r="S67" s="218"/>
      <c r="T67" s="99"/>
      <c r="U67" s="99"/>
      <c r="V67" s="99"/>
      <c r="W67" s="99"/>
      <c r="X67" s="99"/>
      <c r="AA67" s="275"/>
    </row>
    <row r="68" spans="1:27" ht="15" customHeight="1">
      <c r="A68" t="s">
        <v>2465</v>
      </c>
      <c r="B68"/>
      <c r="C68"/>
      <c r="D68"/>
      <c r="E68"/>
      <c r="F68"/>
      <c r="G68"/>
      <c r="H68"/>
      <c r="I68"/>
      <c r="J68"/>
      <c r="K68"/>
      <c r="L68"/>
      <c r="M68"/>
      <c r="N68"/>
      <c r="O68"/>
      <c r="P68" s="99"/>
      <c r="Q68" s="99"/>
      <c r="R68" s="99"/>
      <c r="S68" s="218"/>
      <c r="T68" s="99"/>
      <c r="U68" s="99"/>
      <c r="V68" s="99"/>
      <c r="W68" s="99"/>
      <c r="X68" s="99"/>
    </row>
    <row r="69" spans="1:27" ht="15" customHeight="1">
      <c r="A69"/>
      <c r="B69" t="s">
        <v>2466</v>
      </c>
      <c r="C69"/>
      <c r="D69"/>
      <c r="E69"/>
      <c r="F69"/>
      <c r="G69"/>
      <c r="H69"/>
      <c r="I69"/>
      <c r="J69"/>
      <c r="K69"/>
      <c r="L69"/>
      <c r="M69"/>
      <c r="N69"/>
      <c r="O69"/>
      <c r="P69" s="99"/>
      <c r="Q69" s="211"/>
      <c r="R69" s="211"/>
      <c r="S69" s="218"/>
      <c r="T69" s="211"/>
      <c r="U69" s="99"/>
      <c r="V69" s="99"/>
      <c r="W69" s="99"/>
      <c r="X69" s="99"/>
    </row>
    <row r="70" spans="1:27" ht="15" customHeight="1">
      <c r="A70"/>
      <c r="B70"/>
      <c r="C70" t="s">
        <v>2467</v>
      </c>
      <c r="D70"/>
      <c r="E70"/>
      <c r="F70"/>
      <c r="G70"/>
      <c r="H70"/>
      <c r="I70"/>
      <c r="J70"/>
      <c r="K70"/>
      <c r="L70"/>
      <c r="M70" s="20">
        <v>1</v>
      </c>
      <c r="N70" s="21">
        <v>1</v>
      </c>
      <c r="O70" s="99" t="s">
        <v>237</v>
      </c>
      <c r="P70" s="99"/>
      <c r="Q70" s="211"/>
      <c r="R70" s="211"/>
      <c r="S70" s="218"/>
      <c r="T70" s="211"/>
      <c r="U70" s="99"/>
      <c r="V70" s="99"/>
      <c r="W70" s="99"/>
      <c r="X70" s="99"/>
    </row>
    <row r="71" spans="1:27" ht="15" customHeight="1">
      <c r="A71"/>
      <c r="B71"/>
      <c r="C71"/>
      <c r="D71" t="s">
        <v>249</v>
      </c>
      <c r="E71"/>
      <c r="F71"/>
      <c r="G71"/>
      <c r="H71"/>
      <c r="I71"/>
      <c r="J71"/>
      <c r="K71"/>
      <c r="L71"/>
      <c r="M71"/>
      <c r="N71"/>
      <c r="O71"/>
      <c r="P71" s="99"/>
      <c r="Q71" s="211"/>
      <c r="R71" s="211"/>
      <c r="S71" s="218"/>
      <c r="T71" s="211"/>
      <c r="U71" s="99"/>
      <c r="V71" s="99"/>
      <c r="W71" s="99"/>
      <c r="X71" s="99"/>
    </row>
    <row r="72" spans="1:27" ht="15" customHeight="1">
      <c r="A72"/>
      <c r="B72"/>
      <c r="C72"/>
      <c r="D72" t="s">
        <v>1788</v>
      </c>
      <c r="E72"/>
      <c r="F72"/>
      <c r="G72"/>
      <c r="H72"/>
      <c r="I72"/>
      <c r="J72"/>
      <c r="K72"/>
      <c r="L72"/>
      <c r="M72"/>
      <c r="N72"/>
      <c r="O72"/>
      <c r="P72" s="99"/>
      <c r="Q72" s="211"/>
      <c r="R72" s="211"/>
      <c r="S72" s="218"/>
      <c r="T72" s="211"/>
      <c r="U72" s="99"/>
      <c r="V72" s="99"/>
      <c r="W72" s="99"/>
      <c r="X72" s="99"/>
    </row>
    <row r="73" spans="1:27" ht="15" customHeight="1">
      <c r="A73"/>
      <c r="B73"/>
      <c r="C73"/>
      <c r="D73" t="s">
        <v>1789</v>
      </c>
      <c r="E73"/>
      <c r="F73"/>
      <c r="G73"/>
      <c r="H73"/>
      <c r="I73"/>
      <c r="J73"/>
      <c r="K73"/>
      <c r="L73"/>
      <c r="M73"/>
      <c r="N73"/>
      <c r="O73"/>
      <c r="P73" s="99"/>
      <c r="Q73" s="211"/>
      <c r="R73" s="211"/>
      <c r="S73" s="218"/>
      <c r="T73" s="211"/>
      <c r="U73" s="99"/>
      <c r="V73" s="99"/>
      <c r="W73" s="99"/>
      <c r="X73" s="99"/>
    </row>
    <row r="74" spans="1:27" ht="15" customHeight="1">
      <c r="A74"/>
      <c r="B74"/>
      <c r="C74"/>
      <c r="D74" t="s">
        <v>250</v>
      </c>
      <c r="E74"/>
      <c r="F74"/>
      <c r="G74"/>
      <c r="H74"/>
      <c r="I74"/>
      <c r="J74"/>
      <c r="K74"/>
      <c r="L74"/>
      <c r="M74"/>
      <c r="N74"/>
      <c r="O74"/>
      <c r="P74" s="99"/>
      <c r="Q74" s="211"/>
      <c r="R74" s="211"/>
      <c r="S74" s="218"/>
      <c r="T74" s="211"/>
      <c r="U74" s="99"/>
      <c r="V74" s="99"/>
      <c r="W74" s="99"/>
      <c r="X74" s="99"/>
    </row>
    <row r="75" spans="1:27" ht="15" customHeight="1">
      <c r="A75"/>
      <c r="B75"/>
      <c r="C75"/>
      <c r="D75" t="s">
        <v>251</v>
      </c>
      <c r="E75"/>
      <c r="F75"/>
      <c r="G75"/>
      <c r="H75"/>
      <c r="I75"/>
      <c r="J75"/>
      <c r="K75"/>
      <c r="L75"/>
      <c r="M75"/>
      <c r="N75"/>
      <c r="O75"/>
      <c r="P75" s="99"/>
      <c r="Q75" s="211"/>
      <c r="R75" s="211"/>
      <c r="S75" s="218"/>
      <c r="T75" s="211"/>
      <c r="U75" s="99"/>
      <c r="V75" s="99"/>
      <c r="W75" s="99"/>
      <c r="X75" s="99"/>
    </row>
    <row r="76" spans="1:27" ht="15" customHeight="1">
      <c r="A76"/>
      <c r="B76"/>
      <c r="C76"/>
      <c r="D76" t="s">
        <v>253</v>
      </c>
      <c r="E76"/>
      <c r="F76"/>
      <c r="G76"/>
      <c r="H76"/>
      <c r="I76"/>
      <c r="J76"/>
      <c r="K76"/>
      <c r="L76"/>
      <c r="M76"/>
      <c r="N76"/>
      <c r="O76"/>
      <c r="P76" s="99"/>
      <c r="Q76" s="211"/>
      <c r="R76" s="211"/>
      <c r="S76" s="218"/>
      <c r="T76" s="211"/>
      <c r="U76" s="99"/>
      <c r="V76" s="99"/>
      <c r="W76" s="99"/>
      <c r="X76" s="99"/>
    </row>
    <row r="77" spans="1:27" ht="15" customHeight="1">
      <c r="A77"/>
      <c r="B77"/>
      <c r="C77" t="s">
        <v>2468</v>
      </c>
      <c r="D77"/>
      <c r="E77"/>
      <c r="F77"/>
      <c r="G77"/>
      <c r="H77"/>
      <c r="I77"/>
      <c r="J77"/>
      <c r="K77"/>
      <c r="L77"/>
      <c r="M77" s="20">
        <v>2.0499999999999998</v>
      </c>
      <c r="N77" s="21">
        <f>IF(M70=1,2.05, IF(M70=2,1.45,IF(M70=3,0.95,IF(M70=4,1.28,IF(M70=5,1.25,"User")))))</f>
        <v>2.0499999999999998</v>
      </c>
      <c r="O77" s="634" t="s">
        <v>2279</v>
      </c>
      <c r="P77" s="99"/>
      <c r="Q77" s="211"/>
      <c r="R77" s="211"/>
      <c r="S77" s="218" t="s">
        <v>255</v>
      </c>
      <c r="T77" s="211"/>
      <c r="U77" s="99"/>
      <c r="V77" s="99"/>
      <c r="W77" s="99"/>
      <c r="X77" s="99"/>
    </row>
    <row r="78" spans="1:27" ht="15" customHeight="1">
      <c r="A78"/>
      <c r="B78"/>
      <c r="C78" t="s">
        <v>1620</v>
      </c>
      <c r="D78"/>
      <c r="E78"/>
      <c r="F78"/>
      <c r="G78"/>
      <c r="H78"/>
      <c r="I78"/>
      <c r="J78"/>
      <c r="K78"/>
      <c r="L78"/>
      <c r="M78" s="20">
        <v>350</v>
      </c>
      <c r="N78" s="21">
        <v>350</v>
      </c>
      <c r="O78" s="99" t="s">
        <v>219</v>
      </c>
      <c r="P78" s="99"/>
      <c r="Q78" s="211"/>
      <c r="R78" s="211"/>
      <c r="S78" s="218" t="s">
        <v>256</v>
      </c>
      <c r="T78" s="211"/>
      <c r="U78" s="99"/>
      <c r="V78" s="99"/>
      <c r="W78" s="99"/>
      <c r="X78" s="99"/>
      <c r="AA78" s="88" t="s">
        <v>1070</v>
      </c>
    </row>
    <row r="79" spans="1:27" ht="15" customHeight="1">
      <c r="A79"/>
      <c r="B79" t="s">
        <v>2469</v>
      </c>
      <c r="C79"/>
      <c r="D79"/>
      <c r="E79"/>
      <c r="F79"/>
      <c r="G79"/>
      <c r="H79"/>
      <c r="I79"/>
      <c r="J79"/>
      <c r="K79"/>
      <c r="L79"/>
      <c r="M79" s="14">
        <f>ElecMotEff(M226)/'Input data'!E53</f>
        <v>0.77096110352026936</v>
      </c>
      <c r="N79" s="210">
        <f>ElecMotEff(M226)/'Input data'!E53</f>
        <v>0.77096110352026936</v>
      </c>
      <c r="O79" s="100" t="s">
        <v>870</v>
      </c>
      <c r="P79" s="99"/>
      <c r="Q79" s="211"/>
      <c r="R79" s="211"/>
      <c r="S79" s="218"/>
      <c r="T79" s="211"/>
      <c r="U79" s="99"/>
      <c r="V79" s="99"/>
      <c r="W79" s="99"/>
      <c r="X79" s="99"/>
      <c r="AA79" s="88" t="s">
        <v>1071</v>
      </c>
    </row>
    <row r="80" spans="1:27" ht="15" customHeight="1">
      <c r="A80"/>
      <c r="B80" t="s">
        <v>2470</v>
      </c>
      <c r="C80"/>
      <c r="D80"/>
      <c r="E80"/>
      <c r="F80"/>
      <c r="G80"/>
      <c r="H80"/>
      <c r="I80"/>
      <c r="J80"/>
      <c r="K80"/>
      <c r="L80"/>
      <c r="M80" s="14">
        <f>ElecMotEff(M235)/'Input data'!E53</f>
        <v>0.77096110352026936</v>
      </c>
      <c r="N80" s="210">
        <f>ElecMotEff(M235)/'Input data'!E53</f>
        <v>0.77096110352026936</v>
      </c>
      <c r="O80" s="100" t="s">
        <v>870</v>
      </c>
      <c r="P80" s="99"/>
      <c r="Q80" s="211"/>
      <c r="R80" s="211"/>
      <c r="S80" s="218"/>
      <c r="T80" s="211"/>
      <c r="U80" s="99"/>
      <c r="V80" s="99"/>
      <c r="W80" s="99"/>
      <c r="X80" s="99"/>
      <c r="AA80" s="88" t="s">
        <v>1071</v>
      </c>
    </row>
    <row r="81" spans="1:24" ht="15" customHeight="1">
      <c r="A81"/>
      <c r="B81" t="s">
        <v>2471</v>
      </c>
      <c r="C81"/>
      <c r="D81"/>
      <c r="E81"/>
      <c r="F81"/>
      <c r="G81"/>
      <c r="H81"/>
      <c r="I81"/>
      <c r="J81"/>
      <c r="K81"/>
      <c r="L81"/>
      <c r="Q81" s="211"/>
      <c r="R81" s="211"/>
      <c r="S81" s="218"/>
      <c r="T81" s="211"/>
      <c r="U81" s="99"/>
      <c r="V81" s="99"/>
      <c r="W81" s="99"/>
      <c r="X81" s="99"/>
    </row>
    <row r="82" spans="1:24" ht="15" customHeight="1">
      <c r="A82"/>
      <c r="B82"/>
      <c r="C82" t="s">
        <v>2472</v>
      </c>
      <c r="D82"/>
      <c r="E82"/>
      <c r="F82"/>
      <c r="G82"/>
      <c r="H82"/>
      <c r="I82"/>
      <c r="J82"/>
      <c r="K82"/>
      <c r="L82"/>
      <c r="M82" s="14">
        <f>N82</f>
        <v>1.25</v>
      </c>
      <c r="N82" s="210">
        <f>1/0.8</f>
        <v>1.25</v>
      </c>
      <c r="O82" s="666" t="s">
        <v>354</v>
      </c>
      <c r="P82" s="99"/>
      <c r="Q82" s="211"/>
      <c r="R82" s="211"/>
      <c r="S82" s="218"/>
      <c r="T82" s="211"/>
      <c r="U82" s="99"/>
      <c r="V82" s="99"/>
      <c r="W82" s="99"/>
      <c r="X82" s="99"/>
    </row>
    <row r="83" spans="1:24" ht="15" customHeight="1">
      <c r="A83"/>
      <c r="B83"/>
      <c r="C83" t="s">
        <v>2473</v>
      </c>
      <c r="D83"/>
      <c r="E83"/>
      <c r="F83"/>
      <c r="G83"/>
      <c r="H83"/>
      <c r="I83"/>
      <c r="J83"/>
      <c r="K83"/>
      <c r="L83"/>
      <c r="M83" s="20">
        <v>1</v>
      </c>
      <c r="N83" s="21">
        <v>1</v>
      </c>
      <c r="O83" s="99" t="s">
        <v>237</v>
      </c>
      <c r="P83" s="99"/>
      <c r="Q83" s="211"/>
      <c r="R83" s="211"/>
      <c r="S83" s="218"/>
      <c r="T83" s="211"/>
      <c r="U83" s="99"/>
      <c r="V83" s="99"/>
      <c r="W83" s="99"/>
      <c r="X83" s="99"/>
    </row>
    <row r="84" spans="1:24" ht="15" customHeight="1">
      <c r="A84"/>
      <c r="B84"/>
      <c r="C84"/>
      <c r="D84" t="s">
        <v>223</v>
      </c>
      <c r="E84" t="s">
        <v>1010</v>
      </c>
      <c r="F84"/>
      <c r="G84"/>
      <c r="H84"/>
      <c r="I84"/>
      <c r="J84"/>
      <c r="K84"/>
      <c r="L84"/>
      <c r="M84" s="270"/>
      <c r="N84" s="99"/>
      <c r="O84" s="99"/>
      <c r="P84" s="99"/>
      <c r="Q84" s="211"/>
      <c r="R84" s="211"/>
      <c r="S84" s="218"/>
      <c r="T84" s="211"/>
      <c r="U84" s="99"/>
      <c r="V84" s="99"/>
      <c r="W84" s="99"/>
      <c r="X84" s="99"/>
    </row>
    <row r="85" spans="1:24" ht="15" customHeight="1">
      <c r="A85"/>
      <c r="B85"/>
      <c r="C85"/>
      <c r="D85" t="s">
        <v>224</v>
      </c>
      <c r="E85" t="s">
        <v>229</v>
      </c>
      <c r="F85"/>
      <c r="G85"/>
      <c r="H85"/>
      <c r="I85"/>
      <c r="J85"/>
      <c r="K85"/>
      <c r="L85"/>
      <c r="M85" s="270"/>
      <c r="N85" s="99"/>
      <c r="O85" s="99"/>
      <c r="P85" s="99"/>
      <c r="Q85" s="211"/>
      <c r="R85" s="211"/>
      <c r="S85" s="218"/>
      <c r="T85" s="211"/>
      <c r="U85" s="99"/>
      <c r="V85" s="99"/>
      <c r="W85" s="99"/>
      <c r="X85" s="99"/>
    </row>
    <row r="86" spans="1:24" ht="15" customHeight="1">
      <c r="A86"/>
      <c r="B86"/>
      <c r="C86"/>
      <c r="D86"/>
      <c r="E86"/>
      <c r="F86"/>
      <c r="G86"/>
      <c r="H86"/>
      <c r="I86"/>
      <c r="J86"/>
      <c r="K86"/>
      <c r="L86"/>
      <c r="M86" s="276"/>
      <c r="N86" s="268"/>
      <c r="O86" s="99"/>
      <c r="P86" s="99"/>
      <c r="Q86" s="72"/>
      <c r="R86" s="211"/>
      <c r="S86" s="218"/>
      <c r="T86" s="211"/>
      <c r="U86" s="99"/>
      <c r="V86" s="99"/>
      <c r="W86" s="99"/>
      <c r="X86" s="99"/>
    </row>
    <row r="87" spans="1:24" ht="15" customHeight="1">
      <c r="A87" s="666" t="s">
        <v>2474</v>
      </c>
      <c r="B87" s="99"/>
      <c r="C87" s="99"/>
      <c r="D87" s="99"/>
      <c r="E87" s="99"/>
      <c r="F87" s="99"/>
      <c r="G87" s="99"/>
      <c r="H87" s="99"/>
      <c r="I87" s="99"/>
      <c r="J87" s="99"/>
      <c r="K87" s="99"/>
      <c r="L87" s="99"/>
      <c r="M87" s="230"/>
      <c r="N87" s="230"/>
      <c r="O87" s="99"/>
      <c r="P87" s="99"/>
      <c r="Q87" s="211"/>
      <c r="R87" s="211"/>
      <c r="S87" s="218"/>
      <c r="T87" s="211"/>
      <c r="U87" s="99"/>
      <c r="V87" s="99"/>
      <c r="W87" s="99"/>
      <c r="X87" s="99"/>
    </row>
    <row r="88" spans="1:24" ht="15" customHeight="1">
      <c r="B88" s="666" t="s">
        <v>2475</v>
      </c>
      <c r="C88" s="99"/>
      <c r="D88" s="99"/>
      <c r="E88" s="99"/>
      <c r="F88" s="99"/>
      <c r="G88" s="99"/>
      <c r="H88" s="99"/>
      <c r="I88" s="99"/>
      <c r="J88" s="99"/>
      <c r="K88" s="99"/>
      <c r="L88" s="99"/>
      <c r="M88" s="277"/>
      <c r="N88" s="278"/>
      <c r="O88" s="99"/>
      <c r="P88" s="99"/>
      <c r="Q88" s="211"/>
      <c r="R88" s="211"/>
      <c r="S88" s="218"/>
      <c r="T88" s="211"/>
      <c r="U88" s="99"/>
      <c r="V88" s="99"/>
      <c r="W88" s="99"/>
      <c r="X88" s="99"/>
    </row>
    <row r="89" spans="1:24" ht="15" customHeight="1">
      <c r="C89" s="651" t="s">
        <v>2476</v>
      </c>
      <c r="D89" s="99"/>
      <c r="E89" s="99"/>
      <c r="F89" s="99"/>
      <c r="G89" s="99"/>
      <c r="J89" s="99"/>
      <c r="K89" s="99"/>
      <c r="L89" s="99"/>
      <c r="M89" s="20">
        <v>99</v>
      </c>
      <c r="N89" s="21">
        <v>99</v>
      </c>
      <c r="O89" s="100" t="s">
        <v>207</v>
      </c>
      <c r="P89" s="99"/>
      <c r="Q89" s="211"/>
      <c r="R89" s="211"/>
      <c r="S89" s="218" t="s">
        <v>257</v>
      </c>
      <c r="T89" s="211"/>
      <c r="U89" s="99"/>
      <c r="V89" s="99"/>
      <c r="W89" s="99"/>
      <c r="X89" s="99"/>
    </row>
    <row r="90" spans="1:24" ht="15" customHeight="1">
      <c r="C90" s="651" t="s">
        <v>2477</v>
      </c>
      <c r="D90" s="99"/>
      <c r="E90" s="99"/>
      <c r="F90" s="99"/>
      <c r="G90" s="99"/>
      <c r="H90" s="251"/>
      <c r="J90" s="99"/>
      <c r="K90" s="99"/>
      <c r="L90" s="99"/>
      <c r="M90" s="20">
        <v>2</v>
      </c>
      <c r="N90" s="21">
        <v>2</v>
      </c>
      <c r="O90" s="99" t="s">
        <v>888</v>
      </c>
      <c r="P90" s="99"/>
      <c r="Q90" s="211"/>
      <c r="R90" s="211"/>
      <c r="S90" s="218" t="s">
        <v>258</v>
      </c>
      <c r="T90" s="211"/>
      <c r="U90" s="99"/>
      <c r="V90" s="99"/>
      <c r="W90" s="99"/>
      <c r="X90" s="99"/>
    </row>
    <row r="91" spans="1:24" ht="15" customHeight="1">
      <c r="C91" s="651" t="s">
        <v>2478</v>
      </c>
      <c r="D91" s="257"/>
      <c r="E91" s="257"/>
      <c r="F91" s="257"/>
      <c r="G91" s="99"/>
      <c r="J91" s="266"/>
      <c r="K91" s="267"/>
      <c r="L91" s="99"/>
      <c r="M91" s="20">
        <v>786</v>
      </c>
      <c r="N91" s="21">
        <v>786</v>
      </c>
      <c r="O91" s="99" t="s">
        <v>219</v>
      </c>
      <c r="P91" s="99"/>
      <c r="Q91" s="211"/>
      <c r="R91" s="211"/>
      <c r="S91" s="218" t="s">
        <v>259</v>
      </c>
      <c r="T91" s="211"/>
      <c r="U91" s="99"/>
      <c r="V91" s="99"/>
      <c r="W91" s="99"/>
      <c r="X91" s="99"/>
    </row>
    <row r="92" spans="1:24" ht="15" customHeight="1">
      <c r="B92" s="666" t="s">
        <v>2479</v>
      </c>
      <c r="H92" s="69"/>
      <c r="M92" s="280"/>
      <c r="N92" s="269"/>
      <c r="Q92" s="72"/>
      <c r="R92" s="72"/>
      <c r="S92" s="76"/>
      <c r="T92" s="72"/>
    </row>
    <row r="93" spans="1:24" ht="15" customHeight="1">
      <c r="C93" s="666" t="s">
        <v>2480</v>
      </c>
      <c r="M93" s="20">
        <v>1</v>
      </c>
      <c r="N93" s="21">
        <v>1</v>
      </c>
      <c r="O93" s="11" t="s">
        <v>237</v>
      </c>
      <c r="Q93" s="72"/>
      <c r="R93" s="72"/>
      <c r="S93" s="72"/>
      <c r="T93" s="72"/>
    </row>
    <row r="94" spans="1:24" ht="15" customHeight="1">
      <c r="B94" s="99"/>
      <c r="D94" s="92" t="s">
        <v>1337</v>
      </c>
      <c r="M94" s="280"/>
      <c r="N94" s="280"/>
      <c r="Q94" s="72"/>
      <c r="R94" s="72"/>
      <c r="S94" s="72"/>
      <c r="T94" s="72"/>
    </row>
    <row r="95" spans="1:24" ht="15" customHeight="1">
      <c r="B95" s="99"/>
      <c r="D95" s="11" t="s">
        <v>260</v>
      </c>
      <c r="M95" s="277"/>
      <c r="N95" s="277"/>
      <c r="Q95" s="72"/>
      <c r="R95" s="72"/>
      <c r="S95" s="72"/>
      <c r="T95" s="72"/>
    </row>
    <row r="96" spans="1:24" ht="15" customHeight="1">
      <c r="C96" s="666" t="s">
        <v>2481</v>
      </c>
      <c r="M96" s="20">
        <v>75</v>
      </c>
      <c r="N96" s="21">
        <v>75</v>
      </c>
      <c r="O96" s="11" t="s">
        <v>166</v>
      </c>
      <c r="Q96" s="72"/>
      <c r="R96" s="72"/>
      <c r="S96" s="72"/>
      <c r="T96" s="72"/>
    </row>
    <row r="97" spans="1:27" ht="15" customHeight="1">
      <c r="C97" s="666" t="s">
        <v>2482</v>
      </c>
      <c r="M97" s="14">
        <f>ElecMotEff(M288)/'Input data'!E53</f>
        <v>0.80775304515159729</v>
      </c>
      <c r="N97" s="210">
        <f>ElecMotEff(M288)/'Input data'!E53</f>
        <v>0.80775304515159729</v>
      </c>
      <c r="O97" s="92" t="s">
        <v>870</v>
      </c>
      <c r="Q97" s="72"/>
      <c r="R97" s="72"/>
      <c r="S97" s="72"/>
      <c r="T97" s="72"/>
      <c r="AA97" s="88" t="s">
        <v>1072</v>
      </c>
    </row>
    <row r="98" spans="1:27" ht="15" customHeight="1">
      <c r="B98" s="643" t="s">
        <v>2483</v>
      </c>
      <c r="C98" s="99"/>
      <c r="M98" s="268"/>
      <c r="N98" s="268"/>
      <c r="Q98" s="72"/>
      <c r="R98" s="72"/>
      <c r="S98" s="72"/>
      <c r="T98" s="72"/>
    </row>
    <row r="99" spans="1:27" ht="15" customHeight="1">
      <c r="C99" s="666" t="s">
        <v>2484</v>
      </c>
      <c r="D99" s="99"/>
      <c r="E99" s="99"/>
      <c r="F99" s="99"/>
      <c r="G99" s="99"/>
      <c r="I99" s="266"/>
      <c r="J99" s="267"/>
      <c r="K99" s="99"/>
      <c r="M99" s="20">
        <v>1</v>
      </c>
      <c r="N99" s="21">
        <v>1</v>
      </c>
      <c r="O99" s="99" t="s">
        <v>237</v>
      </c>
      <c r="P99" s="99"/>
      <c r="Q99" s="72"/>
      <c r="R99" s="72"/>
      <c r="S99" s="72"/>
      <c r="T99" s="72"/>
    </row>
    <row r="100" spans="1:27" ht="15" customHeight="1">
      <c r="C100" s="99"/>
      <c r="D100" s="99" t="s">
        <v>343</v>
      </c>
      <c r="E100" s="99"/>
      <c r="F100" s="99"/>
      <c r="G100" s="99"/>
      <c r="I100" s="266"/>
      <c r="J100" s="267"/>
      <c r="K100" s="99"/>
      <c r="M100" s="268"/>
      <c r="N100" s="270"/>
      <c r="O100" s="99"/>
      <c r="P100" s="99"/>
      <c r="Q100" s="72"/>
      <c r="R100" s="72"/>
      <c r="S100" s="72"/>
      <c r="T100" s="72"/>
    </row>
    <row r="101" spans="1:27" ht="15" customHeight="1">
      <c r="C101" s="99"/>
      <c r="D101" s="99" t="s">
        <v>344</v>
      </c>
      <c r="E101" s="99"/>
      <c r="F101" s="99"/>
      <c r="G101" s="99"/>
      <c r="I101" s="266"/>
      <c r="J101" s="267"/>
      <c r="K101" s="99"/>
      <c r="M101" s="268"/>
      <c r="N101" s="270"/>
      <c r="O101" s="99"/>
      <c r="P101" s="99"/>
      <c r="Q101" s="72"/>
      <c r="R101" s="72"/>
      <c r="S101" s="72"/>
      <c r="T101" s="72"/>
    </row>
    <row r="102" spans="1:27" ht="15" customHeight="1">
      <c r="C102" s="666" t="s">
        <v>2485</v>
      </c>
      <c r="D102" s="99"/>
      <c r="E102" s="99"/>
      <c r="F102" s="99"/>
      <c r="G102" s="99"/>
      <c r="I102" s="266"/>
      <c r="J102" s="267"/>
      <c r="K102" s="99"/>
      <c r="M102" s="14">
        <f>N102</f>
        <v>1.25</v>
      </c>
      <c r="N102" s="210">
        <f>1/0.8</f>
        <v>1.25</v>
      </c>
      <c r="O102" s="666" t="s">
        <v>354</v>
      </c>
      <c r="P102" s="99"/>
      <c r="Q102" s="72"/>
      <c r="R102" s="72"/>
      <c r="S102" s="72"/>
      <c r="T102" s="72"/>
    </row>
    <row r="103" spans="1:27" ht="15" customHeight="1">
      <c r="C103" s="99"/>
      <c r="D103" s="99"/>
      <c r="E103" s="99"/>
      <c r="F103" s="99"/>
      <c r="G103" s="99"/>
      <c r="I103" s="266"/>
      <c r="J103" s="267"/>
      <c r="K103" s="99"/>
      <c r="M103" s="35">
        <v>366.33680555555554</v>
      </c>
      <c r="N103" s="39">
        <f>(N102/'Input data'!$E$54)*1000</f>
        <v>366.33680555555554</v>
      </c>
      <c r="O103" s="99" t="s">
        <v>346</v>
      </c>
      <c r="P103" s="99"/>
      <c r="Q103" s="72"/>
      <c r="R103" s="72"/>
      <c r="S103" s="72"/>
      <c r="T103" s="72"/>
    </row>
    <row r="104" spans="1:27" ht="15" customHeight="1">
      <c r="C104" s="99"/>
      <c r="D104" s="99"/>
      <c r="E104" s="99"/>
      <c r="F104" s="99"/>
      <c r="G104" s="99"/>
      <c r="I104" s="266"/>
      <c r="J104" s="267"/>
      <c r="K104" s="99"/>
      <c r="M104" s="37"/>
      <c r="N104" s="281"/>
      <c r="O104" s="99"/>
      <c r="P104" s="99"/>
      <c r="Q104" s="72"/>
      <c r="R104" s="72"/>
      <c r="S104" s="72"/>
      <c r="T104" s="72"/>
    </row>
    <row r="105" spans="1:27" ht="15" customHeight="1">
      <c r="C105" s="666" t="s">
        <v>2486</v>
      </c>
      <c r="D105" s="99"/>
      <c r="E105" s="99"/>
      <c r="F105" s="99"/>
      <c r="G105" s="99"/>
      <c r="I105" s="266"/>
      <c r="J105" s="267"/>
      <c r="K105" s="99"/>
      <c r="M105" s="20">
        <v>1</v>
      </c>
      <c r="N105" s="21">
        <v>1</v>
      </c>
      <c r="O105" s="99" t="s">
        <v>237</v>
      </c>
      <c r="P105" s="99"/>
      <c r="Q105" s="72"/>
      <c r="R105" s="72"/>
      <c r="S105" s="72"/>
      <c r="T105" s="72"/>
    </row>
    <row r="106" spans="1:27" ht="15" customHeight="1">
      <c r="D106" s="99" t="s">
        <v>223</v>
      </c>
      <c r="E106" s="59" t="s">
        <v>1010</v>
      </c>
      <c r="F106" s="99"/>
      <c r="G106" s="99"/>
      <c r="I106" s="266"/>
      <c r="J106" s="267"/>
      <c r="K106" s="99"/>
      <c r="L106" s="268"/>
      <c r="M106" s="270"/>
      <c r="N106" s="99"/>
      <c r="O106" s="99"/>
      <c r="P106" s="99"/>
    </row>
    <row r="107" spans="1:27" ht="15" customHeight="1">
      <c r="D107" s="99" t="s">
        <v>224</v>
      </c>
      <c r="E107" s="99" t="s">
        <v>229</v>
      </c>
      <c r="F107" s="99"/>
      <c r="G107" s="99"/>
      <c r="I107" s="266"/>
      <c r="J107" s="267"/>
      <c r="K107" s="99"/>
      <c r="L107" s="268"/>
      <c r="M107" s="270"/>
      <c r="N107" s="99"/>
      <c r="O107" s="99"/>
      <c r="P107" s="99"/>
    </row>
    <row r="108" spans="1:27" ht="15" customHeight="1">
      <c r="D108" s="99" t="s">
        <v>225</v>
      </c>
      <c r="E108" s="99" t="s">
        <v>230</v>
      </c>
      <c r="F108" s="99"/>
      <c r="G108" s="99"/>
      <c r="I108" s="266"/>
      <c r="J108" s="267"/>
      <c r="K108" s="99"/>
      <c r="L108" s="282"/>
      <c r="M108" s="283"/>
      <c r="N108" s="99"/>
      <c r="O108" s="99"/>
      <c r="P108" s="99"/>
    </row>
    <row r="109" spans="1:27" ht="15" customHeight="1">
      <c r="A109" s="643" t="s">
        <v>2487</v>
      </c>
      <c r="C109" s="99"/>
      <c r="D109" s="99"/>
      <c r="E109" s="99"/>
      <c r="F109" s="99"/>
      <c r="G109" s="99"/>
      <c r="I109" s="266"/>
      <c r="J109" s="267"/>
      <c r="K109" s="99"/>
      <c r="L109" s="282"/>
      <c r="M109" s="283"/>
      <c r="N109" s="99"/>
      <c r="O109" s="99"/>
      <c r="P109" s="99"/>
    </row>
    <row r="110" spans="1:27" ht="15" customHeight="1">
      <c r="B110" s="643" t="s">
        <v>2488</v>
      </c>
      <c r="C110" s="99"/>
      <c r="D110" s="99"/>
      <c r="E110" s="99"/>
      <c r="F110" s="99"/>
      <c r="G110" s="99"/>
      <c r="I110" s="266"/>
      <c r="J110" s="267"/>
      <c r="K110" s="99"/>
      <c r="L110" s="282"/>
      <c r="P110" s="99"/>
    </row>
    <row r="111" spans="1:27" ht="15" customHeight="1">
      <c r="C111" s="666" t="s">
        <v>2489</v>
      </c>
      <c r="D111" s="99"/>
      <c r="E111" s="99"/>
      <c r="F111" s="99"/>
      <c r="G111" s="99"/>
      <c r="I111" s="266"/>
      <c r="J111" s="267"/>
      <c r="K111" s="99"/>
      <c r="L111" s="282"/>
      <c r="M111" s="20">
        <v>90.2</v>
      </c>
      <c r="N111" s="21">
        <v>90.2</v>
      </c>
      <c r="O111" s="59" t="s">
        <v>166</v>
      </c>
      <c r="P111" s="99"/>
      <c r="S111" s="643" t="s">
        <v>2503</v>
      </c>
    </row>
    <row r="112" spans="1:27" ht="15" customHeight="1">
      <c r="C112" s="666" t="s">
        <v>2490</v>
      </c>
      <c r="D112" s="99"/>
      <c r="E112" s="99"/>
      <c r="F112" s="99"/>
      <c r="G112" s="99"/>
      <c r="I112" s="266"/>
      <c r="J112" s="267"/>
      <c r="K112" s="99"/>
      <c r="L112" s="282"/>
      <c r="M112" s="20">
        <v>100</v>
      </c>
      <c r="N112" s="21">
        <v>100</v>
      </c>
      <c r="O112" s="59" t="s">
        <v>166</v>
      </c>
      <c r="P112" s="99"/>
    </row>
    <row r="113" spans="1:28" ht="15" customHeight="1">
      <c r="C113" s="666" t="s">
        <v>2491</v>
      </c>
      <c r="D113" s="99"/>
      <c r="E113" s="99"/>
      <c r="F113" s="99"/>
      <c r="G113" s="99"/>
      <c r="I113" s="266"/>
      <c r="J113" s="267"/>
      <c r="K113" s="99"/>
      <c r="L113" s="282"/>
      <c r="M113" s="20">
        <v>100</v>
      </c>
      <c r="N113" s="21">
        <v>100</v>
      </c>
      <c r="O113" s="59" t="s">
        <v>166</v>
      </c>
      <c r="P113" s="99"/>
    </row>
    <row r="114" spans="1:28" ht="15" customHeight="1">
      <c r="B114" s="643" t="s">
        <v>2505</v>
      </c>
      <c r="C114" s="666"/>
      <c r="D114" s="99"/>
      <c r="E114" s="99"/>
      <c r="F114" s="99"/>
      <c r="G114" s="99"/>
      <c r="I114" s="266"/>
      <c r="J114" s="267"/>
      <c r="K114" s="99"/>
      <c r="L114" s="282"/>
      <c r="M114" s="125"/>
      <c r="N114" s="710"/>
      <c r="O114" s="59"/>
      <c r="P114" s="99"/>
      <c r="AA114" s="88" t="s">
        <v>3769</v>
      </c>
    </row>
    <row r="115" spans="1:28" ht="15" customHeight="1">
      <c r="C115" s="666" t="s">
        <v>2504</v>
      </c>
      <c r="D115" s="99"/>
      <c r="E115" s="99"/>
      <c r="F115" s="99"/>
      <c r="G115" s="99"/>
      <c r="I115" s="266"/>
      <c r="J115" s="267"/>
      <c r="K115" s="99"/>
      <c r="L115" s="282"/>
      <c r="M115" s="672">
        <f>N115</f>
        <v>3.6345939131811611</v>
      </c>
      <c r="N115" s="673">
        <v>3.6345939131811611</v>
      </c>
      <c r="O115" s="666" t="s">
        <v>3770</v>
      </c>
      <c r="P115" s="99"/>
      <c r="Q115" s="257"/>
      <c r="S115" s="643" t="s">
        <v>2503</v>
      </c>
      <c r="AA115" s="88" t="s">
        <v>3771</v>
      </c>
    </row>
    <row r="116" spans="1:28" ht="15" customHeight="1">
      <c r="C116" s="666" t="s">
        <v>3768</v>
      </c>
      <c r="D116" s="99"/>
      <c r="E116" s="99"/>
      <c r="F116" s="99"/>
      <c r="G116" s="99"/>
      <c r="I116" s="266"/>
      <c r="J116" s="267"/>
      <c r="K116" s="99"/>
      <c r="L116" s="282"/>
      <c r="M116" s="672">
        <f>N116</f>
        <v>0.58310991957104563</v>
      </c>
      <c r="N116" s="673">
        <v>0.58310991957104563</v>
      </c>
      <c r="O116" s="666" t="s">
        <v>2508</v>
      </c>
      <c r="P116" s="99"/>
      <c r="S116" s="643" t="s">
        <v>2503</v>
      </c>
      <c r="AA116" s="88" t="s">
        <v>3772</v>
      </c>
    </row>
    <row r="117" spans="1:28" ht="15" customHeight="1">
      <c r="B117" s="643" t="s">
        <v>2506</v>
      </c>
      <c r="C117" s="666"/>
      <c r="D117" s="99"/>
      <c r="E117" s="99"/>
      <c r="F117" s="99"/>
      <c r="G117" s="99"/>
      <c r="I117" s="266"/>
      <c r="J117" s="267"/>
      <c r="K117" s="99"/>
      <c r="L117" s="282"/>
      <c r="M117" s="711"/>
      <c r="N117" s="712"/>
      <c r="O117" s="666"/>
      <c r="P117" s="99"/>
      <c r="S117" s="643"/>
    </row>
    <row r="118" spans="1:28" ht="15" customHeight="1">
      <c r="B118" s="643"/>
      <c r="C118" s="666" t="s">
        <v>2509</v>
      </c>
      <c r="D118" s="99"/>
      <c r="E118" s="99"/>
      <c r="F118" s="99"/>
      <c r="G118" s="99"/>
      <c r="I118" s="266"/>
      <c r="J118" s="267"/>
      <c r="K118" s="99"/>
      <c r="L118" s="282"/>
      <c r="M118" s="14">
        <f>NgTurbEff(L306)</f>
        <v>9219.6</v>
      </c>
      <c r="N118" s="662">
        <f>NgTurbEff(M306)</f>
        <v>8919.8521725924293</v>
      </c>
      <c r="O118" s="666" t="s">
        <v>784</v>
      </c>
      <c r="P118" s="99"/>
      <c r="S118" s="643"/>
      <c r="AA118" s="88" t="s">
        <v>2510</v>
      </c>
    </row>
    <row r="119" spans="1:28" ht="15" customHeight="1">
      <c r="B119" s="643"/>
      <c r="C119" s="666" t="s">
        <v>3778</v>
      </c>
      <c r="D119" s="99"/>
      <c r="E119" s="99"/>
      <c r="F119" s="99"/>
      <c r="G119" s="99"/>
      <c r="I119" s="266"/>
      <c r="J119" s="267"/>
      <c r="K119" s="99"/>
      <c r="L119" s="282"/>
      <c r="M119" s="14">
        <f>NgTurbEff(M306)</f>
        <v>8919.8521725924293</v>
      </c>
      <c r="N119" s="662">
        <f>NgTurbEff(N306)</f>
        <v>8919.8521725924293</v>
      </c>
      <c r="O119" s="666" t="s">
        <v>784</v>
      </c>
      <c r="P119" s="99"/>
      <c r="S119" s="643"/>
      <c r="AA119" s="88" t="s">
        <v>2507</v>
      </c>
    </row>
    <row r="120" spans="1:28" ht="15" customHeight="1">
      <c r="B120" s="643" t="s">
        <v>2511</v>
      </c>
      <c r="C120" s="99"/>
      <c r="D120" s="99"/>
      <c r="E120" s="99"/>
      <c r="F120" s="99"/>
      <c r="G120" s="99"/>
      <c r="I120" s="266"/>
      <c r="J120" s="267"/>
      <c r="K120" s="99"/>
      <c r="L120" s="282"/>
      <c r="P120" s="99"/>
    </row>
    <row r="121" spans="1:28" ht="15" customHeight="1">
      <c r="C121" s="666" t="s">
        <v>2560</v>
      </c>
      <c r="D121" s="99"/>
      <c r="E121" s="99"/>
      <c r="F121" s="99"/>
      <c r="G121" s="99"/>
      <c r="I121" s="266"/>
      <c r="J121" s="267"/>
      <c r="K121" s="99"/>
      <c r="L121" s="282"/>
      <c r="M121" s="35">
        <v>1</v>
      </c>
      <c r="N121" s="39">
        <v>1</v>
      </c>
      <c r="O121" s="59" t="s">
        <v>1242</v>
      </c>
      <c r="P121" s="99"/>
    </row>
    <row r="122" spans="1:28" ht="15" customHeight="1">
      <c r="C122" s="666" t="s">
        <v>2435</v>
      </c>
      <c r="D122" s="99"/>
      <c r="E122" s="99"/>
      <c r="F122" s="99"/>
      <c r="G122" s="99"/>
      <c r="I122" s="266"/>
      <c r="J122" s="267"/>
      <c r="K122" s="99"/>
      <c r="L122" s="284" t="str">
        <f>IF(SUM(M121:M122)=1,"OK","ERROR")</f>
        <v>OK</v>
      </c>
      <c r="M122" s="35">
        <v>0</v>
      </c>
      <c r="N122" s="39">
        <v>0</v>
      </c>
      <c r="O122" s="59" t="s">
        <v>1242</v>
      </c>
      <c r="P122" s="99"/>
    </row>
    <row r="123" spans="1:28" ht="15" customHeight="1">
      <c r="C123" s="59"/>
      <c r="D123" s="99"/>
      <c r="E123" s="99"/>
      <c r="F123" s="99"/>
      <c r="G123" s="99"/>
      <c r="I123" s="266"/>
      <c r="J123" s="267"/>
      <c r="K123" s="99"/>
      <c r="L123" s="282"/>
      <c r="N123" s="53"/>
      <c r="O123" s="59"/>
      <c r="P123" s="99"/>
    </row>
    <row r="124" spans="1:28" s="98" customFormat="1" ht="15.95" customHeight="1">
      <c r="A124" s="98" t="s">
        <v>1621</v>
      </c>
    </row>
    <row r="125" spans="1:28" ht="15" customHeight="1">
      <c r="A125" s="99"/>
      <c r="B125" s="99"/>
      <c r="C125" s="99"/>
      <c r="D125" s="99"/>
      <c r="E125" s="99"/>
      <c r="F125" s="99"/>
      <c r="G125" s="99"/>
      <c r="H125" s="99"/>
      <c r="I125" s="99"/>
      <c r="J125" s="99"/>
      <c r="K125" s="99"/>
      <c r="L125" s="99"/>
      <c r="M125" s="99"/>
      <c r="N125" s="99"/>
      <c r="O125" s="99"/>
      <c r="P125" s="99"/>
      <c r="Q125" s="99"/>
      <c r="R125" s="99"/>
      <c r="S125" s="99"/>
      <c r="T125" s="99"/>
      <c r="U125" s="99"/>
      <c r="V125" s="99"/>
      <c r="W125" s="99"/>
      <c r="X125" s="99"/>
    </row>
    <row r="126" spans="1:28" ht="15" customHeight="1">
      <c r="A126" s="227" t="s">
        <v>1424</v>
      </c>
      <c r="B126" s="99"/>
      <c r="C126" s="99"/>
      <c r="D126" s="99"/>
      <c r="E126" s="99"/>
      <c r="F126" s="99"/>
      <c r="G126" s="99"/>
      <c r="H126" s="99"/>
      <c r="I126" s="99"/>
      <c r="J126" s="99"/>
      <c r="K126" s="99"/>
      <c r="L126" s="99"/>
      <c r="O126" s="99"/>
      <c r="P126" s="99"/>
      <c r="Q126" s="99"/>
      <c r="R126" s="99"/>
      <c r="S126" s="99"/>
      <c r="T126" s="99"/>
      <c r="U126" s="99"/>
      <c r="V126" s="99"/>
      <c r="W126" s="99"/>
      <c r="X126" s="99"/>
      <c r="Y126" s="99"/>
      <c r="AB126" s="99"/>
    </row>
    <row r="127" spans="1:28" ht="15" customHeight="1">
      <c r="F127" s="99"/>
      <c r="G127" s="99"/>
      <c r="H127" s="99"/>
      <c r="I127" s="99"/>
      <c r="J127" s="99"/>
      <c r="K127" s="99"/>
      <c r="L127" s="285" t="s">
        <v>1056</v>
      </c>
      <c r="M127" s="106"/>
      <c r="N127" s="285" t="s">
        <v>1002</v>
      </c>
      <c r="O127" s="106"/>
      <c r="P127" s="106"/>
      <c r="Q127" s="106"/>
      <c r="R127" s="106"/>
      <c r="S127" s="106"/>
      <c r="T127" s="106"/>
      <c r="U127" s="99"/>
      <c r="V127" s="286" t="s">
        <v>262</v>
      </c>
      <c r="W127" s="99"/>
      <c r="X127" s="99"/>
      <c r="Y127" s="99"/>
      <c r="Z127" s="99"/>
    </row>
    <row r="128" spans="1:28" ht="30.95" customHeight="1">
      <c r="F128" s="99"/>
      <c r="G128" s="99"/>
      <c r="H128" s="251"/>
      <c r="I128" s="99"/>
      <c r="J128" s="99"/>
      <c r="K128" s="99"/>
      <c r="L128" s="287" t="s">
        <v>315</v>
      </c>
      <c r="M128" s="288" t="s">
        <v>315</v>
      </c>
      <c r="N128" s="287" t="s">
        <v>315</v>
      </c>
      <c r="O128" s="288" t="s">
        <v>315</v>
      </c>
      <c r="P128" s="288" t="s">
        <v>135</v>
      </c>
      <c r="Q128" s="289" t="s">
        <v>337</v>
      </c>
      <c r="R128" s="289" t="s">
        <v>337</v>
      </c>
      <c r="S128" s="288" t="s">
        <v>314</v>
      </c>
      <c r="T128" s="288" t="s">
        <v>314</v>
      </c>
      <c r="V128" s="251" t="s">
        <v>264</v>
      </c>
      <c r="W128" s="99"/>
      <c r="X128" s="99"/>
      <c r="Y128" s="99"/>
      <c r="Z128" s="99"/>
    </row>
    <row r="129" spans="2:26" ht="27.95" customHeight="1">
      <c r="F129" s="99"/>
      <c r="G129" s="99"/>
      <c r="H129" s="99"/>
      <c r="I129" s="99"/>
      <c r="J129" s="99"/>
      <c r="K129" s="99"/>
      <c r="L129" s="290" t="str">
        <f>"--"</f>
        <v>--</v>
      </c>
      <c r="M129" s="290" t="str">
        <f>"--"</f>
        <v>--</v>
      </c>
      <c r="N129" s="290" t="str">
        <f>"--"</f>
        <v>--</v>
      </c>
      <c r="O129" s="290" t="str">
        <f>"--"</f>
        <v>--</v>
      </c>
      <c r="P129" s="290" t="str">
        <f>"--"</f>
        <v>--</v>
      </c>
      <c r="Q129" s="290" t="s">
        <v>166</v>
      </c>
      <c r="R129" s="290" t="s">
        <v>166</v>
      </c>
      <c r="S129" s="849" t="s">
        <v>3788</v>
      </c>
      <c r="T129" s="849" t="s">
        <v>3788</v>
      </c>
      <c r="V129" s="251" t="s">
        <v>263</v>
      </c>
      <c r="W129" s="99"/>
      <c r="X129" s="99"/>
      <c r="Y129" s="99"/>
      <c r="Z129" s="99"/>
    </row>
    <row r="130" spans="2:26" ht="15" customHeight="1">
      <c r="F130" s="99"/>
      <c r="G130" s="99"/>
      <c r="H130" s="99"/>
      <c r="I130" s="99"/>
      <c r="J130" s="99"/>
      <c r="K130" s="99"/>
      <c r="L130" s="291" t="s">
        <v>222</v>
      </c>
      <c r="M130" s="290" t="s">
        <v>221</v>
      </c>
      <c r="N130" s="291" t="s">
        <v>222</v>
      </c>
      <c r="O130" s="290" t="s">
        <v>221</v>
      </c>
      <c r="P130" s="290" t="str">
        <f>"--"</f>
        <v>--</v>
      </c>
      <c r="Q130" s="290" t="s">
        <v>222</v>
      </c>
      <c r="R130" s="273" t="s">
        <v>221</v>
      </c>
      <c r="S130" s="290" t="s">
        <v>222</v>
      </c>
      <c r="T130" s="273" t="s">
        <v>221</v>
      </c>
      <c r="V130" s="251" t="s">
        <v>316</v>
      </c>
      <c r="W130" s="99"/>
      <c r="X130" s="99"/>
      <c r="Y130" s="99"/>
      <c r="Z130" s="99"/>
    </row>
    <row r="131" spans="2:26" ht="15" customHeight="1">
      <c r="B131" s="99" t="s">
        <v>1425</v>
      </c>
      <c r="D131" s="99"/>
      <c r="E131" s="99"/>
      <c r="F131" s="99"/>
      <c r="G131" s="99"/>
      <c r="H131" s="99"/>
      <c r="I131" s="99"/>
      <c r="J131" s="99"/>
      <c r="K131" s="99"/>
      <c r="L131" s="292" t="str">
        <f>IF(OR(SUM(L132:L133)=0,SUM(L132:L133)=1),"OK","ERROR")</f>
        <v>OK</v>
      </c>
      <c r="M131" s="293"/>
      <c r="N131" s="292" t="str">
        <f>IF(OR(SUM(N132:N133)=0,SUM(N132:N133)=1),"OK","ERROR")</f>
        <v>OK</v>
      </c>
      <c r="O131" s="293"/>
      <c r="P131" s="290"/>
      <c r="Q131" s="290"/>
      <c r="R131" s="290"/>
      <c r="S131" s="290"/>
      <c r="T131" s="290"/>
      <c r="V131" s="99"/>
      <c r="W131" s="99"/>
      <c r="X131" s="99"/>
    </row>
    <row r="132" spans="2:26" ht="15" customHeight="1">
      <c r="C132" s="99" t="s">
        <v>1426</v>
      </c>
      <c r="L132" s="20">
        <v>1</v>
      </c>
      <c r="M132" s="21">
        <v>1</v>
      </c>
      <c r="N132" s="20">
        <v>1</v>
      </c>
      <c r="O132" s="21">
        <v>1</v>
      </c>
      <c r="P132" s="21" t="s">
        <v>318</v>
      </c>
      <c r="Q132" s="20">
        <v>0</v>
      </c>
      <c r="R132" s="21">
        <v>0</v>
      </c>
      <c r="S132" s="122">
        <v>3.5134580000000006E-2</v>
      </c>
      <c r="T132" s="21">
        <f>0.221*0.15898</f>
        <v>3.5134580000000006E-2</v>
      </c>
    </row>
    <row r="133" spans="2:26" ht="15" customHeight="1">
      <c r="C133" s="99" t="s">
        <v>1534</v>
      </c>
      <c r="L133" s="20">
        <v>0</v>
      </c>
      <c r="M133" s="21">
        <v>0</v>
      </c>
      <c r="N133" s="20">
        <v>0</v>
      </c>
      <c r="O133" s="21">
        <v>0</v>
      </c>
      <c r="P133" s="21" t="s">
        <v>319</v>
      </c>
      <c r="Q133" s="20">
        <v>0</v>
      </c>
      <c r="R133" s="21">
        <v>0</v>
      </c>
      <c r="S133" s="122">
        <v>4.8806860000000001E-2</v>
      </c>
      <c r="T133" s="21">
        <f>0.307*0.15898</f>
        <v>4.8806860000000001E-2</v>
      </c>
    </row>
    <row r="134" spans="2:26" ht="15" customHeight="1">
      <c r="B134" s="99" t="s">
        <v>1535</v>
      </c>
      <c r="L134" s="292" t="str">
        <f>IF(OR(SUM(L135:L142)=0,SUM(L135:L142)=1),"OK","ERROR")</f>
        <v>OK</v>
      </c>
      <c r="M134" s="21"/>
      <c r="N134" s="292" t="str">
        <f>IF(OR(SUM(N135:N142)=0,SUM(N135:N142)=1),"OK","ERROR")</f>
        <v>OK</v>
      </c>
      <c r="O134" s="21"/>
      <c r="P134" s="21"/>
      <c r="Q134" s="294"/>
      <c r="R134" s="21"/>
      <c r="S134" s="295"/>
      <c r="T134" s="21"/>
    </row>
    <row r="135" spans="2:26" ht="15" customHeight="1">
      <c r="C135" s="99" t="s">
        <v>1427</v>
      </c>
      <c r="L135" s="20">
        <v>1</v>
      </c>
      <c r="M135" s="21">
        <v>1</v>
      </c>
      <c r="N135" s="20">
        <v>1</v>
      </c>
      <c r="O135" s="21">
        <v>1</v>
      </c>
      <c r="P135" s="21" t="s">
        <v>320</v>
      </c>
      <c r="Q135" s="20">
        <v>0</v>
      </c>
      <c r="R135" s="21">
        <v>0</v>
      </c>
      <c r="S135" s="122">
        <v>3.4975600000000003E-2</v>
      </c>
      <c r="T135" s="21">
        <f>0.22*0.15898</f>
        <v>3.4975600000000003E-2</v>
      </c>
    </row>
    <row r="136" spans="2:26" ht="15" customHeight="1">
      <c r="C136" s="99" t="s">
        <v>1536</v>
      </c>
      <c r="L136" s="20">
        <v>0</v>
      </c>
      <c r="M136" s="21">
        <v>0</v>
      </c>
      <c r="N136" s="20">
        <v>0</v>
      </c>
      <c r="O136" s="21">
        <v>0</v>
      </c>
      <c r="P136" s="21" t="s">
        <v>321</v>
      </c>
      <c r="Q136" s="20">
        <v>0</v>
      </c>
      <c r="R136" s="21">
        <v>0</v>
      </c>
      <c r="S136" s="122">
        <v>1.7487800000000001E-2</v>
      </c>
      <c r="T136" s="21">
        <f>0.11*0.15898</f>
        <v>1.7487800000000001E-2</v>
      </c>
    </row>
    <row r="137" spans="2:26" ht="15" customHeight="1">
      <c r="C137" s="99" t="s">
        <v>1622</v>
      </c>
      <c r="L137" s="20">
        <v>0</v>
      </c>
      <c r="M137" s="21">
        <v>0</v>
      </c>
      <c r="N137" s="20">
        <v>0</v>
      </c>
      <c r="O137" s="21">
        <v>0</v>
      </c>
      <c r="P137" s="21" t="s">
        <v>322</v>
      </c>
      <c r="Q137" s="20">
        <v>0</v>
      </c>
      <c r="R137" s="21">
        <v>0</v>
      </c>
      <c r="S137" s="122">
        <v>0.14626160000000002</v>
      </c>
      <c r="T137" s="21">
        <f>0.92*0.15898</f>
        <v>0.14626160000000002</v>
      </c>
    </row>
    <row r="138" spans="2:26" ht="15" customHeight="1">
      <c r="C138" s="99" t="s">
        <v>1674</v>
      </c>
      <c r="L138" s="20">
        <v>0</v>
      </c>
      <c r="M138" s="21">
        <v>0</v>
      </c>
      <c r="N138" s="20">
        <v>0</v>
      </c>
      <c r="O138" s="21">
        <v>0</v>
      </c>
      <c r="P138" s="21" t="s">
        <v>323</v>
      </c>
      <c r="Q138" s="20">
        <v>0</v>
      </c>
      <c r="R138" s="21">
        <v>0</v>
      </c>
      <c r="S138" s="122">
        <v>3.6565400000000005E-2</v>
      </c>
      <c r="T138" s="21">
        <f>0.23*0.15898</f>
        <v>3.6565400000000005E-2</v>
      </c>
    </row>
    <row r="139" spans="2:26" ht="15" customHeight="1">
      <c r="C139" s="99" t="s">
        <v>1706</v>
      </c>
      <c r="L139" s="20">
        <v>0</v>
      </c>
      <c r="M139" s="21">
        <v>0</v>
      </c>
      <c r="N139" s="20">
        <v>0</v>
      </c>
      <c r="O139" s="21">
        <v>0</v>
      </c>
      <c r="P139" s="21" t="s">
        <v>324</v>
      </c>
      <c r="Q139" s="20">
        <v>0</v>
      </c>
      <c r="R139" s="21">
        <v>0</v>
      </c>
      <c r="S139" s="122">
        <v>0.10524476000000001</v>
      </c>
      <c r="T139" s="21">
        <f>0.662*0.15898</f>
        <v>0.10524476000000001</v>
      </c>
    </row>
    <row r="140" spans="2:26" ht="15" customHeight="1">
      <c r="C140" s="99" t="s">
        <v>1725</v>
      </c>
      <c r="L140" s="20">
        <v>0</v>
      </c>
      <c r="M140" s="21">
        <v>0</v>
      </c>
      <c r="N140" s="20">
        <v>0</v>
      </c>
      <c r="O140" s="21">
        <v>0</v>
      </c>
      <c r="P140" s="21" t="s">
        <v>325</v>
      </c>
      <c r="Q140" s="20">
        <v>0</v>
      </c>
      <c r="R140" s="21">
        <v>0</v>
      </c>
      <c r="S140" s="122">
        <v>9.5388000000000001E-2</v>
      </c>
      <c r="T140" s="21">
        <f>0.6*0.15898</f>
        <v>9.5388000000000001E-2</v>
      </c>
    </row>
    <row r="141" spans="2:26" ht="15" customHeight="1">
      <c r="C141" s="99" t="s">
        <v>1734</v>
      </c>
      <c r="L141" s="20">
        <v>0</v>
      </c>
      <c r="M141" s="21">
        <v>0</v>
      </c>
      <c r="N141" s="20">
        <v>0</v>
      </c>
      <c r="O141" s="21">
        <v>0</v>
      </c>
      <c r="P141" s="21" t="s">
        <v>326</v>
      </c>
      <c r="Q141" s="20">
        <v>26</v>
      </c>
      <c r="R141" s="21">
        <v>26</v>
      </c>
      <c r="S141" s="122">
        <v>2.22572E-3</v>
      </c>
      <c r="T141" s="21">
        <f>0.014*0.15898</f>
        <v>2.22572E-3</v>
      </c>
    </row>
    <row r="142" spans="2:26" ht="15" customHeight="1">
      <c r="C142" s="99" t="s">
        <v>1740</v>
      </c>
      <c r="L142" s="20">
        <v>0</v>
      </c>
      <c r="M142" s="21">
        <v>0</v>
      </c>
      <c r="N142" s="20">
        <v>0</v>
      </c>
      <c r="O142" s="21">
        <v>0</v>
      </c>
      <c r="P142" s="21" t="s">
        <v>327</v>
      </c>
      <c r="Q142" s="20">
        <v>0</v>
      </c>
      <c r="R142" s="21">
        <v>0</v>
      </c>
      <c r="S142" s="122">
        <v>3.1796000000000005E-2</v>
      </c>
      <c r="T142" s="21">
        <f>0.2*0.15898</f>
        <v>3.1796000000000005E-2</v>
      </c>
    </row>
    <row r="143" spans="2:26" ht="15" customHeight="1">
      <c r="B143" s="99" t="s">
        <v>1623</v>
      </c>
      <c r="L143" s="292" t="str">
        <f>IF(OR(SUM(L144:L150)=0,SUM(L144:L150)=1),"OK","ERROR")</f>
        <v>OK</v>
      </c>
      <c r="M143" s="21"/>
      <c r="N143" s="292" t="str">
        <f>IF(OR(SUM(N144:N150)=0,SUM(N144:N150)=1),"OK","ERROR")</f>
        <v>OK</v>
      </c>
      <c r="O143" s="21"/>
      <c r="P143" s="21"/>
      <c r="Q143" s="294"/>
      <c r="R143" s="21"/>
      <c r="S143" s="295"/>
      <c r="T143" s="21"/>
    </row>
    <row r="144" spans="2:26" ht="15" customHeight="1">
      <c r="C144" s="99" t="s">
        <v>1428</v>
      </c>
      <c r="L144" s="20">
        <v>1</v>
      </c>
      <c r="M144" s="21">
        <v>1</v>
      </c>
      <c r="N144" s="20">
        <v>1</v>
      </c>
      <c r="O144" s="21">
        <v>1</v>
      </c>
      <c r="P144" s="21" t="s">
        <v>328</v>
      </c>
      <c r="Q144" s="20">
        <v>0</v>
      </c>
      <c r="R144" s="21">
        <v>0</v>
      </c>
      <c r="S144" s="122">
        <v>4.2924600000000005E-3</v>
      </c>
      <c r="T144" s="21">
        <f>0.027*0.15898</f>
        <v>4.2924600000000005E-3</v>
      </c>
    </row>
    <row r="145" spans="1:46" ht="15" customHeight="1">
      <c r="C145" s="99" t="s">
        <v>1537</v>
      </c>
      <c r="L145" s="20">
        <v>0</v>
      </c>
      <c r="M145" s="21">
        <v>0</v>
      </c>
      <c r="N145" s="20">
        <v>0</v>
      </c>
      <c r="O145" s="21">
        <v>0</v>
      </c>
      <c r="P145" s="21" t="s">
        <v>329</v>
      </c>
      <c r="Q145" s="20">
        <v>0</v>
      </c>
      <c r="R145" s="21">
        <v>0</v>
      </c>
      <c r="S145" s="122">
        <v>2.6072720000000004E-2</v>
      </c>
      <c r="T145" s="21">
        <f>0.164*0.15898</f>
        <v>2.6072720000000004E-2</v>
      </c>
    </row>
    <row r="146" spans="1:46" ht="15" customHeight="1">
      <c r="C146" s="99" t="s">
        <v>1624</v>
      </c>
      <c r="L146" s="20">
        <v>0</v>
      </c>
      <c r="M146" s="21">
        <v>0</v>
      </c>
      <c r="N146" s="20">
        <v>0</v>
      </c>
      <c r="O146" s="21">
        <v>0</v>
      </c>
      <c r="P146" s="21" t="s">
        <v>330</v>
      </c>
      <c r="Q146" s="20">
        <v>0</v>
      </c>
      <c r="R146" s="21">
        <v>0</v>
      </c>
      <c r="S146" s="122">
        <v>1.11286E-3</v>
      </c>
      <c r="T146" s="21">
        <f>0.007*0.15898</f>
        <v>1.11286E-3</v>
      </c>
    </row>
    <row r="147" spans="1:46" ht="15" customHeight="1">
      <c r="C147" s="99" t="s">
        <v>1675</v>
      </c>
      <c r="L147" s="20">
        <v>0</v>
      </c>
      <c r="M147" s="21">
        <v>0</v>
      </c>
      <c r="N147" s="20">
        <v>0</v>
      </c>
      <c r="O147" s="21">
        <v>0</v>
      </c>
      <c r="P147" s="21" t="s">
        <v>331</v>
      </c>
      <c r="Q147" s="20">
        <v>0</v>
      </c>
      <c r="R147" s="21">
        <v>0</v>
      </c>
      <c r="S147" s="122">
        <v>0.24323940000000002</v>
      </c>
      <c r="T147" s="21">
        <f>1.53*0.15898</f>
        <v>0.24323940000000002</v>
      </c>
    </row>
    <row r="148" spans="1:46" ht="15" customHeight="1">
      <c r="C148" s="99" t="s">
        <v>1707</v>
      </c>
      <c r="L148" s="20">
        <v>0</v>
      </c>
      <c r="M148" s="21">
        <v>0</v>
      </c>
      <c r="N148" s="20">
        <v>0</v>
      </c>
      <c r="O148" s="21">
        <v>0</v>
      </c>
      <c r="P148" s="21" t="s">
        <v>332</v>
      </c>
      <c r="Q148" s="20">
        <v>0</v>
      </c>
      <c r="R148" s="21">
        <v>0</v>
      </c>
      <c r="S148" s="122">
        <v>1.43082E-2</v>
      </c>
      <c r="T148" s="21">
        <f>0.09*0.15898</f>
        <v>1.43082E-2</v>
      </c>
    </row>
    <row r="149" spans="1:46" ht="15" customHeight="1">
      <c r="C149" s="99" t="s">
        <v>1726</v>
      </c>
      <c r="L149" s="20">
        <v>0</v>
      </c>
      <c r="M149" s="21">
        <v>0</v>
      </c>
      <c r="N149" s="20">
        <v>0</v>
      </c>
      <c r="O149" s="21">
        <v>0</v>
      </c>
      <c r="P149" s="21" t="s">
        <v>333</v>
      </c>
      <c r="Q149" s="20">
        <v>0</v>
      </c>
      <c r="R149" s="21">
        <v>0</v>
      </c>
      <c r="S149" s="122">
        <v>3.1796000000000005E-2</v>
      </c>
      <c r="T149" s="21">
        <f>0.2*0.15898</f>
        <v>3.1796000000000005E-2</v>
      </c>
    </row>
    <row r="150" spans="1:46" ht="15" customHeight="1">
      <c r="C150" s="99" t="s">
        <v>1735</v>
      </c>
      <c r="L150" s="20">
        <v>0</v>
      </c>
      <c r="M150" s="21">
        <v>0</v>
      </c>
      <c r="N150" s="20">
        <v>0</v>
      </c>
      <c r="O150" s="21">
        <v>0</v>
      </c>
      <c r="P150" s="21" t="s">
        <v>334</v>
      </c>
      <c r="Q150" s="20">
        <v>0</v>
      </c>
      <c r="R150" s="21">
        <v>0</v>
      </c>
      <c r="S150" s="122">
        <v>8.7915940000000012E-2</v>
      </c>
      <c r="T150" s="21">
        <f>0.553*0.15898</f>
        <v>8.7915940000000012E-2</v>
      </c>
    </row>
    <row r="151" spans="1:46" ht="15" customHeight="1">
      <c r="B151" s="99" t="s">
        <v>1676</v>
      </c>
      <c r="L151" s="292" t="str">
        <f>IF(OR(SUM(L152:L153)=0,SUM(L152:L153)=1),"OK","ERROR")</f>
        <v>OK</v>
      </c>
      <c r="M151" s="21"/>
      <c r="N151" s="292" t="str">
        <f>IF(OR(SUM(N152:N153)=0,SUM(N152:N153)=1),"OK","ERROR")</f>
        <v>OK</v>
      </c>
      <c r="O151" s="21"/>
      <c r="P151" s="21"/>
      <c r="Q151" s="294"/>
      <c r="R151" s="21"/>
      <c r="S151" s="295"/>
      <c r="T151" s="21"/>
    </row>
    <row r="152" spans="1:46" ht="15" customHeight="1">
      <c r="C152" s="99" t="s">
        <v>1429</v>
      </c>
      <c r="L152" s="20">
        <v>0</v>
      </c>
      <c r="M152" s="21">
        <v>0</v>
      </c>
      <c r="N152" s="20">
        <v>0</v>
      </c>
      <c r="O152" s="21">
        <v>0</v>
      </c>
      <c r="P152" s="21" t="s">
        <v>335</v>
      </c>
      <c r="Q152" s="20">
        <v>0</v>
      </c>
      <c r="R152" s="21">
        <v>0</v>
      </c>
      <c r="S152" s="122">
        <v>0.20190460000000002</v>
      </c>
      <c r="T152" s="21">
        <f>1.27*0.15898</f>
        <v>0.20190460000000002</v>
      </c>
    </row>
    <row r="153" spans="1:46" ht="15" customHeight="1">
      <c r="C153" s="99" t="s">
        <v>1538</v>
      </c>
      <c r="L153" s="20">
        <v>0</v>
      </c>
      <c r="M153" s="21">
        <v>0</v>
      </c>
      <c r="N153" s="20">
        <v>0</v>
      </c>
      <c r="O153" s="21">
        <v>1</v>
      </c>
      <c r="P153" s="21" t="s">
        <v>336</v>
      </c>
      <c r="Q153" s="20">
        <v>0</v>
      </c>
      <c r="R153" s="21">
        <v>0</v>
      </c>
      <c r="S153" s="122">
        <v>0.47694000000000003</v>
      </c>
      <c r="T153" s="21">
        <f>3*0.15898</f>
        <v>0.47694000000000003</v>
      </c>
    </row>
    <row r="154" spans="1:46" ht="15" customHeight="1">
      <c r="B154" s="99"/>
      <c r="M154" s="296"/>
      <c r="P154" s="272" t="s">
        <v>338</v>
      </c>
      <c r="S154" s="297"/>
    </row>
    <row r="155" spans="1:46" ht="15" customHeight="1"/>
    <row r="156" spans="1:46" s="9" customFormat="1" ht="15" customHeight="1">
      <c r="A156" s="9" t="s">
        <v>1178</v>
      </c>
    </row>
    <row r="157" spans="1:46" ht="15" customHeight="1">
      <c r="A157" s="99"/>
      <c r="B157" s="99"/>
      <c r="C157" s="99"/>
      <c r="D157" s="99"/>
      <c r="E157" s="99"/>
      <c r="F157" s="99"/>
      <c r="G157" s="99"/>
      <c r="H157" s="99"/>
      <c r="I157" s="99"/>
      <c r="J157" s="99"/>
      <c r="K157" s="99"/>
      <c r="L157" s="99"/>
      <c r="M157" s="99"/>
      <c r="N157" s="99"/>
      <c r="O157" s="99"/>
      <c r="P157" s="99"/>
      <c r="Q157" s="99"/>
      <c r="R157" s="99"/>
      <c r="S157" s="99"/>
      <c r="T157" s="99"/>
      <c r="U157" s="99"/>
      <c r="V157" s="99"/>
      <c r="W157" s="99"/>
      <c r="X157" s="99"/>
      <c r="Y157" s="99"/>
      <c r="Z157" s="99"/>
      <c r="AA157" s="99"/>
      <c r="AB157" s="99"/>
      <c r="AC157" s="99"/>
      <c r="AD157" s="99"/>
      <c r="AE157" s="99"/>
      <c r="AF157" s="99"/>
      <c r="AG157" s="99"/>
      <c r="AH157" s="99"/>
      <c r="AI157" s="99"/>
      <c r="AJ157" s="99"/>
      <c r="AK157" s="99"/>
      <c r="AL157" s="99"/>
      <c r="AM157" s="99"/>
      <c r="AN157" s="99"/>
      <c r="AO157" s="99"/>
      <c r="AP157" s="99"/>
      <c r="AQ157" s="99"/>
      <c r="AR157" s="99"/>
      <c r="AS157" s="99"/>
    </row>
    <row r="158" spans="1:46" s="98" customFormat="1" ht="15" customHeight="1">
      <c r="A158" s="98" t="s">
        <v>1430</v>
      </c>
    </row>
    <row r="159" spans="1:46" ht="15" customHeight="1">
      <c r="B159" s="99"/>
      <c r="C159" s="99"/>
      <c r="D159" s="99"/>
      <c r="E159" s="99"/>
      <c r="F159" s="99"/>
      <c r="G159" s="99"/>
      <c r="H159" s="99"/>
      <c r="I159" s="99"/>
      <c r="J159" s="99"/>
      <c r="K159" s="99"/>
      <c r="L159" s="99"/>
      <c r="M159" s="99"/>
      <c r="N159" s="99"/>
      <c r="O159" s="99"/>
      <c r="P159" s="99"/>
      <c r="Q159" s="99"/>
      <c r="R159" s="99"/>
      <c r="S159" s="99"/>
      <c r="T159" s="99"/>
      <c r="U159" s="99"/>
      <c r="V159" s="99"/>
      <c r="W159" s="99"/>
      <c r="X159" s="99"/>
      <c r="Y159" s="99"/>
      <c r="Z159" s="99"/>
      <c r="AA159" s="99"/>
      <c r="AB159" s="99"/>
      <c r="AC159" s="99"/>
      <c r="AD159" s="99"/>
      <c r="AE159" s="99"/>
      <c r="AF159" s="99"/>
      <c r="AG159" s="99"/>
      <c r="AH159" s="99"/>
      <c r="AI159" s="99"/>
      <c r="AJ159" s="99"/>
      <c r="AK159" s="99"/>
      <c r="AL159" s="99"/>
      <c r="AM159" s="99"/>
      <c r="AN159" s="99"/>
      <c r="AO159" s="99"/>
      <c r="AP159" s="99"/>
      <c r="AQ159" s="99"/>
      <c r="AR159" s="99"/>
      <c r="AS159" s="99"/>
      <c r="AT159" s="99"/>
    </row>
    <row r="160" spans="1:46" ht="15" customHeight="1">
      <c r="B160" s="99"/>
      <c r="C160" s="99"/>
      <c r="D160" s="99"/>
      <c r="E160" s="99"/>
      <c r="F160" s="99"/>
      <c r="G160" s="99"/>
      <c r="H160" s="99"/>
      <c r="I160" s="99"/>
      <c r="J160" s="99"/>
      <c r="K160" s="99"/>
      <c r="L160" s="99"/>
      <c r="M160" s="99"/>
      <c r="N160" s="99"/>
      <c r="O160" s="99"/>
      <c r="P160" s="99"/>
      <c r="Q160" s="99"/>
      <c r="R160" s="99"/>
      <c r="S160" s="99"/>
      <c r="T160" s="99"/>
      <c r="U160" s="99"/>
      <c r="V160" s="99"/>
      <c r="W160" s="99"/>
      <c r="X160" s="99"/>
      <c r="Y160" s="99"/>
      <c r="Z160" s="99"/>
      <c r="AA160" s="99"/>
      <c r="AB160" s="99"/>
      <c r="AC160" s="99"/>
      <c r="AD160" s="99"/>
      <c r="AE160" s="99"/>
      <c r="AF160" s="99"/>
      <c r="AG160" s="99"/>
      <c r="AH160" s="99"/>
      <c r="AI160" s="99"/>
      <c r="AJ160" s="99"/>
      <c r="AK160" s="99"/>
      <c r="AL160" s="99"/>
      <c r="AM160" s="99"/>
      <c r="AN160" s="99"/>
      <c r="AO160" s="99"/>
      <c r="AP160" s="99"/>
      <c r="AQ160" s="99"/>
      <c r="AR160" s="99"/>
      <c r="AS160" s="99"/>
      <c r="AT160" s="99"/>
    </row>
    <row r="161" spans="1:30" ht="15" customHeight="1"/>
    <row r="162" spans="1:30" ht="15" customHeight="1"/>
    <row r="163" spans="1:30" ht="15" customHeight="1">
      <c r="M163" s="11" t="s">
        <v>267</v>
      </c>
      <c r="P163" s="11" t="s">
        <v>267</v>
      </c>
    </row>
    <row r="164" spans="1:30" ht="15" customHeight="1">
      <c r="M164" s="298" t="str">
        <f>M178</f>
        <v>NA</v>
      </c>
      <c r="N164" s="11" t="s">
        <v>269</v>
      </c>
      <c r="P164" s="298">
        <f>M184</f>
        <v>25704</v>
      </c>
      <c r="Q164" s="11" t="s">
        <v>269</v>
      </c>
    </row>
    <row r="165" spans="1:30" ht="15" customHeight="1"/>
    <row r="166" spans="1:30" ht="15" customHeight="1"/>
    <row r="167" spans="1:30" ht="15" customHeight="1"/>
    <row r="168" spans="1:30" ht="15" customHeight="1">
      <c r="C168" s="76">
        <f>'Production &amp; Extraction'!M35</f>
        <v>750000</v>
      </c>
      <c r="D168" s="11" t="s">
        <v>265</v>
      </c>
      <c r="I168" s="11">
        <f>C168</f>
        <v>750000</v>
      </c>
      <c r="J168" s="11" t="s">
        <v>265</v>
      </c>
      <c r="O168" s="11">
        <f>C168</f>
        <v>750000</v>
      </c>
      <c r="P168" s="11" t="s">
        <v>265</v>
      </c>
      <c r="R168" s="11">
        <f>O168</f>
        <v>750000</v>
      </c>
      <c r="S168" s="299" t="s">
        <v>265</v>
      </c>
    </row>
    <row r="169" spans="1:30" ht="15" customHeight="1">
      <c r="C169" s="76">
        <f>'Production &amp; Extraction'!M35*'Production &amp; Extraction'!M48</f>
        <v>1593750000</v>
      </c>
      <c r="D169" s="11" t="s">
        <v>238</v>
      </c>
    </row>
    <row r="170" spans="1:30" ht="15" customHeight="1">
      <c r="C170" s="76">
        <f>'Production &amp; Extraction'!M35*'Production &amp; Extraction'!M52</f>
        <v>187500</v>
      </c>
      <c r="D170" s="11" t="s">
        <v>266</v>
      </c>
    </row>
    <row r="171" spans="1:30" ht="15" customHeight="1"/>
    <row r="172" spans="1:30" ht="15" customHeight="1"/>
    <row r="173" spans="1:30" ht="15" customHeight="1">
      <c r="M173" s="11" t="s">
        <v>222</v>
      </c>
      <c r="N173" s="11" t="s">
        <v>165</v>
      </c>
      <c r="O173" s="11" t="s">
        <v>170</v>
      </c>
      <c r="AD173" s="11" t="s">
        <v>171</v>
      </c>
    </row>
    <row r="174" spans="1:30" ht="15" customHeight="1"/>
    <row r="175" spans="1:30" ht="15" customHeight="1">
      <c r="A175" s="12" t="s">
        <v>1431</v>
      </c>
    </row>
    <row r="176" spans="1:30" ht="15" customHeight="1">
      <c r="B176" s="643" t="s">
        <v>2541</v>
      </c>
      <c r="M176" s="14" t="str">
        <f>IF(M12=0,"NA",((M15/100)*C168)/(1-(M15/100)))</f>
        <v>NA</v>
      </c>
      <c r="N176" s="71" t="s">
        <v>266</v>
      </c>
      <c r="O176" s="300"/>
      <c r="P176" s="74"/>
      <c r="Q176" s="74"/>
      <c r="R176" s="74"/>
      <c r="S176" s="74"/>
      <c r="T176" s="74"/>
      <c r="U176" s="74"/>
      <c r="V176" s="74"/>
      <c r="W176" s="74"/>
      <c r="X176" s="74"/>
      <c r="Y176" s="74"/>
      <c r="Z176" s="74"/>
      <c r="AA176" s="74"/>
      <c r="AB176" s="74"/>
      <c r="AC176" s="74"/>
      <c r="AD176" s="72"/>
    </row>
    <row r="177" spans="1:30" ht="15" customHeight="1">
      <c r="B177" s="643" t="s">
        <v>2542</v>
      </c>
      <c r="M177" s="14" t="str">
        <f>IF(M12=0,"NA",C168)</f>
        <v>NA</v>
      </c>
      <c r="N177" s="71" t="s">
        <v>265</v>
      </c>
      <c r="O177" s="300"/>
      <c r="P177" s="74"/>
      <c r="Q177" s="74"/>
      <c r="R177" s="74"/>
      <c r="S177" s="74"/>
      <c r="T177" s="74"/>
      <c r="U177" s="74"/>
      <c r="V177" s="74"/>
      <c r="W177" s="74"/>
      <c r="X177" s="74"/>
      <c r="Y177" s="74"/>
      <c r="Z177" s="74"/>
      <c r="AA177" s="74"/>
      <c r="AB177" s="74"/>
      <c r="AC177" s="74"/>
      <c r="AD177" s="72"/>
    </row>
    <row r="178" spans="1:30" ht="15" customHeight="1">
      <c r="B178" s="643" t="s">
        <v>2543</v>
      </c>
      <c r="M178" s="14" t="str">
        <f>IF(M12=0,"NA",(((C168*M18)+(M176*M19))*(M17-M16)*(1-(M20/100)))/1000000)</f>
        <v>NA</v>
      </c>
      <c r="N178" s="71" t="s">
        <v>268</v>
      </c>
      <c r="O178" s="300"/>
      <c r="P178" s="74"/>
      <c r="Q178" s="74"/>
      <c r="R178" s="74"/>
      <c r="S178" s="74"/>
      <c r="T178" s="74"/>
      <c r="U178" s="74"/>
      <c r="V178" s="74"/>
      <c r="W178" s="74"/>
      <c r="X178" s="74"/>
      <c r="Y178" s="74"/>
      <c r="Z178" s="74"/>
      <c r="AA178" s="74"/>
      <c r="AB178" s="74"/>
      <c r="AC178" s="74"/>
      <c r="AD178" s="72" t="s">
        <v>272</v>
      </c>
    </row>
    <row r="179" spans="1:30" ht="15" customHeight="1">
      <c r="M179" s="230"/>
      <c r="N179" s="74"/>
      <c r="O179" s="300"/>
      <c r="P179" s="74"/>
      <c r="Q179" s="74"/>
      <c r="R179" s="74"/>
      <c r="S179" s="74"/>
      <c r="T179" s="74"/>
      <c r="U179" s="74"/>
      <c r="V179" s="74"/>
      <c r="W179" s="74"/>
      <c r="X179" s="74"/>
      <c r="Y179" s="74"/>
      <c r="Z179" s="74"/>
      <c r="AA179" s="74"/>
      <c r="AB179" s="74"/>
      <c r="AC179" s="74"/>
      <c r="AD179" s="72"/>
    </row>
    <row r="180" spans="1:30" ht="15" customHeight="1">
      <c r="B180" s="643" t="s">
        <v>3246</v>
      </c>
      <c r="M180" s="14">
        <f>IF(M12=0,0,M178*IF(M22=1,M29,M30))</f>
        <v>0</v>
      </c>
      <c r="N180" s="71" t="str">
        <f>IF(M22=1,"MMBtu/d","kWh/d")</f>
        <v>MMBtu/d</v>
      </c>
      <c r="O180" s="300"/>
      <c r="P180" s="74"/>
      <c r="Q180" s="74"/>
      <c r="R180" s="74"/>
      <c r="S180" s="74"/>
      <c r="T180" s="74"/>
      <c r="U180" s="74"/>
      <c r="V180" s="74"/>
      <c r="W180" s="74"/>
      <c r="X180" s="74"/>
      <c r="Y180" s="74"/>
      <c r="Z180" s="74"/>
      <c r="AA180" s="74"/>
      <c r="AB180" s="74"/>
      <c r="AC180" s="74"/>
      <c r="AD180" s="72"/>
    </row>
    <row r="181" spans="1:30" ht="15" customHeight="1">
      <c r="M181" s="230"/>
      <c r="O181" s="72"/>
      <c r="AD181" s="72"/>
    </row>
    <row r="182" spans="1:30" ht="15" customHeight="1">
      <c r="A182" s="12" t="s">
        <v>1539</v>
      </c>
      <c r="O182" s="72"/>
      <c r="P182" s="45"/>
      <c r="AD182" s="72"/>
    </row>
    <row r="183" spans="1:30" ht="15" customHeight="1">
      <c r="B183" s="11" t="s">
        <v>1432</v>
      </c>
      <c r="M183" s="14">
        <f>IF(M33=0,"NA",C168)</f>
        <v>750000</v>
      </c>
      <c r="N183" s="71" t="s">
        <v>265</v>
      </c>
      <c r="O183" s="72"/>
      <c r="P183" s="45"/>
      <c r="AD183" s="72"/>
    </row>
    <row r="184" spans="1:30" ht="15" customHeight="1">
      <c r="B184" s="11" t="s">
        <v>1540</v>
      </c>
      <c r="M184" s="14">
        <f>IF(M33=0,"NA",O168*M41*(M40-M39)*(1+(M42/100))/1000000)</f>
        <v>25704</v>
      </c>
      <c r="N184" s="71" t="s">
        <v>268</v>
      </c>
      <c r="O184" s="72"/>
      <c r="P184" s="45"/>
      <c r="AD184" s="72" t="s">
        <v>272</v>
      </c>
    </row>
    <row r="185" spans="1:30" ht="15" customHeight="1">
      <c r="N185" s="74"/>
      <c r="O185" s="72"/>
      <c r="AD185" s="72"/>
    </row>
    <row r="186" spans="1:30" ht="15" customHeight="1">
      <c r="B186" s="11" t="s">
        <v>1625</v>
      </c>
      <c r="M186" s="14">
        <f>IF(M33=0,0,M184*IF(M44=1,M51,M52))</f>
        <v>32130</v>
      </c>
      <c r="N186" s="71" t="str">
        <f>IF(M44=1,"MMBtu/d","kWh/d")</f>
        <v>MMBtu/d</v>
      </c>
      <c r="O186" s="72"/>
    </row>
    <row r="187" spans="1:30" ht="15" customHeight="1"/>
    <row r="188" spans="1:30" s="98" customFormat="1" ht="15" customHeight="1">
      <c r="A188" s="98" t="s">
        <v>1541</v>
      </c>
    </row>
    <row r="189" spans="1:30" ht="15" customHeight="1"/>
    <row r="190" spans="1:30" ht="15" customHeight="1"/>
    <row r="191" spans="1:30" ht="15" customHeight="1">
      <c r="A191" s="12" t="s">
        <v>1433</v>
      </c>
    </row>
    <row r="193" spans="1:20">
      <c r="A193" s="301"/>
      <c r="B193" s="301"/>
      <c r="C193" s="301"/>
      <c r="D193" s="301"/>
      <c r="F193" s="301"/>
      <c r="G193" s="301"/>
      <c r="H193" s="301"/>
      <c r="I193" s="301"/>
      <c r="J193" s="301"/>
      <c r="K193" s="301"/>
      <c r="L193" s="301"/>
      <c r="M193" s="301"/>
      <c r="N193" s="301"/>
      <c r="O193" s="301"/>
      <c r="P193" s="301"/>
      <c r="Q193" s="301"/>
    </row>
    <row r="194" spans="1:20">
      <c r="A194" s="301"/>
      <c r="B194" s="301"/>
      <c r="C194" s="301"/>
      <c r="D194" s="301"/>
      <c r="E194" s="1061" t="s">
        <v>294</v>
      </c>
      <c r="F194" s="1061"/>
      <c r="G194" s="302"/>
      <c r="H194" s="301"/>
      <c r="I194" s="301"/>
      <c r="J194" s="301"/>
      <c r="K194" s="301"/>
      <c r="L194" s="301"/>
      <c r="M194" s="301"/>
      <c r="N194" s="301"/>
      <c r="O194" s="301"/>
      <c r="P194" s="301"/>
      <c r="Q194" s="301"/>
      <c r="R194" s="301"/>
      <c r="S194" s="303"/>
    </row>
    <row r="195" spans="1:20">
      <c r="A195" s="301"/>
      <c r="B195" s="301"/>
      <c r="C195" s="301"/>
      <c r="D195" s="301"/>
      <c r="E195" s="301"/>
      <c r="F195" s="301"/>
      <c r="G195" s="301"/>
      <c r="H195" s="301"/>
      <c r="I195" s="301"/>
      <c r="J195" s="301"/>
      <c r="K195" s="301"/>
      <c r="L195" s="301"/>
      <c r="M195" s="301"/>
      <c r="N195" s="301"/>
      <c r="O195" s="301"/>
      <c r="P195" s="301"/>
      <c r="Q195" s="301"/>
      <c r="R195" s="1062" t="s">
        <v>295</v>
      </c>
      <c r="S195" s="1062"/>
    </row>
    <row r="196" spans="1:20">
      <c r="A196" s="301"/>
      <c r="B196" s="301"/>
      <c r="C196" s="301"/>
      <c r="D196" s="301"/>
      <c r="E196" s="301"/>
      <c r="F196" s="304"/>
      <c r="G196" s="301"/>
      <c r="H196" s="301"/>
      <c r="I196" s="301"/>
      <c r="J196" s="301"/>
      <c r="K196" s="301"/>
      <c r="L196" s="301"/>
      <c r="M196" s="301"/>
      <c r="N196" s="301"/>
      <c r="P196" s="301" t="s">
        <v>300</v>
      </c>
      <c r="Q196" s="301"/>
      <c r="R196" s="301"/>
      <c r="S196" s="305">
        <f>IF('Surface Processing'!M58=1,1*('Gas Balance'!N30-(('Venting &amp; Fugitives'!M128/'Input data'!D83)+('Venting &amp; Fugitives'!E136+'Venting &amp; Fugitives'!E151+'Venting &amp; Fugitives'!E156)+('Venting &amp; Fugitives'!E236-'Venting &amp; Fugitives'!E196-'Venting &amp; Fugitives'!E201))/1000000)+'Gas Balance'!U15,0)</f>
        <v>12.818988083680974</v>
      </c>
      <c r="T196" s="275" t="s">
        <v>273</v>
      </c>
    </row>
    <row r="197" spans="1:20">
      <c r="A197" s="301"/>
      <c r="B197" s="301"/>
      <c r="C197" s="301"/>
      <c r="D197" s="301"/>
      <c r="E197" s="301"/>
      <c r="F197" s="306" t="s">
        <v>277</v>
      </c>
      <c r="G197" s="301"/>
      <c r="H197" s="301"/>
      <c r="I197" s="301"/>
      <c r="J197" s="301"/>
      <c r="K197" s="301"/>
      <c r="L197" s="301"/>
      <c r="M197" s="301"/>
      <c r="N197" s="307"/>
      <c r="O197" s="301"/>
      <c r="P197" s="308">
        <f>M234</f>
        <v>1892.0826411513115</v>
      </c>
      <c r="Q197" s="301" t="s">
        <v>245</v>
      </c>
      <c r="R197" s="304"/>
      <c r="S197" s="301"/>
    </row>
    <row r="198" spans="1:20">
      <c r="A198" s="301"/>
      <c r="B198" s="301"/>
      <c r="C198" s="301"/>
      <c r="D198" s="301"/>
      <c r="E198" s="301"/>
      <c r="F198" s="309"/>
      <c r="G198" s="301"/>
      <c r="H198" s="301"/>
      <c r="I198" s="301"/>
      <c r="J198" s="301"/>
      <c r="K198" s="301"/>
      <c r="L198" s="301"/>
      <c r="M198" s="301"/>
      <c r="N198" s="301"/>
      <c r="O198" s="301"/>
      <c r="P198" s="301"/>
      <c r="Q198" s="301"/>
      <c r="R198" s="306" t="s">
        <v>282</v>
      </c>
      <c r="S198" s="698">
        <f>1*('Gas Balance'!N30-(('Venting &amp; Fugitives'!M128/'Input data'!D83)+('Venting &amp; Fugitives'!E136+'Venting &amp; Fugitives'!E151+'Venting &amp; Fugitives'!E156)+('Venting &amp; Fugitives'!E236-'Venting &amp; Fugitives'!E196-'Venting &amp; Fugitives'!E201))/1000000)</f>
        <v>10.97010889606228</v>
      </c>
    </row>
    <row r="199" spans="1:20">
      <c r="A199" s="301"/>
      <c r="B199" s="301"/>
      <c r="C199" s="301"/>
      <c r="D199" s="301"/>
      <c r="E199" s="301"/>
      <c r="F199" s="301"/>
      <c r="G199" s="301"/>
      <c r="H199" s="301"/>
      <c r="I199" s="301"/>
      <c r="J199" s="301"/>
      <c r="K199" s="301"/>
      <c r="L199" s="301"/>
      <c r="M199" s="301"/>
      <c r="N199" s="301"/>
      <c r="O199" s="301"/>
      <c r="P199" s="304" t="s">
        <v>282</v>
      </c>
      <c r="Q199" s="301"/>
      <c r="R199" s="306" t="s">
        <v>283</v>
      </c>
      <c r="S199" s="301"/>
    </row>
    <row r="200" spans="1:20">
      <c r="A200" s="301"/>
      <c r="B200" s="301"/>
      <c r="C200" s="301"/>
      <c r="D200" s="301"/>
      <c r="E200" s="1061" t="s">
        <v>296</v>
      </c>
      <c r="F200" s="1061"/>
      <c r="G200" s="301" t="s">
        <v>300</v>
      </c>
      <c r="H200" s="301"/>
      <c r="I200" s="301" t="s">
        <v>301</v>
      </c>
      <c r="J200" s="301"/>
      <c r="K200" s="301"/>
      <c r="L200" s="301"/>
      <c r="M200" s="301"/>
      <c r="N200" s="301"/>
      <c r="O200" s="301"/>
      <c r="P200" s="309" t="s">
        <v>298</v>
      </c>
      <c r="Q200" s="301"/>
      <c r="R200" s="309"/>
      <c r="S200" s="301"/>
    </row>
    <row r="201" spans="1:20" ht="15.75" thickBot="1">
      <c r="A201" s="301"/>
      <c r="B201" s="301"/>
      <c r="C201" s="301"/>
      <c r="D201" s="301"/>
      <c r="E201" s="301"/>
      <c r="F201" s="301"/>
      <c r="G201" s="308">
        <f>M223</f>
        <v>683.25206486019579</v>
      </c>
      <c r="H201" s="301" t="s">
        <v>245</v>
      </c>
      <c r="I201" s="308">
        <f>M233</f>
        <v>946.04132057565573</v>
      </c>
      <c r="J201" s="301" t="s">
        <v>245</v>
      </c>
      <c r="K201" s="301"/>
      <c r="L201" s="301"/>
      <c r="M201" s="301" t="s">
        <v>300</v>
      </c>
      <c r="N201" s="301"/>
      <c r="O201" s="301"/>
      <c r="P201" s="301"/>
      <c r="Q201" s="301"/>
      <c r="R201" s="301"/>
      <c r="S201" s="301"/>
    </row>
    <row r="202" spans="1:20">
      <c r="A202" s="301"/>
      <c r="B202" s="301"/>
      <c r="C202" s="301"/>
      <c r="D202" s="310"/>
      <c r="F202" s="301"/>
      <c r="G202" s="301"/>
      <c r="H202" s="301"/>
      <c r="I202" s="301"/>
      <c r="J202" s="301"/>
      <c r="K202" s="304"/>
      <c r="L202" s="301"/>
      <c r="M202" s="308">
        <f>M224</f>
        <v>157.67355342927596</v>
      </c>
      <c r="N202" s="301" t="s">
        <v>245</v>
      </c>
      <c r="O202" s="301"/>
      <c r="P202" s="301"/>
      <c r="Q202" s="301"/>
      <c r="R202" s="301"/>
      <c r="S202" s="301"/>
    </row>
    <row r="203" spans="1:20">
      <c r="A203" s="301"/>
      <c r="B203" s="301"/>
      <c r="C203" s="301"/>
      <c r="D203" s="311">
        <f>M78</f>
        <v>350</v>
      </c>
      <c r="E203" s="308">
        <f>M221</f>
        <v>2627.8925571545992</v>
      </c>
      <c r="F203" s="301" t="s">
        <v>274</v>
      </c>
      <c r="G203" s="312" t="s">
        <v>289</v>
      </c>
      <c r="H203" s="301"/>
      <c r="I203" s="312" t="s">
        <v>275</v>
      </c>
      <c r="J203" s="301"/>
      <c r="K203" s="306" t="s">
        <v>286</v>
      </c>
      <c r="L203" s="301"/>
      <c r="M203" s="301"/>
      <c r="N203" s="301"/>
      <c r="O203" s="304"/>
      <c r="P203" s="301"/>
      <c r="Q203" s="312" t="s">
        <v>282</v>
      </c>
      <c r="R203" s="301"/>
      <c r="S203" s="301"/>
    </row>
    <row r="204" spans="1:20">
      <c r="A204" s="301"/>
      <c r="B204" s="301"/>
      <c r="C204" s="301"/>
      <c r="D204" s="313" t="s">
        <v>219</v>
      </c>
      <c r="E204" s="1063" t="s">
        <v>297</v>
      </c>
      <c r="F204" s="1064"/>
      <c r="G204" s="314" t="s">
        <v>284</v>
      </c>
      <c r="H204" s="301"/>
      <c r="I204" s="314" t="s">
        <v>288</v>
      </c>
      <c r="J204" s="301"/>
      <c r="K204" s="306" t="s">
        <v>285</v>
      </c>
      <c r="L204" s="301"/>
      <c r="M204" s="312" t="s">
        <v>287</v>
      </c>
      <c r="N204" s="301"/>
      <c r="O204" s="315"/>
      <c r="P204" s="301"/>
      <c r="Q204" s="314" t="s">
        <v>284</v>
      </c>
      <c r="R204" s="301"/>
      <c r="S204" s="301"/>
    </row>
    <row r="205" spans="1:20">
      <c r="A205" s="301"/>
      <c r="B205" s="301"/>
      <c r="C205" s="301"/>
      <c r="D205" s="316"/>
      <c r="F205" s="301"/>
      <c r="G205" s="301"/>
      <c r="H205" s="301"/>
      <c r="I205" s="301"/>
      <c r="J205" s="301"/>
      <c r="K205" s="315"/>
      <c r="L205" s="301"/>
      <c r="M205" s="314" t="s">
        <v>284</v>
      </c>
      <c r="N205" s="301"/>
      <c r="O205" s="315"/>
      <c r="P205" s="301"/>
      <c r="Q205" s="301"/>
      <c r="R205" s="301" t="s">
        <v>299</v>
      </c>
      <c r="S205" s="301"/>
    </row>
    <row r="206" spans="1:20">
      <c r="A206" s="301"/>
      <c r="B206" s="302"/>
      <c r="C206" s="301"/>
      <c r="D206" s="317" t="s">
        <v>292</v>
      </c>
      <c r="E206" s="301"/>
      <c r="F206" s="301"/>
      <c r="G206" s="301"/>
      <c r="H206" s="301"/>
      <c r="I206" s="301"/>
      <c r="J206" s="301"/>
      <c r="K206" s="309"/>
      <c r="L206" s="301"/>
      <c r="M206" s="301"/>
      <c r="N206" s="301"/>
      <c r="O206" s="306" t="s">
        <v>281</v>
      </c>
      <c r="P206" s="301"/>
      <c r="Q206" s="301"/>
      <c r="R206" s="308">
        <f>M225</f>
        <v>157.67355342927596</v>
      </c>
      <c r="S206" s="301" t="s">
        <v>245</v>
      </c>
    </row>
    <row r="207" spans="1:20" ht="15.75" thickBot="1">
      <c r="A207" s="301"/>
      <c r="B207" s="318" t="s">
        <v>276</v>
      </c>
      <c r="C207" s="301"/>
      <c r="D207" s="319"/>
      <c r="E207" s="301"/>
      <c r="F207" s="301"/>
      <c r="G207" s="301"/>
      <c r="H207" s="301"/>
      <c r="I207" s="301"/>
      <c r="J207" s="301"/>
      <c r="K207" s="301"/>
      <c r="L207" s="301"/>
      <c r="M207" s="301"/>
      <c r="N207" s="301"/>
      <c r="O207" s="315"/>
      <c r="P207" s="301"/>
      <c r="Q207" s="301"/>
      <c r="R207" s="301"/>
      <c r="S207" s="301"/>
    </row>
    <row r="208" spans="1:20">
      <c r="A208" s="301"/>
      <c r="B208" s="301"/>
      <c r="C208" s="301"/>
      <c r="D208" s="301"/>
      <c r="E208" s="301"/>
      <c r="F208" s="301"/>
      <c r="G208" s="301"/>
      <c r="H208" s="320" t="s">
        <v>290</v>
      </c>
      <c r="I208" s="301"/>
      <c r="J208" s="301"/>
      <c r="K208" s="301"/>
      <c r="L208" s="301"/>
      <c r="M208" s="301"/>
      <c r="N208" s="301"/>
      <c r="O208" s="315"/>
      <c r="P208" s="301"/>
      <c r="Q208" s="312" t="s">
        <v>280</v>
      </c>
      <c r="R208" s="301"/>
      <c r="S208" s="301"/>
    </row>
    <row r="209" spans="1:19">
      <c r="A209" s="301"/>
      <c r="B209" s="301"/>
      <c r="C209" s="301"/>
      <c r="D209" s="301"/>
      <c r="E209" s="301"/>
      <c r="F209" s="301"/>
      <c r="G209" s="301"/>
      <c r="H209" s="301"/>
      <c r="I209" s="301"/>
      <c r="J209" s="301"/>
      <c r="K209" s="301"/>
      <c r="L209" s="301"/>
      <c r="M209" s="301"/>
      <c r="N209" s="301"/>
      <c r="O209" s="309"/>
      <c r="P209" s="301"/>
      <c r="Q209" s="309"/>
      <c r="R209" s="301" t="s">
        <v>267</v>
      </c>
      <c r="S209" s="301"/>
    </row>
    <row r="210" spans="1:19">
      <c r="A210" s="301"/>
      <c r="B210" s="301"/>
      <c r="C210" s="301"/>
      <c r="D210" s="301"/>
      <c r="E210" s="301"/>
      <c r="F210" s="301"/>
      <c r="G210" s="1065" t="s">
        <v>278</v>
      </c>
      <c r="H210" s="1066"/>
      <c r="I210" s="301"/>
      <c r="J210" s="301"/>
      <c r="K210" s="301"/>
      <c r="L210" s="301"/>
      <c r="M210" s="301"/>
      <c r="N210" s="301"/>
      <c r="O210" s="301"/>
      <c r="P210" s="301"/>
      <c r="Q210" s="301"/>
      <c r="R210" s="308">
        <f>M242</f>
        <v>5222.1480895776194</v>
      </c>
      <c r="S210" s="301" t="s">
        <v>268</v>
      </c>
    </row>
    <row r="211" spans="1:19">
      <c r="A211" s="301"/>
      <c r="B211" s="301"/>
      <c r="C211" s="301"/>
      <c r="D211" s="301"/>
      <c r="E211" s="301"/>
      <c r="F211" s="301"/>
      <c r="G211" s="1067" t="s">
        <v>279</v>
      </c>
      <c r="H211" s="1068"/>
      <c r="I211" s="301"/>
      <c r="J211" s="301"/>
      <c r="K211" s="301"/>
      <c r="L211" s="301"/>
      <c r="M211" s="301"/>
      <c r="N211" s="301"/>
      <c r="O211" s="301"/>
      <c r="P211" s="301"/>
      <c r="Q211" s="301"/>
      <c r="R211" s="301"/>
      <c r="S211" s="301"/>
    </row>
    <row r="212" spans="1:19">
      <c r="A212" s="301"/>
      <c r="B212" s="301"/>
      <c r="C212" s="301"/>
      <c r="D212" s="301"/>
      <c r="E212" s="301"/>
      <c r="F212" s="301"/>
      <c r="G212" s="301"/>
      <c r="H212" s="301"/>
      <c r="I212" s="301"/>
      <c r="J212" s="301"/>
      <c r="K212" s="304"/>
      <c r="L212" s="301"/>
      <c r="M212" s="301"/>
      <c r="N212" s="301"/>
      <c r="O212" s="301"/>
      <c r="P212" s="301"/>
      <c r="Q212" s="301"/>
      <c r="R212" s="301"/>
      <c r="S212" s="301"/>
    </row>
    <row r="213" spans="1:19">
      <c r="A213" s="301"/>
      <c r="B213" s="301"/>
      <c r="C213" s="301"/>
      <c r="D213" s="301"/>
      <c r="E213" s="301"/>
      <c r="F213" s="301"/>
      <c r="G213" s="301"/>
      <c r="H213" s="301"/>
      <c r="I213" s="301"/>
      <c r="J213" s="301"/>
      <c r="K213" s="306" t="s">
        <v>291</v>
      </c>
      <c r="L213" s="301"/>
      <c r="M213" s="301"/>
      <c r="N213" s="301"/>
      <c r="O213" s="301"/>
      <c r="P213" s="301"/>
      <c r="Q213" s="301"/>
      <c r="R213" s="301"/>
      <c r="S213" s="301"/>
    </row>
    <row r="214" spans="1:19">
      <c r="A214" s="301"/>
      <c r="B214" s="301"/>
      <c r="C214" s="301"/>
      <c r="D214" s="301"/>
      <c r="E214" s="301"/>
      <c r="F214" s="301"/>
      <c r="G214" s="301"/>
      <c r="H214" s="301"/>
      <c r="I214" s="301"/>
      <c r="J214" s="301"/>
      <c r="K214" s="306" t="s">
        <v>285</v>
      </c>
      <c r="L214" s="301"/>
      <c r="M214" s="304" t="s">
        <v>267</v>
      </c>
      <c r="N214" s="301"/>
      <c r="O214" s="301"/>
      <c r="P214" s="301"/>
      <c r="Q214" s="301"/>
      <c r="R214" s="301"/>
      <c r="S214" s="301"/>
    </row>
    <row r="215" spans="1:19">
      <c r="A215" s="301"/>
      <c r="B215" s="301"/>
      <c r="C215" s="301"/>
      <c r="D215" s="301"/>
      <c r="E215" s="301"/>
      <c r="F215" s="301"/>
      <c r="G215" s="301"/>
      <c r="H215" s="301"/>
      <c r="I215" s="301"/>
      <c r="J215" s="301"/>
      <c r="K215" s="315"/>
      <c r="L215" s="301"/>
      <c r="M215" s="309" t="s">
        <v>293</v>
      </c>
      <c r="N215" s="301"/>
      <c r="O215" s="301"/>
      <c r="P215" s="301"/>
      <c r="Q215" s="301"/>
      <c r="R215" s="301"/>
      <c r="S215" s="301"/>
    </row>
    <row r="216" spans="1:19">
      <c r="A216" s="301"/>
      <c r="B216" s="301"/>
      <c r="C216" s="301"/>
      <c r="D216" s="301"/>
      <c r="E216" s="301"/>
      <c r="F216" s="301"/>
      <c r="G216" s="301"/>
      <c r="H216" s="301"/>
      <c r="I216" s="301"/>
      <c r="J216" s="301"/>
      <c r="K216" s="309"/>
      <c r="L216" s="301"/>
      <c r="N216" s="301"/>
      <c r="O216" s="301"/>
      <c r="P216" s="301"/>
      <c r="Q216" s="301"/>
      <c r="R216" s="301"/>
      <c r="S216" s="301"/>
    </row>
    <row r="217" spans="1:19">
      <c r="A217" s="301"/>
      <c r="B217" s="301"/>
      <c r="C217" s="301"/>
      <c r="D217" s="301"/>
      <c r="E217" s="301"/>
      <c r="F217" s="301"/>
      <c r="G217" s="301"/>
      <c r="H217" s="301"/>
      <c r="I217" s="301"/>
      <c r="J217" s="301"/>
      <c r="K217" s="301"/>
      <c r="L217" s="301"/>
      <c r="M217" s="301"/>
      <c r="N217" s="301"/>
      <c r="O217" s="301"/>
      <c r="P217" s="301"/>
      <c r="Q217" s="301"/>
    </row>
    <row r="218" spans="1:19" ht="15" customHeight="1">
      <c r="A218" s="301"/>
      <c r="B218" s="301"/>
      <c r="C218" s="301"/>
      <c r="D218" s="301"/>
      <c r="E218" s="301"/>
      <c r="F218" s="301"/>
      <c r="G218" s="301"/>
      <c r="H218" s="301"/>
      <c r="I218" s="301"/>
      <c r="J218" s="301"/>
      <c r="K218" s="301"/>
      <c r="L218" s="301"/>
      <c r="M218" s="301"/>
      <c r="N218" s="301"/>
      <c r="O218" s="301"/>
      <c r="P218" s="301"/>
      <c r="Q218" s="301"/>
    </row>
    <row r="219" spans="1:19" ht="15" customHeight="1">
      <c r="M219" s="11" t="s">
        <v>222</v>
      </c>
      <c r="N219" s="11" t="s">
        <v>239</v>
      </c>
      <c r="O219" s="11" t="s">
        <v>170</v>
      </c>
      <c r="R219" s="11" t="s">
        <v>171</v>
      </c>
    </row>
    <row r="220" spans="1:19" ht="15" customHeight="1">
      <c r="B220" s="12" t="s">
        <v>1434</v>
      </c>
      <c r="R220" s="72"/>
    </row>
    <row r="221" spans="1:19" ht="15" customHeight="1">
      <c r="C221" s="12" t="s">
        <v>1435</v>
      </c>
      <c r="M221" s="17">
        <f>IF('Surface Processing'!M58=1,M77*S196*100,0)</f>
        <v>2627.8925571545992</v>
      </c>
      <c r="N221" s="11" t="s">
        <v>274</v>
      </c>
      <c r="R221" s="72" t="s">
        <v>2144</v>
      </c>
    </row>
    <row r="222" spans="1:19" ht="15" customHeight="1">
      <c r="B222" s="12" t="s">
        <v>1542</v>
      </c>
      <c r="M222" s="298"/>
      <c r="R222" s="72"/>
    </row>
    <row r="223" spans="1:19" ht="15" customHeight="1">
      <c r="C223" s="12" t="s">
        <v>1436</v>
      </c>
      <c r="M223" s="17">
        <f>M221*(D203+50)*0.00065</f>
        <v>683.25206486019579</v>
      </c>
      <c r="N223" s="11" t="s">
        <v>245</v>
      </c>
      <c r="R223" s="72" t="s">
        <v>2145</v>
      </c>
    </row>
    <row r="224" spans="1:19" ht="15" customHeight="1">
      <c r="C224" s="275" t="s">
        <v>1543</v>
      </c>
      <c r="M224" s="17">
        <f>M221*0.06</f>
        <v>157.67355342927596</v>
      </c>
      <c r="N224" s="11" t="s">
        <v>245</v>
      </c>
      <c r="R224" s="72" t="s">
        <v>2145</v>
      </c>
    </row>
    <row r="225" spans="2:18" ht="15" customHeight="1">
      <c r="C225" s="275" t="s">
        <v>1626</v>
      </c>
      <c r="M225" s="17">
        <f>M221*0.06</f>
        <v>157.67355342927596</v>
      </c>
      <c r="N225" s="11" t="s">
        <v>245</v>
      </c>
      <c r="R225" s="72" t="s">
        <v>2146</v>
      </c>
    </row>
    <row r="226" spans="2:18" ht="15" customHeight="1">
      <c r="C226" s="275" t="s">
        <v>1677</v>
      </c>
      <c r="M226" s="17">
        <f>SUM(M223:M225)</f>
        <v>998.59917171874758</v>
      </c>
      <c r="N226" s="11" t="s">
        <v>245</v>
      </c>
      <c r="R226" s="72"/>
    </row>
    <row r="227" spans="2:18" ht="15" customHeight="1">
      <c r="M227" s="268"/>
      <c r="R227" s="72"/>
    </row>
    <row r="228" spans="2:18" ht="15" customHeight="1">
      <c r="C228" s="275" t="s">
        <v>1708</v>
      </c>
      <c r="M228" s="268"/>
      <c r="R228" s="72"/>
    </row>
    <row r="229" spans="2:18" ht="15" customHeight="1">
      <c r="D229" s="275" t="s">
        <v>1437</v>
      </c>
      <c r="M229" s="14">
        <f>M79</f>
        <v>0.77096110352026936</v>
      </c>
      <c r="N229" s="92" t="s">
        <v>1787</v>
      </c>
      <c r="R229" s="72"/>
    </row>
    <row r="230" spans="2:18" ht="15" customHeight="1">
      <c r="D230" s="275" t="s">
        <v>1544</v>
      </c>
      <c r="M230" s="14">
        <f>M229*24</f>
        <v>18.503066484486464</v>
      </c>
      <c r="N230" s="11" t="s">
        <v>347</v>
      </c>
      <c r="R230" s="72"/>
    </row>
    <row r="231" spans="2:18" ht="15" customHeight="1">
      <c r="D231" s="275" t="s">
        <v>1627</v>
      </c>
      <c r="M231" s="14">
        <f>M230*M226</f>
        <v>18477.146865665101</v>
      </c>
      <c r="N231" s="11" t="s">
        <v>317</v>
      </c>
      <c r="R231" s="72"/>
    </row>
    <row r="232" spans="2:18" ht="15" customHeight="1">
      <c r="B232" s="12" t="s">
        <v>1628</v>
      </c>
      <c r="R232" s="72"/>
    </row>
    <row r="233" spans="2:18" ht="15" customHeight="1">
      <c r="C233" s="275" t="s">
        <v>1438</v>
      </c>
      <c r="M233" s="17">
        <f>M221*0.36</f>
        <v>946.04132057565573</v>
      </c>
      <c r="N233" s="11" t="s">
        <v>245</v>
      </c>
      <c r="R233" s="72"/>
    </row>
    <row r="234" spans="2:18" ht="15" customHeight="1">
      <c r="C234" s="275" t="s">
        <v>1545</v>
      </c>
      <c r="M234" s="17">
        <f>M233*2</f>
        <v>1892.0826411513115</v>
      </c>
      <c r="N234" s="11" t="s">
        <v>245</v>
      </c>
      <c r="R234" s="72"/>
    </row>
    <row r="235" spans="2:18" ht="15" customHeight="1">
      <c r="C235" s="275" t="s">
        <v>1629</v>
      </c>
      <c r="M235" s="17">
        <f>SUM(M233:M234)</f>
        <v>2838.1239617269671</v>
      </c>
      <c r="N235" s="11" t="s">
        <v>245</v>
      </c>
      <c r="R235" s="72"/>
    </row>
    <row r="236" spans="2:18" ht="15" customHeight="1">
      <c r="M236" s="280"/>
      <c r="R236" s="72"/>
    </row>
    <row r="237" spans="2:18" ht="15" customHeight="1">
      <c r="C237" s="275" t="s">
        <v>1678</v>
      </c>
      <c r="M237" s="268"/>
      <c r="R237" s="72"/>
    </row>
    <row r="238" spans="2:18" ht="15" customHeight="1">
      <c r="D238" s="275" t="s">
        <v>1439</v>
      </c>
      <c r="M238" s="14">
        <f>M80</f>
        <v>0.77096110352026936</v>
      </c>
      <c r="N238" s="92" t="s">
        <v>1787</v>
      </c>
      <c r="R238" s="72"/>
    </row>
    <row r="239" spans="2:18" ht="15" customHeight="1">
      <c r="D239" s="275" t="s">
        <v>1546</v>
      </c>
      <c r="M239" s="14">
        <f>M238*24</f>
        <v>18.503066484486464</v>
      </c>
      <c r="N239" s="11" t="s">
        <v>347</v>
      </c>
      <c r="R239" s="72"/>
    </row>
    <row r="240" spans="2:18" ht="15" customHeight="1">
      <c r="D240" s="275" t="s">
        <v>1630</v>
      </c>
      <c r="M240" s="14">
        <f>M239*M235</f>
        <v>52513.996355048192</v>
      </c>
      <c r="N240" s="11" t="s">
        <v>317</v>
      </c>
      <c r="R240" s="72"/>
    </row>
    <row r="241" spans="1:18" ht="15" customHeight="1">
      <c r="M241" s="260"/>
      <c r="R241" s="72"/>
    </row>
    <row r="242" spans="1:18" ht="15" customHeight="1">
      <c r="B242" s="12" t="s">
        <v>1679</v>
      </c>
      <c r="M242" s="14">
        <f>(24/1000000)*(M221*72000)*1.15</f>
        <v>5222.1480895776194</v>
      </c>
      <c r="N242" s="11" t="s">
        <v>268</v>
      </c>
      <c r="R242" s="76" t="s">
        <v>2147</v>
      </c>
    </row>
    <row r="243" spans="1:18" ht="15" customHeight="1">
      <c r="C243" s="275" t="s">
        <v>1440</v>
      </c>
      <c r="R243" s="72"/>
    </row>
    <row r="244" spans="1:18" ht="15" customHeight="1">
      <c r="D244" s="275" t="s">
        <v>1441</v>
      </c>
      <c r="M244" s="14">
        <f>M82</f>
        <v>1.25</v>
      </c>
      <c r="N244" s="11" t="s">
        <v>345</v>
      </c>
      <c r="R244" s="72"/>
    </row>
    <row r="245" spans="1:18" ht="15" customHeight="1">
      <c r="D245" s="275" t="s">
        <v>1547</v>
      </c>
      <c r="M245" s="14">
        <f>M244*M242</f>
        <v>6527.6851119720241</v>
      </c>
      <c r="N245" s="11" t="s">
        <v>268</v>
      </c>
      <c r="R245" s="72"/>
    </row>
    <row r="246" spans="1:18" ht="15" customHeight="1"/>
    <row r="247" spans="1:18" ht="15" customHeight="1">
      <c r="A247" s="12" t="s">
        <v>1548</v>
      </c>
    </row>
    <row r="249" spans="1:18">
      <c r="C249" s="301"/>
      <c r="D249" s="301"/>
      <c r="E249" s="301"/>
      <c r="F249" s="301"/>
      <c r="G249" s="301"/>
      <c r="H249" s="301"/>
      <c r="I249" s="301"/>
      <c r="J249" s="301"/>
      <c r="K249" s="301"/>
      <c r="L249" s="301"/>
      <c r="M249" s="318" t="s">
        <v>313</v>
      </c>
    </row>
    <row r="250" spans="1:18" ht="18.75">
      <c r="C250" s="301"/>
      <c r="D250" s="301"/>
      <c r="E250" s="318" t="s">
        <v>312</v>
      </c>
      <c r="F250" s="301"/>
      <c r="G250" s="301"/>
      <c r="H250" s="301"/>
      <c r="I250" s="301"/>
      <c r="J250" s="301"/>
      <c r="K250" s="301"/>
      <c r="L250" s="301"/>
      <c r="M250" s="308">
        <f>IF(M61=1,M276,0)</f>
        <v>70719.628926415055</v>
      </c>
      <c r="N250" s="301" t="s">
        <v>577</v>
      </c>
    </row>
    <row r="251" spans="1:18">
      <c r="C251" s="301"/>
      <c r="D251" s="301"/>
      <c r="E251" s="305"/>
      <c r="F251" s="321"/>
      <c r="G251" s="301"/>
      <c r="H251" s="301"/>
      <c r="I251" s="301"/>
      <c r="J251" s="301"/>
      <c r="K251" s="301"/>
      <c r="L251" s="304"/>
      <c r="M251" s="301"/>
    </row>
    <row r="252" spans="1:18">
      <c r="C252" s="301"/>
      <c r="D252" s="301"/>
      <c r="E252" s="301"/>
      <c r="F252" s="301"/>
      <c r="G252" s="301"/>
      <c r="H252" s="301"/>
      <c r="I252" s="301"/>
      <c r="J252" s="301"/>
      <c r="K252" s="301"/>
      <c r="L252" s="306" t="s">
        <v>307</v>
      </c>
      <c r="M252" s="301"/>
    </row>
    <row r="253" spans="1:18">
      <c r="C253" s="301"/>
      <c r="D253" s="312" t="s">
        <v>303</v>
      </c>
      <c r="E253" s="301"/>
      <c r="F253" s="301"/>
      <c r="G253" s="301"/>
      <c r="H253" s="301"/>
      <c r="I253" s="301"/>
      <c r="J253" s="301"/>
      <c r="K253" s="301"/>
      <c r="L253" s="306" t="s">
        <v>308</v>
      </c>
      <c r="M253" s="301"/>
    </row>
    <row r="254" spans="1:18">
      <c r="C254" s="301"/>
      <c r="D254" s="314" t="s">
        <v>304</v>
      </c>
      <c r="E254" s="301"/>
      <c r="F254" s="301"/>
      <c r="G254" s="301"/>
      <c r="H254" s="301"/>
      <c r="I254" s="301"/>
      <c r="J254" s="301"/>
      <c r="K254" s="301"/>
      <c r="L254" s="315"/>
      <c r="M254" s="301"/>
    </row>
    <row r="255" spans="1:18">
      <c r="C255" s="301"/>
      <c r="D255" s="301"/>
      <c r="E255" s="301"/>
      <c r="F255" s="301"/>
      <c r="G255" s="301"/>
      <c r="H255" s="301"/>
      <c r="I255" s="301"/>
      <c r="J255" s="301"/>
      <c r="K255" s="301"/>
      <c r="L255" s="309"/>
      <c r="M255" s="301"/>
    </row>
    <row r="256" spans="1:18">
      <c r="C256" s="301"/>
      <c r="D256" s="301"/>
      <c r="E256" s="301"/>
      <c r="F256" s="301"/>
      <c r="G256" s="301"/>
      <c r="H256" s="301"/>
      <c r="I256" s="301"/>
      <c r="J256" s="301"/>
      <c r="K256" s="1069" t="s">
        <v>280</v>
      </c>
      <c r="L256" s="1070"/>
      <c r="M256" s="301"/>
    </row>
    <row r="257" spans="2:20">
      <c r="C257" s="301"/>
      <c r="D257" s="301"/>
      <c r="E257" s="301"/>
      <c r="F257" s="301"/>
      <c r="G257" s="301"/>
      <c r="H257" s="301"/>
      <c r="I257" s="301"/>
      <c r="J257" s="301" t="s">
        <v>267</v>
      </c>
      <c r="K257" s="322"/>
      <c r="L257" s="323"/>
      <c r="M257" s="301"/>
    </row>
    <row r="258" spans="2:20">
      <c r="C258" s="301"/>
      <c r="D258" s="301"/>
      <c r="E258" s="301"/>
      <c r="F258" s="301"/>
      <c r="G258" s="301"/>
      <c r="H258" s="301"/>
      <c r="I258" s="324">
        <f>M281</f>
        <v>200.27798911960744</v>
      </c>
      <c r="J258" s="301" t="s">
        <v>268</v>
      </c>
      <c r="L258" s="301"/>
      <c r="M258" s="301"/>
    </row>
    <row r="259" spans="2:20">
      <c r="C259" s="301"/>
      <c r="D259" s="304"/>
      <c r="E259" s="301"/>
      <c r="F259" s="301"/>
      <c r="G259" s="301"/>
      <c r="H259" s="301"/>
      <c r="I259" s="301"/>
      <c r="J259" s="301"/>
      <c r="K259" s="301"/>
      <c r="L259" s="301"/>
      <c r="M259" s="301"/>
    </row>
    <row r="260" spans="2:20">
      <c r="C260" s="301"/>
      <c r="D260" s="315"/>
      <c r="E260" s="301"/>
      <c r="F260" s="301"/>
      <c r="G260" s="301"/>
      <c r="H260" s="301"/>
      <c r="I260" s="301"/>
      <c r="J260" s="301"/>
      <c r="K260" s="301"/>
      <c r="L260" s="301"/>
      <c r="M260" s="301"/>
    </row>
    <row r="261" spans="2:20">
      <c r="C261" s="301"/>
      <c r="D261" s="306" t="s">
        <v>302</v>
      </c>
      <c r="E261" s="301"/>
      <c r="F261" s="301"/>
      <c r="G261" s="301"/>
      <c r="H261" s="301"/>
      <c r="I261" s="301"/>
      <c r="J261" s="301"/>
      <c r="K261" s="301"/>
      <c r="L261" s="301"/>
      <c r="M261" s="301"/>
    </row>
    <row r="262" spans="2:20">
      <c r="B262" s="301"/>
      <c r="C262" s="301"/>
      <c r="D262" s="315">
        <f>M91</f>
        <v>786</v>
      </c>
      <c r="E262" s="301"/>
      <c r="F262" s="301"/>
      <c r="G262" s="301"/>
      <c r="H262" s="301"/>
      <c r="I262" s="301"/>
      <c r="J262" s="301"/>
      <c r="K262" s="301"/>
      <c r="L262" s="301"/>
      <c r="M262" s="301"/>
    </row>
    <row r="263" spans="2:20">
      <c r="B263" s="305"/>
      <c r="C263" s="321"/>
      <c r="D263" s="325" t="s">
        <v>219</v>
      </c>
      <c r="E263" s="301"/>
      <c r="F263" s="301"/>
      <c r="H263" s="301"/>
      <c r="I263" s="301"/>
      <c r="J263" s="1069" t="s">
        <v>305</v>
      </c>
      <c r="K263" s="1070"/>
      <c r="L263" s="301"/>
      <c r="M263" s="301"/>
    </row>
    <row r="264" spans="2:20">
      <c r="B264" s="301"/>
      <c r="C264" s="318" t="s">
        <v>309</v>
      </c>
      <c r="D264" s="309"/>
      <c r="E264" s="301"/>
      <c r="F264" s="301"/>
      <c r="H264" s="301"/>
      <c r="I264" s="301"/>
      <c r="J264" s="322"/>
      <c r="K264" s="323"/>
      <c r="L264" s="301"/>
      <c r="M264" s="301"/>
    </row>
    <row r="265" spans="2:20">
      <c r="C265" s="301"/>
      <c r="D265" s="301"/>
      <c r="E265" s="301"/>
      <c r="F265" s="301"/>
      <c r="G265" s="312" t="s">
        <v>306</v>
      </c>
      <c r="H265" s="301"/>
      <c r="I265" s="301"/>
      <c r="J265" s="301"/>
      <c r="K265" s="301"/>
      <c r="L265" s="301"/>
      <c r="M265" s="301"/>
    </row>
    <row r="266" spans="2:20">
      <c r="C266" s="301"/>
      <c r="D266" s="301"/>
      <c r="E266" s="301"/>
      <c r="F266" s="301"/>
      <c r="G266" s="314" t="s">
        <v>284</v>
      </c>
      <c r="H266" s="301"/>
      <c r="I266" s="301"/>
      <c r="J266" s="301"/>
      <c r="K266" s="301"/>
      <c r="L266" s="301"/>
      <c r="M266" s="301"/>
    </row>
    <row r="267" spans="2:20">
      <c r="G267" s="301"/>
      <c r="H267" s="301" t="s">
        <v>299</v>
      </c>
      <c r="I267" s="301"/>
      <c r="J267" s="301"/>
    </row>
    <row r="268" spans="2:20">
      <c r="G268" s="301"/>
      <c r="H268" s="308">
        <f>M288</f>
        <v>60.021194618466943</v>
      </c>
      <c r="I268" s="301" t="s">
        <v>245</v>
      </c>
      <c r="J268" s="301"/>
    </row>
    <row r="269" spans="2:20">
      <c r="H269" s="324"/>
      <c r="I269" s="301"/>
    </row>
    <row r="270" spans="2:20" ht="15" customHeight="1"/>
    <row r="271" spans="2:20" ht="15" customHeight="1">
      <c r="M271" s="11" t="s">
        <v>222</v>
      </c>
      <c r="N271" s="11" t="s">
        <v>221</v>
      </c>
      <c r="O271" s="11" t="s">
        <v>239</v>
      </c>
      <c r="Q271" s="11" t="s">
        <v>170</v>
      </c>
      <c r="T271" s="11" t="s">
        <v>171</v>
      </c>
    </row>
    <row r="272" spans="2:20" ht="15" customHeight="1">
      <c r="B272" s="11" t="s">
        <v>1442</v>
      </c>
      <c r="T272" s="72"/>
    </row>
    <row r="273" spans="2:20" ht="15" customHeight="1">
      <c r="C273" s="11" t="s">
        <v>1443</v>
      </c>
      <c r="M273" s="640">
        <f>N273</f>
        <v>52</v>
      </c>
      <c r="N273" s="21">
        <v>52</v>
      </c>
      <c r="O273" s="11" t="s">
        <v>889</v>
      </c>
      <c r="T273" s="72" t="s">
        <v>882</v>
      </c>
    </row>
    <row r="274" spans="2:20" ht="15" customHeight="1">
      <c r="C274" s="11" t="s">
        <v>1549</v>
      </c>
      <c r="H274" s="78"/>
      <c r="M274" s="640">
        <f>N274</f>
        <v>7</v>
      </c>
      <c r="N274" s="21">
        <v>7</v>
      </c>
      <c r="O274" s="11" t="s">
        <v>889</v>
      </c>
      <c r="T274" s="72" t="s">
        <v>882</v>
      </c>
    </row>
    <row r="275" spans="2:20" ht="15" customHeight="1">
      <c r="C275" s="11" t="s">
        <v>1631</v>
      </c>
      <c r="M275" s="15">
        <f>IF(M61=1,M273-M274,"NA")</f>
        <v>45</v>
      </c>
      <c r="N275" s="683">
        <f>N273-N274</f>
        <v>45</v>
      </c>
      <c r="O275" s="11" t="s">
        <v>889</v>
      </c>
      <c r="T275" s="72"/>
    </row>
    <row r="276" spans="2:20" ht="15" customHeight="1">
      <c r="C276" s="11" t="s">
        <v>1680</v>
      </c>
      <c r="M276" s="15">
        <f>IF(M61=1,M275*'Gas Balance'!M23,"NA")</f>
        <v>70719.628926415055</v>
      </c>
      <c r="N276" s="683">
        <f>N275*'Gas Balance'!M23</f>
        <v>70719.628926415055</v>
      </c>
      <c r="O276" s="11" t="s">
        <v>890</v>
      </c>
      <c r="T276" s="72"/>
    </row>
    <row r="277" spans="2:20" ht="15" customHeight="1">
      <c r="C277" s="11" t="s">
        <v>1709</v>
      </c>
      <c r="M277" s="15">
        <f>IF(M61=1,M90*M276,"NA")</f>
        <v>141439.25785283011</v>
      </c>
      <c r="N277" s="662">
        <f>N90*N276</f>
        <v>141439.25785283011</v>
      </c>
      <c r="O277" s="11" t="s">
        <v>311</v>
      </c>
      <c r="T277" s="72"/>
    </row>
    <row r="278" spans="2:20" ht="15" customHeight="1">
      <c r="T278" s="72"/>
    </row>
    <row r="279" spans="2:20" ht="15" customHeight="1">
      <c r="B279" s="11" t="s">
        <v>1550</v>
      </c>
      <c r="T279" s="72"/>
    </row>
    <row r="280" spans="2:20" ht="15" customHeight="1">
      <c r="C280" s="11" t="s">
        <v>1444</v>
      </c>
      <c r="M280" s="206">
        <f>900+966*M90</f>
        <v>2832</v>
      </c>
      <c r="N280" s="709">
        <f>900+966*N90</f>
        <v>2832</v>
      </c>
      <c r="O280" s="11" t="s">
        <v>891</v>
      </c>
      <c r="T280" s="72" t="s">
        <v>310</v>
      </c>
    </row>
    <row r="281" spans="2:20" ht="15" customHeight="1">
      <c r="C281" s="12" t="s">
        <v>1551</v>
      </c>
      <c r="M281" s="17">
        <f>IF(M61=1,M280*M276/1000000,"NA")</f>
        <v>200.27798911960744</v>
      </c>
      <c r="N281" s="708">
        <f>N280*N276/1000000</f>
        <v>200.27798911960744</v>
      </c>
      <c r="O281" s="11" t="s">
        <v>268</v>
      </c>
      <c r="T281" s="72"/>
    </row>
    <row r="282" spans="2:20" ht="15" customHeight="1">
      <c r="M282" s="327"/>
      <c r="N282" s="328"/>
      <c r="T282" s="72"/>
    </row>
    <row r="283" spans="2:20" ht="15" customHeight="1">
      <c r="C283" s="11" t="s">
        <v>1632</v>
      </c>
      <c r="M283" s="17">
        <f>IF(M61=1,M281*IF(M99=1,M102,M103),0)</f>
        <v>250.34748639950931</v>
      </c>
      <c r="N283" s="708">
        <f>N281*IF(N99=1,N102,N103)</f>
        <v>250.34748639950931</v>
      </c>
      <c r="O283" s="11" t="str">
        <f>IF(M99=1,"MMBtu/d","kWh/d")</f>
        <v>MMBtu/d</v>
      </c>
      <c r="T283" s="72"/>
    </row>
    <row r="284" spans="2:20" ht="15" customHeight="1">
      <c r="T284" s="72"/>
    </row>
    <row r="285" spans="2:20" ht="15" customHeight="1">
      <c r="B285" s="11" t="s">
        <v>1633</v>
      </c>
      <c r="M285" s="230"/>
      <c r="N285" s="266"/>
      <c r="T285" s="72"/>
    </row>
    <row r="286" spans="2:20" ht="15" customHeight="1">
      <c r="C286" s="643" t="s">
        <v>2366</v>
      </c>
      <c r="M286" s="672">
        <v>0</v>
      </c>
      <c r="N286" s="673">
        <v>0</v>
      </c>
      <c r="O286" s="643" t="s">
        <v>219</v>
      </c>
      <c r="T286" s="72"/>
    </row>
    <row r="287" spans="2:20" ht="15" customHeight="1">
      <c r="C287" s="651" t="s">
        <v>2367</v>
      </c>
      <c r="M287" s="14">
        <f>M91</f>
        <v>786</v>
      </c>
      <c r="N287" s="210">
        <f>N91</f>
        <v>786</v>
      </c>
      <c r="O287" s="11" t="s">
        <v>219</v>
      </c>
      <c r="T287" s="72"/>
    </row>
    <row r="288" spans="2:20" ht="15" customHeight="1">
      <c r="C288" s="643" t="s">
        <v>2368</v>
      </c>
      <c r="M288" s="17">
        <f>IF(M61=1,(M277*(1/1440)*(M287-M286))/(1715*(M96/100)),"NA")</f>
        <v>60.021194618466943</v>
      </c>
      <c r="N288" s="209">
        <f>(N277*(1/1440)*(N287-N286))/(1715*(N96/100))</f>
        <v>60.021194618466943</v>
      </c>
      <c r="O288" s="11" t="s">
        <v>245</v>
      </c>
      <c r="T288" s="72"/>
    </row>
    <row r="289" spans="1:20" ht="15" customHeight="1">
      <c r="T289" s="72"/>
    </row>
    <row r="290" spans="1:20" ht="15" customHeight="1">
      <c r="C290" s="643" t="s">
        <v>2369</v>
      </c>
      <c r="M290" s="17">
        <f>IF(M61=1,M97*24*M288,0)</f>
        <v>1163.5752654408802</v>
      </c>
      <c r="N290" s="708">
        <f>N97*24*N288</f>
        <v>1163.5752654408802</v>
      </c>
      <c r="O290" s="11" t="s">
        <v>317</v>
      </c>
    </row>
    <row r="291" spans="1:20" ht="15" customHeight="1">
      <c r="C291" s="643"/>
      <c r="M291"/>
      <c r="N291"/>
    </row>
    <row r="292" spans="1:20" ht="15" customHeight="1">
      <c r="C292" s="643"/>
      <c r="M292"/>
      <c r="N292"/>
    </row>
    <row r="293" spans="1:20" ht="15" customHeight="1">
      <c r="A293" s="643" t="s">
        <v>2512</v>
      </c>
      <c r="C293" s="643"/>
      <c r="M293"/>
      <c r="N293"/>
    </row>
    <row r="294" spans="1:20" ht="15" customHeight="1">
      <c r="B294" s="643" t="s">
        <v>2528</v>
      </c>
      <c r="C294" s="643"/>
      <c r="M294"/>
      <c r="N294"/>
    </row>
    <row r="295" spans="1:20" ht="15" customHeight="1">
      <c r="C295" s="652" t="s">
        <v>2516</v>
      </c>
      <c r="D295" s="652" t="s">
        <v>2520</v>
      </c>
      <c r="E295" s="652" t="s">
        <v>444</v>
      </c>
      <c r="F295" s="652" t="s">
        <v>2517</v>
      </c>
      <c r="G295" s="652" t="s">
        <v>2519</v>
      </c>
      <c r="H295" s="652" t="s">
        <v>3775</v>
      </c>
      <c r="I295" s="652" t="s">
        <v>3774</v>
      </c>
      <c r="M295"/>
      <c r="N295"/>
    </row>
    <row r="296" spans="1:20" ht="15" customHeight="1">
      <c r="C296" s="652"/>
      <c r="D296" s="652" t="s">
        <v>210</v>
      </c>
      <c r="E296" s="652" t="s">
        <v>238</v>
      </c>
      <c r="F296" s="652" t="s">
        <v>2530</v>
      </c>
      <c r="G296" s="652" t="s">
        <v>2531</v>
      </c>
      <c r="H296" s="652" t="s">
        <v>2529</v>
      </c>
      <c r="I296" s="652" t="s">
        <v>2529</v>
      </c>
      <c r="M296"/>
      <c r="N296"/>
    </row>
    <row r="297" spans="1:20" ht="15" customHeight="1">
      <c r="C297" s="715" t="s">
        <v>2521</v>
      </c>
      <c r="D297" s="673">
        <f>'Gas Balance'!V29</f>
        <v>2.4138269017152156</v>
      </c>
      <c r="E297" s="716">
        <f>1000000*(D297/100)*'Gas Balance'!$V$23</f>
        <v>37259332.688512094</v>
      </c>
      <c r="F297" s="717">
        <f>E297*'Input data'!C81</f>
        <v>2751270.6226594844</v>
      </c>
      <c r="G297" s="203">
        <v>28</v>
      </c>
      <c r="H297" s="717">
        <f>0.001*453.592*F297/G297</f>
        <v>44569.79800976289</v>
      </c>
      <c r="I297" s="717">
        <f>H297*0</f>
        <v>0</v>
      </c>
      <c r="M297"/>
      <c r="N297"/>
    </row>
    <row r="298" spans="1:20" ht="15" customHeight="1">
      <c r="C298" s="715" t="s">
        <v>2522</v>
      </c>
      <c r="D298" s="673">
        <f>'Gas Balance'!V30</f>
        <v>0</v>
      </c>
      <c r="E298" s="716">
        <f>1000000*(D298/100)*'Gas Balance'!$V$23</f>
        <v>0</v>
      </c>
      <c r="F298" s="717">
        <f>E298*'Input data'!C83</f>
        <v>0</v>
      </c>
      <c r="G298" s="203">
        <v>44</v>
      </c>
      <c r="H298" s="717">
        <f t="shared" ref="H298:H303" si="0">0.001*453.592*F298/G298</f>
        <v>0</v>
      </c>
      <c r="I298" s="717">
        <f>H298*0</f>
        <v>0</v>
      </c>
      <c r="M298"/>
      <c r="N298"/>
    </row>
    <row r="299" spans="1:20" ht="15" customHeight="1">
      <c r="C299" s="715" t="s">
        <v>2523</v>
      </c>
      <c r="D299" s="673">
        <f>'Gas Balance'!V31</f>
        <v>96.710439359133446</v>
      </c>
      <c r="E299" s="716">
        <f>1000000*(D299/100)*'Gas Balance'!$V$23</f>
        <v>1492802334.7381079</v>
      </c>
      <c r="F299" s="717">
        <f>E299*'Input data'!C84</f>
        <v>63232218.687399417</v>
      </c>
      <c r="G299" s="203">
        <v>16</v>
      </c>
      <c r="H299" s="717">
        <f t="shared" si="0"/>
        <v>1792601.7836784297</v>
      </c>
      <c r="I299" s="717">
        <f>H299*0</f>
        <v>0</v>
      </c>
      <c r="M299"/>
      <c r="N299"/>
    </row>
    <row r="300" spans="1:20" ht="15" customHeight="1">
      <c r="C300" s="715" t="s">
        <v>2524</v>
      </c>
      <c r="D300" s="673">
        <f>'Gas Balance'!V32</f>
        <v>0.52270303302554166</v>
      </c>
      <c r="E300" s="716">
        <f>1000000*(D300/100)*'Gas Balance'!$V$23</f>
        <v>8068335.8823095579</v>
      </c>
      <c r="F300" s="717">
        <f>E300*'Input data'!C85</f>
        <v>644757.85010660847</v>
      </c>
      <c r="G300" s="203">
        <v>30</v>
      </c>
      <c r="H300" s="717">
        <f t="shared" si="0"/>
        <v>9748.5667581852249</v>
      </c>
      <c r="I300" s="717">
        <f>H300*M111/100</f>
        <v>8793.2072158830724</v>
      </c>
      <c r="M300"/>
      <c r="N300"/>
    </row>
    <row r="301" spans="1:20" ht="15" customHeight="1">
      <c r="C301" s="715" t="s">
        <v>2525</v>
      </c>
      <c r="D301" s="673">
        <f>'Gas Balance'!V33</f>
        <v>0.23571933364447076</v>
      </c>
      <c r="E301" s="716">
        <f>1000000*(D301/100)*'Gas Balance'!$V$23</f>
        <v>3638514.8691204335</v>
      </c>
      <c r="F301" s="717">
        <f>E301*'Input data'!C86</f>
        <v>430473.35719635722</v>
      </c>
      <c r="G301" s="203">
        <v>44</v>
      </c>
      <c r="H301" s="717">
        <f t="shared" si="0"/>
        <v>4437.7107053956834</v>
      </c>
      <c r="I301" s="717">
        <f>H301*M112/100</f>
        <v>4437.7107053956834</v>
      </c>
      <c r="M301"/>
      <c r="N301"/>
    </row>
    <row r="302" spans="1:20" ht="15" customHeight="1">
      <c r="C302" s="715" t="s">
        <v>2526</v>
      </c>
      <c r="D302" s="673">
        <f>'Gas Balance'!V34</f>
        <v>0.1173113724813151</v>
      </c>
      <c r="E302" s="716">
        <f>1000000*(D302/100)*'Gas Balance'!$V$23</f>
        <v>1810794.0765435086</v>
      </c>
      <c r="F302" s="717">
        <f>E302*'Input data'!C87</f>
        <v>286993.19522873638</v>
      </c>
      <c r="G302" s="203">
        <v>58</v>
      </c>
      <c r="H302" s="717">
        <f t="shared" si="0"/>
        <v>2244.4451277619482</v>
      </c>
      <c r="I302" s="717">
        <f>H302*M113/100</f>
        <v>2244.4451277619482</v>
      </c>
      <c r="M302"/>
      <c r="N302"/>
    </row>
    <row r="303" spans="1:20" ht="15" customHeight="1">
      <c r="C303" s="715" t="s">
        <v>2527</v>
      </c>
      <c r="D303" s="673">
        <f>'Gas Balance'!V35</f>
        <v>0</v>
      </c>
      <c r="E303" s="716">
        <f>1000000*(D303/100)*'Gas Balance'!$V$23</f>
        <v>0</v>
      </c>
      <c r="F303" s="717">
        <f>E303*'Input data'!C82</f>
        <v>0</v>
      </c>
      <c r="G303" s="203">
        <v>34</v>
      </c>
      <c r="H303" s="717">
        <f t="shared" si="0"/>
        <v>0</v>
      </c>
      <c r="I303" s="717">
        <v>0</v>
      </c>
      <c r="M303"/>
      <c r="N303"/>
    </row>
    <row r="304" spans="1:20" ht="15" customHeight="1">
      <c r="C304" s="203" t="s">
        <v>339</v>
      </c>
      <c r="D304" s="717">
        <f>SUM(D297:D303)</f>
        <v>99.999999999999972</v>
      </c>
      <c r="E304" s="717">
        <f>SUM(E297:E303)</f>
        <v>1543579312.2545936</v>
      </c>
      <c r="F304" s="717">
        <f>SUM(F297:F303)</f>
        <v>67345713.712590605</v>
      </c>
      <c r="G304" s="203" t="str">
        <f>"--"</f>
        <v>--</v>
      </c>
      <c r="H304" s="717">
        <f>SUM(H297:H303)</f>
        <v>1853602.3042795355</v>
      </c>
      <c r="I304" s="717">
        <f>SUM(I297:I303)</f>
        <v>15475.363049040705</v>
      </c>
      <c r="M304"/>
      <c r="N304"/>
    </row>
    <row r="305" spans="1:20" ht="15" customHeight="1">
      <c r="C305" s="643"/>
      <c r="D305" s="713"/>
      <c r="E305" s="713"/>
      <c r="M305"/>
      <c r="N305"/>
    </row>
    <row r="306" spans="1:20" ht="15" customHeight="1">
      <c r="B306" s="643" t="s">
        <v>2536</v>
      </c>
      <c r="C306" s="713"/>
      <c r="D306" s="713"/>
      <c r="M306" s="663">
        <f>IF(M64=1,M115*I304/24,"NA")</f>
        <v>2343.6108475963333</v>
      </c>
      <c r="N306" s="662">
        <f>N115*I304/24</f>
        <v>2343.6108475963333</v>
      </c>
      <c r="O306" s="643" t="s">
        <v>787</v>
      </c>
    </row>
    <row r="307" spans="1:20" ht="15" customHeight="1">
      <c r="B307" s="643" t="s">
        <v>3773</v>
      </c>
      <c r="C307" s="713"/>
      <c r="D307" s="713"/>
      <c r="M307" s="663">
        <f>IF(M64=1,M116*H304/24,"NA")</f>
        <v>45035.578773547699</v>
      </c>
      <c r="N307" s="662">
        <f>N116*H304/24</f>
        <v>45035.578773547699</v>
      </c>
      <c r="O307" s="643" t="s">
        <v>787</v>
      </c>
    </row>
    <row r="308" spans="1:20" ht="15" customHeight="1">
      <c r="B308" s="643" t="s">
        <v>2537</v>
      </c>
      <c r="C308" s="643"/>
      <c r="D308" s="713"/>
      <c r="E308" s="713"/>
    </row>
    <row r="309" spans="1:20" ht="15" customHeight="1">
      <c r="C309" s="643" t="s">
        <v>3776</v>
      </c>
      <c r="D309" s="713"/>
      <c r="E309" s="713"/>
      <c r="M309" s="663">
        <f>IF(M64=1,(M306*M118+M307*M119)*24/1000000,0)</f>
        <v>10159.628633704466</v>
      </c>
      <c r="N309" s="662">
        <f>(N306*N118+N307*N119)*24/1000000</f>
        <v>10142.768819467927</v>
      </c>
      <c r="O309" s="643" t="s">
        <v>268</v>
      </c>
    </row>
    <row r="310" spans="1:20" ht="15" customHeight="1">
      <c r="C310" s="643" t="s">
        <v>2538</v>
      </c>
      <c r="M310" s="663">
        <f>0</f>
        <v>0</v>
      </c>
      <c r="N310" s="662">
        <f>0</f>
        <v>0</v>
      </c>
      <c r="O310" s="643" t="s">
        <v>268</v>
      </c>
      <c r="T310" s="72" t="s">
        <v>3777</v>
      </c>
    </row>
    <row r="311" spans="1:20" ht="15" customHeight="1"/>
    <row r="312" spans="1:20" s="98" customFormat="1" ht="15" customHeight="1">
      <c r="A312" s="98" t="s">
        <v>1634</v>
      </c>
    </row>
    <row r="313" spans="1:20" ht="15" customHeight="1"/>
    <row r="314" spans="1:20" ht="15" customHeight="1">
      <c r="M314" s="11" t="s">
        <v>222</v>
      </c>
      <c r="N314" s="11" t="s">
        <v>239</v>
      </c>
      <c r="O314" s="11" t="s">
        <v>170</v>
      </c>
      <c r="R314" s="11" t="s">
        <v>171</v>
      </c>
    </row>
    <row r="315" spans="1:20" ht="15" customHeight="1"/>
    <row r="316" spans="1:20" ht="15" customHeight="1">
      <c r="A316" s="12" t="s">
        <v>1445</v>
      </c>
      <c r="M316" s="14">
        <f>M317+M318</f>
        <v>13950.495000000003</v>
      </c>
      <c r="N316" s="11" t="s">
        <v>317</v>
      </c>
    </row>
    <row r="317" spans="1:20" ht="15" customHeight="1">
      <c r="B317" s="12" t="s">
        <v>1446</v>
      </c>
      <c r="M317" s="14">
        <f>E336+I336+M336+Q336</f>
        <v>0</v>
      </c>
      <c r="N317" s="11" t="s">
        <v>317</v>
      </c>
      <c r="O317" s="95"/>
    </row>
    <row r="318" spans="1:20" ht="15" customHeight="1">
      <c r="B318" s="12" t="s">
        <v>1552</v>
      </c>
      <c r="M318" s="14">
        <f>E323+I323+M323+Q323</f>
        <v>13950.495000000003</v>
      </c>
      <c r="N318" s="11" t="s">
        <v>317</v>
      </c>
    </row>
    <row r="323" spans="1:19">
      <c r="E323" s="298">
        <f>IF(SUM(L132:L133)=0,0,VLOOKUP(1,L132:T133,8,FALSE)*B326)</f>
        <v>6587.7337500000012</v>
      </c>
      <c r="F323" s="11" t="s">
        <v>317</v>
      </c>
      <c r="I323" s="298">
        <f>IF(SUM(L135:L142)=0,0,VLOOKUP(1,L135:T142,8,FALSE)*F326)</f>
        <v>6557.9250000000002</v>
      </c>
      <c r="J323" s="11" t="s">
        <v>317</v>
      </c>
      <c r="M323" s="298">
        <f>IF(SUM(L144:L150)=0,0,VLOOKUP(1,L144:T150,8,FALSE)*J326)</f>
        <v>804.83625000000006</v>
      </c>
      <c r="N323" s="11" t="s">
        <v>317</v>
      </c>
      <c r="Q323" s="79">
        <f>IF(SUM(L152:L153)=0,0,VLOOKUP(1,L152:T153,8,FALSE)*N326)</f>
        <v>0</v>
      </c>
      <c r="R323" s="11" t="s">
        <v>317</v>
      </c>
    </row>
    <row r="325" spans="1:19">
      <c r="D325" s="329"/>
      <c r="E325" s="330"/>
      <c r="H325" s="329"/>
      <c r="I325" s="330"/>
      <c r="L325" s="329"/>
      <c r="M325" s="330"/>
      <c r="P325" s="329"/>
      <c r="Q325" s="330"/>
    </row>
    <row r="326" spans="1:19">
      <c r="B326" s="331">
        <f>'Production &amp; Extraction'!M35*'Production &amp; Extraction'!M52</f>
        <v>187500</v>
      </c>
      <c r="C326" s="11" t="s">
        <v>266</v>
      </c>
      <c r="D326" s="1059" t="str">
        <f>IF(SUM(L132:L133)=0,"N/A",VLOOKUP(1,L132:T133,5,FALSE))</f>
        <v>DAF</v>
      </c>
      <c r="E326" s="1060"/>
      <c r="F326" s="331">
        <f>B326-E329</f>
        <v>187500</v>
      </c>
      <c r="G326" s="11" t="s">
        <v>266</v>
      </c>
      <c r="H326" s="1059" t="str">
        <f>VLOOKUP(1,L135:T142,5,FALSE)</f>
        <v>RBC</v>
      </c>
      <c r="I326" s="1060"/>
      <c r="J326" s="331">
        <f>F326-I329</f>
        <v>187500</v>
      </c>
      <c r="K326" s="11" t="s">
        <v>266</v>
      </c>
      <c r="L326" s="1059" t="str">
        <f>IF(SUM(L144:L150)=0,"N/A",VLOOKUP(1,L144:T150,5,FALSE))</f>
        <v>DMF</v>
      </c>
      <c r="M326" s="1060"/>
      <c r="N326" s="331">
        <f>J326-M329</f>
        <v>187500</v>
      </c>
      <c r="O326" s="11" t="s">
        <v>266</v>
      </c>
      <c r="P326" s="1059" t="str">
        <f>IF(SUM(L152:L153)=0,"N/A",VLOOKUP(1,L152:T153,5,FALSE))</f>
        <v>N/A</v>
      </c>
      <c r="Q326" s="1060"/>
      <c r="R326" s="331">
        <f>N326-Q329</f>
        <v>187500</v>
      </c>
      <c r="S326" s="11" t="s">
        <v>266</v>
      </c>
    </row>
    <row r="327" spans="1:19" ht="15.75">
      <c r="A327" s="91" t="s">
        <v>1056</v>
      </c>
      <c r="D327" s="332"/>
      <c r="E327" s="333"/>
      <c r="H327" s="332"/>
      <c r="I327" s="333"/>
      <c r="L327" s="332"/>
      <c r="M327" s="333"/>
      <c r="P327" s="332"/>
      <c r="Q327" s="333"/>
    </row>
    <row r="329" spans="1:19">
      <c r="E329" s="11">
        <f>IF(SUM(L132:L133)=0,0,VLOOKUP(1,L132:T133,6,FALSE)*B326/100)</f>
        <v>0</v>
      </c>
      <c r="F329" s="11" t="s">
        <v>266</v>
      </c>
      <c r="I329" s="11">
        <f>VLOOKUP(1,L135:T142,6,FALSE)*F326/100</f>
        <v>0</v>
      </c>
      <c r="J329" s="11" t="s">
        <v>266</v>
      </c>
      <c r="M329" s="11">
        <f>IF(SUM(L144:L150)=0,0,VLOOKUP(1,L144:T150,6,FALSE)*J326/100)</f>
        <v>0</v>
      </c>
      <c r="N329" s="11" t="s">
        <v>266</v>
      </c>
      <c r="Q329" s="11">
        <f>IF(SUM(L152:L153)=0,0,VLOOKUP(1,L152:T153,6,FALSE)*N326/100)</f>
        <v>0</v>
      </c>
      <c r="R329" s="11" t="s">
        <v>266</v>
      </c>
    </row>
    <row r="336" spans="1:19">
      <c r="E336" s="298">
        <f>IF('Production &amp; Extraction'!M18=1,IF(SUM(N132:N133)=0,0,VLOOKUP(1,N132:T133,6,FALSE)*B339),0)</f>
        <v>0</v>
      </c>
      <c r="F336" s="11" t="s">
        <v>317</v>
      </c>
      <c r="I336" s="298">
        <f>IF('Production &amp; Extraction'!M18=1,IF(SUM(N135:N142)=0,0,VLOOKUP(1,N135:T142,6,FALSE)*F339),0)</f>
        <v>0</v>
      </c>
      <c r="J336" s="11" t="s">
        <v>317</v>
      </c>
      <c r="M336" s="298">
        <f>IF('Production &amp; Extraction'!M18=1,IF(SUM(N144:N150)=0,0,VLOOKUP(1,N144:T150,6,FALSE)*J339),0)</f>
        <v>0</v>
      </c>
      <c r="N336" s="11" t="s">
        <v>317</v>
      </c>
      <c r="Q336" s="298">
        <f>IF('Production &amp; Extraction'!M18=1,IF(SUM(N152:N153)=0,0,VLOOKUP(1,N152:T153,6,FALSE)*N339),0)</f>
        <v>0</v>
      </c>
      <c r="R336" s="11" t="s">
        <v>317</v>
      </c>
    </row>
    <row r="338" spans="1:19">
      <c r="D338" s="329"/>
      <c r="E338" s="330"/>
      <c r="H338" s="329"/>
      <c r="I338" s="330"/>
      <c r="L338" s="329"/>
      <c r="M338" s="330"/>
      <c r="P338" s="329"/>
      <c r="Q338" s="330"/>
    </row>
    <row r="339" spans="1:19">
      <c r="B339" s="334">
        <f>F339+E342</f>
        <v>0</v>
      </c>
      <c r="C339" s="11" t="s">
        <v>266</v>
      </c>
      <c r="D339" s="1059" t="str">
        <f>IF(SUM(N132:N133)=0,"N/A",VLOOKUP(1,N132:T133,3,FALSE))</f>
        <v>DAF</v>
      </c>
      <c r="E339" s="1060"/>
      <c r="F339" s="331">
        <f>J339+I342</f>
        <v>0</v>
      </c>
      <c r="G339" s="11" t="s">
        <v>266</v>
      </c>
      <c r="H339" s="1059" t="str">
        <f>VLOOKUP(1,N135:T142,3,FALSE)</f>
        <v>RBC</v>
      </c>
      <c r="I339" s="1060"/>
      <c r="J339" s="331">
        <f>N339+M342</f>
        <v>0</v>
      </c>
      <c r="K339" s="11" t="s">
        <v>266</v>
      </c>
      <c r="L339" s="1059" t="str">
        <f>IF(SUM(N144:N150)=0,"N/A",VLOOKUP(1,N144:T150,3,FALSE))</f>
        <v>DMF</v>
      </c>
      <c r="M339" s="1060"/>
      <c r="N339" s="334">
        <f>R339+Q342</f>
        <v>0</v>
      </c>
      <c r="O339" s="11" t="s">
        <v>266</v>
      </c>
      <c r="P339" s="1059" t="str">
        <f>IF(SUM(N152:N153)=0,"N/A",VLOOKUP(1,N152:T153,3,FALSE))</f>
        <v>N/A</v>
      </c>
      <c r="Q339" s="1060"/>
      <c r="R339" s="331">
        <f>IF('Production &amp; Extraction'!M18=1,'Production &amp; Extraction'!M135-R326,0)</f>
        <v>0</v>
      </c>
      <c r="S339" s="11" t="s">
        <v>266</v>
      </c>
    </row>
    <row r="340" spans="1:19" ht="15.75">
      <c r="A340" s="91" t="s">
        <v>1002</v>
      </c>
      <c r="D340" s="332"/>
      <c r="E340" s="333"/>
      <c r="H340" s="332"/>
      <c r="I340" s="333"/>
      <c r="L340" s="332"/>
      <c r="M340" s="333"/>
      <c r="P340" s="332"/>
      <c r="Q340" s="333"/>
    </row>
    <row r="342" spans="1:19">
      <c r="E342" s="335">
        <v>0</v>
      </c>
      <c r="F342" s="11" t="s">
        <v>266</v>
      </c>
      <c r="I342" s="335">
        <v>0</v>
      </c>
      <c r="J342" s="11" t="s">
        <v>266</v>
      </c>
      <c r="M342" s="335">
        <f>IF(SUM(L157:L163)=0,0,VLOOKUP(1,L157:T163,6,FALSE)*J339/100)</f>
        <v>0</v>
      </c>
      <c r="N342" s="11" t="s">
        <v>266</v>
      </c>
      <c r="Q342" s="335">
        <v>0</v>
      </c>
      <c r="R342" s="11" t="s">
        <v>266</v>
      </c>
    </row>
    <row r="346" spans="1:19">
      <c r="A346" s="88" t="s">
        <v>604</v>
      </c>
    </row>
    <row r="347" spans="1:19">
      <c r="A347" s="88" t="s">
        <v>1262</v>
      </c>
    </row>
    <row r="348" spans="1:19">
      <c r="A348" s="88" t="s">
        <v>1003</v>
      </c>
    </row>
    <row r="349" spans="1:19">
      <c r="A349" s="88" t="s">
        <v>1004</v>
      </c>
    </row>
  </sheetData>
  <mergeCells count="16">
    <mergeCell ref="R195:S195"/>
    <mergeCell ref="E200:F200"/>
    <mergeCell ref="E204:F204"/>
    <mergeCell ref="G210:H210"/>
    <mergeCell ref="P326:Q326"/>
    <mergeCell ref="G211:H211"/>
    <mergeCell ref="J263:K263"/>
    <mergeCell ref="K256:L256"/>
    <mergeCell ref="D326:E326"/>
    <mergeCell ref="H326:I326"/>
    <mergeCell ref="L326:M326"/>
    <mergeCell ref="D339:E339"/>
    <mergeCell ref="H339:I339"/>
    <mergeCell ref="L339:M339"/>
    <mergeCell ref="P339:Q339"/>
    <mergeCell ref="E194:F194"/>
  </mergeCells>
  <pageMargins left="0.7" right="0.7" top="0.75" bottom="0.75" header="0.3" footer="0.3"/>
  <pageSetup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sheetPr>
  <dimension ref="A1:X3"/>
  <sheetViews>
    <sheetView workbookViewId="0"/>
  </sheetViews>
  <sheetFormatPr defaultColWidth="8.88671875" defaultRowHeight="15"/>
  <cols>
    <col min="1" max="16384" width="8.88671875" style="11"/>
  </cols>
  <sheetData>
    <row r="1" spans="1:24" s="6" customFormat="1" ht="24" customHeight="1">
      <c r="A1" s="6" t="s">
        <v>671</v>
      </c>
    </row>
    <row r="2" spans="1:24">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904</v>
      </c>
    </row>
  </sheetData>
  <pageMargins left="0.75" right="0.75" top="1" bottom="1" header="0.5" footer="0.5"/>
  <pageSetup orientation="portrait" horizontalDpi="4294967292" verticalDpi="429496729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sheetPr>
  <dimension ref="A1:X52"/>
  <sheetViews>
    <sheetView workbookViewId="0"/>
  </sheetViews>
  <sheetFormatPr defaultColWidth="8.88671875" defaultRowHeight="15"/>
  <cols>
    <col min="1" max="16384" width="8.88671875" style="102"/>
  </cols>
  <sheetData>
    <row r="1" spans="1:24" s="6" customFormat="1" ht="24" customHeight="1">
      <c r="A1" s="6" t="s">
        <v>905</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906</v>
      </c>
    </row>
    <row r="52" spans="8:8">
      <c r="H52" s="11"/>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sheetPr>
  <dimension ref="A1:XFD95"/>
  <sheetViews>
    <sheetView workbookViewId="0"/>
  </sheetViews>
  <sheetFormatPr defaultColWidth="8.88671875" defaultRowHeight="15"/>
  <cols>
    <col min="1" max="3" width="8.88671875" style="337"/>
    <col min="4" max="4" width="10" style="337" customWidth="1"/>
    <col min="5" max="16384" width="8.88671875" style="337"/>
  </cols>
  <sheetData>
    <row r="1" spans="1:14" s="336" customFormat="1" ht="24" customHeight="1">
      <c r="A1" s="336" t="s">
        <v>599</v>
      </c>
    </row>
    <row r="2" spans="1:14" s="115" customFormat="1"/>
    <row r="3" spans="1:14">
      <c r="A3" s="337" t="s">
        <v>600</v>
      </c>
    </row>
    <row r="4" spans="1:14">
      <c r="A4" s="218" t="s">
        <v>2387</v>
      </c>
    </row>
    <row r="6" spans="1:14" s="338" customFormat="1" ht="15.75">
      <c r="A6" s="338" t="s">
        <v>1320</v>
      </c>
    </row>
    <row r="8" spans="1:14">
      <c r="M8" s="337" t="s">
        <v>164</v>
      </c>
      <c r="N8" s="337" t="s">
        <v>165</v>
      </c>
    </row>
    <row r="9" spans="1:14">
      <c r="A9" s="337" t="s">
        <v>1447</v>
      </c>
      <c r="M9" s="339">
        <f>M94/1000000</f>
        <v>1.1792009504335696E-3</v>
      </c>
      <c r="N9" s="337" t="s">
        <v>169</v>
      </c>
    </row>
    <row r="10" spans="1:14" ht="19.5">
      <c r="A10" s="337" t="s">
        <v>1553</v>
      </c>
      <c r="M10" s="339">
        <f>M95/('Input data'!E48)</f>
        <v>9.0309772448312856E-2</v>
      </c>
      <c r="N10" s="337" t="s">
        <v>173</v>
      </c>
    </row>
    <row r="12" spans="1:14" s="338" customFormat="1" ht="15.75">
      <c r="A12" s="338" t="s">
        <v>1321</v>
      </c>
    </row>
    <row r="15" spans="1:14">
      <c r="A15" s="340" t="s">
        <v>1322</v>
      </c>
      <c r="B15" s="341"/>
    </row>
    <row r="16" spans="1:14">
      <c r="A16" s="342" t="s">
        <v>963</v>
      </c>
      <c r="B16" s="342"/>
      <c r="C16" s="342" t="s">
        <v>964</v>
      </c>
    </row>
    <row r="17" spans="1:6">
      <c r="A17" s="343" t="s">
        <v>965</v>
      </c>
      <c r="B17" s="344"/>
      <c r="C17" s="687">
        <f>'User Inputs &amp; Results'!J134</f>
        <v>250000</v>
      </c>
    </row>
    <row r="18" spans="1:6">
      <c r="A18" s="343" t="s">
        <v>966</v>
      </c>
      <c r="B18" s="344"/>
      <c r="C18" s="640">
        <v>22500</v>
      </c>
    </row>
    <row r="19" spans="1:6">
      <c r="A19" s="231"/>
    </row>
    <row r="21" spans="1:6">
      <c r="A21" s="345" t="s">
        <v>1323</v>
      </c>
      <c r="B21" s="346"/>
    </row>
    <row r="22" spans="1:6">
      <c r="A22" s="342"/>
      <c r="B22" s="342" t="s">
        <v>964</v>
      </c>
    </row>
    <row r="23" spans="1:6">
      <c r="A23" s="347" t="s">
        <v>965</v>
      </c>
      <c r="B23" s="348">
        <f>9070+0.101*C17</f>
        <v>34320</v>
      </c>
    </row>
    <row r="24" spans="1:6">
      <c r="A24" s="347" t="s">
        <v>966</v>
      </c>
      <c r="B24" s="348">
        <f>5600/22500*C18</f>
        <v>5600</v>
      </c>
    </row>
    <row r="27" spans="1:6">
      <c r="A27" s="340" t="s">
        <v>1867</v>
      </c>
      <c r="B27" s="341"/>
      <c r="C27" s="341"/>
      <c r="D27" s="341"/>
    </row>
    <row r="28" spans="1:6" ht="25.5">
      <c r="A28" s="1074"/>
      <c r="B28" s="1075"/>
      <c r="C28" s="1075"/>
      <c r="D28" s="1076"/>
      <c r="E28" s="349" t="s">
        <v>965</v>
      </c>
      <c r="F28" s="349" t="s">
        <v>966</v>
      </c>
    </row>
    <row r="29" spans="1:6">
      <c r="A29" s="343" t="s">
        <v>970</v>
      </c>
      <c r="B29" s="350"/>
      <c r="C29" s="350"/>
      <c r="D29" s="350"/>
      <c r="E29" s="185">
        <v>18.52</v>
      </c>
      <c r="F29" s="185">
        <v>5</v>
      </c>
    </row>
    <row r="30" spans="1:6">
      <c r="A30" s="343" t="s">
        <v>968</v>
      </c>
      <c r="B30" s="350"/>
      <c r="C30" s="350"/>
      <c r="D30" s="350"/>
      <c r="E30" s="351"/>
      <c r="F30" s="351"/>
    </row>
    <row r="31" spans="1:6">
      <c r="A31" s="1077" t="s">
        <v>971</v>
      </c>
      <c r="B31" s="1078"/>
      <c r="C31" s="1078"/>
      <c r="D31" s="1079"/>
      <c r="E31" s="688">
        <v>0.8</v>
      </c>
      <c r="F31" s="688">
        <v>0.8</v>
      </c>
    </row>
    <row r="32" spans="1:6">
      <c r="A32" s="1077" t="s">
        <v>1338</v>
      </c>
      <c r="B32" s="1078"/>
      <c r="C32" s="1078"/>
      <c r="D32" s="1079"/>
      <c r="E32" s="353">
        <f>(14.42/E31+150)*0.735*'Fuel Specs'!E332/'Fuel Specs'!G332</f>
        <v>4619.7517108205893</v>
      </c>
      <c r="F32" s="687">
        <f>(14.42/F31+350)*0.735*'Fuel Specs'!E332/'Fuel Specs'!G332</f>
        <v>10118.637841837508</v>
      </c>
    </row>
    <row r="33" spans="1:6">
      <c r="A33" s="352" t="s">
        <v>969</v>
      </c>
      <c r="B33" s="350"/>
      <c r="C33" s="350"/>
      <c r="D33" s="350"/>
      <c r="E33" s="347"/>
      <c r="F33" s="347"/>
    </row>
    <row r="34" spans="1:6">
      <c r="A34" s="1077" t="s">
        <v>971</v>
      </c>
      <c r="B34" s="1078"/>
      <c r="C34" s="1078"/>
      <c r="D34" s="1079"/>
      <c r="E34" s="688">
        <v>0.7</v>
      </c>
      <c r="F34" s="688">
        <v>0.6</v>
      </c>
    </row>
    <row r="35" spans="1:6">
      <c r="A35" s="1077" t="s">
        <v>1338</v>
      </c>
      <c r="B35" s="1078"/>
      <c r="C35" s="1078"/>
      <c r="D35" s="1079"/>
      <c r="E35" s="353">
        <f>(14.42/E34+150)*0.735*'Fuel Specs'!E332/'Fuel Specs'!G332</f>
        <v>4690.5498697574321</v>
      </c>
      <c r="F35" s="353">
        <f>(14.42/F34+350)*0.735*'Fuel Specs'!E332/'Fuel Specs'!G332</f>
        <v>10283.833546023476</v>
      </c>
    </row>
    <row r="36" spans="1:6">
      <c r="A36" s="382" t="s">
        <v>2272</v>
      </c>
      <c r="B36" s="354"/>
      <c r="C36" s="354"/>
      <c r="D36" s="354"/>
      <c r="E36" s="355"/>
      <c r="F36" s="355"/>
    </row>
    <row r="37" spans="1:6">
      <c r="A37" s="356"/>
      <c r="B37" s="356"/>
      <c r="C37" s="356"/>
      <c r="D37" s="356"/>
    </row>
    <row r="38" spans="1:6">
      <c r="A38" s="345" t="s">
        <v>1868</v>
      </c>
      <c r="B38" s="346"/>
      <c r="C38" s="346"/>
      <c r="D38" s="346"/>
    </row>
    <row r="39" spans="1:6">
      <c r="A39" s="1071" t="s">
        <v>1326</v>
      </c>
      <c r="B39" s="1072"/>
      <c r="C39" s="1072"/>
      <c r="D39" s="357" t="s">
        <v>1327</v>
      </c>
    </row>
    <row r="40" spans="1:6">
      <c r="A40" s="352" t="s">
        <v>968</v>
      </c>
      <c r="B40" s="350"/>
      <c r="C40" s="358"/>
      <c r="D40" s="640">
        <v>370</v>
      </c>
    </row>
    <row r="41" spans="1:6">
      <c r="A41" s="352" t="s">
        <v>969</v>
      </c>
      <c r="B41" s="350"/>
      <c r="C41" s="358"/>
      <c r="D41" s="640">
        <v>370</v>
      </c>
    </row>
    <row r="44" spans="1:6">
      <c r="A44" s="345" t="s">
        <v>1869</v>
      </c>
      <c r="B44" s="346"/>
      <c r="C44" s="346"/>
      <c r="D44" s="341"/>
    </row>
    <row r="45" spans="1:6" ht="38.25">
      <c r="A45" s="342"/>
      <c r="B45" s="349" t="s">
        <v>623</v>
      </c>
      <c r="C45" s="349" t="s">
        <v>1870</v>
      </c>
      <c r="D45" s="349" t="s">
        <v>2386</v>
      </c>
    </row>
    <row r="46" spans="1:6">
      <c r="A46" s="351" t="s">
        <v>967</v>
      </c>
      <c r="B46" s="640">
        <v>240</v>
      </c>
      <c r="C46" s="640">
        <v>270</v>
      </c>
      <c r="D46" s="640">
        <v>260</v>
      </c>
    </row>
    <row r="48" spans="1:6">
      <c r="A48" s="345" t="s">
        <v>1871</v>
      </c>
      <c r="B48" s="346"/>
      <c r="C48" s="346"/>
      <c r="D48" s="341"/>
    </row>
    <row r="49" spans="1:14" ht="38.25">
      <c r="A49" s="342"/>
      <c r="B49" s="349" t="s">
        <v>623</v>
      </c>
      <c r="C49" s="349" t="s">
        <v>1870</v>
      </c>
      <c r="D49" s="349" t="s">
        <v>2386</v>
      </c>
    </row>
    <row r="50" spans="1:14">
      <c r="A50" s="351" t="s">
        <v>967</v>
      </c>
      <c r="B50" s="688">
        <v>0.55000000000000004</v>
      </c>
      <c r="C50" s="688">
        <v>0.36</v>
      </c>
      <c r="D50" s="688">
        <v>0.09</v>
      </c>
      <c r="E50" s="689"/>
    </row>
    <row r="53" spans="1:14">
      <c r="A53" s="340" t="s">
        <v>1872</v>
      </c>
      <c r="B53" s="341"/>
      <c r="C53" s="341"/>
      <c r="D53" s="341"/>
      <c r="E53" s="341"/>
      <c r="F53" s="341"/>
      <c r="H53"/>
      <c r="I53"/>
      <c r="J53"/>
      <c r="K53"/>
      <c r="L53"/>
      <c r="M53"/>
      <c r="N53"/>
    </row>
    <row r="54" spans="1:14">
      <c r="A54" s="1071" t="s">
        <v>611</v>
      </c>
      <c r="B54" s="1072"/>
      <c r="C54" s="1073"/>
      <c r="D54" s="1074" t="s">
        <v>964</v>
      </c>
      <c r="E54" s="1075"/>
      <c r="F54" s="1075"/>
      <c r="G54" s="1076"/>
      <c r="H54"/>
      <c r="I54"/>
      <c r="J54"/>
      <c r="K54"/>
      <c r="L54"/>
      <c r="M54"/>
      <c r="N54"/>
    </row>
    <row r="55" spans="1:14">
      <c r="A55" s="1071" t="s">
        <v>972</v>
      </c>
      <c r="B55" s="1072"/>
      <c r="C55" s="1073"/>
      <c r="D55" s="349" t="s">
        <v>965</v>
      </c>
      <c r="E55" s="349" t="s">
        <v>966</v>
      </c>
      <c r="F55" s="349" t="s">
        <v>973</v>
      </c>
      <c r="G55" s="349" t="s">
        <v>974</v>
      </c>
      <c r="H55"/>
      <c r="I55"/>
      <c r="J55"/>
      <c r="K55"/>
      <c r="L55"/>
      <c r="M55"/>
      <c r="N55"/>
    </row>
    <row r="56" spans="1:14">
      <c r="A56" s="359" t="s">
        <v>987</v>
      </c>
      <c r="B56" s="360"/>
      <c r="C56" s="360"/>
      <c r="D56" s="207">
        <f>'User Inputs &amp; Results'!K130</f>
        <v>5082</v>
      </c>
      <c r="E56" s="207">
        <f>'User Inputs &amp; Results'!K131</f>
        <v>500</v>
      </c>
      <c r="F56" s="207">
        <f>'User Inputs &amp; Results'!K132</f>
        <v>750</v>
      </c>
      <c r="G56" s="207">
        <f>'User Inputs &amp; Results'!K133</f>
        <v>800</v>
      </c>
      <c r="H56"/>
      <c r="I56"/>
      <c r="J56"/>
      <c r="K56"/>
      <c r="L56"/>
      <c r="M56"/>
      <c r="N56"/>
    </row>
    <row r="57" spans="1:14">
      <c r="A57" s="361" t="s">
        <v>975</v>
      </c>
      <c r="B57" s="362"/>
      <c r="C57" s="362"/>
      <c r="D57" s="206">
        <f>'User Inputs &amp; Results'!J130</f>
        <v>765</v>
      </c>
      <c r="E57" s="206">
        <f>'User Inputs &amp; Results'!J131</f>
        <v>500</v>
      </c>
      <c r="F57" s="206">
        <f>'User Inputs &amp; Results'!J132</f>
        <v>750</v>
      </c>
      <c r="G57" s="206">
        <f>'User Inputs &amp; Results'!J133</f>
        <v>800</v>
      </c>
      <c r="H57"/>
      <c r="I57"/>
      <c r="J57"/>
      <c r="K57"/>
      <c r="L57"/>
      <c r="M57"/>
      <c r="N57"/>
    </row>
    <row r="58" spans="1:14">
      <c r="A58" s="363" t="s">
        <v>976</v>
      </c>
      <c r="B58" s="360"/>
      <c r="C58" s="360"/>
      <c r="D58" s="359"/>
      <c r="E58" s="364"/>
      <c r="F58" s="364"/>
      <c r="G58" s="365"/>
      <c r="H58"/>
      <c r="I58"/>
      <c r="J58"/>
      <c r="K58"/>
      <c r="L58"/>
      <c r="M58"/>
      <c r="N58"/>
    </row>
    <row r="59" spans="1:14">
      <c r="A59" s="366" t="s">
        <v>986</v>
      </c>
      <c r="B59" s="367"/>
      <c r="C59" s="368"/>
      <c r="D59" s="20">
        <v>0</v>
      </c>
      <c r="E59" s="20">
        <v>0</v>
      </c>
      <c r="F59" s="20">
        <v>0.45</v>
      </c>
      <c r="G59" s="20">
        <v>1</v>
      </c>
      <c r="H59"/>
      <c r="I59"/>
      <c r="J59"/>
      <c r="K59"/>
      <c r="L59"/>
      <c r="M59"/>
      <c r="N59"/>
    </row>
    <row r="60" spans="1:14">
      <c r="A60" s="366" t="s">
        <v>985</v>
      </c>
      <c r="B60" s="367"/>
      <c r="C60" s="368"/>
      <c r="D60" s="20">
        <f>1-D59</f>
        <v>1</v>
      </c>
      <c r="E60" s="20">
        <f>1-E59</f>
        <v>1</v>
      </c>
      <c r="F60" s="14" t="s">
        <v>237</v>
      </c>
      <c r="G60" s="14" t="s">
        <v>237</v>
      </c>
      <c r="H60"/>
      <c r="I60"/>
      <c r="J60"/>
      <c r="K60"/>
      <c r="L60"/>
      <c r="M60"/>
      <c r="N60"/>
    </row>
    <row r="61" spans="1:14">
      <c r="A61" s="366" t="s">
        <v>977</v>
      </c>
      <c r="B61" s="367"/>
      <c r="C61" s="368"/>
      <c r="D61" s="20">
        <v>0</v>
      </c>
      <c r="E61" s="20">
        <v>0</v>
      </c>
      <c r="F61" s="20">
        <v>0.55000000000000004</v>
      </c>
      <c r="G61" s="14" t="s">
        <v>237</v>
      </c>
      <c r="H61"/>
      <c r="I61"/>
      <c r="J61"/>
      <c r="K61"/>
      <c r="L61"/>
      <c r="M61"/>
      <c r="N61"/>
    </row>
    <row r="62" spans="1:14">
      <c r="A62" s="361" t="s">
        <v>978</v>
      </c>
      <c r="B62" s="369"/>
      <c r="C62" s="362"/>
      <c r="D62" s="14" t="s">
        <v>237</v>
      </c>
      <c r="E62" s="14" t="s">
        <v>237</v>
      </c>
      <c r="F62" s="14" t="s">
        <v>237</v>
      </c>
      <c r="G62" s="14" t="s">
        <v>237</v>
      </c>
      <c r="H62"/>
      <c r="I62"/>
      <c r="J62"/>
      <c r="K62"/>
      <c r="L62"/>
      <c r="M62"/>
      <c r="N62"/>
    </row>
    <row r="63" spans="1:14">
      <c r="A63" s="359" t="s">
        <v>979</v>
      </c>
      <c r="B63" s="370"/>
      <c r="C63" s="371"/>
      <c r="D63" s="366"/>
      <c r="E63" s="356"/>
      <c r="F63" s="356"/>
      <c r="G63" s="372"/>
      <c r="H63"/>
      <c r="I63"/>
      <c r="J63"/>
      <c r="K63"/>
      <c r="L63"/>
      <c r="M63"/>
      <c r="N63"/>
    </row>
    <row r="64" spans="1:14">
      <c r="A64" s="366" t="s">
        <v>980</v>
      </c>
      <c r="B64" s="367"/>
      <c r="C64" s="373"/>
      <c r="D64" s="14">
        <f>E32*E31*B23/E29/C17</f>
        <v>27.39522742382076</v>
      </c>
      <c r="E64" s="14">
        <f>F32*F31*B24/C18/F29</f>
        <v>402.94664472384028</v>
      </c>
      <c r="F64" s="14">
        <f>SUMPRODUCT(B46:D46,B50:D50)</f>
        <v>252.6</v>
      </c>
      <c r="G64" s="14">
        <f>D40</f>
        <v>370</v>
      </c>
      <c r="H64"/>
      <c r="I64"/>
      <c r="J64"/>
      <c r="K64"/>
      <c r="L64"/>
      <c r="M64"/>
      <c r="N64"/>
    </row>
    <row r="65" spans="1:14">
      <c r="A65" s="361" t="s">
        <v>981</v>
      </c>
      <c r="B65" s="369"/>
      <c r="C65" s="374"/>
      <c r="D65" s="14">
        <f>E35*E34*B23/C17/E29</f>
        <v>24.338179281004866</v>
      </c>
      <c r="E65" s="14">
        <f>F35*F34*B24/C18/F29</f>
        <v>307.14382857456775</v>
      </c>
      <c r="F65" s="14"/>
      <c r="G65" s="14"/>
      <c r="H65"/>
      <c r="I65"/>
      <c r="J65"/>
      <c r="K65"/>
      <c r="L65"/>
      <c r="M65"/>
      <c r="N65"/>
    </row>
    <row r="66" spans="1:14">
      <c r="A66" s="366" t="s">
        <v>989</v>
      </c>
      <c r="B66" s="367"/>
      <c r="C66" s="368"/>
      <c r="D66" s="14">
        <f>(D64+D65)*(1/'Fuel Specs'!M14)*('Input data'!E204*VLOOKUP('Production &amp; Extraction'!M32,'Fuel Specs'!B21:O62,2,TRUE))*1/2000</f>
        <v>1.4603933992595679</v>
      </c>
      <c r="E66" s="14">
        <f>(E64+E65)*(1/'Fuel Specs'!M14)*('Input data'!E204*VLOOKUP('Production &amp; Extraction'!M32,'Fuel Specs'!B21:O62,2,TRUE))*1/2000</f>
        <v>20.045295798882048</v>
      </c>
      <c r="F66" s="14">
        <f>(F64+F65)*(1/'Fuel Specs'!M14)*('Input data'!E204*VLOOKUP('Production &amp; Extraction'!M32,'Fuel Specs'!B21:O62,2,TRUE))*1/2000</f>
        <v>7.1306994097212009</v>
      </c>
      <c r="G66" s="14">
        <f>(G64+G65)*(1/'Fuel Specs'!M14)*('Input data'!E204*VLOOKUP('Production &amp; Extraction'!M32,'Fuel Specs'!B21:O62,2,TRUE))*1/2000</f>
        <v>10.444809111626462</v>
      </c>
      <c r="H66"/>
      <c r="I66"/>
      <c r="J66"/>
      <c r="K66"/>
      <c r="L66"/>
      <c r="M66"/>
      <c r="N66"/>
    </row>
    <row r="67" spans="1:14">
      <c r="A67" s="359" t="s">
        <v>988</v>
      </c>
      <c r="B67" s="370"/>
      <c r="C67" s="360"/>
      <c r="D67" s="359"/>
      <c r="E67" s="364"/>
      <c r="F67" s="364"/>
      <c r="G67" s="365"/>
    </row>
    <row r="68" spans="1:14">
      <c r="A68" s="366" t="s">
        <v>1001</v>
      </c>
      <c r="B68" s="367"/>
      <c r="C68" s="368"/>
      <c r="D68" s="242">
        <f>D$66/1000000*(D$59*'Emissions Factors'!C148+D$60*'Emissions Factors'!D148+D$61*'Emissions Factors'!E148)</f>
        <v>1.1672194689258792E-4</v>
      </c>
      <c r="E68" s="242">
        <f>E$66/1000000*(E$59*'Emissions Factors'!F148+E$60*'Emissions Factors'!G148+E$61*'Emissions Factors'!H148)</f>
        <v>4.96060929935196E-4</v>
      </c>
      <c r="F68" s="242">
        <f>F$66/1000000*(F$59*'Emissions Factors'!L148+F$61*'Emissions Factors'!J148)</f>
        <v>1.3467324133175851E-4</v>
      </c>
      <c r="G68" s="375">
        <f>G$66/1000000*(G$59*'Emissions Factors'!I148)</f>
        <v>6.0985151440964586E-4</v>
      </c>
    </row>
    <row r="69" spans="1:14">
      <c r="A69" s="366" t="s">
        <v>982</v>
      </c>
      <c r="B69" s="367"/>
      <c r="C69" s="368"/>
      <c r="D69" s="242">
        <f>D$66/1000000*(D$59*'Emissions Factors'!C149+D$60*'Emissions Factors'!D149+D$61*'Emissions Factors'!E149)</f>
        <v>2.6530821772016174E-4</v>
      </c>
      <c r="E69" s="242">
        <f>E$66/1000000*(E$59*'Emissions Factors'!F149+E$60*'Emissions Factors'!G149+E$61*'Emissions Factors'!H149)</f>
        <v>4.4098246828284567E-3</v>
      </c>
      <c r="F69" s="242">
        <f>F$66/1000000*(F$59*'Emissions Factors'!L149+F$61*'Emissions Factors'!J149)</f>
        <v>1.7774623111617943E-3</v>
      </c>
      <c r="G69" s="375">
        <f>G$66/1000000*(G$59*'Emissions Factors'!I149)</f>
        <v>2.1571664258242134E-3</v>
      </c>
    </row>
    <row r="70" spans="1:14">
      <c r="A70" s="366" t="s">
        <v>1000</v>
      </c>
      <c r="B70" s="367"/>
      <c r="C70" s="368"/>
      <c r="D70" s="242">
        <f>D$66/1000000*(D$59*'Emissions Factors'!C150+D$60*'Emissions Factors'!D150+D$61*'Emissions Factors'!E150)</f>
        <v>6.6900619447406911E-6</v>
      </c>
      <c r="E70" s="242">
        <f>E$66/1000000*(E$59*'Emissions Factors'!F150+E$60*'Emissions Factors'!G150+E$61*'Emissions Factors'!H150)</f>
        <v>2.4306985566824608E-5</v>
      </c>
      <c r="F70" s="242">
        <f>F$66/1000000*(F$59*'Emissions Factors'!L150+F$61*'Emissions Factors'!J150)</f>
        <v>1.0537533666703699E-4</v>
      </c>
      <c r="G70" s="375">
        <f>G$66/1000000*(G$59*'Emissions Factors'!I150)</f>
        <v>7.1285822186850604E-5</v>
      </c>
    </row>
    <row r="71" spans="1:14">
      <c r="A71" s="366" t="s">
        <v>983</v>
      </c>
      <c r="B71" s="367"/>
      <c r="C71" s="368"/>
      <c r="D71" s="242">
        <f>D$66/1000000*(D$59*'Emissions Factors'!C151+D$60*'Emissions Factors'!D151+D$61*'Emissions Factors'!E151)</f>
        <v>2.9207867985191357E-6</v>
      </c>
      <c r="E71" s="242">
        <f>E$66/1000000*(E$59*'Emissions Factors'!F151+E$60*'Emissions Factors'!G151+E$61*'Emissions Factors'!H151)</f>
        <v>4.0090591597764094E-5</v>
      </c>
      <c r="F71" s="242">
        <f>F$66/1000000*(F$59*'Emissions Factors'!L151+F$61*'Emissions Factors'!J151)</f>
        <v>1.4261398819442402E-5</v>
      </c>
      <c r="G71" s="375">
        <f>G$66/1000000*(G$59*'Emissions Factors'!I151)</f>
        <v>2.226833302598762E-5</v>
      </c>
    </row>
    <row r="72" spans="1:14">
      <c r="A72" s="366" t="s">
        <v>984</v>
      </c>
      <c r="B72" s="367"/>
      <c r="C72" s="368"/>
      <c r="D72" s="242">
        <f>D$66/1000000*(D$59*'Emissions Factors'!C152+D$60*'Emissions Factors'!D152+D$61*'Emissions Factors'!E152)</f>
        <v>0.1234528956130083</v>
      </c>
      <c r="E72" s="242">
        <f>E$66/1000000*(E$59*'Emissions Factors'!F152+E$60*'Emissions Factors'!G152+E$61*'Emissions Factors'!H152)</f>
        <v>1.6969345158543596</v>
      </c>
      <c r="F72" s="242">
        <f>F$66/1000000*(F$59*'Emissions Factors'!L152+F$61*'Emissions Factors'!J152)</f>
        <v>0.48043329212673047</v>
      </c>
      <c r="G72" s="375">
        <f>G$66/1000000*(G$59*'Emissions Factors'!I152)</f>
        <v>0.81129010293647386</v>
      </c>
    </row>
    <row r="73" spans="1:14">
      <c r="A73" s="361" t="s">
        <v>991</v>
      </c>
      <c r="B73" s="362"/>
      <c r="C73" s="374"/>
      <c r="D73" s="242">
        <f>D68*'Input data'!$C$74+D69*'Input data'!$C$72+D70*'Input data'!$C$73+D71*'Input data'!$C$75+D72</f>
        <v>0.1245507521850882</v>
      </c>
      <c r="E73" s="242">
        <f>E68*'Input data'!$C$74+E69*'Input data'!$C$72+E70*'Input data'!$C$73+E71*'Input data'!$C$75+E72</f>
        <v>1.7097079496597654</v>
      </c>
      <c r="F73" s="242">
        <f>F68*'Input data'!$C$74+F69*'Input data'!$C$72+F70*'Input data'!$C$73+F71*'Input data'!$C$75+F72</f>
        <v>0.48826595042160359</v>
      </c>
      <c r="G73" s="242">
        <f>G68*'Input data'!$C$74+G69*'Input data'!$C$72+G70*'Input data'!$C$73+G71*'Input data'!$C$75+G72</f>
        <v>0.82034978413257109</v>
      </c>
    </row>
    <row r="76" spans="1:14">
      <c r="A76" s="376" t="s">
        <v>1873</v>
      </c>
      <c r="B76" s="362"/>
      <c r="C76" s="377"/>
    </row>
    <row r="77" spans="1:14">
      <c r="A77" s="1071" t="s">
        <v>1325</v>
      </c>
      <c r="B77" s="1073"/>
      <c r="C77" s="378" t="s">
        <v>1328</v>
      </c>
    </row>
    <row r="78" spans="1:14">
      <c r="A78" s="359" t="s">
        <v>994</v>
      </c>
      <c r="B78" s="371"/>
      <c r="C78" s="690">
        <f>'User Inputs &amp; Results'!J125</f>
        <v>1</v>
      </c>
    </row>
    <row r="79" spans="1:14">
      <c r="A79" s="366" t="s">
        <v>995</v>
      </c>
      <c r="B79" s="373"/>
      <c r="C79" s="690">
        <f>'User Inputs &amp; Results'!J126</f>
        <v>0</v>
      </c>
    </row>
    <row r="80" spans="1:14">
      <c r="A80" s="366" t="s">
        <v>996</v>
      </c>
      <c r="B80" s="373"/>
      <c r="C80" s="690">
        <f>'User Inputs &amp; Results'!J127</f>
        <v>0</v>
      </c>
    </row>
    <row r="81" spans="1:16384">
      <c r="A81" s="361" t="s">
        <v>997</v>
      </c>
      <c r="B81" s="374"/>
      <c r="C81" s="690">
        <f>'User Inputs &amp; Results'!J128</f>
        <v>0</v>
      </c>
    </row>
    <row r="82" spans="1:16384">
      <c r="A82" s="379" t="s">
        <v>829</v>
      </c>
      <c r="B82" s="368"/>
      <c r="C82" s="380"/>
    </row>
    <row r="83" spans="1:16384">
      <c r="A83" s="211" t="s">
        <v>998</v>
      </c>
    </row>
    <row r="84" spans="1:16384">
      <c r="A84" s="211" t="s">
        <v>1339</v>
      </c>
    </row>
    <row r="87" spans="1:16384">
      <c r="A87" s="337" t="s">
        <v>1874</v>
      </c>
    </row>
    <row r="88" spans="1:16384">
      <c r="A88" s="172" t="s">
        <v>990</v>
      </c>
      <c r="B88" s="640">
        <v>62</v>
      </c>
    </row>
    <row r="89" spans="1:16384">
      <c r="A89" s="176"/>
      <c r="B89" s="381"/>
    </row>
    <row r="91" spans="1:16384" ht="15.75">
      <c r="A91" s="338" t="s">
        <v>1324</v>
      </c>
      <c r="B91" s="338"/>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38"/>
      <c r="AG91" s="338"/>
      <c r="AH91" s="338"/>
      <c r="AI91" s="338"/>
      <c r="AJ91" s="338"/>
      <c r="AK91" s="338"/>
      <c r="AL91" s="338"/>
      <c r="AM91" s="338"/>
      <c r="AN91" s="338"/>
      <c r="AO91" s="338"/>
      <c r="AP91" s="338"/>
      <c r="AQ91" s="338"/>
      <c r="AR91" s="338"/>
      <c r="AS91" s="338"/>
      <c r="AT91" s="338"/>
      <c r="AU91" s="338"/>
      <c r="AV91" s="338"/>
      <c r="AW91" s="338"/>
      <c r="AX91" s="338"/>
      <c r="AY91" s="338"/>
      <c r="AZ91" s="338"/>
      <c r="BA91" s="338"/>
      <c r="BB91" s="338"/>
      <c r="BC91" s="338"/>
      <c r="BD91" s="338"/>
      <c r="BE91" s="338"/>
      <c r="BF91" s="338"/>
      <c r="BG91" s="338"/>
      <c r="BH91" s="338"/>
      <c r="BI91" s="338"/>
      <c r="BJ91" s="338"/>
      <c r="BK91" s="338"/>
      <c r="BL91" s="338"/>
      <c r="BM91" s="338"/>
      <c r="BN91" s="338"/>
      <c r="BO91" s="338"/>
      <c r="BP91" s="338"/>
      <c r="BQ91" s="338"/>
      <c r="BR91" s="338"/>
      <c r="BS91" s="338"/>
      <c r="BT91" s="338"/>
      <c r="BU91" s="338"/>
      <c r="BV91" s="338"/>
      <c r="BW91" s="338"/>
      <c r="BX91" s="338"/>
      <c r="BY91" s="338"/>
      <c r="BZ91" s="338"/>
      <c r="CA91" s="338"/>
      <c r="CB91" s="338"/>
      <c r="CC91" s="338"/>
      <c r="CD91" s="338"/>
      <c r="CE91" s="338"/>
      <c r="CF91" s="338"/>
      <c r="CG91" s="338"/>
      <c r="CH91" s="338"/>
      <c r="CI91" s="338"/>
      <c r="CJ91" s="338"/>
      <c r="CK91" s="338"/>
      <c r="CL91" s="338"/>
      <c r="CM91" s="338"/>
      <c r="CN91" s="338"/>
      <c r="CO91" s="338"/>
      <c r="CP91" s="338"/>
      <c r="CQ91" s="338"/>
      <c r="CR91" s="338"/>
      <c r="CS91" s="338"/>
      <c r="CT91" s="338"/>
      <c r="CU91" s="338"/>
      <c r="CV91" s="338"/>
      <c r="CW91" s="338"/>
      <c r="CX91" s="338"/>
      <c r="CY91" s="338"/>
      <c r="CZ91" s="338"/>
      <c r="DA91" s="338"/>
      <c r="DB91" s="338"/>
      <c r="DC91" s="338"/>
      <c r="DD91" s="338"/>
      <c r="DE91" s="338"/>
      <c r="DF91" s="338"/>
      <c r="DG91" s="338"/>
      <c r="DH91" s="338"/>
      <c r="DI91" s="338"/>
      <c r="DJ91" s="338"/>
      <c r="DK91" s="338"/>
      <c r="DL91" s="338"/>
      <c r="DM91" s="338"/>
      <c r="DN91" s="338"/>
      <c r="DO91" s="338"/>
      <c r="DP91" s="338"/>
      <c r="DQ91" s="338"/>
      <c r="DR91" s="338"/>
      <c r="DS91" s="338"/>
      <c r="DT91" s="338"/>
      <c r="DU91" s="338"/>
      <c r="DV91" s="338"/>
      <c r="DW91" s="338"/>
      <c r="DX91" s="338"/>
      <c r="DY91" s="338"/>
      <c r="DZ91" s="338"/>
      <c r="EA91" s="338"/>
      <c r="EB91" s="338"/>
      <c r="EC91" s="338"/>
      <c r="ED91" s="338"/>
      <c r="EE91" s="338"/>
      <c r="EF91" s="338"/>
      <c r="EG91" s="338"/>
      <c r="EH91" s="338"/>
      <c r="EI91" s="338"/>
      <c r="EJ91" s="338"/>
      <c r="EK91" s="338"/>
      <c r="EL91" s="338"/>
      <c r="EM91" s="338"/>
      <c r="EN91" s="338"/>
      <c r="EO91" s="338"/>
      <c r="EP91" s="338"/>
      <c r="EQ91" s="338"/>
      <c r="ER91" s="338"/>
      <c r="ES91" s="338"/>
      <c r="ET91" s="338"/>
      <c r="EU91" s="338"/>
      <c r="EV91" s="338"/>
      <c r="EW91" s="338"/>
      <c r="EX91" s="338"/>
      <c r="EY91" s="338"/>
      <c r="EZ91" s="338"/>
      <c r="FA91" s="338"/>
      <c r="FB91" s="338"/>
      <c r="FC91" s="338"/>
      <c r="FD91" s="338"/>
      <c r="FE91" s="338"/>
      <c r="FF91" s="338"/>
      <c r="FG91" s="338"/>
      <c r="FH91" s="338"/>
      <c r="FI91" s="338"/>
      <c r="FJ91" s="338"/>
      <c r="FK91" s="338"/>
      <c r="FL91" s="338"/>
      <c r="FM91" s="338"/>
      <c r="FN91" s="338"/>
      <c r="FO91" s="338"/>
      <c r="FP91" s="338"/>
      <c r="FQ91" s="338"/>
      <c r="FR91" s="338"/>
      <c r="FS91" s="338"/>
      <c r="FT91" s="338"/>
      <c r="FU91" s="338"/>
      <c r="FV91" s="338"/>
      <c r="FW91" s="338"/>
      <c r="FX91" s="338"/>
      <c r="FY91" s="338"/>
      <c r="FZ91" s="338"/>
      <c r="GA91" s="338"/>
      <c r="GB91" s="338"/>
      <c r="GC91" s="338"/>
      <c r="GD91" s="338"/>
      <c r="GE91" s="338"/>
      <c r="GF91" s="338"/>
      <c r="GG91" s="338"/>
      <c r="GH91" s="338"/>
      <c r="GI91" s="338"/>
      <c r="GJ91" s="338"/>
      <c r="GK91" s="338"/>
      <c r="GL91" s="338"/>
      <c r="GM91" s="338"/>
      <c r="GN91" s="338"/>
      <c r="GO91" s="338"/>
      <c r="GP91" s="338"/>
      <c r="GQ91" s="338"/>
      <c r="GR91" s="338"/>
      <c r="GS91" s="338"/>
      <c r="GT91" s="338"/>
      <c r="GU91" s="338"/>
      <c r="GV91" s="338"/>
      <c r="GW91" s="338"/>
      <c r="GX91" s="338"/>
      <c r="GY91" s="338"/>
      <c r="GZ91" s="338"/>
      <c r="HA91" s="338"/>
      <c r="HB91" s="338"/>
      <c r="HC91" s="338"/>
      <c r="HD91" s="338"/>
      <c r="HE91" s="338"/>
      <c r="HF91" s="338"/>
      <c r="HG91" s="338"/>
      <c r="HH91" s="338"/>
      <c r="HI91" s="338"/>
      <c r="HJ91" s="338"/>
      <c r="HK91" s="338"/>
      <c r="HL91" s="338"/>
      <c r="HM91" s="338"/>
      <c r="HN91" s="338"/>
      <c r="HO91" s="338"/>
      <c r="HP91" s="338"/>
      <c r="HQ91" s="338"/>
      <c r="HR91" s="338"/>
      <c r="HS91" s="338"/>
      <c r="HT91" s="338"/>
      <c r="HU91" s="338"/>
      <c r="HV91" s="338"/>
      <c r="HW91" s="338"/>
      <c r="HX91" s="338"/>
      <c r="HY91" s="338"/>
      <c r="HZ91" s="338"/>
      <c r="IA91" s="338"/>
      <c r="IB91" s="338"/>
      <c r="IC91" s="338"/>
      <c r="ID91" s="338"/>
      <c r="IE91" s="338"/>
      <c r="IF91" s="338"/>
      <c r="IG91" s="338"/>
      <c r="IH91" s="338"/>
      <c r="II91" s="338"/>
      <c r="IJ91" s="338"/>
      <c r="IK91" s="338"/>
      <c r="IL91" s="338"/>
      <c r="IM91" s="338"/>
      <c r="IN91" s="338"/>
      <c r="IO91" s="338"/>
      <c r="IP91" s="338"/>
      <c r="IQ91" s="338"/>
      <c r="IR91" s="338"/>
      <c r="IS91" s="338"/>
      <c r="IT91" s="338"/>
      <c r="IU91" s="338"/>
      <c r="IV91" s="338"/>
      <c r="IW91" s="338"/>
      <c r="IX91" s="338"/>
      <c r="IY91" s="338"/>
      <c r="IZ91" s="338"/>
      <c r="JA91" s="338"/>
      <c r="JB91" s="338"/>
      <c r="JC91" s="338"/>
      <c r="JD91" s="338"/>
      <c r="JE91" s="338"/>
      <c r="JF91" s="338"/>
      <c r="JG91" s="338"/>
      <c r="JH91" s="338"/>
      <c r="JI91" s="338"/>
      <c r="JJ91" s="338"/>
      <c r="JK91" s="338"/>
      <c r="JL91" s="338"/>
      <c r="JM91" s="338"/>
      <c r="JN91" s="338"/>
      <c r="JO91" s="338"/>
      <c r="JP91" s="338"/>
      <c r="JQ91" s="338"/>
      <c r="JR91" s="338"/>
      <c r="JS91" s="338"/>
      <c r="JT91" s="338"/>
      <c r="JU91" s="338"/>
      <c r="JV91" s="338"/>
      <c r="JW91" s="338"/>
      <c r="JX91" s="338"/>
      <c r="JY91" s="338"/>
      <c r="JZ91" s="338"/>
      <c r="KA91" s="338"/>
      <c r="KB91" s="338"/>
      <c r="KC91" s="338"/>
      <c r="KD91" s="338"/>
      <c r="KE91" s="338"/>
      <c r="KF91" s="338"/>
      <c r="KG91" s="338"/>
      <c r="KH91" s="338"/>
      <c r="KI91" s="338"/>
      <c r="KJ91" s="338"/>
      <c r="KK91" s="338"/>
      <c r="KL91" s="338"/>
      <c r="KM91" s="338"/>
      <c r="KN91" s="338"/>
      <c r="KO91" s="338"/>
      <c r="KP91" s="338"/>
      <c r="KQ91" s="338"/>
      <c r="KR91" s="338"/>
      <c r="KS91" s="338"/>
      <c r="KT91" s="338"/>
      <c r="KU91" s="338"/>
      <c r="KV91" s="338"/>
      <c r="KW91" s="338"/>
      <c r="KX91" s="338"/>
      <c r="KY91" s="338"/>
      <c r="KZ91" s="338"/>
      <c r="LA91" s="338"/>
      <c r="LB91" s="338"/>
      <c r="LC91" s="338"/>
      <c r="LD91" s="338"/>
      <c r="LE91" s="338"/>
      <c r="LF91" s="338"/>
      <c r="LG91" s="338"/>
      <c r="LH91" s="338"/>
      <c r="LI91" s="338"/>
      <c r="LJ91" s="338"/>
      <c r="LK91" s="338"/>
      <c r="LL91" s="338"/>
      <c r="LM91" s="338"/>
      <c r="LN91" s="338"/>
      <c r="LO91" s="338"/>
      <c r="LP91" s="338"/>
      <c r="LQ91" s="338"/>
      <c r="LR91" s="338"/>
      <c r="LS91" s="338"/>
      <c r="LT91" s="338"/>
      <c r="LU91" s="338"/>
      <c r="LV91" s="338"/>
      <c r="LW91" s="338"/>
      <c r="LX91" s="338"/>
      <c r="LY91" s="338"/>
      <c r="LZ91" s="338"/>
      <c r="MA91" s="338"/>
      <c r="MB91" s="338"/>
      <c r="MC91" s="338"/>
      <c r="MD91" s="338"/>
      <c r="ME91" s="338"/>
      <c r="MF91" s="338"/>
      <c r="MG91" s="338"/>
      <c r="MH91" s="338"/>
      <c r="MI91" s="338"/>
      <c r="MJ91" s="338"/>
      <c r="MK91" s="338"/>
      <c r="ML91" s="338"/>
      <c r="MM91" s="338"/>
      <c r="MN91" s="338"/>
      <c r="MO91" s="338"/>
      <c r="MP91" s="338"/>
      <c r="MQ91" s="338"/>
      <c r="MR91" s="338"/>
      <c r="MS91" s="338"/>
      <c r="MT91" s="338"/>
      <c r="MU91" s="338"/>
      <c r="MV91" s="338"/>
      <c r="MW91" s="338"/>
      <c r="MX91" s="338"/>
      <c r="MY91" s="338"/>
      <c r="MZ91" s="338"/>
      <c r="NA91" s="338"/>
      <c r="NB91" s="338"/>
      <c r="NC91" s="338"/>
      <c r="ND91" s="338"/>
      <c r="NE91" s="338"/>
      <c r="NF91" s="338"/>
      <c r="NG91" s="338"/>
      <c r="NH91" s="338"/>
      <c r="NI91" s="338"/>
      <c r="NJ91" s="338"/>
      <c r="NK91" s="338"/>
      <c r="NL91" s="338"/>
      <c r="NM91" s="338"/>
      <c r="NN91" s="338"/>
      <c r="NO91" s="338"/>
      <c r="NP91" s="338"/>
      <c r="NQ91" s="338"/>
      <c r="NR91" s="338"/>
      <c r="NS91" s="338"/>
      <c r="NT91" s="338"/>
      <c r="NU91" s="338"/>
      <c r="NV91" s="338"/>
      <c r="NW91" s="338"/>
      <c r="NX91" s="338"/>
      <c r="NY91" s="338"/>
      <c r="NZ91" s="338"/>
      <c r="OA91" s="338"/>
      <c r="OB91" s="338"/>
      <c r="OC91" s="338"/>
      <c r="OD91" s="338"/>
      <c r="OE91" s="338"/>
      <c r="OF91" s="338"/>
      <c r="OG91" s="338"/>
      <c r="OH91" s="338"/>
      <c r="OI91" s="338"/>
      <c r="OJ91" s="338"/>
      <c r="OK91" s="338"/>
      <c r="OL91" s="338"/>
      <c r="OM91" s="338"/>
      <c r="ON91" s="338"/>
      <c r="OO91" s="338"/>
      <c r="OP91" s="338"/>
      <c r="OQ91" s="338"/>
      <c r="OR91" s="338"/>
      <c r="OS91" s="338"/>
      <c r="OT91" s="338"/>
      <c r="OU91" s="338"/>
      <c r="OV91" s="338"/>
      <c r="OW91" s="338"/>
      <c r="OX91" s="338"/>
      <c r="OY91" s="338"/>
      <c r="OZ91" s="338"/>
      <c r="PA91" s="338"/>
      <c r="PB91" s="338"/>
      <c r="PC91" s="338"/>
      <c r="PD91" s="338"/>
      <c r="PE91" s="338"/>
      <c r="PF91" s="338"/>
      <c r="PG91" s="338"/>
      <c r="PH91" s="338"/>
      <c r="PI91" s="338"/>
      <c r="PJ91" s="338"/>
      <c r="PK91" s="338"/>
      <c r="PL91" s="338"/>
      <c r="PM91" s="338"/>
      <c r="PN91" s="338"/>
      <c r="PO91" s="338"/>
      <c r="PP91" s="338"/>
      <c r="PQ91" s="338"/>
      <c r="PR91" s="338"/>
      <c r="PS91" s="338"/>
      <c r="PT91" s="338"/>
      <c r="PU91" s="338"/>
      <c r="PV91" s="338"/>
      <c r="PW91" s="338"/>
      <c r="PX91" s="338"/>
      <c r="PY91" s="338"/>
      <c r="PZ91" s="338"/>
      <c r="QA91" s="338"/>
      <c r="QB91" s="338"/>
      <c r="QC91" s="338"/>
      <c r="QD91" s="338"/>
      <c r="QE91" s="338"/>
      <c r="QF91" s="338"/>
      <c r="QG91" s="338"/>
      <c r="QH91" s="338"/>
      <c r="QI91" s="338"/>
      <c r="QJ91" s="338"/>
      <c r="QK91" s="338"/>
      <c r="QL91" s="338"/>
      <c r="QM91" s="338"/>
      <c r="QN91" s="338"/>
      <c r="QO91" s="338"/>
      <c r="QP91" s="338"/>
      <c r="QQ91" s="338"/>
      <c r="QR91" s="338"/>
      <c r="QS91" s="338"/>
      <c r="QT91" s="338"/>
      <c r="QU91" s="338"/>
      <c r="QV91" s="338"/>
      <c r="QW91" s="338"/>
      <c r="QX91" s="338"/>
      <c r="QY91" s="338"/>
      <c r="QZ91" s="338"/>
      <c r="RA91" s="338"/>
      <c r="RB91" s="338"/>
      <c r="RC91" s="338"/>
      <c r="RD91" s="338"/>
      <c r="RE91" s="338"/>
      <c r="RF91" s="338"/>
      <c r="RG91" s="338"/>
      <c r="RH91" s="338"/>
      <c r="RI91" s="338"/>
      <c r="RJ91" s="338"/>
      <c r="RK91" s="338"/>
      <c r="RL91" s="338"/>
      <c r="RM91" s="338"/>
      <c r="RN91" s="338"/>
      <c r="RO91" s="338"/>
      <c r="RP91" s="338"/>
      <c r="RQ91" s="338"/>
      <c r="RR91" s="338"/>
      <c r="RS91" s="338"/>
      <c r="RT91" s="338"/>
      <c r="RU91" s="338"/>
      <c r="RV91" s="338"/>
      <c r="RW91" s="338"/>
      <c r="RX91" s="338"/>
      <c r="RY91" s="338"/>
      <c r="RZ91" s="338"/>
      <c r="SA91" s="338"/>
      <c r="SB91" s="338"/>
      <c r="SC91" s="338"/>
      <c r="SD91" s="338"/>
      <c r="SE91" s="338"/>
      <c r="SF91" s="338"/>
      <c r="SG91" s="338"/>
      <c r="SH91" s="338"/>
      <c r="SI91" s="338"/>
      <c r="SJ91" s="338"/>
      <c r="SK91" s="338"/>
      <c r="SL91" s="338"/>
      <c r="SM91" s="338"/>
      <c r="SN91" s="338"/>
      <c r="SO91" s="338"/>
      <c r="SP91" s="338"/>
      <c r="SQ91" s="338"/>
      <c r="SR91" s="338"/>
      <c r="SS91" s="338"/>
      <c r="ST91" s="338"/>
      <c r="SU91" s="338"/>
      <c r="SV91" s="338"/>
      <c r="SW91" s="338"/>
      <c r="SX91" s="338"/>
      <c r="SY91" s="338"/>
      <c r="SZ91" s="338"/>
      <c r="TA91" s="338"/>
      <c r="TB91" s="338"/>
      <c r="TC91" s="338"/>
      <c r="TD91" s="338"/>
      <c r="TE91" s="338"/>
      <c r="TF91" s="338"/>
      <c r="TG91" s="338"/>
      <c r="TH91" s="338"/>
      <c r="TI91" s="338"/>
      <c r="TJ91" s="338"/>
      <c r="TK91" s="338"/>
      <c r="TL91" s="338"/>
      <c r="TM91" s="338"/>
      <c r="TN91" s="338"/>
      <c r="TO91" s="338"/>
      <c r="TP91" s="338"/>
      <c r="TQ91" s="338"/>
      <c r="TR91" s="338"/>
      <c r="TS91" s="338"/>
      <c r="TT91" s="338"/>
      <c r="TU91" s="338"/>
      <c r="TV91" s="338"/>
      <c r="TW91" s="338"/>
      <c r="TX91" s="338"/>
      <c r="TY91" s="338"/>
      <c r="TZ91" s="338"/>
      <c r="UA91" s="338"/>
      <c r="UB91" s="338"/>
      <c r="UC91" s="338"/>
      <c r="UD91" s="338"/>
      <c r="UE91" s="338"/>
      <c r="UF91" s="338"/>
      <c r="UG91" s="338"/>
      <c r="UH91" s="338"/>
      <c r="UI91" s="338"/>
      <c r="UJ91" s="338"/>
      <c r="UK91" s="338"/>
      <c r="UL91" s="338"/>
      <c r="UM91" s="338"/>
      <c r="UN91" s="338"/>
      <c r="UO91" s="338"/>
      <c r="UP91" s="338"/>
      <c r="UQ91" s="338"/>
      <c r="UR91" s="338"/>
      <c r="US91" s="338"/>
      <c r="UT91" s="338"/>
      <c r="UU91" s="338"/>
      <c r="UV91" s="338"/>
      <c r="UW91" s="338"/>
      <c r="UX91" s="338"/>
      <c r="UY91" s="338"/>
      <c r="UZ91" s="338"/>
      <c r="VA91" s="338"/>
      <c r="VB91" s="338"/>
      <c r="VC91" s="338"/>
      <c r="VD91" s="338"/>
      <c r="VE91" s="338"/>
      <c r="VF91" s="338"/>
      <c r="VG91" s="338"/>
      <c r="VH91" s="338"/>
      <c r="VI91" s="338"/>
      <c r="VJ91" s="338"/>
      <c r="VK91" s="338"/>
      <c r="VL91" s="338"/>
      <c r="VM91" s="338"/>
      <c r="VN91" s="338"/>
      <c r="VO91" s="338"/>
      <c r="VP91" s="338"/>
      <c r="VQ91" s="338"/>
      <c r="VR91" s="338"/>
      <c r="VS91" s="338"/>
      <c r="VT91" s="338"/>
      <c r="VU91" s="338"/>
      <c r="VV91" s="338"/>
      <c r="VW91" s="338"/>
      <c r="VX91" s="338"/>
      <c r="VY91" s="338"/>
      <c r="VZ91" s="338"/>
      <c r="WA91" s="338"/>
      <c r="WB91" s="338"/>
      <c r="WC91" s="338"/>
      <c r="WD91" s="338"/>
      <c r="WE91" s="338"/>
      <c r="WF91" s="338"/>
      <c r="WG91" s="338"/>
      <c r="WH91" s="338"/>
      <c r="WI91" s="338"/>
      <c r="WJ91" s="338"/>
      <c r="WK91" s="338"/>
      <c r="WL91" s="338"/>
      <c r="WM91" s="338"/>
      <c r="WN91" s="338"/>
      <c r="WO91" s="338"/>
      <c r="WP91" s="338"/>
      <c r="WQ91" s="338"/>
      <c r="WR91" s="338"/>
      <c r="WS91" s="338"/>
      <c r="WT91" s="338"/>
      <c r="WU91" s="338"/>
      <c r="WV91" s="338"/>
      <c r="WW91" s="338"/>
      <c r="WX91" s="338"/>
      <c r="WY91" s="338"/>
      <c r="WZ91" s="338"/>
      <c r="XA91" s="338"/>
      <c r="XB91" s="338"/>
      <c r="XC91" s="338"/>
      <c r="XD91" s="338"/>
      <c r="XE91" s="338"/>
      <c r="XF91" s="338"/>
      <c r="XG91" s="338"/>
      <c r="XH91" s="338"/>
      <c r="XI91" s="338"/>
      <c r="XJ91" s="338"/>
      <c r="XK91" s="338"/>
      <c r="XL91" s="338"/>
      <c r="XM91" s="338"/>
      <c r="XN91" s="338"/>
      <c r="XO91" s="338"/>
      <c r="XP91" s="338"/>
      <c r="XQ91" s="338"/>
      <c r="XR91" s="338"/>
      <c r="XS91" s="338"/>
      <c r="XT91" s="338"/>
      <c r="XU91" s="338"/>
      <c r="XV91" s="338"/>
      <c r="XW91" s="338"/>
      <c r="XX91" s="338"/>
      <c r="XY91" s="338"/>
      <c r="XZ91" s="338"/>
      <c r="YA91" s="338"/>
      <c r="YB91" s="338"/>
      <c r="YC91" s="338"/>
      <c r="YD91" s="338"/>
      <c r="YE91" s="338"/>
      <c r="YF91" s="338"/>
      <c r="YG91" s="338"/>
      <c r="YH91" s="338"/>
      <c r="YI91" s="338"/>
      <c r="YJ91" s="338"/>
      <c r="YK91" s="338"/>
      <c r="YL91" s="338"/>
      <c r="YM91" s="338"/>
      <c r="YN91" s="338"/>
      <c r="YO91" s="338"/>
      <c r="YP91" s="338"/>
      <c r="YQ91" s="338"/>
      <c r="YR91" s="338"/>
      <c r="YS91" s="338"/>
      <c r="YT91" s="338"/>
      <c r="YU91" s="338"/>
      <c r="YV91" s="338"/>
      <c r="YW91" s="338"/>
      <c r="YX91" s="338"/>
      <c r="YY91" s="338"/>
      <c r="YZ91" s="338"/>
      <c r="ZA91" s="338"/>
      <c r="ZB91" s="338"/>
      <c r="ZC91" s="338"/>
      <c r="ZD91" s="338"/>
      <c r="ZE91" s="338"/>
      <c r="ZF91" s="338"/>
      <c r="ZG91" s="338"/>
      <c r="ZH91" s="338"/>
      <c r="ZI91" s="338"/>
      <c r="ZJ91" s="338"/>
      <c r="ZK91" s="338"/>
      <c r="ZL91" s="338"/>
      <c r="ZM91" s="338"/>
      <c r="ZN91" s="338"/>
      <c r="ZO91" s="338"/>
      <c r="ZP91" s="338"/>
      <c r="ZQ91" s="338"/>
      <c r="ZR91" s="338"/>
      <c r="ZS91" s="338"/>
      <c r="ZT91" s="338"/>
      <c r="ZU91" s="338"/>
      <c r="ZV91" s="338"/>
      <c r="ZW91" s="338"/>
      <c r="ZX91" s="338"/>
      <c r="ZY91" s="338"/>
      <c r="ZZ91" s="338"/>
      <c r="AAA91" s="338"/>
      <c r="AAB91" s="338"/>
      <c r="AAC91" s="338"/>
      <c r="AAD91" s="338"/>
      <c r="AAE91" s="338"/>
      <c r="AAF91" s="338"/>
      <c r="AAG91" s="338"/>
      <c r="AAH91" s="338"/>
      <c r="AAI91" s="338"/>
      <c r="AAJ91" s="338"/>
      <c r="AAK91" s="338"/>
      <c r="AAL91" s="338"/>
      <c r="AAM91" s="338"/>
      <c r="AAN91" s="338"/>
      <c r="AAO91" s="338"/>
      <c r="AAP91" s="338"/>
      <c r="AAQ91" s="338"/>
      <c r="AAR91" s="338"/>
      <c r="AAS91" s="338"/>
      <c r="AAT91" s="338"/>
      <c r="AAU91" s="338"/>
      <c r="AAV91" s="338"/>
      <c r="AAW91" s="338"/>
      <c r="AAX91" s="338"/>
      <c r="AAY91" s="338"/>
      <c r="AAZ91" s="338"/>
      <c r="ABA91" s="338"/>
      <c r="ABB91" s="338"/>
      <c r="ABC91" s="338"/>
      <c r="ABD91" s="338"/>
      <c r="ABE91" s="338"/>
      <c r="ABF91" s="338"/>
      <c r="ABG91" s="338"/>
      <c r="ABH91" s="338"/>
      <c r="ABI91" s="338"/>
      <c r="ABJ91" s="338"/>
      <c r="ABK91" s="338"/>
      <c r="ABL91" s="338"/>
      <c r="ABM91" s="338"/>
      <c r="ABN91" s="338"/>
      <c r="ABO91" s="338"/>
      <c r="ABP91" s="338"/>
      <c r="ABQ91" s="338"/>
      <c r="ABR91" s="338"/>
      <c r="ABS91" s="338"/>
      <c r="ABT91" s="338"/>
      <c r="ABU91" s="338"/>
      <c r="ABV91" s="338"/>
      <c r="ABW91" s="338"/>
      <c r="ABX91" s="338"/>
      <c r="ABY91" s="338"/>
      <c r="ABZ91" s="338"/>
      <c r="ACA91" s="338"/>
      <c r="ACB91" s="338"/>
      <c r="ACC91" s="338"/>
      <c r="ACD91" s="338"/>
      <c r="ACE91" s="338"/>
      <c r="ACF91" s="338"/>
      <c r="ACG91" s="338"/>
      <c r="ACH91" s="338"/>
      <c r="ACI91" s="338"/>
      <c r="ACJ91" s="338"/>
      <c r="ACK91" s="338"/>
      <c r="ACL91" s="338"/>
      <c r="ACM91" s="338"/>
      <c r="ACN91" s="338"/>
      <c r="ACO91" s="338"/>
      <c r="ACP91" s="338"/>
      <c r="ACQ91" s="338"/>
      <c r="ACR91" s="338"/>
      <c r="ACS91" s="338"/>
      <c r="ACT91" s="338"/>
      <c r="ACU91" s="338"/>
      <c r="ACV91" s="338"/>
      <c r="ACW91" s="338"/>
      <c r="ACX91" s="338"/>
      <c r="ACY91" s="338"/>
      <c r="ACZ91" s="338"/>
      <c r="ADA91" s="338"/>
      <c r="ADB91" s="338"/>
      <c r="ADC91" s="338"/>
      <c r="ADD91" s="338"/>
      <c r="ADE91" s="338"/>
      <c r="ADF91" s="338"/>
      <c r="ADG91" s="338"/>
      <c r="ADH91" s="338"/>
      <c r="ADI91" s="338"/>
      <c r="ADJ91" s="338"/>
      <c r="ADK91" s="338"/>
      <c r="ADL91" s="338"/>
      <c r="ADM91" s="338"/>
      <c r="ADN91" s="338"/>
      <c r="ADO91" s="338"/>
      <c r="ADP91" s="338"/>
      <c r="ADQ91" s="338"/>
      <c r="ADR91" s="338"/>
      <c r="ADS91" s="338"/>
      <c r="ADT91" s="338"/>
      <c r="ADU91" s="338"/>
      <c r="ADV91" s="338"/>
      <c r="ADW91" s="338"/>
      <c r="ADX91" s="338"/>
      <c r="ADY91" s="338"/>
      <c r="ADZ91" s="338"/>
      <c r="AEA91" s="338"/>
      <c r="AEB91" s="338"/>
      <c r="AEC91" s="338"/>
      <c r="AED91" s="338"/>
      <c r="AEE91" s="338"/>
      <c r="AEF91" s="338"/>
      <c r="AEG91" s="338"/>
      <c r="AEH91" s="338"/>
      <c r="AEI91" s="338"/>
      <c r="AEJ91" s="338"/>
      <c r="AEK91" s="338"/>
      <c r="AEL91" s="338"/>
      <c r="AEM91" s="338"/>
      <c r="AEN91" s="338"/>
      <c r="AEO91" s="338"/>
      <c r="AEP91" s="338"/>
      <c r="AEQ91" s="338"/>
      <c r="AER91" s="338"/>
      <c r="AES91" s="338"/>
      <c r="AET91" s="338"/>
      <c r="AEU91" s="338"/>
      <c r="AEV91" s="338"/>
      <c r="AEW91" s="338"/>
      <c r="AEX91" s="338"/>
      <c r="AEY91" s="338"/>
      <c r="AEZ91" s="338"/>
      <c r="AFA91" s="338"/>
      <c r="AFB91" s="338"/>
      <c r="AFC91" s="338"/>
      <c r="AFD91" s="338"/>
      <c r="AFE91" s="338"/>
      <c r="AFF91" s="338"/>
      <c r="AFG91" s="338"/>
      <c r="AFH91" s="338"/>
      <c r="AFI91" s="338"/>
      <c r="AFJ91" s="338"/>
      <c r="AFK91" s="338"/>
      <c r="AFL91" s="338"/>
      <c r="AFM91" s="338"/>
      <c r="AFN91" s="338"/>
      <c r="AFO91" s="338"/>
      <c r="AFP91" s="338"/>
      <c r="AFQ91" s="338"/>
      <c r="AFR91" s="338"/>
      <c r="AFS91" s="338"/>
      <c r="AFT91" s="338"/>
      <c r="AFU91" s="338"/>
      <c r="AFV91" s="338"/>
      <c r="AFW91" s="338"/>
      <c r="AFX91" s="338"/>
      <c r="AFY91" s="338"/>
      <c r="AFZ91" s="338"/>
      <c r="AGA91" s="338"/>
      <c r="AGB91" s="338"/>
      <c r="AGC91" s="338"/>
      <c r="AGD91" s="338"/>
      <c r="AGE91" s="338"/>
      <c r="AGF91" s="338"/>
      <c r="AGG91" s="338"/>
      <c r="AGH91" s="338"/>
      <c r="AGI91" s="338"/>
      <c r="AGJ91" s="338"/>
      <c r="AGK91" s="338"/>
      <c r="AGL91" s="338"/>
      <c r="AGM91" s="338"/>
      <c r="AGN91" s="338"/>
      <c r="AGO91" s="338"/>
      <c r="AGP91" s="338"/>
      <c r="AGQ91" s="338"/>
      <c r="AGR91" s="338"/>
      <c r="AGS91" s="338"/>
      <c r="AGT91" s="338"/>
      <c r="AGU91" s="338"/>
      <c r="AGV91" s="338"/>
      <c r="AGW91" s="338"/>
      <c r="AGX91" s="338"/>
      <c r="AGY91" s="338"/>
      <c r="AGZ91" s="338"/>
      <c r="AHA91" s="338"/>
      <c r="AHB91" s="338"/>
      <c r="AHC91" s="338"/>
      <c r="AHD91" s="338"/>
      <c r="AHE91" s="338"/>
      <c r="AHF91" s="338"/>
      <c r="AHG91" s="338"/>
      <c r="AHH91" s="338"/>
      <c r="AHI91" s="338"/>
      <c r="AHJ91" s="338"/>
      <c r="AHK91" s="338"/>
      <c r="AHL91" s="338"/>
      <c r="AHM91" s="338"/>
      <c r="AHN91" s="338"/>
      <c r="AHO91" s="338"/>
      <c r="AHP91" s="338"/>
      <c r="AHQ91" s="338"/>
      <c r="AHR91" s="338"/>
      <c r="AHS91" s="338"/>
      <c r="AHT91" s="338"/>
      <c r="AHU91" s="338"/>
      <c r="AHV91" s="338"/>
      <c r="AHW91" s="338"/>
      <c r="AHX91" s="338"/>
      <c r="AHY91" s="338"/>
      <c r="AHZ91" s="338"/>
      <c r="AIA91" s="338"/>
      <c r="AIB91" s="338"/>
      <c r="AIC91" s="338"/>
      <c r="AID91" s="338"/>
      <c r="AIE91" s="338"/>
      <c r="AIF91" s="338"/>
      <c r="AIG91" s="338"/>
      <c r="AIH91" s="338"/>
      <c r="AII91" s="338"/>
      <c r="AIJ91" s="338"/>
      <c r="AIK91" s="338"/>
      <c r="AIL91" s="338"/>
      <c r="AIM91" s="338"/>
      <c r="AIN91" s="338"/>
      <c r="AIO91" s="338"/>
      <c r="AIP91" s="338"/>
      <c r="AIQ91" s="338"/>
      <c r="AIR91" s="338"/>
      <c r="AIS91" s="338"/>
      <c r="AIT91" s="338"/>
      <c r="AIU91" s="338"/>
      <c r="AIV91" s="338"/>
      <c r="AIW91" s="338"/>
      <c r="AIX91" s="338"/>
      <c r="AIY91" s="338"/>
      <c r="AIZ91" s="338"/>
      <c r="AJA91" s="338"/>
      <c r="AJB91" s="338"/>
      <c r="AJC91" s="338"/>
      <c r="AJD91" s="338"/>
      <c r="AJE91" s="338"/>
      <c r="AJF91" s="338"/>
      <c r="AJG91" s="338"/>
      <c r="AJH91" s="338"/>
      <c r="AJI91" s="338"/>
      <c r="AJJ91" s="338"/>
      <c r="AJK91" s="338"/>
      <c r="AJL91" s="338"/>
      <c r="AJM91" s="338"/>
      <c r="AJN91" s="338"/>
      <c r="AJO91" s="338"/>
      <c r="AJP91" s="338"/>
      <c r="AJQ91" s="338"/>
      <c r="AJR91" s="338"/>
      <c r="AJS91" s="338"/>
      <c r="AJT91" s="338"/>
      <c r="AJU91" s="338"/>
      <c r="AJV91" s="338"/>
      <c r="AJW91" s="338"/>
      <c r="AJX91" s="338"/>
      <c r="AJY91" s="338"/>
      <c r="AJZ91" s="338"/>
      <c r="AKA91" s="338"/>
      <c r="AKB91" s="338"/>
      <c r="AKC91" s="338"/>
      <c r="AKD91" s="338"/>
      <c r="AKE91" s="338"/>
      <c r="AKF91" s="338"/>
      <c r="AKG91" s="338"/>
      <c r="AKH91" s="338"/>
      <c r="AKI91" s="338"/>
      <c r="AKJ91" s="338"/>
      <c r="AKK91" s="338"/>
      <c r="AKL91" s="338"/>
      <c r="AKM91" s="338"/>
      <c r="AKN91" s="338"/>
      <c r="AKO91" s="338"/>
      <c r="AKP91" s="338"/>
      <c r="AKQ91" s="338"/>
      <c r="AKR91" s="338"/>
      <c r="AKS91" s="338"/>
      <c r="AKT91" s="338"/>
      <c r="AKU91" s="338"/>
      <c r="AKV91" s="338"/>
      <c r="AKW91" s="338"/>
      <c r="AKX91" s="338"/>
      <c r="AKY91" s="338"/>
      <c r="AKZ91" s="338"/>
      <c r="ALA91" s="338"/>
      <c r="ALB91" s="338"/>
      <c r="ALC91" s="338"/>
      <c r="ALD91" s="338"/>
      <c r="ALE91" s="338"/>
      <c r="ALF91" s="338"/>
      <c r="ALG91" s="338"/>
      <c r="ALH91" s="338"/>
      <c r="ALI91" s="338"/>
      <c r="ALJ91" s="338"/>
      <c r="ALK91" s="338"/>
      <c r="ALL91" s="338"/>
      <c r="ALM91" s="338"/>
      <c r="ALN91" s="338"/>
      <c r="ALO91" s="338"/>
      <c r="ALP91" s="338"/>
      <c r="ALQ91" s="338"/>
      <c r="ALR91" s="338"/>
      <c r="ALS91" s="338"/>
      <c r="ALT91" s="338"/>
      <c r="ALU91" s="338"/>
      <c r="ALV91" s="338"/>
      <c r="ALW91" s="338"/>
      <c r="ALX91" s="338"/>
      <c r="ALY91" s="338"/>
      <c r="ALZ91" s="338"/>
      <c r="AMA91" s="338"/>
      <c r="AMB91" s="338"/>
      <c r="AMC91" s="338"/>
      <c r="AMD91" s="338"/>
      <c r="AME91" s="338"/>
      <c r="AMF91" s="338"/>
      <c r="AMG91" s="338"/>
      <c r="AMH91" s="338"/>
      <c r="AMI91" s="338"/>
      <c r="AMJ91" s="338"/>
      <c r="AMK91" s="338"/>
      <c r="AML91" s="338"/>
      <c r="AMM91" s="338"/>
      <c r="AMN91" s="338"/>
      <c r="AMO91" s="338"/>
      <c r="AMP91" s="338"/>
      <c r="AMQ91" s="338"/>
      <c r="AMR91" s="338"/>
      <c r="AMS91" s="338"/>
      <c r="AMT91" s="338"/>
      <c r="AMU91" s="338"/>
      <c r="AMV91" s="338"/>
      <c r="AMW91" s="338"/>
      <c r="AMX91" s="338"/>
      <c r="AMY91" s="338"/>
      <c r="AMZ91" s="338"/>
      <c r="ANA91" s="338"/>
      <c r="ANB91" s="338"/>
      <c r="ANC91" s="338"/>
      <c r="AND91" s="338"/>
      <c r="ANE91" s="338"/>
      <c r="ANF91" s="338"/>
      <c r="ANG91" s="338"/>
      <c r="ANH91" s="338"/>
      <c r="ANI91" s="338"/>
      <c r="ANJ91" s="338"/>
      <c r="ANK91" s="338"/>
      <c r="ANL91" s="338"/>
      <c r="ANM91" s="338"/>
      <c r="ANN91" s="338"/>
      <c r="ANO91" s="338"/>
      <c r="ANP91" s="338"/>
      <c r="ANQ91" s="338"/>
      <c r="ANR91" s="338"/>
      <c r="ANS91" s="338"/>
      <c r="ANT91" s="338"/>
      <c r="ANU91" s="338"/>
      <c r="ANV91" s="338"/>
      <c r="ANW91" s="338"/>
      <c r="ANX91" s="338"/>
      <c r="ANY91" s="338"/>
      <c r="ANZ91" s="338"/>
      <c r="AOA91" s="338"/>
      <c r="AOB91" s="338"/>
      <c r="AOC91" s="338"/>
      <c r="AOD91" s="338"/>
      <c r="AOE91" s="338"/>
      <c r="AOF91" s="338"/>
      <c r="AOG91" s="338"/>
      <c r="AOH91" s="338"/>
      <c r="AOI91" s="338"/>
      <c r="AOJ91" s="338"/>
      <c r="AOK91" s="338"/>
      <c r="AOL91" s="338"/>
      <c r="AOM91" s="338"/>
      <c r="AON91" s="338"/>
      <c r="AOO91" s="338"/>
      <c r="AOP91" s="338"/>
      <c r="AOQ91" s="338"/>
      <c r="AOR91" s="338"/>
      <c r="AOS91" s="338"/>
      <c r="AOT91" s="338"/>
      <c r="AOU91" s="338"/>
      <c r="AOV91" s="338"/>
      <c r="AOW91" s="338"/>
      <c r="AOX91" s="338"/>
      <c r="AOY91" s="338"/>
      <c r="AOZ91" s="338"/>
      <c r="APA91" s="338"/>
      <c r="APB91" s="338"/>
      <c r="APC91" s="338"/>
      <c r="APD91" s="338"/>
      <c r="APE91" s="338"/>
      <c r="APF91" s="338"/>
      <c r="APG91" s="338"/>
      <c r="APH91" s="338"/>
      <c r="API91" s="338"/>
      <c r="APJ91" s="338"/>
      <c r="APK91" s="338"/>
      <c r="APL91" s="338"/>
      <c r="APM91" s="338"/>
      <c r="APN91" s="338"/>
      <c r="APO91" s="338"/>
      <c r="APP91" s="338"/>
      <c r="APQ91" s="338"/>
      <c r="APR91" s="338"/>
      <c r="APS91" s="338"/>
      <c r="APT91" s="338"/>
      <c r="APU91" s="338"/>
      <c r="APV91" s="338"/>
      <c r="APW91" s="338"/>
      <c r="APX91" s="338"/>
      <c r="APY91" s="338"/>
      <c r="APZ91" s="338"/>
      <c r="AQA91" s="338"/>
      <c r="AQB91" s="338"/>
      <c r="AQC91" s="338"/>
      <c r="AQD91" s="338"/>
      <c r="AQE91" s="338"/>
      <c r="AQF91" s="338"/>
      <c r="AQG91" s="338"/>
      <c r="AQH91" s="338"/>
      <c r="AQI91" s="338"/>
      <c r="AQJ91" s="338"/>
      <c r="AQK91" s="338"/>
      <c r="AQL91" s="338"/>
      <c r="AQM91" s="338"/>
      <c r="AQN91" s="338"/>
      <c r="AQO91" s="338"/>
      <c r="AQP91" s="338"/>
      <c r="AQQ91" s="338"/>
      <c r="AQR91" s="338"/>
      <c r="AQS91" s="338"/>
      <c r="AQT91" s="338"/>
      <c r="AQU91" s="338"/>
      <c r="AQV91" s="338"/>
      <c r="AQW91" s="338"/>
      <c r="AQX91" s="338"/>
      <c r="AQY91" s="338"/>
      <c r="AQZ91" s="338"/>
      <c r="ARA91" s="338"/>
      <c r="ARB91" s="338"/>
      <c r="ARC91" s="338"/>
      <c r="ARD91" s="338"/>
      <c r="ARE91" s="338"/>
      <c r="ARF91" s="338"/>
      <c r="ARG91" s="338"/>
      <c r="ARH91" s="338"/>
      <c r="ARI91" s="338"/>
      <c r="ARJ91" s="338"/>
      <c r="ARK91" s="338"/>
      <c r="ARL91" s="338"/>
      <c r="ARM91" s="338"/>
      <c r="ARN91" s="338"/>
      <c r="ARO91" s="338"/>
      <c r="ARP91" s="338"/>
      <c r="ARQ91" s="338"/>
      <c r="ARR91" s="338"/>
      <c r="ARS91" s="338"/>
      <c r="ART91" s="338"/>
      <c r="ARU91" s="338"/>
      <c r="ARV91" s="338"/>
      <c r="ARW91" s="338"/>
      <c r="ARX91" s="338"/>
      <c r="ARY91" s="338"/>
      <c r="ARZ91" s="338"/>
      <c r="ASA91" s="338"/>
      <c r="ASB91" s="338"/>
      <c r="ASC91" s="338"/>
      <c r="ASD91" s="338"/>
      <c r="ASE91" s="338"/>
      <c r="ASF91" s="338"/>
      <c r="ASG91" s="338"/>
      <c r="ASH91" s="338"/>
      <c r="ASI91" s="338"/>
      <c r="ASJ91" s="338"/>
      <c r="ASK91" s="338"/>
      <c r="ASL91" s="338"/>
      <c r="ASM91" s="338"/>
      <c r="ASN91" s="338"/>
      <c r="ASO91" s="338"/>
      <c r="ASP91" s="338"/>
      <c r="ASQ91" s="338"/>
      <c r="ASR91" s="338"/>
      <c r="ASS91" s="338"/>
      <c r="AST91" s="338"/>
      <c r="ASU91" s="338"/>
      <c r="ASV91" s="338"/>
      <c r="ASW91" s="338"/>
      <c r="ASX91" s="338"/>
      <c r="ASY91" s="338"/>
      <c r="ASZ91" s="338"/>
      <c r="ATA91" s="338"/>
      <c r="ATB91" s="338"/>
      <c r="ATC91" s="338"/>
      <c r="ATD91" s="338"/>
      <c r="ATE91" s="338"/>
      <c r="ATF91" s="338"/>
      <c r="ATG91" s="338"/>
      <c r="ATH91" s="338"/>
      <c r="ATI91" s="338"/>
      <c r="ATJ91" s="338"/>
      <c r="ATK91" s="338"/>
      <c r="ATL91" s="338"/>
      <c r="ATM91" s="338"/>
      <c r="ATN91" s="338"/>
      <c r="ATO91" s="338"/>
      <c r="ATP91" s="338"/>
      <c r="ATQ91" s="338"/>
      <c r="ATR91" s="338"/>
      <c r="ATS91" s="338"/>
      <c r="ATT91" s="338"/>
      <c r="ATU91" s="338"/>
      <c r="ATV91" s="338"/>
      <c r="ATW91" s="338"/>
      <c r="ATX91" s="338"/>
      <c r="ATY91" s="338"/>
      <c r="ATZ91" s="338"/>
      <c r="AUA91" s="338"/>
      <c r="AUB91" s="338"/>
      <c r="AUC91" s="338"/>
      <c r="AUD91" s="338"/>
      <c r="AUE91" s="338"/>
      <c r="AUF91" s="338"/>
      <c r="AUG91" s="338"/>
      <c r="AUH91" s="338"/>
      <c r="AUI91" s="338"/>
      <c r="AUJ91" s="338"/>
      <c r="AUK91" s="338"/>
      <c r="AUL91" s="338"/>
      <c r="AUM91" s="338"/>
      <c r="AUN91" s="338"/>
      <c r="AUO91" s="338"/>
      <c r="AUP91" s="338"/>
      <c r="AUQ91" s="338"/>
      <c r="AUR91" s="338"/>
      <c r="AUS91" s="338"/>
      <c r="AUT91" s="338"/>
      <c r="AUU91" s="338"/>
      <c r="AUV91" s="338"/>
      <c r="AUW91" s="338"/>
      <c r="AUX91" s="338"/>
      <c r="AUY91" s="338"/>
      <c r="AUZ91" s="338"/>
      <c r="AVA91" s="338"/>
      <c r="AVB91" s="338"/>
      <c r="AVC91" s="338"/>
      <c r="AVD91" s="338"/>
      <c r="AVE91" s="338"/>
      <c r="AVF91" s="338"/>
      <c r="AVG91" s="338"/>
      <c r="AVH91" s="338"/>
      <c r="AVI91" s="338"/>
      <c r="AVJ91" s="338"/>
      <c r="AVK91" s="338"/>
      <c r="AVL91" s="338"/>
      <c r="AVM91" s="338"/>
      <c r="AVN91" s="338"/>
      <c r="AVO91" s="338"/>
      <c r="AVP91" s="338"/>
      <c r="AVQ91" s="338"/>
      <c r="AVR91" s="338"/>
      <c r="AVS91" s="338"/>
      <c r="AVT91" s="338"/>
      <c r="AVU91" s="338"/>
      <c r="AVV91" s="338"/>
      <c r="AVW91" s="338"/>
      <c r="AVX91" s="338"/>
      <c r="AVY91" s="338"/>
      <c r="AVZ91" s="338"/>
      <c r="AWA91" s="338"/>
      <c r="AWB91" s="338"/>
      <c r="AWC91" s="338"/>
      <c r="AWD91" s="338"/>
      <c r="AWE91" s="338"/>
      <c r="AWF91" s="338"/>
      <c r="AWG91" s="338"/>
      <c r="AWH91" s="338"/>
      <c r="AWI91" s="338"/>
      <c r="AWJ91" s="338"/>
      <c r="AWK91" s="338"/>
      <c r="AWL91" s="338"/>
      <c r="AWM91" s="338"/>
      <c r="AWN91" s="338"/>
      <c r="AWO91" s="338"/>
      <c r="AWP91" s="338"/>
      <c r="AWQ91" s="338"/>
      <c r="AWR91" s="338"/>
      <c r="AWS91" s="338"/>
      <c r="AWT91" s="338"/>
      <c r="AWU91" s="338"/>
      <c r="AWV91" s="338"/>
      <c r="AWW91" s="338"/>
      <c r="AWX91" s="338"/>
      <c r="AWY91" s="338"/>
      <c r="AWZ91" s="338"/>
      <c r="AXA91" s="338"/>
      <c r="AXB91" s="338"/>
      <c r="AXC91" s="338"/>
      <c r="AXD91" s="338"/>
      <c r="AXE91" s="338"/>
      <c r="AXF91" s="338"/>
      <c r="AXG91" s="338"/>
      <c r="AXH91" s="338"/>
      <c r="AXI91" s="338"/>
      <c r="AXJ91" s="338"/>
      <c r="AXK91" s="338"/>
      <c r="AXL91" s="338"/>
      <c r="AXM91" s="338"/>
      <c r="AXN91" s="338"/>
      <c r="AXO91" s="338"/>
      <c r="AXP91" s="338"/>
      <c r="AXQ91" s="338"/>
      <c r="AXR91" s="338"/>
      <c r="AXS91" s="338"/>
      <c r="AXT91" s="338"/>
      <c r="AXU91" s="338"/>
      <c r="AXV91" s="338"/>
      <c r="AXW91" s="338"/>
      <c r="AXX91" s="338"/>
      <c r="AXY91" s="338"/>
      <c r="AXZ91" s="338"/>
      <c r="AYA91" s="338"/>
      <c r="AYB91" s="338"/>
      <c r="AYC91" s="338"/>
      <c r="AYD91" s="338"/>
      <c r="AYE91" s="338"/>
      <c r="AYF91" s="338"/>
      <c r="AYG91" s="338"/>
      <c r="AYH91" s="338"/>
      <c r="AYI91" s="338"/>
      <c r="AYJ91" s="338"/>
      <c r="AYK91" s="338"/>
      <c r="AYL91" s="338"/>
      <c r="AYM91" s="338"/>
      <c r="AYN91" s="338"/>
      <c r="AYO91" s="338"/>
      <c r="AYP91" s="338"/>
      <c r="AYQ91" s="338"/>
      <c r="AYR91" s="338"/>
      <c r="AYS91" s="338"/>
      <c r="AYT91" s="338"/>
      <c r="AYU91" s="338"/>
      <c r="AYV91" s="338"/>
      <c r="AYW91" s="338"/>
      <c r="AYX91" s="338"/>
      <c r="AYY91" s="338"/>
      <c r="AYZ91" s="338"/>
      <c r="AZA91" s="338"/>
      <c r="AZB91" s="338"/>
      <c r="AZC91" s="338"/>
      <c r="AZD91" s="338"/>
      <c r="AZE91" s="338"/>
      <c r="AZF91" s="338"/>
      <c r="AZG91" s="338"/>
      <c r="AZH91" s="338"/>
      <c r="AZI91" s="338"/>
      <c r="AZJ91" s="338"/>
      <c r="AZK91" s="338"/>
      <c r="AZL91" s="338"/>
      <c r="AZM91" s="338"/>
      <c r="AZN91" s="338"/>
      <c r="AZO91" s="338"/>
      <c r="AZP91" s="338"/>
      <c r="AZQ91" s="338"/>
      <c r="AZR91" s="338"/>
      <c r="AZS91" s="338"/>
      <c r="AZT91" s="338"/>
      <c r="AZU91" s="338"/>
      <c r="AZV91" s="338"/>
      <c r="AZW91" s="338"/>
      <c r="AZX91" s="338"/>
      <c r="AZY91" s="338"/>
      <c r="AZZ91" s="338"/>
      <c r="BAA91" s="338"/>
      <c r="BAB91" s="338"/>
      <c r="BAC91" s="338"/>
      <c r="BAD91" s="338"/>
      <c r="BAE91" s="338"/>
      <c r="BAF91" s="338"/>
      <c r="BAG91" s="338"/>
      <c r="BAH91" s="338"/>
      <c r="BAI91" s="338"/>
      <c r="BAJ91" s="338"/>
      <c r="BAK91" s="338"/>
      <c r="BAL91" s="338"/>
      <c r="BAM91" s="338"/>
      <c r="BAN91" s="338"/>
      <c r="BAO91" s="338"/>
      <c r="BAP91" s="338"/>
      <c r="BAQ91" s="338"/>
      <c r="BAR91" s="338"/>
      <c r="BAS91" s="338"/>
      <c r="BAT91" s="338"/>
      <c r="BAU91" s="338"/>
      <c r="BAV91" s="338"/>
      <c r="BAW91" s="338"/>
      <c r="BAX91" s="338"/>
      <c r="BAY91" s="338"/>
      <c r="BAZ91" s="338"/>
      <c r="BBA91" s="338"/>
      <c r="BBB91" s="338"/>
      <c r="BBC91" s="338"/>
      <c r="BBD91" s="338"/>
      <c r="BBE91" s="338"/>
      <c r="BBF91" s="338"/>
      <c r="BBG91" s="338"/>
      <c r="BBH91" s="338"/>
      <c r="BBI91" s="338"/>
      <c r="BBJ91" s="338"/>
      <c r="BBK91" s="338"/>
      <c r="BBL91" s="338"/>
      <c r="BBM91" s="338"/>
      <c r="BBN91" s="338"/>
      <c r="BBO91" s="338"/>
      <c r="BBP91" s="338"/>
      <c r="BBQ91" s="338"/>
      <c r="BBR91" s="338"/>
      <c r="BBS91" s="338"/>
      <c r="BBT91" s="338"/>
      <c r="BBU91" s="338"/>
      <c r="BBV91" s="338"/>
      <c r="BBW91" s="338"/>
      <c r="BBX91" s="338"/>
      <c r="BBY91" s="338"/>
      <c r="BBZ91" s="338"/>
      <c r="BCA91" s="338"/>
      <c r="BCB91" s="338"/>
      <c r="BCC91" s="338"/>
      <c r="BCD91" s="338"/>
      <c r="BCE91" s="338"/>
      <c r="BCF91" s="338"/>
      <c r="BCG91" s="338"/>
      <c r="BCH91" s="338"/>
      <c r="BCI91" s="338"/>
      <c r="BCJ91" s="338"/>
      <c r="BCK91" s="338"/>
      <c r="BCL91" s="338"/>
      <c r="BCM91" s="338"/>
      <c r="BCN91" s="338"/>
      <c r="BCO91" s="338"/>
      <c r="BCP91" s="338"/>
      <c r="BCQ91" s="338"/>
      <c r="BCR91" s="338"/>
      <c r="BCS91" s="338"/>
      <c r="BCT91" s="338"/>
      <c r="BCU91" s="338"/>
      <c r="BCV91" s="338"/>
      <c r="BCW91" s="338"/>
      <c r="BCX91" s="338"/>
      <c r="BCY91" s="338"/>
      <c r="BCZ91" s="338"/>
      <c r="BDA91" s="338"/>
      <c r="BDB91" s="338"/>
      <c r="BDC91" s="338"/>
      <c r="BDD91" s="338"/>
      <c r="BDE91" s="338"/>
      <c r="BDF91" s="338"/>
      <c r="BDG91" s="338"/>
      <c r="BDH91" s="338"/>
      <c r="BDI91" s="338"/>
      <c r="BDJ91" s="338"/>
      <c r="BDK91" s="338"/>
      <c r="BDL91" s="338"/>
      <c r="BDM91" s="338"/>
      <c r="BDN91" s="338"/>
      <c r="BDO91" s="338"/>
      <c r="BDP91" s="338"/>
      <c r="BDQ91" s="338"/>
      <c r="BDR91" s="338"/>
      <c r="BDS91" s="338"/>
      <c r="BDT91" s="338"/>
      <c r="BDU91" s="338"/>
      <c r="BDV91" s="338"/>
      <c r="BDW91" s="338"/>
      <c r="BDX91" s="338"/>
      <c r="BDY91" s="338"/>
      <c r="BDZ91" s="338"/>
      <c r="BEA91" s="338"/>
      <c r="BEB91" s="338"/>
      <c r="BEC91" s="338"/>
      <c r="BED91" s="338"/>
      <c r="BEE91" s="338"/>
      <c r="BEF91" s="338"/>
      <c r="BEG91" s="338"/>
      <c r="BEH91" s="338"/>
      <c r="BEI91" s="338"/>
      <c r="BEJ91" s="338"/>
      <c r="BEK91" s="338"/>
      <c r="BEL91" s="338"/>
      <c r="BEM91" s="338"/>
      <c r="BEN91" s="338"/>
      <c r="BEO91" s="338"/>
      <c r="BEP91" s="338"/>
      <c r="BEQ91" s="338"/>
      <c r="BER91" s="338"/>
      <c r="BES91" s="338"/>
      <c r="BET91" s="338"/>
      <c r="BEU91" s="338"/>
      <c r="BEV91" s="338"/>
      <c r="BEW91" s="338"/>
      <c r="BEX91" s="338"/>
      <c r="BEY91" s="338"/>
      <c r="BEZ91" s="338"/>
      <c r="BFA91" s="338"/>
      <c r="BFB91" s="338"/>
      <c r="BFC91" s="338"/>
      <c r="BFD91" s="338"/>
      <c r="BFE91" s="338"/>
      <c r="BFF91" s="338"/>
      <c r="BFG91" s="338"/>
      <c r="BFH91" s="338"/>
      <c r="BFI91" s="338"/>
      <c r="BFJ91" s="338"/>
      <c r="BFK91" s="338"/>
      <c r="BFL91" s="338"/>
      <c r="BFM91" s="338"/>
      <c r="BFN91" s="338"/>
      <c r="BFO91" s="338"/>
      <c r="BFP91" s="338"/>
      <c r="BFQ91" s="338"/>
      <c r="BFR91" s="338"/>
      <c r="BFS91" s="338"/>
      <c r="BFT91" s="338"/>
      <c r="BFU91" s="338"/>
      <c r="BFV91" s="338"/>
      <c r="BFW91" s="338"/>
      <c r="BFX91" s="338"/>
      <c r="BFY91" s="338"/>
      <c r="BFZ91" s="338"/>
      <c r="BGA91" s="338"/>
      <c r="BGB91" s="338"/>
      <c r="BGC91" s="338"/>
      <c r="BGD91" s="338"/>
      <c r="BGE91" s="338"/>
      <c r="BGF91" s="338"/>
      <c r="BGG91" s="338"/>
      <c r="BGH91" s="338"/>
      <c r="BGI91" s="338"/>
      <c r="BGJ91" s="338"/>
      <c r="BGK91" s="338"/>
      <c r="BGL91" s="338"/>
      <c r="BGM91" s="338"/>
      <c r="BGN91" s="338"/>
      <c r="BGO91" s="338"/>
      <c r="BGP91" s="338"/>
      <c r="BGQ91" s="338"/>
      <c r="BGR91" s="338"/>
      <c r="BGS91" s="338"/>
      <c r="BGT91" s="338"/>
      <c r="BGU91" s="338"/>
      <c r="BGV91" s="338"/>
      <c r="BGW91" s="338"/>
      <c r="BGX91" s="338"/>
      <c r="BGY91" s="338"/>
      <c r="BGZ91" s="338"/>
      <c r="BHA91" s="338"/>
      <c r="BHB91" s="338"/>
      <c r="BHC91" s="338"/>
      <c r="BHD91" s="338"/>
      <c r="BHE91" s="338"/>
      <c r="BHF91" s="338"/>
      <c r="BHG91" s="338"/>
      <c r="BHH91" s="338"/>
      <c r="BHI91" s="338"/>
      <c r="BHJ91" s="338"/>
      <c r="BHK91" s="338"/>
      <c r="BHL91" s="338"/>
      <c r="BHM91" s="338"/>
      <c r="BHN91" s="338"/>
      <c r="BHO91" s="338"/>
      <c r="BHP91" s="338"/>
      <c r="BHQ91" s="338"/>
      <c r="BHR91" s="338"/>
      <c r="BHS91" s="338"/>
      <c r="BHT91" s="338"/>
      <c r="BHU91" s="338"/>
      <c r="BHV91" s="338"/>
      <c r="BHW91" s="338"/>
      <c r="BHX91" s="338"/>
      <c r="BHY91" s="338"/>
      <c r="BHZ91" s="338"/>
      <c r="BIA91" s="338"/>
      <c r="BIB91" s="338"/>
      <c r="BIC91" s="338"/>
      <c r="BID91" s="338"/>
      <c r="BIE91" s="338"/>
      <c r="BIF91" s="338"/>
      <c r="BIG91" s="338"/>
      <c r="BIH91" s="338"/>
      <c r="BII91" s="338"/>
      <c r="BIJ91" s="338"/>
      <c r="BIK91" s="338"/>
      <c r="BIL91" s="338"/>
      <c r="BIM91" s="338"/>
      <c r="BIN91" s="338"/>
      <c r="BIO91" s="338"/>
      <c r="BIP91" s="338"/>
      <c r="BIQ91" s="338"/>
      <c r="BIR91" s="338"/>
      <c r="BIS91" s="338"/>
      <c r="BIT91" s="338"/>
      <c r="BIU91" s="338"/>
      <c r="BIV91" s="338"/>
      <c r="BIW91" s="338"/>
      <c r="BIX91" s="338"/>
      <c r="BIY91" s="338"/>
      <c r="BIZ91" s="338"/>
      <c r="BJA91" s="338"/>
      <c r="BJB91" s="338"/>
      <c r="BJC91" s="338"/>
      <c r="BJD91" s="338"/>
      <c r="BJE91" s="338"/>
      <c r="BJF91" s="338"/>
      <c r="BJG91" s="338"/>
      <c r="BJH91" s="338"/>
      <c r="BJI91" s="338"/>
      <c r="BJJ91" s="338"/>
      <c r="BJK91" s="338"/>
      <c r="BJL91" s="338"/>
      <c r="BJM91" s="338"/>
      <c r="BJN91" s="338"/>
      <c r="BJO91" s="338"/>
      <c r="BJP91" s="338"/>
      <c r="BJQ91" s="338"/>
      <c r="BJR91" s="338"/>
      <c r="BJS91" s="338"/>
      <c r="BJT91" s="338"/>
      <c r="BJU91" s="338"/>
      <c r="BJV91" s="338"/>
      <c r="BJW91" s="338"/>
      <c r="BJX91" s="338"/>
      <c r="BJY91" s="338"/>
      <c r="BJZ91" s="338"/>
      <c r="BKA91" s="338"/>
      <c r="BKB91" s="338"/>
      <c r="BKC91" s="338"/>
      <c r="BKD91" s="338"/>
      <c r="BKE91" s="338"/>
      <c r="BKF91" s="338"/>
      <c r="BKG91" s="338"/>
      <c r="BKH91" s="338"/>
      <c r="BKI91" s="338"/>
      <c r="BKJ91" s="338"/>
      <c r="BKK91" s="338"/>
      <c r="BKL91" s="338"/>
      <c r="BKM91" s="338"/>
      <c r="BKN91" s="338"/>
      <c r="BKO91" s="338"/>
      <c r="BKP91" s="338"/>
      <c r="BKQ91" s="338"/>
      <c r="BKR91" s="338"/>
      <c r="BKS91" s="338"/>
      <c r="BKT91" s="338"/>
      <c r="BKU91" s="338"/>
      <c r="BKV91" s="338"/>
      <c r="BKW91" s="338"/>
      <c r="BKX91" s="338"/>
      <c r="BKY91" s="338"/>
      <c r="BKZ91" s="338"/>
      <c r="BLA91" s="338"/>
      <c r="BLB91" s="338"/>
      <c r="BLC91" s="338"/>
      <c r="BLD91" s="338"/>
      <c r="BLE91" s="338"/>
      <c r="BLF91" s="338"/>
      <c r="BLG91" s="338"/>
      <c r="BLH91" s="338"/>
      <c r="BLI91" s="338"/>
      <c r="BLJ91" s="338"/>
      <c r="BLK91" s="338"/>
      <c r="BLL91" s="338"/>
      <c r="BLM91" s="338"/>
      <c r="BLN91" s="338"/>
      <c r="BLO91" s="338"/>
      <c r="BLP91" s="338"/>
      <c r="BLQ91" s="338"/>
      <c r="BLR91" s="338"/>
      <c r="BLS91" s="338"/>
      <c r="BLT91" s="338"/>
      <c r="BLU91" s="338"/>
      <c r="BLV91" s="338"/>
      <c r="BLW91" s="338"/>
      <c r="BLX91" s="338"/>
      <c r="BLY91" s="338"/>
      <c r="BLZ91" s="338"/>
      <c r="BMA91" s="338"/>
      <c r="BMB91" s="338"/>
      <c r="BMC91" s="338"/>
      <c r="BMD91" s="338"/>
      <c r="BME91" s="338"/>
      <c r="BMF91" s="338"/>
      <c r="BMG91" s="338"/>
      <c r="BMH91" s="338"/>
      <c r="BMI91" s="338"/>
      <c r="BMJ91" s="338"/>
      <c r="BMK91" s="338"/>
      <c r="BML91" s="338"/>
      <c r="BMM91" s="338"/>
      <c r="BMN91" s="338"/>
      <c r="BMO91" s="338"/>
      <c r="BMP91" s="338"/>
      <c r="BMQ91" s="338"/>
      <c r="BMR91" s="338"/>
      <c r="BMS91" s="338"/>
      <c r="BMT91" s="338"/>
      <c r="BMU91" s="338"/>
      <c r="BMV91" s="338"/>
      <c r="BMW91" s="338"/>
      <c r="BMX91" s="338"/>
      <c r="BMY91" s="338"/>
      <c r="BMZ91" s="338"/>
      <c r="BNA91" s="338"/>
      <c r="BNB91" s="338"/>
      <c r="BNC91" s="338"/>
      <c r="BND91" s="338"/>
      <c r="BNE91" s="338"/>
      <c r="BNF91" s="338"/>
      <c r="BNG91" s="338"/>
      <c r="BNH91" s="338"/>
      <c r="BNI91" s="338"/>
      <c r="BNJ91" s="338"/>
      <c r="BNK91" s="338"/>
      <c r="BNL91" s="338"/>
      <c r="BNM91" s="338"/>
      <c r="BNN91" s="338"/>
      <c r="BNO91" s="338"/>
      <c r="BNP91" s="338"/>
      <c r="BNQ91" s="338"/>
      <c r="BNR91" s="338"/>
      <c r="BNS91" s="338"/>
      <c r="BNT91" s="338"/>
      <c r="BNU91" s="338"/>
      <c r="BNV91" s="338"/>
      <c r="BNW91" s="338"/>
      <c r="BNX91" s="338"/>
      <c r="BNY91" s="338"/>
      <c r="BNZ91" s="338"/>
      <c r="BOA91" s="338"/>
      <c r="BOB91" s="338"/>
      <c r="BOC91" s="338"/>
      <c r="BOD91" s="338"/>
      <c r="BOE91" s="338"/>
      <c r="BOF91" s="338"/>
      <c r="BOG91" s="338"/>
      <c r="BOH91" s="338"/>
      <c r="BOI91" s="338"/>
      <c r="BOJ91" s="338"/>
      <c r="BOK91" s="338"/>
      <c r="BOL91" s="338"/>
      <c r="BOM91" s="338"/>
      <c r="BON91" s="338"/>
      <c r="BOO91" s="338"/>
      <c r="BOP91" s="338"/>
      <c r="BOQ91" s="338"/>
      <c r="BOR91" s="338"/>
      <c r="BOS91" s="338"/>
      <c r="BOT91" s="338"/>
      <c r="BOU91" s="338"/>
      <c r="BOV91" s="338"/>
      <c r="BOW91" s="338"/>
      <c r="BOX91" s="338"/>
      <c r="BOY91" s="338"/>
      <c r="BOZ91" s="338"/>
      <c r="BPA91" s="338"/>
      <c r="BPB91" s="338"/>
      <c r="BPC91" s="338"/>
      <c r="BPD91" s="338"/>
      <c r="BPE91" s="338"/>
      <c r="BPF91" s="338"/>
      <c r="BPG91" s="338"/>
      <c r="BPH91" s="338"/>
      <c r="BPI91" s="338"/>
      <c r="BPJ91" s="338"/>
      <c r="BPK91" s="338"/>
      <c r="BPL91" s="338"/>
      <c r="BPM91" s="338"/>
      <c r="BPN91" s="338"/>
      <c r="BPO91" s="338"/>
      <c r="BPP91" s="338"/>
      <c r="BPQ91" s="338"/>
      <c r="BPR91" s="338"/>
      <c r="BPS91" s="338"/>
      <c r="BPT91" s="338"/>
      <c r="BPU91" s="338"/>
      <c r="BPV91" s="338"/>
      <c r="BPW91" s="338"/>
      <c r="BPX91" s="338"/>
      <c r="BPY91" s="338"/>
      <c r="BPZ91" s="338"/>
      <c r="BQA91" s="338"/>
      <c r="BQB91" s="338"/>
      <c r="BQC91" s="338"/>
      <c r="BQD91" s="338"/>
      <c r="BQE91" s="338"/>
      <c r="BQF91" s="338"/>
      <c r="BQG91" s="338"/>
      <c r="BQH91" s="338"/>
      <c r="BQI91" s="338"/>
      <c r="BQJ91" s="338"/>
      <c r="BQK91" s="338"/>
      <c r="BQL91" s="338"/>
      <c r="BQM91" s="338"/>
      <c r="BQN91" s="338"/>
      <c r="BQO91" s="338"/>
      <c r="BQP91" s="338"/>
      <c r="BQQ91" s="338"/>
      <c r="BQR91" s="338"/>
      <c r="BQS91" s="338"/>
      <c r="BQT91" s="338"/>
      <c r="BQU91" s="338"/>
      <c r="BQV91" s="338"/>
      <c r="BQW91" s="338"/>
      <c r="BQX91" s="338"/>
      <c r="BQY91" s="338"/>
      <c r="BQZ91" s="338"/>
      <c r="BRA91" s="338"/>
      <c r="BRB91" s="338"/>
      <c r="BRC91" s="338"/>
      <c r="BRD91" s="338"/>
      <c r="BRE91" s="338"/>
      <c r="BRF91" s="338"/>
      <c r="BRG91" s="338"/>
      <c r="BRH91" s="338"/>
      <c r="BRI91" s="338"/>
      <c r="BRJ91" s="338"/>
      <c r="BRK91" s="338"/>
      <c r="BRL91" s="338"/>
      <c r="BRM91" s="338"/>
      <c r="BRN91" s="338"/>
      <c r="BRO91" s="338"/>
      <c r="BRP91" s="338"/>
      <c r="BRQ91" s="338"/>
      <c r="BRR91" s="338"/>
      <c r="BRS91" s="338"/>
      <c r="BRT91" s="338"/>
      <c r="BRU91" s="338"/>
      <c r="BRV91" s="338"/>
      <c r="BRW91" s="338"/>
      <c r="BRX91" s="338"/>
      <c r="BRY91" s="338"/>
      <c r="BRZ91" s="338"/>
      <c r="BSA91" s="338"/>
      <c r="BSB91" s="338"/>
      <c r="BSC91" s="338"/>
      <c r="BSD91" s="338"/>
      <c r="BSE91" s="338"/>
      <c r="BSF91" s="338"/>
      <c r="BSG91" s="338"/>
      <c r="BSH91" s="338"/>
      <c r="BSI91" s="338"/>
      <c r="BSJ91" s="338"/>
      <c r="BSK91" s="338"/>
      <c r="BSL91" s="338"/>
      <c r="BSM91" s="338"/>
      <c r="BSN91" s="338"/>
      <c r="BSO91" s="338"/>
      <c r="BSP91" s="338"/>
      <c r="BSQ91" s="338"/>
      <c r="BSR91" s="338"/>
      <c r="BSS91" s="338"/>
      <c r="BST91" s="338"/>
      <c r="BSU91" s="338"/>
      <c r="BSV91" s="338"/>
      <c r="BSW91" s="338"/>
      <c r="BSX91" s="338"/>
      <c r="BSY91" s="338"/>
      <c r="BSZ91" s="338"/>
      <c r="BTA91" s="338"/>
      <c r="BTB91" s="338"/>
      <c r="BTC91" s="338"/>
      <c r="BTD91" s="338"/>
      <c r="BTE91" s="338"/>
      <c r="BTF91" s="338"/>
      <c r="BTG91" s="338"/>
      <c r="BTH91" s="338"/>
      <c r="BTI91" s="338"/>
      <c r="BTJ91" s="338"/>
      <c r="BTK91" s="338"/>
      <c r="BTL91" s="338"/>
      <c r="BTM91" s="338"/>
      <c r="BTN91" s="338"/>
      <c r="BTO91" s="338"/>
      <c r="BTP91" s="338"/>
      <c r="BTQ91" s="338"/>
      <c r="BTR91" s="338"/>
      <c r="BTS91" s="338"/>
      <c r="BTT91" s="338"/>
      <c r="BTU91" s="338"/>
      <c r="BTV91" s="338"/>
      <c r="BTW91" s="338"/>
      <c r="BTX91" s="338"/>
      <c r="BTY91" s="338"/>
      <c r="BTZ91" s="338"/>
      <c r="BUA91" s="338"/>
      <c r="BUB91" s="338"/>
      <c r="BUC91" s="338"/>
      <c r="BUD91" s="338"/>
      <c r="BUE91" s="338"/>
      <c r="BUF91" s="338"/>
      <c r="BUG91" s="338"/>
      <c r="BUH91" s="338"/>
      <c r="BUI91" s="338"/>
      <c r="BUJ91" s="338"/>
      <c r="BUK91" s="338"/>
      <c r="BUL91" s="338"/>
      <c r="BUM91" s="338"/>
      <c r="BUN91" s="338"/>
      <c r="BUO91" s="338"/>
      <c r="BUP91" s="338"/>
      <c r="BUQ91" s="338"/>
      <c r="BUR91" s="338"/>
      <c r="BUS91" s="338"/>
      <c r="BUT91" s="338"/>
      <c r="BUU91" s="338"/>
      <c r="BUV91" s="338"/>
      <c r="BUW91" s="338"/>
      <c r="BUX91" s="338"/>
      <c r="BUY91" s="338"/>
      <c r="BUZ91" s="338"/>
      <c r="BVA91" s="338"/>
      <c r="BVB91" s="338"/>
      <c r="BVC91" s="338"/>
      <c r="BVD91" s="338"/>
      <c r="BVE91" s="338"/>
      <c r="BVF91" s="338"/>
      <c r="BVG91" s="338"/>
      <c r="BVH91" s="338"/>
      <c r="BVI91" s="338"/>
      <c r="BVJ91" s="338"/>
      <c r="BVK91" s="338"/>
      <c r="BVL91" s="338"/>
      <c r="BVM91" s="338"/>
      <c r="BVN91" s="338"/>
      <c r="BVO91" s="338"/>
      <c r="BVP91" s="338"/>
      <c r="BVQ91" s="338"/>
      <c r="BVR91" s="338"/>
      <c r="BVS91" s="338"/>
      <c r="BVT91" s="338"/>
      <c r="BVU91" s="338"/>
      <c r="BVV91" s="338"/>
      <c r="BVW91" s="338"/>
      <c r="BVX91" s="338"/>
      <c r="BVY91" s="338"/>
      <c r="BVZ91" s="338"/>
      <c r="BWA91" s="338"/>
      <c r="BWB91" s="338"/>
      <c r="BWC91" s="338"/>
      <c r="BWD91" s="338"/>
      <c r="BWE91" s="338"/>
      <c r="BWF91" s="338"/>
      <c r="BWG91" s="338"/>
      <c r="BWH91" s="338"/>
      <c r="BWI91" s="338"/>
      <c r="BWJ91" s="338"/>
      <c r="BWK91" s="338"/>
      <c r="BWL91" s="338"/>
      <c r="BWM91" s="338"/>
      <c r="BWN91" s="338"/>
      <c r="BWO91" s="338"/>
      <c r="BWP91" s="338"/>
      <c r="BWQ91" s="338"/>
      <c r="BWR91" s="338"/>
      <c r="BWS91" s="338"/>
      <c r="BWT91" s="338"/>
      <c r="BWU91" s="338"/>
      <c r="BWV91" s="338"/>
      <c r="BWW91" s="338"/>
      <c r="BWX91" s="338"/>
      <c r="BWY91" s="338"/>
      <c r="BWZ91" s="338"/>
      <c r="BXA91" s="338"/>
      <c r="BXB91" s="338"/>
      <c r="BXC91" s="338"/>
      <c r="BXD91" s="338"/>
      <c r="BXE91" s="338"/>
      <c r="BXF91" s="338"/>
      <c r="BXG91" s="338"/>
      <c r="BXH91" s="338"/>
      <c r="BXI91" s="338"/>
      <c r="BXJ91" s="338"/>
      <c r="BXK91" s="338"/>
      <c r="BXL91" s="338"/>
      <c r="BXM91" s="338"/>
      <c r="BXN91" s="338"/>
      <c r="BXO91" s="338"/>
      <c r="BXP91" s="338"/>
      <c r="BXQ91" s="338"/>
      <c r="BXR91" s="338"/>
      <c r="BXS91" s="338"/>
      <c r="BXT91" s="338"/>
      <c r="BXU91" s="338"/>
      <c r="BXV91" s="338"/>
      <c r="BXW91" s="338"/>
      <c r="BXX91" s="338"/>
      <c r="BXY91" s="338"/>
      <c r="BXZ91" s="338"/>
      <c r="BYA91" s="338"/>
      <c r="BYB91" s="338"/>
      <c r="BYC91" s="338"/>
      <c r="BYD91" s="338"/>
      <c r="BYE91" s="338"/>
      <c r="BYF91" s="338"/>
      <c r="BYG91" s="338"/>
      <c r="BYH91" s="338"/>
      <c r="BYI91" s="338"/>
      <c r="BYJ91" s="338"/>
      <c r="BYK91" s="338"/>
      <c r="BYL91" s="338"/>
      <c r="BYM91" s="338"/>
      <c r="BYN91" s="338"/>
      <c r="BYO91" s="338"/>
      <c r="BYP91" s="338"/>
      <c r="BYQ91" s="338"/>
      <c r="BYR91" s="338"/>
      <c r="BYS91" s="338"/>
      <c r="BYT91" s="338"/>
      <c r="BYU91" s="338"/>
      <c r="BYV91" s="338"/>
      <c r="BYW91" s="338"/>
      <c r="BYX91" s="338"/>
      <c r="BYY91" s="338"/>
      <c r="BYZ91" s="338"/>
      <c r="BZA91" s="338"/>
      <c r="BZB91" s="338"/>
      <c r="BZC91" s="338"/>
      <c r="BZD91" s="338"/>
      <c r="BZE91" s="338"/>
      <c r="BZF91" s="338"/>
      <c r="BZG91" s="338"/>
      <c r="BZH91" s="338"/>
      <c r="BZI91" s="338"/>
      <c r="BZJ91" s="338"/>
      <c r="BZK91" s="338"/>
      <c r="BZL91" s="338"/>
      <c r="BZM91" s="338"/>
      <c r="BZN91" s="338"/>
      <c r="BZO91" s="338"/>
      <c r="BZP91" s="338"/>
      <c r="BZQ91" s="338"/>
      <c r="BZR91" s="338"/>
      <c r="BZS91" s="338"/>
      <c r="BZT91" s="338"/>
      <c r="BZU91" s="338"/>
      <c r="BZV91" s="338"/>
      <c r="BZW91" s="338"/>
      <c r="BZX91" s="338"/>
      <c r="BZY91" s="338"/>
      <c r="BZZ91" s="338"/>
      <c r="CAA91" s="338"/>
      <c r="CAB91" s="338"/>
      <c r="CAC91" s="338"/>
      <c r="CAD91" s="338"/>
      <c r="CAE91" s="338"/>
      <c r="CAF91" s="338"/>
      <c r="CAG91" s="338"/>
      <c r="CAH91" s="338"/>
      <c r="CAI91" s="338"/>
      <c r="CAJ91" s="338"/>
      <c r="CAK91" s="338"/>
      <c r="CAL91" s="338"/>
      <c r="CAM91" s="338"/>
      <c r="CAN91" s="338"/>
      <c r="CAO91" s="338"/>
      <c r="CAP91" s="338"/>
      <c r="CAQ91" s="338"/>
      <c r="CAR91" s="338"/>
      <c r="CAS91" s="338"/>
      <c r="CAT91" s="338"/>
      <c r="CAU91" s="338"/>
      <c r="CAV91" s="338"/>
      <c r="CAW91" s="338"/>
      <c r="CAX91" s="338"/>
      <c r="CAY91" s="338"/>
      <c r="CAZ91" s="338"/>
      <c r="CBA91" s="338"/>
      <c r="CBB91" s="338"/>
      <c r="CBC91" s="338"/>
      <c r="CBD91" s="338"/>
      <c r="CBE91" s="338"/>
      <c r="CBF91" s="338"/>
      <c r="CBG91" s="338"/>
      <c r="CBH91" s="338"/>
      <c r="CBI91" s="338"/>
      <c r="CBJ91" s="338"/>
      <c r="CBK91" s="338"/>
      <c r="CBL91" s="338"/>
      <c r="CBM91" s="338"/>
      <c r="CBN91" s="338"/>
      <c r="CBO91" s="338"/>
      <c r="CBP91" s="338"/>
      <c r="CBQ91" s="338"/>
      <c r="CBR91" s="338"/>
      <c r="CBS91" s="338"/>
      <c r="CBT91" s="338"/>
      <c r="CBU91" s="338"/>
      <c r="CBV91" s="338"/>
      <c r="CBW91" s="338"/>
      <c r="CBX91" s="338"/>
      <c r="CBY91" s="338"/>
      <c r="CBZ91" s="338"/>
      <c r="CCA91" s="338"/>
      <c r="CCB91" s="338"/>
      <c r="CCC91" s="338"/>
      <c r="CCD91" s="338"/>
      <c r="CCE91" s="338"/>
      <c r="CCF91" s="338"/>
      <c r="CCG91" s="338"/>
      <c r="CCH91" s="338"/>
      <c r="CCI91" s="338"/>
      <c r="CCJ91" s="338"/>
      <c r="CCK91" s="338"/>
      <c r="CCL91" s="338"/>
      <c r="CCM91" s="338"/>
      <c r="CCN91" s="338"/>
      <c r="CCO91" s="338"/>
      <c r="CCP91" s="338"/>
      <c r="CCQ91" s="338"/>
      <c r="CCR91" s="338"/>
      <c r="CCS91" s="338"/>
      <c r="CCT91" s="338"/>
      <c r="CCU91" s="338"/>
      <c r="CCV91" s="338"/>
      <c r="CCW91" s="338"/>
      <c r="CCX91" s="338"/>
      <c r="CCY91" s="338"/>
      <c r="CCZ91" s="338"/>
      <c r="CDA91" s="338"/>
      <c r="CDB91" s="338"/>
      <c r="CDC91" s="338"/>
      <c r="CDD91" s="338"/>
      <c r="CDE91" s="338"/>
      <c r="CDF91" s="338"/>
      <c r="CDG91" s="338"/>
      <c r="CDH91" s="338"/>
      <c r="CDI91" s="338"/>
      <c r="CDJ91" s="338"/>
      <c r="CDK91" s="338"/>
      <c r="CDL91" s="338"/>
      <c r="CDM91" s="338"/>
      <c r="CDN91" s="338"/>
      <c r="CDO91" s="338"/>
      <c r="CDP91" s="338"/>
      <c r="CDQ91" s="338"/>
      <c r="CDR91" s="338"/>
      <c r="CDS91" s="338"/>
      <c r="CDT91" s="338"/>
      <c r="CDU91" s="338"/>
      <c r="CDV91" s="338"/>
      <c r="CDW91" s="338"/>
      <c r="CDX91" s="338"/>
      <c r="CDY91" s="338"/>
      <c r="CDZ91" s="338"/>
      <c r="CEA91" s="338"/>
      <c r="CEB91" s="338"/>
      <c r="CEC91" s="338"/>
      <c r="CED91" s="338"/>
      <c r="CEE91" s="338"/>
      <c r="CEF91" s="338"/>
      <c r="CEG91" s="338"/>
      <c r="CEH91" s="338"/>
      <c r="CEI91" s="338"/>
      <c r="CEJ91" s="338"/>
      <c r="CEK91" s="338"/>
      <c r="CEL91" s="338"/>
      <c r="CEM91" s="338"/>
      <c r="CEN91" s="338"/>
      <c r="CEO91" s="338"/>
      <c r="CEP91" s="338"/>
      <c r="CEQ91" s="338"/>
      <c r="CER91" s="338"/>
      <c r="CES91" s="338"/>
      <c r="CET91" s="338"/>
      <c r="CEU91" s="338"/>
      <c r="CEV91" s="338"/>
      <c r="CEW91" s="338"/>
      <c r="CEX91" s="338"/>
      <c r="CEY91" s="338"/>
      <c r="CEZ91" s="338"/>
      <c r="CFA91" s="338"/>
      <c r="CFB91" s="338"/>
      <c r="CFC91" s="338"/>
      <c r="CFD91" s="338"/>
      <c r="CFE91" s="338"/>
      <c r="CFF91" s="338"/>
      <c r="CFG91" s="338"/>
      <c r="CFH91" s="338"/>
      <c r="CFI91" s="338"/>
      <c r="CFJ91" s="338"/>
      <c r="CFK91" s="338"/>
      <c r="CFL91" s="338"/>
      <c r="CFM91" s="338"/>
      <c r="CFN91" s="338"/>
      <c r="CFO91" s="338"/>
      <c r="CFP91" s="338"/>
      <c r="CFQ91" s="338"/>
      <c r="CFR91" s="338"/>
      <c r="CFS91" s="338"/>
      <c r="CFT91" s="338"/>
      <c r="CFU91" s="338"/>
      <c r="CFV91" s="338"/>
      <c r="CFW91" s="338"/>
      <c r="CFX91" s="338"/>
      <c r="CFY91" s="338"/>
      <c r="CFZ91" s="338"/>
      <c r="CGA91" s="338"/>
      <c r="CGB91" s="338"/>
      <c r="CGC91" s="338"/>
      <c r="CGD91" s="338"/>
      <c r="CGE91" s="338"/>
      <c r="CGF91" s="338"/>
      <c r="CGG91" s="338"/>
      <c r="CGH91" s="338"/>
      <c r="CGI91" s="338"/>
      <c r="CGJ91" s="338"/>
      <c r="CGK91" s="338"/>
      <c r="CGL91" s="338"/>
      <c r="CGM91" s="338"/>
      <c r="CGN91" s="338"/>
      <c r="CGO91" s="338"/>
      <c r="CGP91" s="338"/>
      <c r="CGQ91" s="338"/>
      <c r="CGR91" s="338"/>
      <c r="CGS91" s="338"/>
      <c r="CGT91" s="338"/>
      <c r="CGU91" s="338"/>
      <c r="CGV91" s="338"/>
      <c r="CGW91" s="338"/>
      <c r="CGX91" s="338"/>
      <c r="CGY91" s="338"/>
      <c r="CGZ91" s="338"/>
      <c r="CHA91" s="338"/>
      <c r="CHB91" s="338"/>
      <c r="CHC91" s="338"/>
      <c r="CHD91" s="338"/>
      <c r="CHE91" s="338"/>
      <c r="CHF91" s="338"/>
      <c r="CHG91" s="338"/>
      <c r="CHH91" s="338"/>
      <c r="CHI91" s="338"/>
      <c r="CHJ91" s="338"/>
      <c r="CHK91" s="338"/>
      <c r="CHL91" s="338"/>
      <c r="CHM91" s="338"/>
      <c r="CHN91" s="338"/>
      <c r="CHO91" s="338"/>
      <c r="CHP91" s="338"/>
      <c r="CHQ91" s="338"/>
      <c r="CHR91" s="338"/>
      <c r="CHS91" s="338"/>
      <c r="CHT91" s="338"/>
      <c r="CHU91" s="338"/>
      <c r="CHV91" s="338"/>
      <c r="CHW91" s="338"/>
      <c r="CHX91" s="338"/>
      <c r="CHY91" s="338"/>
      <c r="CHZ91" s="338"/>
      <c r="CIA91" s="338"/>
      <c r="CIB91" s="338"/>
      <c r="CIC91" s="338"/>
      <c r="CID91" s="338"/>
      <c r="CIE91" s="338"/>
      <c r="CIF91" s="338"/>
      <c r="CIG91" s="338"/>
      <c r="CIH91" s="338"/>
      <c r="CII91" s="338"/>
      <c r="CIJ91" s="338"/>
      <c r="CIK91" s="338"/>
      <c r="CIL91" s="338"/>
      <c r="CIM91" s="338"/>
      <c r="CIN91" s="338"/>
      <c r="CIO91" s="338"/>
      <c r="CIP91" s="338"/>
      <c r="CIQ91" s="338"/>
      <c r="CIR91" s="338"/>
      <c r="CIS91" s="338"/>
      <c r="CIT91" s="338"/>
      <c r="CIU91" s="338"/>
      <c r="CIV91" s="338"/>
      <c r="CIW91" s="338"/>
      <c r="CIX91" s="338"/>
      <c r="CIY91" s="338"/>
      <c r="CIZ91" s="338"/>
      <c r="CJA91" s="338"/>
      <c r="CJB91" s="338"/>
      <c r="CJC91" s="338"/>
      <c r="CJD91" s="338"/>
      <c r="CJE91" s="338"/>
      <c r="CJF91" s="338"/>
      <c r="CJG91" s="338"/>
      <c r="CJH91" s="338"/>
      <c r="CJI91" s="338"/>
      <c r="CJJ91" s="338"/>
      <c r="CJK91" s="338"/>
      <c r="CJL91" s="338"/>
      <c r="CJM91" s="338"/>
      <c r="CJN91" s="338"/>
      <c r="CJO91" s="338"/>
      <c r="CJP91" s="338"/>
      <c r="CJQ91" s="338"/>
      <c r="CJR91" s="338"/>
      <c r="CJS91" s="338"/>
      <c r="CJT91" s="338"/>
      <c r="CJU91" s="338"/>
      <c r="CJV91" s="338"/>
      <c r="CJW91" s="338"/>
      <c r="CJX91" s="338"/>
      <c r="CJY91" s="338"/>
      <c r="CJZ91" s="338"/>
      <c r="CKA91" s="338"/>
      <c r="CKB91" s="338"/>
      <c r="CKC91" s="338"/>
      <c r="CKD91" s="338"/>
      <c r="CKE91" s="338"/>
      <c r="CKF91" s="338"/>
      <c r="CKG91" s="338"/>
      <c r="CKH91" s="338"/>
      <c r="CKI91" s="338"/>
      <c r="CKJ91" s="338"/>
      <c r="CKK91" s="338"/>
      <c r="CKL91" s="338"/>
      <c r="CKM91" s="338"/>
      <c r="CKN91" s="338"/>
      <c r="CKO91" s="338"/>
      <c r="CKP91" s="338"/>
      <c r="CKQ91" s="338"/>
      <c r="CKR91" s="338"/>
      <c r="CKS91" s="338"/>
      <c r="CKT91" s="338"/>
      <c r="CKU91" s="338"/>
      <c r="CKV91" s="338"/>
      <c r="CKW91" s="338"/>
      <c r="CKX91" s="338"/>
      <c r="CKY91" s="338"/>
      <c r="CKZ91" s="338"/>
      <c r="CLA91" s="338"/>
      <c r="CLB91" s="338"/>
      <c r="CLC91" s="338"/>
      <c r="CLD91" s="338"/>
      <c r="CLE91" s="338"/>
      <c r="CLF91" s="338"/>
      <c r="CLG91" s="338"/>
      <c r="CLH91" s="338"/>
      <c r="CLI91" s="338"/>
      <c r="CLJ91" s="338"/>
      <c r="CLK91" s="338"/>
      <c r="CLL91" s="338"/>
      <c r="CLM91" s="338"/>
      <c r="CLN91" s="338"/>
      <c r="CLO91" s="338"/>
      <c r="CLP91" s="338"/>
      <c r="CLQ91" s="338"/>
      <c r="CLR91" s="338"/>
      <c r="CLS91" s="338"/>
      <c r="CLT91" s="338"/>
      <c r="CLU91" s="338"/>
      <c r="CLV91" s="338"/>
      <c r="CLW91" s="338"/>
      <c r="CLX91" s="338"/>
      <c r="CLY91" s="338"/>
      <c r="CLZ91" s="338"/>
      <c r="CMA91" s="338"/>
      <c r="CMB91" s="338"/>
      <c r="CMC91" s="338"/>
      <c r="CMD91" s="338"/>
      <c r="CME91" s="338"/>
      <c r="CMF91" s="338"/>
      <c r="CMG91" s="338"/>
      <c r="CMH91" s="338"/>
      <c r="CMI91" s="338"/>
      <c r="CMJ91" s="338"/>
      <c r="CMK91" s="338"/>
      <c r="CML91" s="338"/>
      <c r="CMM91" s="338"/>
      <c r="CMN91" s="338"/>
      <c r="CMO91" s="338"/>
      <c r="CMP91" s="338"/>
      <c r="CMQ91" s="338"/>
      <c r="CMR91" s="338"/>
      <c r="CMS91" s="338"/>
      <c r="CMT91" s="338"/>
      <c r="CMU91" s="338"/>
      <c r="CMV91" s="338"/>
      <c r="CMW91" s="338"/>
      <c r="CMX91" s="338"/>
      <c r="CMY91" s="338"/>
      <c r="CMZ91" s="338"/>
      <c r="CNA91" s="338"/>
      <c r="CNB91" s="338"/>
      <c r="CNC91" s="338"/>
      <c r="CND91" s="338"/>
      <c r="CNE91" s="338"/>
      <c r="CNF91" s="338"/>
      <c r="CNG91" s="338"/>
      <c r="CNH91" s="338"/>
      <c r="CNI91" s="338"/>
      <c r="CNJ91" s="338"/>
      <c r="CNK91" s="338"/>
      <c r="CNL91" s="338"/>
      <c r="CNM91" s="338"/>
      <c r="CNN91" s="338"/>
      <c r="CNO91" s="338"/>
      <c r="CNP91" s="338"/>
      <c r="CNQ91" s="338"/>
      <c r="CNR91" s="338"/>
      <c r="CNS91" s="338"/>
      <c r="CNT91" s="338"/>
      <c r="CNU91" s="338"/>
      <c r="CNV91" s="338"/>
      <c r="CNW91" s="338"/>
      <c r="CNX91" s="338"/>
      <c r="CNY91" s="338"/>
      <c r="CNZ91" s="338"/>
      <c r="COA91" s="338"/>
      <c r="COB91" s="338"/>
      <c r="COC91" s="338"/>
      <c r="COD91" s="338"/>
      <c r="COE91" s="338"/>
      <c r="COF91" s="338"/>
      <c r="COG91" s="338"/>
      <c r="COH91" s="338"/>
      <c r="COI91" s="338"/>
      <c r="COJ91" s="338"/>
      <c r="COK91" s="338"/>
      <c r="COL91" s="338"/>
      <c r="COM91" s="338"/>
      <c r="CON91" s="338"/>
      <c r="COO91" s="338"/>
      <c r="COP91" s="338"/>
      <c r="COQ91" s="338"/>
      <c r="COR91" s="338"/>
      <c r="COS91" s="338"/>
      <c r="COT91" s="338"/>
      <c r="COU91" s="338"/>
      <c r="COV91" s="338"/>
      <c r="COW91" s="338"/>
      <c r="COX91" s="338"/>
      <c r="COY91" s="338"/>
      <c r="COZ91" s="338"/>
      <c r="CPA91" s="338"/>
      <c r="CPB91" s="338"/>
      <c r="CPC91" s="338"/>
      <c r="CPD91" s="338"/>
      <c r="CPE91" s="338"/>
      <c r="CPF91" s="338"/>
      <c r="CPG91" s="338"/>
      <c r="CPH91" s="338"/>
      <c r="CPI91" s="338"/>
      <c r="CPJ91" s="338"/>
      <c r="CPK91" s="338"/>
      <c r="CPL91" s="338"/>
      <c r="CPM91" s="338"/>
      <c r="CPN91" s="338"/>
      <c r="CPO91" s="338"/>
      <c r="CPP91" s="338"/>
      <c r="CPQ91" s="338"/>
      <c r="CPR91" s="338"/>
      <c r="CPS91" s="338"/>
      <c r="CPT91" s="338"/>
      <c r="CPU91" s="338"/>
      <c r="CPV91" s="338"/>
      <c r="CPW91" s="338"/>
      <c r="CPX91" s="338"/>
      <c r="CPY91" s="338"/>
      <c r="CPZ91" s="338"/>
      <c r="CQA91" s="338"/>
      <c r="CQB91" s="338"/>
      <c r="CQC91" s="338"/>
      <c r="CQD91" s="338"/>
      <c r="CQE91" s="338"/>
      <c r="CQF91" s="338"/>
      <c r="CQG91" s="338"/>
      <c r="CQH91" s="338"/>
      <c r="CQI91" s="338"/>
      <c r="CQJ91" s="338"/>
      <c r="CQK91" s="338"/>
      <c r="CQL91" s="338"/>
      <c r="CQM91" s="338"/>
      <c r="CQN91" s="338"/>
      <c r="CQO91" s="338"/>
      <c r="CQP91" s="338"/>
      <c r="CQQ91" s="338"/>
      <c r="CQR91" s="338"/>
      <c r="CQS91" s="338"/>
      <c r="CQT91" s="338"/>
      <c r="CQU91" s="338"/>
      <c r="CQV91" s="338"/>
      <c r="CQW91" s="338"/>
      <c r="CQX91" s="338"/>
      <c r="CQY91" s="338"/>
      <c r="CQZ91" s="338"/>
      <c r="CRA91" s="338"/>
      <c r="CRB91" s="338"/>
      <c r="CRC91" s="338"/>
      <c r="CRD91" s="338"/>
      <c r="CRE91" s="338"/>
      <c r="CRF91" s="338"/>
      <c r="CRG91" s="338"/>
      <c r="CRH91" s="338"/>
      <c r="CRI91" s="338"/>
      <c r="CRJ91" s="338"/>
      <c r="CRK91" s="338"/>
      <c r="CRL91" s="338"/>
      <c r="CRM91" s="338"/>
      <c r="CRN91" s="338"/>
      <c r="CRO91" s="338"/>
      <c r="CRP91" s="338"/>
      <c r="CRQ91" s="338"/>
      <c r="CRR91" s="338"/>
      <c r="CRS91" s="338"/>
      <c r="CRT91" s="338"/>
      <c r="CRU91" s="338"/>
      <c r="CRV91" s="338"/>
      <c r="CRW91" s="338"/>
      <c r="CRX91" s="338"/>
      <c r="CRY91" s="338"/>
      <c r="CRZ91" s="338"/>
      <c r="CSA91" s="338"/>
      <c r="CSB91" s="338"/>
      <c r="CSC91" s="338"/>
      <c r="CSD91" s="338"/>
      <c r="CSE91" s="338"/>
      <c r="CSF91" s="338"/>
      <c r="CSG91" s="338"/>
      <c r="CSH91" s="338"/>
      <c r="CSI91" s="338"/>
      <c r="CSJ91" s="338"/>
      <c r="CSK91" s="338"/>
      <c r="CSL91" s="338"/>
      <c r="CSM91" s="338"/>
      <c r="CSN91" s="338"/>
      <c r="CSO91" s="338"/>
      <c r="CSP91" s="338"/>
      <c r="CSQ91" s="338"/>
      <c r="CSR91" s="338"/>
      <c r="CSS91" s="338"/>
      <c r="CST91" s="338"/>
      <c r="CSU91" s="338"/>
      <c r="CSV91" s="338"/>
      <c r="CSW91" s="338"/>
      <c r="CSX91" s="338"/>
      <c r="CSY91" s="338"/>
      <c r="CSZ91" s="338"/>
      <c r="CTA91" s="338"/>
      <c r="CTB91" s="338"/>
      <c r="CTC91" s="338"/>
      <c r="CTD91" s="338"/>
      <c r="CTE91" s="338"/>
      <c r="CTF91" s="338"/>
      <c r="CTG91" s="338"/>
      <c r="CTH91" s="338"/>
      <c r="CTI91" s="338"/>
      <c r="CTJ91" s="338"/>
      <c r="CTK91" s="338"/>
      <c r="CTL91" s="338"/>
      <c r="CTM91" s="338"/>
      <c r="CTN91" s="338"/>
      <c r="CTO91" s="338"/>
      <c r="CTP91" s="338"/>
      <c r="CTQ91" s="338"/>
      <c r="CTR91" s="338"/>
      <c r="CTS91" s="338"/>
      <c r="CTT91" s="338"/>
      <c r="CTU91" s="338"/>
      <c r="CTV91" s="338"/>
      <c r="CTW91" s="338"/>
      <c r="CTX91" s="338"/>
      <c r="CTY91" s="338"/>
      <c r="CTZ91" s="338"/>
      <c r="CUA91" s="338"/>
      <c r="CUB91" s="338"/>
      <c r="CUC91" s="338"/>
      <c r="CUD91" s="338"/>
      <c r="CUE91" s="338"/>
      <c r="CUF91" s="338"/>
      <c r="CUG91" s="338"/>
      <c r="CUH91" s="338"/>
      <c r="CUI91" s="338"/>
      <c r="CUJ91" s="338"/>
      <c r="CUK91" s="338"/>
      <c r="CUL91" s="338"/>
      <c r="CUM91" s="338"/>
      <c r="CUN91" s="338"/>
      <c r="CUO91" s="338"/>
      <c r="CUP91" s="338"/>
      <c r="CUQ91" s="338"/>
      <c r="CUR91" s="338"/>
      <c r="CUS91" s="338"/>
      <c r="CUT91" s="338"/>
      <c r="CUU91" s="338"/>
      <c r="CUV91" s="338"/>
      <c r="CUW91" s="338"/>
      <c r="CUX91" s="338"/>
      <c r="CUY91" s="338"/>
      <c r="CUZ91" s="338"/>
      <c r="CVA91" s="338"/>
      <c r="CVB91" s="338"/>
      <c r="CVC91" s="338"/>
      <c r="CVD91" s="338"/>
      <c r="CVE91" s="338"/>
      <c r="CVF91" s="338"/>
      <c r="CVG91" s="338"/>
      <c r="CVH91" s="338"/>
      <c r="CVI91" s="338"/>
      <c r="CVJ91" s="338"/>
      <c r="CVK91" s="338"/>
      <c r="CVL91" s="338"/>
      <c r="CVM91" s="338"/>
      <c r="CVN91" s="338"/>
      <c r="CVO91" s="338"/>
      <c r="CVP91" s="338"/>
      <c r="CVQ91" s="338"/>
      <c r="CVR91" s="338"/>
      <c r="CVS91" s="338"/>
      <c r="CVT91" s="338"/>
      <c r="CVU91" s="338"/>
      <c r="CVV91" s="338"/>
      <c r="CVW91" s="338"/>
      <c r="CVX91" s="338"/>
      <c r="CVY91" s="338"/>
      <c r="CVZ91" s="338"/>
      <c r="CWA91" s="338"/>
      <c r="CWB91" s="338"/>
      <c r="CWC91" s="338"/>
      <c r="CWD91" s="338"/>
      <c r="CWE91" s="338"/>
      <c r="CWF91" s="338"/>
      <c r="CWG91" s="338"/>
      <c r="CWH91" s="338"/>
      <c r="CWI91" s="338"/>
      <c r="CWJ91" s="338"/>
      <c r="CWK91" s="338"/>
      <c r="CWL91" s="338"/>
      <c r="CWM91" s="338"/>
      <c r="CWN91" s="338"/>
      <c r="CWO91" s="338"/>
      <c r="CWP91" s="338"/>
      <c r="CWQ91" s="338"/>
      <c r="CWR91" s="338"/>
      <c r="CWS91" s="338"/>
      <c r="CWT91" s="338"/>
      <c r="CWU91" s="338"/>
      <c r="CWV91" s="338"/>
      <c r="CWW91" s="338"/>
      <c r="CWX91" s="338"/>
      <c r="CWY91" s="338"/>
      <c r="CWZ91" s="338"/>
      <c r="CXA91" s="338"/>
      <c r="CXB91" s="338"/>
      <c r="CXC91" s="338"/>
      <c r="CXD91" s="338"/>
      <c r="CXE91" s="338"/>
      <c r="CXF91" s="338"/>
      <c r="CXG91" s="338"/>
      <c r="CXH91" s="338"/>
      <c r="CXI91" s="338"/>
      <c r="CXJ91" s="338"/>
      <c r="CXK91" s="338"/>
      <c r="CXL91" s="338"/>
      <c r="CXM91" s="338"/>
      <c r="CXN91" s="338"/>
      <c r="CXO91" s="338"/>
      <c r="CXP91" s="338"/>
      <c r="CXQ91" s="338"/>
      <c r="CXR91" s="338"/>
      <c r="CXS91" s="338"/>
      <c r="CXT91" s="338"/>
      <c r="CXU91" s="338"/>
      <c r="CXV91" s="338"/>
      <c r="CXW91" s="338"/>
      <c r="CXX91" s="338"/>
      <c r="CXY91" s="338"/>
      <c r="CXZ91" s="338"/>
      <c r="CYA91" s="338"/>
      <c r="CYB91" s="338"/>
      <c r="CYC91" s="338"/>
      <c r="CYD91" s="338"/>
      <c r="CYE91" s="338"/>
      <c r="CYF91" s="338"/>
      <c r="CYG91" s="338"/>
      <c r="CYH91" s="338"/>
      <c r="CYI91" s="338"/>
      <c r="CYJ91" s="338"/>
      <c r="CYK91" s="338"/>
      <c r="CYL91" s="338"/>
      <c r="CYM91" s="338"/>
      <c r="CYN91" s="338"/>
      <c r="CYO91" s="338"/>
      <c r="CYP91" s="338"/>
      <c r="CYQ91" s="338"/>
      <c r="CYR91" s="338"/>
      <c r="CYS91" s="338"/>
      <c r="CYT91" s="338"/>
      <c r="CYU91" s="338"/>
      <c r="CYV91" s="338"/>
      <c r="CYW91" s="338"/>
      <c r="CYX91" s="338"/>
      <c r="CYY91" s="338"/>
      <c r="CYZ91" s="338"/>
      <c r="CZA91" s="338"/>
      <c r="CZB91" s="338"/>
      <c r="CZC91" s="338"/>
      <c r="CZD91" s="338"/>
      <c r="CZE91" s="338"/>
      <c r="CZF91" s="338"/>
      <c r="CZG91" s="338"/>
      <c r="CZH91" s="338"/>
      <c r="CZI91" s="338"/>
      <c r="CZJ91" s="338"/>
      <c r="CZK91" s="338"/>
      <c r="CZL91" s="338"/>
      <c r="CZM91" s="338"/>
      <c r="CZN91" s="338"/>
      <c r="CZO91" s="338"/>
      <c r="CZP91" s="338"/>
      <c r="CZQ91" s="338"/>
      <c r="CZR91" s="338"/>
      <c r="CZS91" s="338"/>
      <c r="CZT91" s="338"/>
      <c r="CZU91" s="338"/>
      <c r="CZV91" s="338"/>
      <c r="CZW91" s="338"/>
      <c r="CZX91" s="338"/>
      <c r="CZY91" s="338"/>
      <c r="CZZ91" s="338"/>
      <c r="DAA91" s="338"/>
      <c r="DAB91" s="338"/>
      <c r="DAC91" s="338"/>
      <c r="DAD91" s="338"/>
      <c r="DAE91" s="338"/>
      <c r="DAF91" s="338"/>
      <c r="DAG91" s="338"/>
      <c r="DAH91" s="338"/>
      <c r="DAI91" s="338"/>
      <c r="DAJ91" s="338"/>
      <c r="DAK91" s="338"/>
      <c r="DAL91" s="338"/>
      <c r="DAM91" s="338"/>
      <c r="DAN91" s="338"/>
      <c r="DAO91" s="338"/>
      <c r="DAP91" s="338"/>
      <c r="DAQ91" s="338"/>
      <c r="DAR91" s="338"/>
      <c r="DAS91" s="338"/>
      <c r="DAT91" s="338"/>
      <c r="DAU91" s="338"/>
      <c r="DAV91" s="338"/>
      <c r="DAW91" s="338"/>
      <c r="DAX91" s="338"/>
      <c r="DAY91" s="338"/>
      <c r="DAZ91" s="338"/>
      <c r="DBA91" s="338"/>
      <c r="DBB91" s="338"/>
      <c r="DBC91" s="338"/>
      <c r="DBD91" s="338"/>
      <c r="DBE91" s="338"/>
      <c r="DBF91" s="338"/>
      <c r="DBG91" s="338"/>
      <c r="DBH91" s="338"/>
      <c r="DBI91" s="338"/>
      <c r="DBJ91" s="338"/>
      <c r="DBK91" s="338"/>
      <c r="DBL91" s="338"/>
      <c r="DBM91" s="338"/>
      <c r="DBN91" s="338"/>
      <c r="DBO91" s="338"/>
      <c r="DBP91" s="338"/>
      <c r="DBQ91" s="338"/>
      <c r="DBR91" s="338"/>
      <c r="DBS91" s="338"/>
      <c r="DBT91" s="338"/>
      <c r="DBU91" s="338"/>
      <c r="DBV91" s="338"/>
      <c r="DBW91" s="338"/>
      <c r="DBX91" s="338"/>
      <c r="DBY91" s="338"/>
      <c r="DBZ91" s="338"/>
      <c r="DCA91" s="338"/>
      <c r="DCB91" s="338"/>
      <c r="DCC91" s="338"/>
      <c r="DCD91" s="338"/>
      <c r="DCE91" s="338"/>
      <c r="DCF91" s="338"/>
      <c r="DCG91" s="338"/>
      <c r="DCH91" s="338"/>
      <c r="DCI91" s="338"/>
      <c r="DCJ91" s="338"/>
      <c r="DCK91" s="338"/>
      <c r="DCL91" s="338"/>
      <c r="DCM91" s="338"/>
      <c r="DCN91" s="338"/>
      <c r="DCO91" s="338"/>
      <c r="DCP91" s="338"/>
      <c r="DCQ91" s="338"/>
      <c r="DCR91" s="338"/>
      <c r="DCS91" s="338"/>
      <c r="DCT91" s="338"/>
      <c r="DCU91" s="338"/>
      <c r="DCV91" s="338"/>
      <c r="DCW91" s="338"/>
      <c r="DCX91" s="338"/>
      <c r="DCY91" s="338"/>
      <c r="DCZ91" s="338"/>
      <c r="DDA91" s="338"/>
      <c r="DDB91" s="338"/>
      <c r="DDC91" s="338"/>
      <c r="DDD91" s="338"/>
      <c r="DDE91" s="338"/>
      <c r="DDF91" s="338"/>
      <c r="DDG91" s="338"/>
      <c r="DDH91" s="338"/>
      <c r="DDI91" s="338"/>
      <c r="DDJ91" s="338"/>
      <c r="DDK91" s="338"/>
      <c r="DDL91" s="338"/>
      <c r="DDM91" s="338"/>
      <c r="DDN91" s="338"/>
      <c r="DDO91" s="338"/>
      <c r="DDP91" s="338"/>
      <c r="DDQ91" s="338"/>
      <c r="DDR91" s="338"/>
      <c r="DDS91" s="338"/>
      <c r="DDT91" s="338"/>
      <c r="DDU91" s="338"/>
      <c r="DDV91" s="338"/>
      <c r="DDW91" s="338"/>
      <c r="DDX91" s="338"/>
      <c r="DDY91" s="338"/>
      <c r="DDZ91" s="338"/>
      <c r="DEA91" s="338"/>
      <c r="DEB91" s="338"/>
      <c r="DEC91" s="338"/>
      <c r="DED91" s="338"/>
      <c r="DEE91" s="338"/>
      <c r="DEF91" s="338"/>
      <c r="DEG91" s="338"/>
      <c r="DEH91" s="338"/>
      <c r="DEI91" s="338"/>
      <c r="DEJ91" s="338"/>
      <c r="DEK91" s="338"/>
      <c r="DEL91" s="338"/>
      <c r="DEM91" s="338"/>
      <c r="DEN91" s="338"/>
      <c r="DEO91" s="338"/>
      <c r="DEP91" s="338"/>
      <c r="DEQ91" s="338"/>
      <c r="DER91" s="338"/>
      <c r="DES91" s="338"/>
      <c r="DET91" s="338"/>
      <c r="DEU91" s="338"/>
      <c r="DEV91" s="338"/>
      <c r="DEW91" s="338"/>
      <c r="DEX91" s="338"/>
      <c r="DEY91" s="338"/>
      <c r="DEZ91" s="338"/>
      <c r="DFA91" s="338"/>
      <c r="DFB91" s="338"/>
      <c r="DFC91" s="338"/>
      <c r="DFD91" s="338"/>
      <c r="DFE91" s="338"/>
      <c r="DFF91" s="338"/>
      <c r="DFG91" s="338"/>
      <c r="DFH91" s="338"/>
      <c r="DFI91" s="338"/>
      <c r="DFJ91" s="338"/>
      <c r="DFK91" s="338"/>
      <c r="DFL91" s="338"/>
      <c r="DFM91" s="338"/>
      <c r="DFN91" s="338"/>
      <c r="DFO91" s="338"/>
      <c r="DFP91" s="338"/>
      <c r="DFQ91" s="338"/>
      <c r="DFR91" s="338"/>
      <c r="DFS91" s="338"/>
      <c r="DFT91" s="338"/>
      <c r="DFU91" s="338"/>
      <c r="DFV91" s="338"/>
      <c r="DFW91" s="338"/>
      <c r="DFX91" s="338"/>
      <c r="DFY91" s="338"/>
      <c r="DFZ91" s="338"/>
      <c r="DGA91" s="338"/>
      <c r="DGB91" s="338"/>
      <c r="DGC91" s="338"/>
      <c r="DGD91" s="338"/>
      <c r="DGE91" s="338"/>
      <c r="DGF91" s="338"/>
      <c r="DGG91" s="338"/>
      <c r="DGH91" s="338"/>
      <c r="DGI91" s="338"/>
      <c r="DGJ91" s="338"/>
      <c r="DGK91" s="338"/>
      <c r="DGL91" s="338"/>
      <c r="DGM91" s="338"/>
      <c r="DGN91" s="338"/>
      <c r="DGO91" s="338"/>
      <c r="DGP91" s="338"/>
      <c r="DGQ91" s="338"/>
      <c r="DGR91" s="338"/>
      <c r="DGS91" s="338"/>
      <c r="DGT91" s="338"/>
      <c r="DGU91" s="338"/>
      <c r="DGV91" s="338"/>
      <c r="DGW91" s="338"/>
      <c r="DGX91" s="338"/>
      <c r="DGY91" s="338"/>
      <c r="DGZ91" s="338"/>
      <c r="DHA91" s="338"/>
      <c r="DHB91" s="338"/>
      <c r="DHC91" s="338"/>
      <c r="DHD91" s="338"/>
      <c r="DHE91" s="338"/>
      <c r="DHF91" s="338"/>
      <c r="DHG91" s="338"/>
      <c r="DHH91" s="338"/>
      <c r="DHI91" s="338"/>
      <c r="DHJ91" s="338"/>
      <c r="DHK91" s="338"/>
      <c r="DHL91" s="338"/>
      <c r="DHM91" s="338"/>
      <c r="DHN91" s="338"/>
      <c r="DHO91" s="338"/>
      <c r="DHP91" s="338"/>
      <c r="DHQ91" s="338"/>
      <c r="DHR91" s="338"/>
      <c r="DHS91" s="338"/>
      <c r="DHT91" s="338"/>
      <c r="DHU91" s="338"/>
      <c r="DHV91" s="338"/>
      <c r="DHW91" s="338"/>
      <c r="DHX91" s="338"/>
      <c r="DHY91" s="338"/>
      <c r="DHZ91" s="338"/>
      <c r="DIA91" s="338"/>
      <c r="DIB91" s="338"/>
      <c r="DIC91" s="338"/>
      <c r="DID91" s="338"/>
      <c r="DIE91" s="338"/>
      <c r="DIF91" s="338"/>
      <c r="DIG91" s="338"/>
      <c r="DIH91" s="338"/>
      <c r="DII91" s="338"/>
      <c r="DIJ91" s="338"/>
      <c r="DIK91" s="338"/>
      <c r="DIL91" s="338"/>
      <c r="DIM91" s="338"/>
      <c r="DIN91" s="338"/>
      <c r="DIO91" s="338"/>
      <c r="DIP91" s="338"/>
      <c r="DIQ91" s="338"/>
      <c r="DIR91" s="338"/>
      <c r="DIS91" s="338"/>
      <c r="DIT91" s="338"/>
      <c r="DIU91" s="338"/>
      <c r="DIV91" s="338"/>
      <c r="DIW91" s="338"/>
      <c r="DIX91" s="338"/>
      <c r="DIY91" s="338"/>
      <c r="DIZ91" s="338"/>
      <c r="DJA91" s="338"/>
      <c r="DJB91" s="338"/>
      <c r="DJC91" s="338"/>
      <c r="DJD91" s="338"/>
      <c r="DJE91" s="338"/>
      <c r="DJF91" s="338"/>
      <c r="DJG91" s="338"/>
      <c r="DJH91" s="338"/>
      <c r="DJI91" s="338"/>
      <c r="DJJ91" s="338"/>
      <c r="DJK91" s="338"/>
      <c r="DJL91" s="338"/>
      <c r="DJM91" s="338"/>
      <c r="DJN91" s="338"/>
      <c r="DJO91" s="338"/>
      <c r="DJP91" s="338"/>
      <c r="DJQ91" s="338"/>
      <c r="DJR91" s="338"/>
      <c r="DJS91" s="338"/>
      <c r="DJT91" s="338"/>
      <c r="DJU91" s="338"/>
      <c r="DJV91" s="338"/>
      <c r="DJW91" s="338"/>
      <c r="DJX91" s="338"/>
      <c r="DJY91" s="338"/>
      <c r="DJZ91" s="338"/>
      <c r="DKA91" s="338"/>
      <c r="DKB91" s="338"/>
      <c r="DKC91" s="338"/>
      <c r="DKD91" s="338"/>
      <c r="DKE91" s="338"/>
      <c r="DKF91" s="338"/>
      <c r="DKG91" s="338"/>
      <c r="DKH91" s="338"/>
      <c r="DKI91" s="338"/>
      <c r="DKJ91" s="338"/>
      <c r="DKK91" s="338"/>
      <c r="DKL91" s="338"/>
      <c r="DKM91" s="338"/>
      <c r="DKN91" s="338"/>
      <c r="DKO91" s="338"/>
      <c r="DKP91" s="338"/>
      <c r="DKQ91" s="338"/>
      <c r="DKR91" s="338"/>
      <c r="DKS91" s="338"/>
      <c r="DKT91" s="338"/>
      <c r="DKU91" s="338"/>
      <c r="DKV91" s="338"/>
      <c r="DKW91" s="338"/>
      <c r="DKX91" s="338"/>
      <c r="DKY91" s="338"/>
      <c r="DKZ91" s="338"/>
      <c r="DLA91" s="338"/>
      <c r="DLB91" s="338"/>
      <c r="DLC91" s="338"/>
      <c r="DLD91" s="338"/>
      <c r="DLE91" s="338"/>
      <c r="DLF91" s="338"/>
      <c r="DLG91" s="338"/>
      <c r="DLH91" s="338"/>
      <c r="DLI91" s="338"/>
      <c r="DLJ91" s="338"/>
      <c r="DLK91" s="338"/>
      <c r="DLL91" s="338"/>
      <c r="DLM91" s="338"/>
      <c r="DLN91" s="338"/>
      <c r="DLO91" s="338"/>
      <c r="DLP91" s="338"/>
      <c r="DLQ91" s="338"/>
      <c r="DLR91" s="338"/>
      <c r="DLS91" s="338"/>
      <c r="DLT91" s="338"/>
      <c r="DLU91" s="338"/>
      <c r="DLV91" s="338"/>
      <c r="DLW91" s="338"/>
      <c r="DLX91" s="338"/>
      <c r="DLY91" s="338"/>
      <c r="DLZ91" s="338"/>
      <c r="DMA91" s="338"/>
      <c r="DMB91" s="338"/>
      <c r="DMC91" s="338"/>
      <c r="DMD91" s="338"/>
      <c r="DME91" s="338"/>
      <c r="DMF91" s="338"/>
      <c r="DMG91" s="338"/>
      <c r="DMH91" s="338"/>
      <c r="DMI91" s="338"/>
      <c r="DMJ91" s="338"/>
      <c r="DMK91" s="338"/>
      <c r="DML91" s="338"/>
      <c r="DMM91" s="338"/>
      <c r="DMN91" s="338"/>
      <c r="DMO91" s="338"/>
      <c r="DMP91" s="338"/>
      <c r="DMQ91" s="338"/>
      <c r="DMR91" s="338"/>
      <c r="DMS91" s="338"/>
      <c r="DMT91" s="338"/>
      <c r="DMU91" s="338"/>
      <c r="DMV91" s="338"/>
      <c r="DMW91" s="338"/>
      <c r="DMX91" s="338"/>
      <c r="DMY91" s="338"/>
      <c r="DMZ91" s="338"/>
      <c r="DNA91" s="338"/>
      <c r="DNB91" s="338"/>
      <c r="DNC91" s="338"/>
      <c r="DND91" s="338"/>
      <c r="DNE91" s="338"/>
      <c r="DNF91" s="338"/>
      <c r="DNG91" s="338"/>
      <c r="DNH91" s="338"/>
      <c r="DNI91" s="338"/>
      <c r="DNJ91" s="338"/>
      <c r="DNK91" s="338"/>
      <c r="DNL91" s="338"/>
      <c r="DNM91" s="338"/>
      <c r="DNN91" s="338"/>
      <c r="DNO91" s="338"/>
      <c r="DNP91" s="338"/>
      <c r="DNQ91" s="338"/>
      <c r="DNR91" s="338"/>
      <c r="DNS91" s="338"/>
      <c r="DNT91" s="338"/>
      <c r="DNU91" s="338"/>
      <c r="DNV91" s="338"/>
      <c r="DNW91" s="338"/>
      <c r="DNX91" s="338"/>
      <c r="DNY91" s="338"/>
      <c r="DNZ91" s="338"/>
      <c r="DOA91" s="338"/>
      <c r="DOB91" s="338"/>
      <c r="DOC91" s="338"/>
      <c r="DOD91" s="338"/>
      <c r="DOE91" s="338"/>
      <c r="DOF91" s="338"/>
      <c r="DOG91" s="338"/>
      <c r="DOH91" s="338"/>
      <c r="DOI91" s="338"/>
      <c r="DOJ91" s="338"/>
      <c r="DOK91" s="338"/>
      <c r="DOL91" s="338"/>
      <c r="DOM91" s="338"/>
      <c r="DON91" s="338"/>
      <c r="DOO91" s="338"/>
      <c r="DOP91" s="338"/>
      <c r="DOQ91" s="338"/>
      <c r="DOR91" s="338"/>
      <c r="DOS91" s="338"/>
      <c r="DOT91" s="338"/>
      <c r="DOU91" s="338"/>
      <c r="DOV91" s="338"/>
      <c r="DOW91" s="338"/>
      <c r="DOX91" s="338"/>
      <c r="DOY91" s="338"/>
      <c r="DOZ91" s="338"/>
      <c r="DPA91" s="338"/>
      <c r="DPB91" s="338"/>
      <c r="DPC91" s="338"/>
      <c r="DPD91" s="338"/>
      <c r="DPE91" s="338"/>
      <c r="DPF91" s="338"/>
      <c r="DPG91" s="338"/>
      <c r="DPH91" s="338"/>
      <c r="DPI91" s="338"/>
      <c r="DPJ91" s="338"/>
      <c r="DPK91" s="338"/>
      <c r="DPL91" s="338"/>
      <c r="DPM91" s="338"/>
      <c r="DPN91" s="338"/>
      <c r="DPO91" s="338"/>
      <c r="DPP91" s="338"/>
      <c r="DPQ91" s="338"/>
      <c r="DPR91" s="338"/>
      <c r="DPS91" s="338"/>
      <c r="DPT91" s="338"/>
      <c r="DPU91" s="338"/>
      <c r="DPV91" s="338"/>
      <c r="DPW91" s="338"/>
      <c r="DPX91" s="338"/>
      <c r="DPY91" s="338"/>
      <c r="DPZ91" s="338"/>
      <c r="DQA91" s="338"/>
      <c r="DQB91" s="338"/>
      <c r="DQC91" s="338"/>
      <c r="DQD91" s="338"/>
      <c r="DQE91" s="338"/>
      <c r="DQF91" s="338"/>
      <c r="DQG91" s="338"/>
      <c r="DQH91" s="338"/>
      <c r="DQI91" s="338"/>
      <c r="DQJ91" s="338"/>
      <c r="DQK91" s="338"/>
      <c r="DQL91" s="338"/>
      <c r="DQM91" s="338"/>
      <c r="DQN91" s="338"/>
      <c r="DQO91" s="338"/>
      <c r="DQP91" s="338"/>
      <c r="DQQ91" s="338"/>
      <c r="DQR91" s="338"/>
      <c r="DQS91" s="338"/>
      <c r="DQT91" s="338"/>
      <c r="DQU91" s="338"/>
      <c r="DQV91" s="338"/>
      <c r="DQW91" s="338"/>
      <c r="DQX91" s="338"/>
      <c r="DQY91" s="338"/>
      <c r="DQZ91" s="338"/>
      <c r="DRA91" s="338"/>
      <c r="DRB91" s="338"/>
      <c r="DRC91" s="338"/>
      <c r="DRD91" s="338"/>
      <c r="DRE91" s="338"/>
      <c r="DRF91" s="338"/>
      <c r="DRG91" s="338"/>
      <c r="DRH91" s="338"/>
      <c r="DRI91" s="338"/>
      <c r="DRJ91" s="338"/>
      <c r="DRK91" s="338"/>
      <c r="DRL91" s="338"/>
      <c r="DRM91" s="338"/>
      <c r="DRN91" s="338"/>
      <c r="DRO91" s="338"/>
      <c r="DRP91" s="338"/>
      <c r="DRQ91" s="338"/>
      <c r="DRR91" s="338"/>
      <c r="DRS91" s="338"/>
      <c r="DRT91" s="338"/>
      <c r="DRU91" s="338"/>
      <c r="DRV91" s="338"/>
      <c r="DRW91" s="338"/>
      <c r="DRX91" s="338"/>
      <c r="DRY91" s="338"/>
      <c r="DRZ91" s="338"/>
      <c r="DSA91" s="338"/>
      <c r="DSB91" s="338"/>
      <c r="DSC91" s="338"/>
      <c r="DSD91" s="338"/>
      <c r="DSE91" s="338"/>
      <c r="DSF91" s="338"/>
      <c r="DSG91" s="338"/>
      <c r="DSH91" s="338"/>
      <c r="DSI91" s="338"/>
      <c r="DSJ91" s="338"/>
      <c r="DSK91" s="338"/>
      <c r="DSL91" s="338"/>
      <c r="DSM91" s="338"/>
      <c r="DSN91" s="338"/>
      <c r="DSO91" s="338"/>
      <c r="DSP91" s="338"/>
      <c r="DSQ91" s="338"/>
      <c r="DSR91" s="338"/>
      <c r="DSS91" s="338"/>
      <c r="DST91" s="338"/>
      <c r="DSU91" s="338"/>
      <c r="DSV91" s="338"/>
      <c r="DSW91" s="338"/>
      <c r="DSX91" s="338"/>
      <c r="DSY91" s="338"/>
      <c r="DSZ91" s="338"/>
      <c r="DTA91" s="338"/>
      <c r="DTB91" s="338"/>
      <c r="DTC91" s="338"/>
      <c r="DTD91" s="338"/>
      <c r="DTE91" s="338"/>
      <c r="DTF91" s="338"/>
      <c r="DTG91" s="338"/>
      <c r="DTH91" s="338"/>
      <c r="DTI91" s="338"/>
      <c r="DTJ91" s="338"/>
      <c r="DTK91" s="338"/>
      <c r="DTL91" s="338"/>
      <c r="DTM91" s="338"/>
      <c r="DTN91" s="338"/>
      <c r="DTO91" s="338"/>
      <c r="DTP91" s="338"/>
      <c r="DTQ91" s="338"/>
      <c r="DTR91" s="338"/>
      <c r="DTS91" s="338"/>
      <c r="DTT91" s="338"/>
      <c r="DTU91" s="338"/>
      <c r="DTV91" s="338"/>
      <c r="DTW91" s="338"/>
      <c r="DTX91" s="338"/>
      <c r="DTY91" s="338"/>
      <c r="DTZ91" s="338"/>
      <c r="DUA91" s="338"/>
      <c r="DUB91" s="338"/>
      <c r="DUC91" s="338"/>
      <c r="DUD91" s="338"/>
      <c r="DUE91" s="338"/>
      <c r="DUF91" s="338"/>
      <c r="DUG91" s="338"/>
      <c r="DUH91" s="338"/>
      <c r="DUI91" s="338"/>
      <c r="DUJ91" s="338"/>
      <c r="DUK91" s="338"/>
      <c r="DUL91" s="338"/>
      <c r="DUM91" s="338"/>
      <c r="DUN91" s="338"/>
      <c r="DUO91" s="338"/>
      <c r="DUP91" s="338"/>
      <c r="DUQ91" s="338"/>
      <c r="DUR91" s="338"/>
      <c r="DUS91" s="338"/>
      <c r="DUT91" s="338"/>
      <c r="DUU91" s="338"/>
      <c r="DUV91" s="338"/>
      <c r="DUW91" s="338"/>
      <c r="DUX91" s="338"/>
      <c r="DUY91" s="338"/>
      <c r="DUZ91" s="338"/>
      <c r="DVA91" s="338"/>
      <c r="DVB91" s="338"/>
      <c r="DVC91" s="338"/>
      <c r="DVD91" s="338"/>
      <c r="DVE91" s="338"/>
      <c r="DVF91" s="338"/>
      <c r="DVG91" s="338"/>
      <c r="DVH91" s="338"/>
      <c r="DVI91" s="338"/>
      <c r="DVJ91" s="338"/>
      <c r="DVK91" s="338"/>
      <c r="DVL91" s="338"/>
      <c r="DVM91" s="338"/>
      <c r="DVN91" s="338"/>
      <c r="DVO91" s="338"/>
      <c r="DVP91" s="338"/>
      <c r="DVQ91" s="338"/>
      <c r="DVR91" s="338"/>
      <c r="DVS91" s="338"/>
      <c r="DVT91" s="338"/>
      <c r="DVU91" s="338"/>
      <c r="DVV91" s="338"/>
      <c r="DVW91" s="338"/>
      <c r="DVX91" s="338"/>
      <c r="DVY91" s="338"/>
      <c r="DVZ91" s="338"/>
      <c r="DWA91" s="338"/>
      <c r="DWB91" s="338"/>
      <c r="DWC91" s="338"/>
      <c r="DWD91" s="338"/>
      <c r="DWE91" s="338"/>
      <c r="DWF91" s="338"/>
      <c r="DWG91" s="338"/>
      <c r="DWH91" s="338"/>
      <c r="DWI91" s="338"/>
      <c r="DWJ91" s="338"/>
      <c r="DWK91" s="338"/>
      <c r="DWL91" s="338"/>
      <c r="DWM91" s="338"/>
      <c r="DWN91" s="338"/>
      <c r="DWO91" s="338"/>
      <c r="DWP91" s="338"/>
      <c r="DWQ91" s="338"/>
      <c r="DWR91" s="338"/>
      <c r="DWS91" s="338"/>
      <c r="DWT91" s="338"/>
      <c r="DWU91" s="338"/>
      <c r="DWV91" s="338"/>
      <c r="DWW91" s="338"/>
      <c r="DWX91" s="338"/>
      <c r="DWY91" s="338"/>
      <c r="DWZ91" s="338"/>
      <c r="DXA91" s="338"/>
      <c r="DXB91" s="338"/>
      <c r="DXC91" s="338"/>
      <c r="DXD91" s="338"/>
      <c r="DXE91" s="338"/>
      <c r="DXF91" s="338"/>
      <c r="DXG91" s="338"/>
      <c r="DXH91" s="338"/>
      <c r="DXI91" s="338"/>
      <c r="DXJ91" s="338"/>
      <c r="DXK91" s="338"/>
      <c r="DXL91" s="338"/>
      <c r="DXM91" s="338"/>
      <c r="DXN91" s="338"/>
      <c r="DXO91" s="338"/>
      <c r="DXP91" s="338"/>
      <c r="DXQ91" s="338"/>
      <c r="DXR91" s="338"/>
      <c r="DXS91" s="338"/>
      <c r="DXT91" s="338"/>
      <c r="DXU91" s="338"/>
      <c r="DXV91" s="338"/>
      <c r="DXW91" s="338"/>
      <c r="DXX91" s="338"/>
      <c r="DXY91" s="338"/>
      <c r="DXZ91" s="338"/>
      <c r="DYA91" s="338"/>
      <c r="DYB91" s="338"/>
      <c r="DYC91" s="338"/>
      <c r="DYD91" s="338"/>
      <c r="DYE91" s="338"/>
      <c r="DYF91" s="338"/>
      <c r="DYG91" s="338"/>
      <c r="DYH91" s="338"/>
      <c r="DYI91" s="338"/>
      <c r="DYJ91" s="338"/>
      <c r="DYK91" s="338"/>
      <c r="DYL91" s="338"/>
      <c r="DYM91" s="338"/>
      <c r="DYN91" s="338"/>
      <c r="DYO91" s="338"/>
      <c r="DYP91" s="338"/>
      <c r="DYQ91" s="338"/>
      <c r="DYR91" s="338"/>
      <c r="DYS91" s="338"/>
      <c r="DYT91" s="338"/>
      <c r="DYU91" s="338"/>
      <c r="DYV91" s="338"/>
      <c r="DYW91" s="338"/>
      <c r="DYX91" s="338"/>
      <c r="DYY91" s="338"/>
      <c r="DYZ91" s="338"/>
      <c r="DZA91" s="338"/>
      <c r="DZB91" s="338"/>
      <c r="DZC91" s="338"/>
      <c r="DZD91" s="338"/>
      <c r="DZE91" s="338"/>
      <c r="DZF91" s="338"/>
      <c r="DZG91" s="338"/>
      <c r="DZH91" s="338"/>
      <c r="DZI91" s="338"/>
      <c r="DZJ91" s="338"/>
      <c r="DZK91" s="338"/>
      <c r="DZL91" s="338"/>
      <c r="DZM91" s="338"/>
      <c r="DZN91" s="338"/>
      <c r="DZO91" s="338"/>
      <c r="DZP91" s="338"/>
      <c r="DZQ91" s="338"/>
      <c r="DZR91" s="338"/>
      <c r="DZS91" s="338"/>
      <c r="DZT91" s="338"/>
      <c r="DZU91" s="338"/>
      <c r="DZV91" s="338"/>
      <c r="DZW91" s="338"/>
      <c r="DZX91" s="338"/>
      <c r="DZY91" s="338"/>
      <c r="DZZ91" s="338"/>
      <c r="EAA91" s="338"/>
      <c r="EAB91" s="338"/>
      <c r="EAC91" s="338"/>
      <c r="EAD91" s="338"/>
      <c r="EAE91" s="338"/>
      <c r="EAF91" s="338"/>
      <c r="EAG91" s="338"/>
      <c r="EAH91" s="338"/>
      <c r="EAI91" s="338"/>
      <c r="EAJ91" s="338"/>
      <c r="EAK91" s="338"/>
      <c r="EAL91" s="338"/>
      <c r="EAM91" s="338"/>
      <c r="EAN91" s="338"/>
      <c r="EAO91" s="338"/>
      <c r="EAP91" s="338"/>
      <c r="EAQ91" s="338"/>
      <c r="EAR91" s="338"/>
      <c r="EAS91" s="338"/>
      <c r="EAT91" s="338"/>
      <c r="EAU91" s="338"/>
      <c r="EAV91" s="338"/>
      <c r="EAW91" s="338"/>
      <c r="EAX91" s="338"/>
      <c r="EAY91" s="338"/>
      <c r="EAZ91" s="338"/>
      <c r="EBA91" s="338"/>
      <c r="EBB91" s="338"/>
      <c r="EBC91" s="338"/>
      <c r="EBD91" s="338"/>
      <c r="EBE91" s="338"/>
      <c r="EBF91" s="338"/>
      <c r="EBG91" s="338"/>
      <c r="EBH91" s="338"/>
      <c r="EBI91" s="338"/>
      <c r="EBJ91" s="338"/>
      <c r="EBK91" s="338"/>
      <c r="EBL91" s="338"/>
      <c r="EBM91" s="338"/>
      <c r="EBN91" s="338"/>
      <c r="EBO91" s="338"/>
      <c r="EBP91" s="338"/>
      <c r="EBQ91" s="338"/>
      <c r="EBR91" s="338"/>
      <c r="EBS91" s="338"/>
      <c r="EBT91" s="338"/>
      <c r="EBU91" s="338"/>
      <c r="EBV91" s="338"/>
      <c r="EBW91" s="338"/>
      <c r="EBX91" s="338"/>
      <c r="EBY91" s="338"/>
      <c r="EBZ91" s="338"/>
      <c r="ECA91" s="338"/>
      <c r="ECB91" s="338"/>
      <c r="ECC91" s="338"/>
      <c r="ECD91" s="338"/>
      <c r="ECE91" s="338"/>
      <c r="ECF91" s="338"/>
      <c r="ECG91" s="338"/>
      <c r="ECH91" s="338"/>
      <c r="ECI91" s="338"/>
      <c r="ECJ91" s="338"/>
      <c r="ECK91" s="338"/>
      <c r="ECL91" s="338"/>
      <c r="ECM91" s="338"/>
      <c r="ECN91" s="338"/>
      <c r="ECO91" s="338"/>
      <c r="ECP91" s="338"/>
      <c r="ECQ91" s="338"/>
      <c r="ECR91" s="338"/>
      <c r="ECS91" s="338"/>
      <c r="ECT91" s="338"/>
      <c r="ECU91" s="338"/>
      <c r="ECV91" s="338"/>
      <c r="ECW91" s="338"/>
      <c r="ECX91" s="338"/>
      <c r="ECY91" s="338"/>
      <c r="ECZ91" s="338"/>
      <c r="EDA91" s="338"/>
      <c r="EDB91" s="338"/>
      <c r="EDC91" s="338"/>
      <c r="EDD91" s="338"/>
      <c r="EDE91" s="338"/>
      <c r="EDF91" s="338"/>
      <c r="EDG91" s="338"/>
      <c r="EDH91" s="338"/>
      <c r="EDI91" s="338"/>
      <c r="EDJ91" s="338"/>
      <c r="EDK91" s="338"/>
      <c r="EDL91" s="338"/>
      <c r="EDM91" s="338"/>
      <c r="EDN91" s="338"/>
      <c r="EDO91" s="338"/>
      <c r="EDP91" s="338"/>
      <c r="EDQ91" s="338"/>
      <c r="EDR91" s="338"/>
      <c r="EDS91" s="338"/>
      <c r="EDT91" s="338"/>
      <c r="EDU91" s="338"/>
      <c r="EDV91" s="338"/>
      <c r="EDW91" s="338"/>
      <c r="EDX91" s="338"/>
      <c r="EDY91" s="338"/>
      <c r="EDZ91" s="338"/>
      <c r="EEA91" s="338"/>
      <c r="EEB91" s="338"/>
      <c r="EEC91" s="338"/>
      <c r="EED91" s="338"/>
      <c r="EEE91" s="338"/>
      <c r="EEF91" s="338"/>
      <c r="EEG91" s="338"/>
      <c r="EEH91" s="338"/>
      <c r="EEI91" s="338"/>
      <c r="EEJ91" s="338"/>
      <c r="EEK91" s="338"/>
      <c r="EEL91" s="338"/>
      <c r="EEM91" s="338"/>
      <c r="EEN91" s="338"/>
      <c r="EEO91" s="338"/>
      <c r="EEP91" s="338"/>
      <c r="EEQ91" s="338"/>
      <c r="EER91" s="338"/>
      <c r="EES91" s="338"/>
      <c r="EET91" s="338"/>
      <c r="EEU91" s="338"/>
      <c r="EEV91" s="338"/>
      <c r="EEW91" s="338"/>
      <c r="EEX91" s="338"/>
      <c r="EEY91" s="338"/>
      <c r="EEZ91" s="338"/>
      <c r="EFA91" s="338"/>
      <c r="EFB91" s="338"/>
      <c r="EFC91" s="338"/>
      <c r="EFD91" s="338"/>
      <c r="EFE91" s="338"/>
      <c r="EFF91" s="338"/>
      <c r="EFG91" s="338"/>
      <c r="EFH91" s="338"/>
      <c r="EFI91" s="338"/>
      <c r="EFJ91" s="338"/>
      <c r="EFK91" s="338"/>
      <c r="EFL91" s="338"/>
      <c r="EFM91" s="338"/>
      <c r="EFN91" s="338"/>
      <c r="EFO91" s="338"/>
      <c r="EFP91" s="338"/>
      <c r="EFQ91" s="338"/>
      <c r="EFR91" s="338"/>
      <c r="EFS91" s="338"/>
      <c r="EFT91" s="338"/>
      <c r="EFU91" s="338"/>
      <c r="EFV91" s="338"/>
      <c r="EFW91" s="338"/>
      <c r="EFX91" s="338"/>
      <c r="EFY91" s="338"/>
      <c r="EFZ91" s="338"/>
      <c r="EGA91" s="338"/>
      <c r="EGB91" s="338"/>
      <c r="EGC91" s="338"/>
      <c r="EGD91" s="338"/>
      <c r="EGE91" s="338"/>
      <c r="EGF91" s="338"/>
      <c r="EGG91" s="338"/>
      <c r="EGH91" s="338"/>
      <c r="EGI91" s="338"/>
      <c r="EGJ91" s="338"/>
      <c r="EGK91" s="338"/>
      <c r="EGL91" s="338"/>
      <c r="EGM91" s="338"/>
      <c r="EGN91" s="338"/>
      <c r="EGO91" s="338"/>
      <c r="EGP91" s="338"/>
      <c r="EGQ91" s="338"/>
      <c r="EGR91" s="338"/>
      <c r="EGS91" s="338"/>
      <c r="EGT91" s="338"/>
      <c r="EGU91" s="338"/>
      <c r="EGV91" s="338"/>
      <c r="EGW91" s="338"/>
      <c r="EGX91" s="338"/>
      <c r="EGY91" s="338"/>
      <c r="EGZ91" s="338"/>
      <c r="EHA91" s="338"/>
      <c r="EHB91" s="338"/>
      <c r="EHC91" s="338"/>
      <c r="EHD91" s="338"/>
      <c r="EHE91" s="338"/>
      <c r="EHF91" s="338"/>
      <c r="EHG91" s="338"/>
      <c r="EHH91" s="338"/>
      <c r="EHI91" s="338"/>
      <c r="EHJ91" s="338"/>
      <c r="EHK91" s="338"/>
      <c r="EHL91" s="338"/>
      <c r="EHM91" s="338"/>
      <c r="EHN91" s="338"/>
      <c r="EHO91" s="338"/>
      <c r="EHP91" s="338"/>
      <c r="EHQ91" s="338"/>
      <c r="EHR91" s="338"/>
      <c r="EHS91" s="338"/>
      <c r="EHT91" s="338"/>
      <c r="EHU91" s="338"/>
      <c r="EHV91" s="338"/>
      <c r="EHW91" s="338"/>
      <c r="EHX91" s="338"/>
      <c r="EHY91" s="338"/>
      <c r="EHZ91" s="338"/>
      <c r="EIA91" s="338"/>
      <c r="EIB91" s="338"/>
      <c r="EIC91" s="338"/>
      <c r="EID91" s="338"/>
      <c r="EIE91" s="338"/>
      <c r="EIF91" s="338"/>
      <c r="EIG91" s="338"/>
      <c r="EIH91" s="338"/>
      <c r="EII91" s="338"/>
      <c r="EIJ91" s="338"/>
      <c r="EIK91" s="338"/>
      <c r="EIL91" s="338"/>
      <c r="EIM91" s="338"/>
      <c r="EIN91" s="338"/>
      <c r="EIO91" s="338"/>
      <c r="EIP91" s="338"/>
      <c r="EIQ91" s="338"/>
      <c r="EIR91" s="338"/>
      <c r="EIS91" s="338"/>
      <c r="EIT91" s="338"/>
      <c r="EIU91" s="338"/>
      <c r="EIV91" s="338"/>
      <c r="EIW91" s="338"/>
      <c r="EIX91" s="338"/>
      <c r="EIY91" s="338"/>
      <c r="EIZ91" s="338"/>
      <c r="EJA91" s="338"/>
      <c r="EJB91" s="338"/>
      <c r="EJC91" s="338"/>
      <c r="EJD91" s="338"/>
      <c r="EJE91" s="338"/>
      <c r="EJF91" s="338"/>
      <c r="EJG91" s="338"/>
      <c r="EJH91" s="338"/>
      <c r="EJI91" s="338"/>
      <c r="EJJ91" s="338"/>
      <c r="EJK91" s="338"/>
      <c r="EJL91" s="338"/>
      <c r="EJM91" s="338"/>
      <c r="EJN91" s="338"/>
      <c r="EJO91" s="338"/>
      <c r="EJP91" s="338"/>
      <c r="EJQ91" s="338"/>
      <c r="EJR91" s="338"/>
      <c r="EJS91" s="338"/>
      <c r="EJT91" s="338"/>
      <c r="EJU91" s="338"/>
      <c r="EJV91" s="338"/>
      <c r="EJW91" s="338"/>
      <c r="EJX91" s="338"/>
      <c r="EJY91" s="338"/>
      <c r="EJZ91" s="338"/>
      <c r="EKA91" s="338"/>
      <c r="EKB91" s="338"/>
      <c r="EKC91" s="338"/>
      <c r="EKD91" s="338"/>
      <c r="EKE91" s="338"/>
      <c r="EKF91" s="338"/>
      <c r="EKG91" s="338"/>
      <c r="EKH91" s="338"/>
      <c r="EKI91" s="338"/>
      <c r="EKJ91" s="338"/>
      <c r="EKK91" s="338"/>
      <c r="EKL91" s="338"/>
      <c r="EKM91" s="338"/>
      <c r="EKN91" s="338"/>
      <c r="EKO91" s="338"/>
      <c r="EKP91" s="338"/>
      <c r="EKQ91" s="338"/>
      <c r="EKR91" s="338"/>
      <c r="EKS91" s="338"/>
      <c r="EKT91" s="338"/>
      <c r="EKU91" s="338"/>
      <c r="EKV91" s="338"/>
      <c r="EKW91" s="338"/>
      <c r="EKX91" s="338"/>
      <c r="EKY91" s="338"/>
      <c r="EKZ91" s="338"/>
      <c r="ELA91" s="338"/>
      <c r="ELB91" s="338"/>
      <c r="ELC91" s="338"/>
      <c r="ELD91" s="338"/>
      <c r="ELE91" s="338"/>
      <c r="ELF91" s="338"/>
      <c r="ELG91" s="338"/>
      <c r="ELH91" s="338"/>
      <c r="ELI91" s="338"/>
      <c r="ELJ91" s="338"/>
      <c r="ELK91" s="338"/>
      <c r="ELL91" s="338"/>
      <c r="ELM91" s="338"/>
      <c r="ELN91" s="338"/>
      <c r="ELO91" s="338"/>
      <c r="ELP91" s="338"/>
      <c r="ELQ91" s="338"/>
      <c r="ELR91" s="338"/>
      <c r="ELS91" s="338"/>
      <c r="ELT91" s="338"/>
      <c r="ELU91" s="338"/>
      <c r="ELV91" s="338"/>
      <c r="ELW91" s="338"/>
      <c r="ELX91" s="338"/>
      <c r="ELY91" s="338"/>
      <c r="ELZ91" s="338"/>
      <c r="EMA91" s="338"/>
      <c r="EMB91" s="338"/>
      <c r="EMC91" s="338"/>
      <c r="EMD91" s="338"/>
      <c r="EME91" s="338"/>
      <c r="EMF91" s="338"/>
      <c r="EMG91" s="338"/>
      <c r="EMH91" s="338"/>
      <c r="EMI91" s="338"/>
      <c r="EMJ91" s="338"/>
      <c r="EMK91" s="338"/>
      <c r="EML91" s="338"/>
      <c r="EMM91" s="338"/>
      <c r="EMN91" s="338"/>
      <c r="EMO91" s="338"/>
      <c r="EMP91" s="338"/>
      <c r="EMQ91" s="338"/>
      <c r="EMR91" s="338"/>
      <c r="EMS91" s="338"/>
      <c r="EMT91" s="338"/>
      <c r="EMU91" s="338"/>
      <c r="EMV91" s="338"/>
      <c r="EMW91" s="338"/>
      <c r="EMX91" s="338"/>
      <c r="EMY91" s="338"/>
      <c r="EMZ91" s="338"/>
      <c r="ENA91" s="338"/>
      <c r="ENB91" s="338"/>
      <c r="ENC91" s="338"/>
      <c r="END91" s="338"/>
      <c r="ENE91" s="338"/>
      <c r="ENF91" s="338"/>
      <c r="ENG91" s="338"/>
      <c r="ENH91" s="338"/>
      <c r="ENI91" s="338"/>
      <c r="ENJ91" s="338"/>
      <c r="ENK91" s="338"/>
      <c r="ENL91" s="338"/>
      <c r="ENM91" s="338"/>
      <c r="ENN91" s="338"/>
      <c r="ENO91" s="338"/>
      <c r="ENP91" s="338"/>
      <c r="ENQ91" s="338"/>
      <c r="ENR91" s="338"/>
      <c r="ENS91" s="338"/>
      <c r="ENT91" s="338"/>
      <c r="ENU91" s="338"/>
      <c r="ENV91" s="338"/>
      <c r="ENW91" s="338"/>
      <c r="ENX91" s="338"/>
      <c r="ENY91" s="338"/>
      <c r="ENZ91" s="338"/>
      <c r="EOA91" s="338"/>
      <c r="EOB91" s="338"/>
      <c r="EOC91" s="338"/>
      <c r="EOD91" s="338"/>
      <c r="EOE91" s="338"/>
      <c r="EOF91" s="338"/>
      <c r="EOG91" s="338"/>
      <c r="EOH91" s="338"/>
      <c r="EOI91" s="338"/>
      <c r="EOJ91" s="338"/>
      <c r="EOK91" s="338"/>
      <c r="EOL91" s="338"/>
      <c r="EOM91" s="338"/>
      <c r="EON91" s="338"/>
      <c r="EOO91" s="338"/>
      <c r="EOP91" s="338"/>
      <c r="EOQ91" s="338"/>
      <c r="EOR91" s="338"/>
      <c r="EOS91" s="338"/>
      <c r="EOT91" s="338"/>
      <c r="EOU91" s="338"/>
      <c r="EOV91" s="338"/>
      <c r="EOW91" s="338"/>
      <c r="EOX91" s="338"/>
      <c r="EOY91" s="338"/>
      <c r="EOZ91" s="338"/>
      <c r="EPA91" s="338"/>
      <c r="EPB91" s="338"/>
      <c r="EPC91" s="338"/>
      <c r="EPD91" s="338"/>
      <c r="EPE91" s="338"/>
      <c r="EPF91" s="338"/>
      <c r="EPG91" s="338"/>
      <c r="EPH91" s="338"/>
      <c r="EPI91" s="338"/>
      <c r="EPJ91" s="338"/>
      <c r="EPK91" s="338"/>
      <c r="EPL91" s="338"/>
      <c r="EPM91" s="338"/>
      <c r="EPN91" s="338"/>
      <c r="EPO91" s="338"/>
      <c r="EPP91" s="338"/>
      <c r="EPQ91" s="338"/>
      <c r="EPR91" s="338"/>
      <c r="EPS91" s="338"/>
      <c r="EPT91" s="338"/>
      <c r="EPU91" s="338"/>
      <c r="EPV91" s="338"/>
      <c r="EPW91" s="338"/>
      <c r="EPX91" s="338"/>
      <c r="EPY91" s="338"/>
      <c r="EPZ91" s="338"/>
      <c r="EQA91" s="338"/>
      <c r="EQB91" s="338"/>
      <c r="EQC91" s="338"/>
      <c r="EQD91" s="338"/>
      <c r="EQE91" s="338"/>
      <c r="EQF91" s="338"/>
      <c r="EQG91" s="338"/>
      <c r="EQH91" s="338"/>
      <c r="EQI91" s="338"/>
      <c r="EQJ91" s="338"/>
      <c r="EQK91" s="338"/>
      <c r="EQL91" s="338"/>
      <c r="EQM91" s="338"/>
      <c r="EQN91" s="338"/>
      <c r="EQO91" s="338"/>
      <c r="EQP91" s="338"/>
      <c r="EQQ91" s="338"/>
      <c r="EQR91" s="338"/>
      <c r="EQS91" s="338"/>
      <c r="EQT91" s="338"/>
      <c r="EQU91" s="338"/>
      <c r="EQV91" s="338"/>
      <c r="EQW91" s="338"/>
      <c r="EQX91" s="338"/>
      <c r="EQY91" s="338"/>
      <c r="EQZ91" s="338"/>
      <c r="ERA91" s="338"/>
      <c r="ERB91" s="338"/>
      <c r="ERC91" s="338"/>
      <c r="ERD91" s="338"/>
      <c r="ERE91" s="338"/>
      <c r="ERF91" s="338"/>
      <c r="ERG91" s="338"/>
      <c r="ERH91" s="338"/>
      <c r="ERI91" s="338"/>
      <c r="ERJ91" s="338"/>
      <c r="ERK91" s="338"/>
      <c r="ERL91" s="338"/>
      <c r="ERM91" s="338"/>
      <c r="ERN91" s="338"/>
      <c r="ERO91" s="338"/>
      <c r="ERP91" s="338"/>
      <c r="ERQ91" s="338"/>
      <c r="ERR91" s="338"/>
      <c r="ERS91" s="338"/>
      <c r="ERT91" s="338"/>
      <c r="ERU91" s="338"/>
      <c r="ERV91" s="338"/>
      <c r="ERW91" s="338"/>
      <c r="ERX91" s="338"/>
      <c r="ERY91" s="338"/>
      <c r="ERZ91" s="338"/>
      <c r="ESA91" s="338"/>
      <c r="ESB91" s="338"/>
      <c r="ESC91" s="338"/>
      <c r="ESD91" s="338"/>
      <c r="ESE91" s="338"/>
      <c r="ESF91" s="338"/>
      <c r="ESG91" s="338"/>
      <c r="ESH91" s="338"/>
      <c r="ESI91" s="338"/>
      <c r="ESJ91" s="338"/>
      <c r="ESK91" s="338"/>
      <c r="ESL91" s="338"/>
      <c r="ESM91" s="338"/>
      <c r="ESN91" s="338"/>
      <c r="ESO91" s="338"/>
      <c r="ESP91" s="338"/>
      <c r="ESQ91" s="338"/>
      <c r="ESR91" s="338"/>
      <c r="ESS91" s="338"/>
      <c r="EST91" s="338"/>
      <c r="ESU91" s="338"/>
      <c r="ESV91" s="338"/>
      <c r="ESW91" s="338"/>
      <c r="ESX91" s="338"/>
      <c r="ESY91" s="338"/>
      <c r="ESZ91" s="338"/>
      <c r="ETA91" s="338"/>
      <c r="ETB91" s="338"/>
      <c r="ETC91" s="338"/>
      <c r="ETD91" s="338"/>
      <c r="ETE91" s="338"/>
      <c r="ETF91" s="338"/>
      <c r="ETG91" s="338"/>
      <c r="ETH91" s="338"/>
      <c r="ETI91" s="338"/>
      <c r="ETJ91" s="338"/>
      <c r="ETK91" s="338"/>
      <c r="ETL91" s="338"/>
      <c r="ETM91" s="338"/>
      <c r="ETN91" s="338"/>
      <c r="ETO91" s="338"/>
      <c r="ETP91" s="338"/>
      <c r="ETQ91" s="338"/>
      <c r="ETR91" s="338"/>
      <c r="ETS91" s="338"/>
      <c r="ETT91" s="338"/>
      <c r="ETU91" s="338"/>
      <c r="ETV91" s="338"/>
      <c r="ETW91" s="338"/>
      <c r="ETX91" s="338"/>
      <c r="ETY91" s="338"/>
      <c r="ETZ91" s="338"/>
      <c r="EUA91" s="338"/>
      <c r="EUB91" s="338"/>
      <c r="EUC91" s="338"/>
      <c r="EUD91" s="338"/>
      <c r="EUE91" s="338"/>
      <c r="EUF91" s="338"/>
      <c r="EUG91" s="338"/>
      <c r="EUH91" s="338"/>
      <c r="EUI91" s="338"/>
      <c r="EUJ91" s="338"/>
      <c r="EUK91" s="338"/>
      <c r="EUL91" s="338"/>
      <c r="EUM91" s="338"/>
      <c r="EUN91" s="338"/>
      <c r="EUO91" s="338"/>
      <c r="EUP91" s="338"/>
      <c r="EUQ91" s="338"/>
      <c r="EUR91" s="338"/>
      <c r="EUS91" s="338"/>
      <c r="EUT91" s="338"/>
      <c r="EUU91" s="338"/>
      <c r="EUV91" s="338"/>
      <c r="EUW91" s="338"/>
      <c r="EUX91" s="338"/>
      <c r="EUY91" s="338"/>
      <c r="EUZ91" s="338"/>
      <c r="EVA91" s="338"/>
      <c r="EVB91" s="338"/>
      <c r="EVC91" s="338"/>
      <c r="EVD91" s="338"/>
      <c r="EVE91" s="338"/>
      <c r="EVF91" s="338"/>
      <c r="EVG91" s="338"/>
      <c r="EVH91" s="338"/>
      <c r="EVI91" s="338"/>
      <c r="EVJ91" s="338"/>
      <c r="EVK91" s="338"/>
      <c r="EVL91" s="338"/>
      <c r="EVM91" s="338"/>
      <c r="EVN91" s="338"/>
      <c r="EVO91" s="338"/>
      <c r="EVP91" s="338"/>
      <c r="EVQ91" s="338"/>
      <c r="EVR91" s="338"/>
      <c r="EVS91" s="338"/>
      <c r="EVT91" s="338"/>
      <c r="EVU91" s="338"/>
      <c r="EVV91" s="338"/>
      <c r="EVW91" s="338"/>
      <c r="EVX91" s="338"/>
      <c r="EVY91" s="338"/>
      <c r="EVZ91" s="338"/>
      <c r="EWA91" s="338"/>
      <c r="EWB91" s="338"/>
      <c r="EWC91" s="338"/>
      <c r="EWD91" s="338"/>
      <c r="EWE91" s="338"/>
      <c r="EWF91" s="338"/>
      <c r="EWG91" s="338"/>
      <c r="EWH91" s="338"/>
      <c r="EWI91" s="338"/>
      <c r="EWJ91" s="338"/>
      <c r="EWK91" s="338"/>
      <c r="EWL91" s="338"/>
      <c r="EWM91" s="338"/>
      <c r="EWN91" s="338"/>
      <c r="EWO91" s="338"/>
      <c r="EWP91" s="338"/>
      <c r="EWQ91" s="338"/>
      <c r="EWR91" s="338"/>
      <c r="EWS91" s="338"/>
      <c r="EWT91" s="338"/>
      <c r="EWU91" s="338"/>
      <c r="EWV91" s="338"/>
      <c r="EWW91" s="338"/>
      <c r="EWX91" s="338"/>
      <c r="EWY91" s="338"/>
      <c r="EWZ91" s="338"/>
      <c r="EXA91" s="338"/>
      <c r="EXB91" s="338"/>
      <c r="EXC91" s="338"/>
      <c r="EXD91" s="338"/>
      <c r="EXE91" s="338"/>
      <c r="EXF91" s="338"/>
      <c r="EXG91" s="338"/>
      <c r="EXH91" s="338"/>
      <c r="EXI91" s="338"/>
      <c r="EXJ91" s="338"/>
      <c r="EXK91" s="338"/>
      <c r="EXL91" s="338"/>
      <c r="EXM91" s="338"/>
      <c r="EXN91" s="338"/>
      <c r="EXO91" s="338"/>
      <c r="EXP91" s="338"/>
      <c r="EXQ91" s="338"/>
      <c r="EXR91" s="338"/>
      <c r="EXS91" s="338"/>
      <c r="EXT91" s="338"/>
      <c r="EXU91" s="338"/>
      <c r="EXV91" s="338"/>
      <c r="EXW91" s="338"/>
      <c r="EXX91" s="338"/>
      <c r="EXY91" s="338"/>
      <c r="EXZ91" s="338"/>
      <c r="EYA91" s="338"/>
      <c r="EYB91" s="338"/>
      <c r="EYC91" s="338"/>
      <c r="EYD91" s="338"/>
      <c r="EYE91" s="338"/>
      <c r="EYF91" s="338"/>
      <c r="EYG91" s="338"/>
      <c r="EYH91" s="338"/>
      <c r="EYI91" s="338"/>
      <c r="EYJ91" s="338"/>
      <c r="EYK91" s="338"/>
      <c r="EYL91" s="338"/>
      <c r="EYM91" s="338"/>
      <c r="EYN91" s="338"/>
      <c r="EYO91" s="338"/>
      <c r="EYP91" s="338"/>
      <c r="EYQ91" s="338"/>
      <c r="EYR91" s="338"/>
      <c r="EYS91" s="338"/>
      <c r="EYT91" s="338"/>
      <c r="EYU91" s="338"/>
      <c r="EYV91" s="338"/>
      <c r="EYW91" s="338"/>
      <c r="EYX91" s="338"/>
      <c r="EYY91" s="338"/>
      <c r="EYZ91" s="338"/>
      <c r="EZA91" s="338"/>
      <c r="EZB91" s="338"/>
      <c r="EZC91" s="338"/>
      <c r="EZD91" s="338"/>
      <c r="EZE91" s="338"/>
      <c r="EZF91" s="338"/>
      <c r="EZG91" s="338"/>
      <c r="EZH91" s="338"/>
      <c r="EZI91" s="338"/>
      <c r="EZJ91" s="338"/>
      <c r="EZK91" s="338"/>
      <c r="EZL91" s="338"/>
      <c r="EZM91" s="338"/>
      <c r="EZN91" s="338"/>
      <c r="EZO91" s="338"/>
      <c r="EZP91" s="338"/>
      <c r="EZQ91" s="338"/>
      <c r="EZR91" s="338"/>
      <c r="EZS91" s="338"/>
      <c r="EZT91" s="338"/>
      <c r="EZU91" s="338"/>
      <c r="EZV91" s="338"/>
      <c r="EZW91" s="338"/>
      <c r="EZX91" s="338"/>
      <c r="EZY91" s="338"/>
      <c r="EZZ91" s="338"/>
      <c r="FAA91" s="338"/>
      <c r="FAB91" s="338"/>
      <c r="FAC91" s="338"/>
      <c r="FAD91" s="338"/>
      <c r="FAE91" s="338"/>
      <c r="FAF91" s="338"/>
      <c r="FAG91" s="338"/>
      <c r="FAH91" s="338"/>
      <c r="FAI91" s="338"/>
      <c r="FAJ91" s="338"/>
      <c r="FAK91" s="338"/>
      <c r="FAL91" s="338"/>
      <c r="FAM91" s="338"/>
      <c r="FAN91" s="338"/>
      <c r="FAO91" s="338"/>
      <c r="FAP91" s="338"/>
      <c r="FAQ91" s="338"/>
      <c r="FAR91" s="338"/>
      <c r="FAS91" s="338"/>
      <c r="FAT91" s="338"/>
      <c r="FAU91" s="338"/>
      <c r="FAV91" s="338"/>
      <c r="FAW91" s="338"/>
      <c r="FAX91" s="338"/>
      <c r="FAY91" s="338"/>
      <c r="FAZ91" s="338"/>
      <c r="FBA91" s="338"/>
      <c r="FBB91" s="338"/>
      <c r="FBC91" s="338"/>
      <c r="FBD91" s="338"/>
      <c r="FBE91" s="338"/>
      <c r="FBF91" s="338"/>
      <c r="FBG91" s="338"/>
      <c r="FBH91" s="338"/>
      <c r="FBI91" s="338"/>
      <c r="FBJ91" s="338"/>
      <c r="FBK91" s="338"/>
      <c r="FBL91" s="338"/>
      <c r="FBM91" s="338"/>
      <c r="FBN91" s="338"/>
      <c r="FBO91" s="338"/>
      <c r="FBP91" s="338"/>
      <c r="FBQ91" s="338"/>
      <c r="FBR91" s="338"/>
      <c r="FBS91" s="338"/>
      <c r="FBT91" s="338"/>
      <c r="FBU91" s="338"/>
      <c r="FBV91" s="338"/>
      <c r="FBW91" s="338"/>
      <c r="FBX91" s="338"/>
      <c r="FBY91" s="338"/>
      <c r="FBZ91" s="338"/>
      <c r="FCA91" s="338"/>
      <c r="FCB91" s="338"/>
      <c r="FCC91" s="338"/>
      <c r="FCD91" s="338"/>
      <c r="FCE91" s="338"/>
      <c r="FCF91" s="338"/>
      <c r="FCG91" s="338"/>
      <c r="FCH91" s="338"/>
      <c r="FCI91" s="338"/>
      <c r="FCJ91" s="338"/>
      <c r="FCK91" s="338"/>
      <c r="FCL91" s="338"/>
      <c r="FCM91" s="338"/>
      <c r="FCN91" s="338"/>
      <c r="FCO91" s="338"/>
      <c r="FCP91" s="338"/>
      <c r="FCQ91" s="338"/>
      <c r="FCR91" s="338"/>
      <c r="FCS91" s="338"/>
      <c r="FCT91" s="338"/>
      <c r="FCU91" s="338"/>
      <c r="FCV91" s="338"/>
      <c r="FCW91" s="338"/>
      <c r="FCX91" s="338"/>
      <c r="FCY91" s="338"/>
      <c r="FCZ91" s="338"/>
      <c r="FDA91" s="338"/>
      <c r="FDB91" s="338"/>
      <c r="FDC91" s="338"/>
      <c r="FDD91" s="338"/>
      <c r="FDE91" s="338"/>
      <c r="FDF91" s="338"/>
      <c r="FDG91" s="338"/>
      <c r="FDH91" s="338"/>
      <c r="FDI91" s="338"/>
      <c r="FDJ91" s="338"/>
      <c r="FDK91" s="338"/>
      <c r="FDL91" s="338"/>
      <c r="FDM91" s="338"/>
      <c r="FDN91" s="338"/>
      <c r="FDO91" s="338"/>
      <c r="FDP91" s="338"/>
      <c r="FDQ91" s="338"/>
      <c r="FDR91" s="338"/>
      <c r="FDS91" s="338"/>
      <c r="FDT91" s="338"/>
      <c r="FDU91" s="338"/>
      <c r="FDV91" s="338"/>
      <c r="FDW91" s="338"/>
      <c r="FDX91" s="338"/>
      <c r="FDY91" s="338"/>
      <c r="FDZ91" s="338"/>
      <c r="FEA91" s="338"/>
      <c r="FEB91" s="338"/>
      <c r="FEC91" s="338"/>
      <c r="FED91" s="338"/>
      <c r="FEE91" s="338"/>
      <c r="FEF91" s="338"/>
      <c r="FEG91" s="338"/>
      <c r="FEH91" s="338"/>
      <c r="FEI91" s="338"/>
      <c r="FEJ91" s="338"/>
      <c r="FEK91" s="338"/>
      <c r="FEL91" s="338"/>
      <c r="FEM91" s="338"/>
      <c r="FEN91" s="338"/>
      <c r="FEO91" s="338"/>
      <c r="FEP91" s="338"/>
      <c r="FEQ91" s="338"/>
      <c r="FER91" s="338"/>
      <c r="FES91" s="338"/>
      <c r="FET91" s="338"/>
      <c r="FEU91" s="338"/>
      <c r="FEV91" s="338"/>
      <c r="FEW91" s="338"/>
      <c r="FEX91" s="338"/>
      <c r="FEY91" s="338"/>
      <c r="FEZ91" s="338"/>
      <c r="FFA91" s="338"/>
      <c r="FFB91" s="338"/>
      <c r="FFC91" s="338"/>
      <c r="FFD91" s="338"/>
      <c r="FFE91" s="338"/>
      <c r="FFF91" s="338"/>
      <c r="FFG91" s="338"/>
      <c r="FFH91" s="338"/>
      <c r="FFI91" s="338"/>
      <c r="FFJ91" s="338"/>
      <c r="FFK91" s="338"/>
      <c r="FFL91" s="338"/>
      <c r="FFM91" s="338"/>
      <c r="FFN91" s="338"/>
      <c r="FFO91" s="338"/>
      <c r="FFP91" s="338"/>
      <c r="FFQ91" s="338"/>
      <c r="FFR91" s="338"/>
      <c r="FFS91" s="338"/>
      <c r="FFT91" s="338"/>
      <c r="FFU91" s="338"/>
      <c r="FFV91" s="338"/>
      <c r="FFW91" s="338"/>
      <c r="FFX91" s="338"/>
      <c r="FFY91" s="338"/>
      <c r="FFZ91" s="338"/>
      <c r="FGA91" s="338"/>
      <c r="FGB91" s="338"/>
      <c r="FGC91" s="338"/>
      <c r="FGD91" s="338"/>
      <c r="FGE91" s="338"/>
      <c r="FGF91" s="338"/>
      <c r="FGG91" s="338"/>
      <c r="FGH91" s="338"/>
      <c r="FGI91" s="338"/>
      <c r="FGJ91" s="338"/>
      <c r="FGK91" s="338"/>
      <c r="FGL91" s="338"/>
      <c r="FGM91" s="338"/>
      <c r="FGN91" s="338"/>
      <c r="FGO91" s="338"/>
      <c r="FGP91" s="338"/>
      <c r="FGQ91" s="338"/>
      <c r="FGR91" s="338"/>
      <c r="FGS91" s="338"/>
      <c r="FGT91" s="338"/>
      <c r="FGU91" s="338"/>
      <c r="FGV91" s="338"/>
      <c r="FGW91" s="338"/>
      <c r="FGX91" s="338"/>
      <c r="FGY91" s="338"/>
      <c r="FGZ91" s="338"/>
      <c r="FHA91" s="338"/>
      <c r="FHB91" s="338"/>
      <c r="FHC91" s="338"/>
      <c r="FHD91" s="338"/>
      <c r="FHE91" s="338"/>
      <c r="FHF91" s="338"/>
      <c r="FHG91" s="338"/>
      <c r="FHH91" s="338"/>
      <c r="FHI91" s="338"/>
      <c r="FHJ91" s="338"/>
      <c r="FHK91" s="338"/>
      <c r="FHL91" s="338"/>
      <c r="FHM91" s="338"/>
      <c r="FHN91" s="338"/>
      <c r="FHO91" s="338"/>
      <c r="FHP91" s="338"/>
      <c r="FHQ91" s="338"/>
      <c r="FHR91" s="338"/>
      <c r="FHS91" s="338"/>
      <c r="FHT91" s="338"/>
      <c r="FHU91" s="338"/>
      <c r="FHV91" s="338"/>
      <c r="FHW91" s="338"/>
      <c r="FHX91" s="338"/>
      <c r="FHY91" s="338"/>
      <c r="FHZ91" s="338"/>
      <c r="FIA91" s="338"/>
      <c r="FIB91" s="338"/>
      <c r="FIC91" s="338"/>
      <c r="FID91" s="338"/>
      <c r="FIE91" s="338"/>
      <c r="FIF91" s="338"/>
      <c r="FIG91" s="338"/>
      <c r="FIH91" s="338"/>
      <c r="FII91" s="338"/>
      <c r="FIJ91" s="338"/>
      <c r="FIK91" s="338"/>
      <c r="FIL91" s="338"/>
      <c r="FIM91" s="338"/>
      <c r="FIN91" s="338"/>
      <c r="FIO91" s="338"/>
      <c r="FIP91" s="338"/>
      <c r="FIQ91" s="338"/>
      <c r="FIR91" s="338"/>
      <c r="FIS91" s="338"/>
      <c r="FIT91" s="338"/>
      <c r="FIU91" s="338"/>
      <c r="FIV91" s="338"/>
      <c r="FIW91" s="338"/>
      <c r="FIX91" s="338"/>
      <c r="FIY91" s="338"/>
      <c r="FIZ91" s="338"/>
      <c r="FJA91" s="338"/>
      <c r="FJB91" s="338"/>
      <c r="FJC91" s="338"/>
      <c r="FJD91" s="338"/>
      <c r="FJE91" s="338"/>
      <c r="FJF91" s="338"/>
      <c r="FJG91" s="338"/>
      <c r="FJH91" s="338"/>
      <c r="FJI91" s="338"/>
      <c r="FJJ91" s="338"/>
      <c r="FJK91" s="338"/>
      <c r="FJL91" s="338"/>
      <c r="FJM91" s="338"/>
      <c r="FJN91" s="338"/>
      <c r="FJO91" s="338"/>
      <c r="FJP91" s="338"/>
      <c r="FJQ91" s="338"/>
      <c r="FJR91" s="338"/>
      <c r="FJS91" s="338"/>
      <c r="FJT91" s="338"/>
      <c r="FJU91" s="338"/>
      <c r="FJV91" s="338"/>
      <c r="FJW91" s="338"/>
      <c r="FJX91" s="338"/>
      <c r="FJY91" s="338"/>
      <c r="FJZ91" s="338"/>
      <c r="FKA91" s="338"/>
      <c r="FKB91" s="338"/>
      <c r="FKC91" s="338"/>
      <c r="FKD91" s="338"/>
      <c r="FKE91" s="338"/>
      <c r="FKF91" s="338"/>
      <c r="FKG91" s="338"/>
      <c r="FKH91" s="338"/>
      <c r="FKI91" s="338"/>
      <c r="FKJ91" s="338"/>
      <c r="FKK91" s="338"/>
      <c r="FKL91" s="338"/>
      <c r="FKM91" s="338"/>
      <c r="FKN91" s="338"/>
      <c r="FKO91" s="338"/>
      <c r="FKP91" s="338"/>
      <c r="FKQ91" s="338"/>
      <c r="FKR91" s="338"/>
      <c r="FKS91" s="338"/>
      <c r="FKT91" s="338"/>
      <c r="FKU91" s="338"/>
      <c r="FKV91" s="338"/>
      <c r="FKW91" s="338"/>
      <c r="FKX91" s="338"/>
      <c r="FKY91" s="338"/>
      <c r="FKZ91" s="338"/>
      <c r="FLA91" s="338"/>
      <c r="FLB91" s="338"/>
      <c r="FLC91" s="338"/>
      <c r="FLD91" s="338"/>
      <c r="FLE91" s="338"/>
      <c r="FLF91" s="338"/>
      <c r="FLG91" s="338"/>
      <c r="FLH91" s="338"/>
      <c r="FLI91" s="338"/>
      <c r="FLJ91" s="338"/>
      <c r="FLK91" s="338"/>
      <c r="FLL91" s="338"/>
      <c r="FLM91" s="338"/>
      <c r="FLN91" s="338"/>
      <c r="FLO91" s="338"/>
      <c r="FLP91" s="338"/>
      <c r="FLQ91" s="338"/>
      <c r="FLR91" s="338"/>
      <c r="FLS91" s="338"/>
      <c r="FLT91" s="338"/>
      <c r="FLU91" s="338"/>
      <c r="FLV91" s="338"/>
      <c r="FLW91" s="338"/>
      <c r="FLX91" s="338"/>
      <c r="FLY91" s="338"/>
      <c r="FLZ91" s="338"/>
      <c r="FMA91" s="338"/>
      <c r="FMB91" s="338"/>
      <c r="FMC91" s="338"/>
      <c r="FMD91" s="338"/>
      <c r="FME91" s="338"/>
      <c r="FMF91" s="338"/>
      <c r="FMG91" s="338"/>
      <c r="FMH91" s="338"/>
      <c r="FMI91" s="338"/>
      <c r="FMJ91" s="338"/>
      <c r="FMK91" s="338"/>
      <c r="FML91" s="338"/>
      <c r="FMM91" s="338"/>
      <c r="FMN91" s="338"/>
      <c r="FMO91" s="338"/>
      <c r="FMP91" s="338"/>
      <c r="FMQ91" s="338"/>
      <c r="FMR91" s="338"/>
      <c r="FMS91" s="338"/>
      <c r="FMT91" s="338"/>
      <c r="FMU91" s="338"/>
      <c r="FMV91" s="338"/>
      <c r="FMW91" s="338"/>
      <c r="FMX91" s="338"/>
      <c r="FMY91" s="338"/>
      <c r="FMZ91" s="338"/>
      <c r="FNA91" s="338"/>
      <c r="FNB91" s="338"/>
      <c r="FNC91" s="338"/>
      <c r="FND91" s="338"/>
      <c r="FNE91" s="338"/>
      <c r="FNF91" s="338"/>
      <c r="FNG91" s="338"/>
      <c r="FNH91" s="338"/>
      <c r="FNI91" s="338"/>
      <c r="FNJ91" s="338"/>
      <c r="FNK91" s="338"/>
      <c r="FNL91" s="338"/>
      <c r="FNM91" s="338"/>
      <c r="FNN91" s="338"/>
      <c r="FNO91" s="338"/>
      <c r="FNP91" s="338"/>
      <c r="FNQ91" s="338"/>
      <c r="FNR91" s="338"/>
      <c r="FNS91" s="338"/>
      <c r="FNT91" s="338"/>
      <c r="FNU91" s="338"/>
      <c r="FNV91" s="338"/>
      <c r="FNW91" s="338"/>
      <c r="FNX91" s="338"/>
      <c r="FNY91" s="338"/>
      <c r="FNZ91" s="338"/>
      <c r="FOA91" s="338"/>
      <c r="FOB91" s="338"/>
      <c r="FOC91" s="338"/>
      <c r="FOD91" s="338"/>
      <c r="FOE91" s="338"/>
      <c r="FOF91" s="338"/>
      <c r="FOG91" s="338"/>
      <c r="FOH91" s="338"/>
      <c r="FOI91" s="338"/>
      <c r="FOJ91" s="338"/>
      <c r="FOK91" s="338"/>
      <c r="FOL91" s="338"/>
      <c r="FOM91" s="338"/>
      <c r="FON91" s="338"/>
      <c r="FOO91" s="338"/>
      <c r="FOP91" s="338"/>
      <c r="FOQ91" s="338"/>
      <c r="FOR91" s="338"/>
      <c r="FOS91" s="338"/>
      <c r="FOT91" s="338"/>
      <c r="FOU91" s="338"/>
      <c r="FOV91" s="338"/>
      <c r="FOW91" s="338"/>
      <c r="FOX91" s="338"/>
      <c r="FOY91" s="338"/>
      <c r="FOZ91" s="338"/>
      <c r="FPA91" s="338"/>
      <c r="FPB91" s="338"/>
      <c r="FPC91" s="338"/>
      <c r="FPD91" s="338"/>
      <c r="FPE91" s="338"/>
      <c r="FPF91" s="338"/>
      <c r="FPG91" s="338"/>
      <c r="FPH91" s="338"/>
      <c r="FPI91" s="338"/>
      <c r="FPJ91" s="338"/>
      <c r="FPK91" s="338"/>
      <c r="FPL91" s="338"/>
      <c r="FPM91" s="338"/>
      <c r="FPN91" s="338"/>
      <c r="FPO91" s="338"/>
      <c r="FPP91" s="338"/>
      <c r="FPQ91" s="338"/>
      <c r="FPR91" s="338"/>
      <c r="FPS91" s="338"/>
      <c r="FPT91" s="338"/>
      <c r="FPU91" s="338"/>
      <c r="FPV91" s="338"/>
      <c r="FPW91" s="338"/>
      <c r="FPX91" s="338"/>
      <c r="FPY91" s="338"/>
      <c r="FPZ91" s="338"/>
      <c r="FQA91" s="338"/>
      <c r="FQB91" s="338"/>
      <c r="FQC91" s="338"/>
      <c r="FQD91" s="338"/>
      <c r="FQE91" s="338"/>
      <c r="FQF91" s="338"/>
      <c r="FQG91" s="338"/>
      <c r="FQH91" s="338"/>
      <c r="FQI91" s="338"/>
      <c r="FQJ91" s="338"/>
      <c r="FQK91" s="338"/>
      <c r="FQL91" s="338"/>
      <c r="FQM91" s="338"/>
      <c r="FQN91" s="338"/>
      <c r="FQO91" s="338"/>
      <c r="FQP91" s="338"/>
      <c r="FQQ91" s="338"/>
      <c r="FQR91" s="338"/>
      <c r="FQS91" s="338"/>
      <c r="FQT91" s="338"/>
      <c r="FQU91" s="338"/>
      <c r="FQV91" s="338"/>
      <c r="FQW91" s="338"/>
      <c r="FQX91" s="338"/>
      <c r="FQY91" s="338"/>
      <c r="FQZ91" s="338"/>
      <c r="FRA91" s="338"/>
      <c r="FRB91" s="338"/>
      <c r="FRC91" s="338"/>
      <c r="FRD91" s="338"/>
      <c r="FRE91" s="338"/>
      <c r="FRF91" s="338"/>
      <c r="FRG91" s="338"/>
      <c r="FRH91" s="338"/>
      <c r="FRI91" s="338"/>
      <c r="FRJ91" s="338"/>
      <c r="FRK91" s="338"/>
      <c r="FRL91" s="338"/>
      <c r="FRM91" s="338"/>
      <c r="FRN91" s="338"/>
      <c r="FRO91" s="338"/>
      <c r="FRP91" s="338"/>
      <c r="FRQ91" s="338"/>
      <c r="FRR91" s="338"/>
      <c r="FRS91" s="338"/>
      <c r="FRT91" s="338"/>
      <c r="FRU91" s="338"/>
      <c r="FRV91" s="338"/>
      <c r="FRW91" s="338"/>
      <c r="FRX91" s="338"/>
      <c r="FRY91" s="338"/>
      <c r="FRZ91" s="338"/>
      <c r="FSA91" s="338"/>
      <c r="FSB91" s="338"/>
      <c r="FSC91" s="338"/>
      <c r="FSD91" s="338"/>
      <c r="FSE91" s="338"/>
      <c r="FSF91" s="338"/>
      <c r="FSG91" s="338"/>
      <c r="FSH91" s="338"/>
      <c r="FSI91" s="338"/>
      <c r="FSJ91" s="338"/>
      <c r="FSK91" s="338"/>
      <c r="FSL91" s="338"/>
      <c r="FSM91" s="338"/>
      <c r="FSN91" s="338"/>
      <c r="FSO91" s="338"/>
      <c r="FSP91" s="338"/>
      <c r="FSQ91" s="338"/>
      <c r="FSR91" s="338"/>
      <c r="FSS91" s="338"/>
      <c r="FST91" s="338"/>
      <c r="FSU91" s="338"/>
      <c r="FSV91" s="338"/>
      <c r="FSW91" s="338"/>
      <c r="FSX91" s="338"/>
      <c r="FSY91" s="338"/>
      <c r="FSZ91" s="338"/>
      <c r="FTA91" s="338"/>
      <c r="FTB91" s="338"/>
      <c r="FTC91" s="338"/>
      <c r="FTD91" s="338"/>
      <c r="FTE91" s="338"/>
      <c r="FTF91" s="338"/>
      <c r="FTG91" s="338"/>
      <c r="FTH91" s="338"/>
      <c r="FTI91" s="338"/>
      <c r="FTJ91" s="338"/>
      <c r="FTK91" s="338"/>
      <c r="FTL91" s="338"/>
      <c r="FTM91" s="338"/>
      <c r="FTN91" s="338"/>
      <c r="FTO91" s="338"/>
      <c r="FTP91" s="338"/>
      <c r="FTQ91" s="338"/>
      <c r="FTR91" s="338"/>
      <c r="FTS91" s="338"/>
      <c r="FTT91" s="338"/>
      <c r="FTU91" s="338"/>
      <c r="FTV91" s="338"/>
      <c r="FTW91" s="338"/>
      <c r="FTX91" s="338"/>
      <c r="FTY91" s="338"/>
      <c r="FTZ91" s="338"/>
      <c r="FUA91" s="338"/>
      <c r="FUB91" s="338"/>
      <c r="FUC91" s="338"/>
      <c r="FUD91" s="338"/>
      <c r="FUE91" s="338"/>
      <c r="FUF91" s="338"/>
      <c r="FUG91" s="338"/>
      <c r="FUH91" s="338"/>
      <c r="FUI91" s="338"/>
      <c r="FUJ91" s="338"/>
      <c r="FUK91" s="338"/>
      <c r="FUL91" s="338"/>
      <c r="FUM91" s="338"/>
      <c r="FUN91" s="338"/>
      <c r="FUO91" s="338"/>
      <c r="FUP91" s="338"/>
      <c r="FUQ91" s="338"/>
      <c r="FUR91" s="338"/>
      <c r="FUS91" s="338"/>
      <c r="FUT91" s="338"/>
      <c r="FUU91" s="338"/>
      <c r="FUV91" s="338"/>
      <c r="FUW91" s="338"/>
      <c r="FUX91" s="338"/>
      <c r="FUY91" s="338"/>
      <c r="FUZ91" s="338"/>
      <c r="FVA91" s="338"/>
      <c r="FVB91" s="338"/>
      <c r="FVC91" s="338"/>
      <c r="FVD91" s="338"/>
      <c r="FVE91" s="338"/>
      <c r="FVF91" s="338"/>
      <c r="FVG91" s="338"/>
      <c r="FVH91" s="338"/>
      <c r="FVI91" s="338"/>
      <c r="FVJ91" s="338"/>
      <c r="FVK91" s="338"/>
      <c r="FVL91" s="338"/>
      <c r="FVM91" s="338"/>
      <c r="FVN91" s="338"/>
      <c r="FVO91" s="338"/>
      <c r="FVP91" s="338"/>
      <c r="FVQ91" s="338"/>
      <c r="FVR91" s="338"/>
      <c r="FVS91" s="338"/>
      <c r="FVT91" s="338"/>
      <c r="FVU91" s="338"/>
      <c r="FVV91" s="338"/>
      <c r="FVW91" s="338"/>
      <c r="FVX91" s="338"/>
      <c r="FVY91" s="338"/>
      <c r="FVZ91" s="338"/>
      <c r="FWA91" s="338"/>
      <c r="FWB91" s="338"/>
      <c r="FWC91" s="338"/>
      <c r="FWD91" s="338"/>
      <c r="FWE91" s="338"/>
      <c r="FWF91" s="338"/>
      <c r="FWG91" s="338"/>
      <c r="FWH91" s="338"/>
      <c r="FWI91" s="338"/>
      <c r="FWJ91" s="338"/>
      <c r="FWK91" s="338"/>
      <c r="FWL91" s="338"/>
      <c r="FWM91" s="338"/>
      <c r="FWN91" s="338"/>
      <c r="FWO91" s="338"/>
      <c r="FWP91" s="338"/>
      <c r="FWQ91" s="338"/>
      <c r="FWR91" s="338"/>
      <c r="FWS91" s="338"/>
      <c r="FWT91" s="338"/>
      <c r="FWU91" s="338"/>
      <c r="FWV91" s="338"/>
      <c r="FWW91" s="338"/>
      <c r="FWX91" s="338"/>
      <c r="FWY91" s="338"/>
      <c r="FWZ91" s="338"/>
      <c r="FXA91" s="338"/>
      <c r="FXB91" s="338"/>
      <c r="FXC91" s="338"/>
      <c r="FXD91" s="338"/>
      <c r="FXE91" s="338"/>
      <c r="FXF91" s="338"/>
      <c r="FXG91" s="338"/>
      <c r="FXH91" s="338"/>
      <c r="FXI91" s="338"/>
      <c r="FXJ91" s="338"/>
      <c r="FXK91" s="338"/>
      <c r="FXL91" s="338"/>
      <c r="FXM91" s="338"/>
      <c r="FXN91" s="338"/>
      <c r="FXO91" s="338"/>
      <c r="FXP91" s="338"/>
      <c r="FXQ91" s="338"/>
      <c r="FXR91" s="338"/>
      <c r="FXS91" s="338"/>
      <c r="FXT91" s="338"/>
      <c r="FXU91" s="338"/>
      <c r="FXV91" s="338"/>
      <c r="FXW91" s="338"/>
      <c r="FXX91" s="338"/>
      <c r="FXY91" s="338"/>
      <c r="FXZ91" s="338"/>
      <c r="FYA91" s="338"/>
      <c r="FYB91" s="338"/>
      <c r="FYC91" s="338"/>
      <c r="FYD91" s="338"/>
      <c r="FYE91" s="338"/>
      <c r="FYF91" s="338"/>
      <c r="FYG91" s="338"/>
      <c r="FYH91" s="338"/>
      <c r="FYI91" s="338"/>
      <c r="FYJ91" s="338"/>
      <c r="FYK91" s="338"/>
      <c r="FYL91" s="338"/>
      <c r="FYM91" s="338"/>
      <c r="FYN91" s="338"/>
      <c r="FYO91" s="338"/>
      <c r="FYP91" s="338"/>
      <c r="FYQ91" s="338"/>
      <c r="FYR91" s="338"/>
      <c r="FYS91" s="338"/>
      <c r="FYT91" s="338"/>
      <c r="FYU91" s="338"/>
      <c r="FYV91" s="338"/>
      <c r="FYW91" s="338"/>
      <c r="FYX91" s="338"/>
      <c r="FYY91" s="338"/>
      <c r="FYZ91" s="338"/>
      <c r="FZA91" s="338"/>
      <c r="FZB91" s="338"/>
      <c r="FZC91" s="338"/>
      <c r="FZD91" s="338"/>
      <c r="FZE91" s="338"/>
      <c r="FZF91" s="338"/>
      <c r="FZG91" s="338"/>
      <c r="FZH91" s="338"/>
      <c r="FZI91" s="338"/>
      <c r="FZJ91" s="338"/>
      <c r="FZK91" s="338"/>
      <c r="FZL91" s="338"/>
      <c r="FZM91" s="338"/>
      <c r="FZN91" s="338"/>
      <c r="FZO91" s="338"/>
      <c r="FZP91" s="338"/>
      <c r="FZQ91" s="338"/>
      <c r="FZR91" s="338"/>
      <c r="FZS91" s="338"/>
      <c r="FZT91" s="338"/>
      <c r="FZU91" s="338"/>
      <c r="FZV91" s="338"/>
      <c r="FZW91" s="338"/>
      <c r="FZX91" s="338"/>
      <c r="FZY91" s="338"/>
      <c r="FZZ91" s="338"/>
      <c r="GAA91" s="338"/>
      <c r="GAB91" s="338"/>
      <c r="GAC91" s="338"/>
      <c r="GAD91" s="338"/>
      <c r="GAE91" s="338"/>
      <c r="GAF91" s="338"/>
      <c r="GAG91" s="338"/>
      <c r="GAH91" s="338"/>
      <c r="GAI91" s="338"/>
      <c r="GAJ91" s="338"/>
      <c r="GAK91" s="338"/>
      <c r="GAL91" s="338"/>
      <c r="GAM91" s="338"/>
      <c r="GAN91" s="338"/>
      <c r="GAO91" s="338"/>
      <c r="GAP91" s="338"/>
      <c r="GAQ91" s="338"/>
      <c r="GAR91" s="338"/>
      <c r="GAS91" s="338"/>
      <c r="GAT91" s="338"/>
      <c r="GAU91" s="338"/>
      <c r="GAV91" s="338"/>
      <c r="GAW91" s="338"/>
      <c r="GAX91" s="338"/>
      <c r="GAY91" s="338"/>
      <c r="GAZ91" s="338"/>
      <c r="GBA91" s="338"/>
      <c r="GBB91" s="338"/>
      <c r="GBC91" s="338"/>
      <c r="GBD91" s="338"/>
      <c r="GBE91" s="338"/>
      <c r="GBF91" s="338"/>
      <c r="GBG91" s="338"/>
      <c r="GBH91" s="338"/>
      <c r="GBI91" s="338"/>
      <c r="GBJ91" s="338"/>
      <c r="GBK91" s="338"/>
      <c r="GBL91" s="338"/>
      <c r="GBM91" s="338"/>
      <c r="GBN91" s="338"/>
      <c r="GBO91" s="338"/>
      <c r="GBP91" s="338"/>
      <c r="GBQ91" s="338"/>
      <c r="GBR91" s="338"/>
      <c r="GBS91" s="338"/>
      <c r="GBT91" s="338"/>
      <c r="GBU91" s="338"/>
      <c r="GBV91" s="338"/>
      <c r="GBW91" s="338"/>
      <c r="GBX91" s="338"/>
      <c r="GBY91" s="338"/>
      <c r="GBZ91" s="338"/>
      <c r="GCA91" s="338"/>
      <c r="GCB91" s="338"/>
      <c r="GCC91" s="338"/>
      <c r="GCD91" s="338"/>
      <c r="GCE91" s="338"/>
      <c r="GCF91" s="338"/>
      <c r="GCG91" s="338"/>
      <c r="GCH91" s="338"/>
      <c r="GCI91" s="338"/>
      <c r="GCJ91" s="338"/>
      <c r="GCK91" s="338"/>
      <c r="GCL91" s="338"/>
      <c r="GCM91" s="338"/>
      <c r="GCN91" s="338"/>
      <c r="GCO91" s="338"/>
      <c r="GCP91" s="338"/>
      <c r="GCQ91" s="338"/>
      <c r="GCR91" s="338"/>
      <c r="GCS91" s="338"/>
      <c r="GCT91" s="338"/>
      <c r="GCU91" s="338"/>
      <c r="GCV91" s="338"/>
      <c r="GCW91" s="338"/>
      <c r="GCX91" s="338"/>
      <c r="GCY91" s="338"/>
      <c r="GCZ91" s="338"/>
      <c r="GDA91" s="338"/>
      <c r="GDB91" s="338"/>
      <c r="GDC91" s="338"/>
      <c r="GDD91" s="338"/>
      <c r="GDE91" s="338"/>
      <c r="GDF91" s="338"/>
      <c r="GDG91" s="338"/>
      <c r="GDH91" s="338"/>
      <c r="GDI91" s="338"/>
      <c r="GDJ91" s="338"/>
      <c r="GDK91" s="338"/>
      <c r="GDL91" s="338"/>
      <c r="GDM91" s="338"/>
      <c r="GDN91" s="338"/>
      <c r="GDO91" s="338"/>
      <c r="GDP91" s="338"/>
      <c r="GDQ91" s="338"/>
      <c r="GDR91" s="338"/>
      <c r="GDS91" s="338"/>
      <c r="GDT91" s="338"/>
      <c r="GDU91" s="338"/>
      <c r="GDV91" s="338"/>
      <c r="GDW91" s="338"/>
      <c r="GDX91" s="338"/>
      <c r="GDY91" s="338"/>
      <c r="GDZ91" s="338"/>
      <c r="GEA91" s="338"/>
      <c r="GEB91" s="338"/>
      <c r="GEC91" s="338"/>
      <c r="GED91" s="338"/>
      <c r="GEE91" s="338"/>
      <c r="GEF91" s="338"/>
      <c r="GEG91" s="338"/>
      <c r="GEH91" s="338"/>
      <c r="GEI91" s="338"/>
      <c r="GEJ91" s="338"/>
      <c r="GEK91" s="338"/>
      <c r="GEL91" s="338"/>
      <c r="GEM91" s="338"/>
      <c r="GEN91" s="338"/>
      <c r="GEO91" s="338"/>
      <c r="GEP91" s="338"/>
      <c r="GEQ91" s="338"/>
      <c r="GER91" s="338"/>
      <c r="GES91" s="338"/>
      <c r="GET91" s="338"/>
      <c r="GEU91" s="338"/>
      <c r="GEV91" s="338"/>
      <c r="GEW91" s="338"/>
      <c r="GEX91" s="338"/>
      <c r="GEY91" s="338"/>
      <c r="GEZ91" s="338"/>
      <c r="GFA91" s="338"/>
      <c r="GFB91" s="338"/>
      <c r="GFC91" s="338"/>
      <c r="GFD91" s="338"/>
      <c r="GFE91" s="338"/>
      <c r="GFF91" s="338"/>
      <c r="GFG91" s="338"/>
      <c r="GFH91" s="338"/>
      <c r="GFI91" s="338"/>
      <c r="GFJ91" s="338"/>
      <c r="GFK91" s="338"/>
      <c r="GFL91" s="338"/>
      <c r="GFM91" s="338"/>
      <c r="GFN91" s="338"/>
      <c r="GFO91" s="338"/>
      <c r="GFP91" s="338"/>
      <c r="GFQ91" s="338"/>
      <c r="GFR91" s="338"/>
      <c r="GFS91" s="338"/>
      <c r="GFT91" s="338"/>
      <c r="GFU91" s="338"/>
      <c r="GFV91" s="338"/>
      <c r="GFW91" s="338"/>
      <c r="GFX91" s="338"/>
      <c r="GFY91" s="338"/>
      <c r="GFZ91" s="338"/>
      <c r="GGA91" s="338"/>
      <c r="GGB91" s="338"/>
      <c r="GGC91" s="338"/>
      <c r="GGD91" s="338"/>
      <c r="GGE91" s="338"/>
      <c r="GGF91" s="338"/>
      <c r="GGG91" s="338"/>
      <c r="GGH91" s="338"/>
      <c r="GGI91" s="338"/>
      <c r="GGJ91" s="338"/>
      <c r="GGK91" s="338"/>
      <c r="GGL91" s="338"/>
      <c r="GGM91" s="338"/>
      <c r="GGN91" s="338"/>
      <c r="GGO91" s="338"/>
      <c r="GGP91" s="338"/>
      <c r="GGQ91" s="338"/>
      <c r="GGR91" s="338"/>
      <c r="GGS91" s="338"/>
      <c r="GGT91" s="338"/>
      <c r="GGU91" s="338"/>
      <c r="GGV91" s="338"/>
      <c r="GGW91" s="338"/>
      <c r="GGX91" s="338"/>
      <c r="GGY91" s="338"/>
      <c r="GGZ91" s="338"/>
      <c r="GHA91" s="338"/>
      <c r="GHB91" s="338"/>
      <c r="GHC91" s="338"/>
      <c r="GHD91" s="338"/>
      <c r="GHE91" s="338"/>
      <c r="GHF91" s="338"/>
      <c r="GHG91" s="338"/>
      <c r="GHH91" s="338"/>
      <c r="GHI91" s="338"/>
      <c r="GHJ91" s="338"/>
      <c r="GHK91" s="338"/>
      <c r="GHL91" s="338"/>
      <c r="GHM91" s="338"/>
      <c r="GHN91" s="338"/>
      <c r="GHO91" s="338"/>
      <c r="GHP91" s="338"/>
      <c r="GHQ91" s="338"/>
      <c r="GHR91" s="338"/>
      <c r="GHS91" s="338"/>
      <c r="GHT91" s="338"/>
      <c r="GHU91" s="338"/>
      <c r="GHV91" s="338"/>
      <c r="GHW91" s="338"/>
      <c r="GHX91" s="338"/>
      <c r="GHY91" s="338"/>
      <c r="GHZ91" s="338"/>
      <c r="GIA91" s="338"/>
      <c r="GIB91" s="338"/>
      <c r="GIC91" s="338"/>
      <c r="GID91" s="338"/>
      <c r="GIE91" s="338"/>
      <c r="GIF91" s="338"/>
      <c r="GIG91" s="338"/>
      <c r="GIH91" s="338"/>
      <c r="GII91" s="338"/>
      <c r="GIJ91" s="338"/>
      <c r="GIK91" s="338"/>
      <c r="GIL91" s="338"/>
      <c r="GIM91" s="338"/>
      <c r="GIN91" s="338"/>
      <c r="GIO91" s="338"/>
      <c r="GIP91" s="338"/>
      <c r="GIQ91" s="338"/>
      <c r="GIR91" s="338"/>
      <c r="GIS91" s="338"/>
      <c r="GIT91" s="338"/>
      <c r="GIU91" s="338"/>
      <c r="GIV91" s="338"/>
      <c r="GIW91" s="338"/>
      <c r="GIX91" s="338"/>
      <c r="GIY91" s="338"/>
      <c r="GIZ91" s="338"/>
      <c r="GJA91" s="338"/>
      <c r="GJB91" s="338"/>
      <c r="GJC91" s="338"/>
      <c r="GJD91" s="338"/>
      <c r="GJE91" s="338"/>
      <c r="GJF91" s="338"/>
      <c r="GJG91" s="338"/>
      <c r="GJH91" s="338"/>
      <c r="GJI91" s="338"/>
      <c r="GJJ91" s="338"/>
      <c r="GJK91" s="338"/>
      <c r="GJL91" s="338"/>
      <c r="GJM91" s="338"/>
      <c r="GJN91" s="338"/>
      <c r="GJO91" s="338"/>
      <c r="GJP91" s="338"/>
      <c r="GJQ91" s="338"/>
      <c r="GJR91" s="338"/>
      <c r="GJS91" s="338"/>
      <c r="GJT91" s="338"/>
      <c r="GJU91" s="338"/>
      <c r="GJV91" s="338"/>
      <c r="GJW91" s="338"/>
      <c r="GJX91" s="338"/>
      <c r="GJY91" s="338"/>
      <c r="GJZ91" s="338"/>
      <c r="GKA91" s="338"/>
      <c r="GKB91" s="338"/>
      <c r="GKC91" s="338"/>
      <c r="GKD91" s="338"/>
      <c r="GKE91" s="338"/>
      <c r="GKF91" s="338"/>
      <c r="GKG91" s="338"/>
      <c r="GKH91" s="338"/>
      <c r="GKI91" s="338"/>
      <c r="GKJ91" s="338"/>
      <c r="GKK91" s="338"/>
      <c r="GKL91" s="338"/>
      <c r="GKM91" s="338"/>
      <c r="GKN91" s="338"/>
      <c r="GKO91" s="338"/>
      <c r="GKP91" s="338"/>
      <c r="GKQ91" s="338"/>
      <c r="GKR91" s="338"/>
      <c r="GKS91" s="338"/>
      <c r="GKT91" s="338"/>
      <c r="GKU91" s="338"/>
      <c r="GKV91" s="338"/>
      <c r="GKW91" s="338"/>
      <c r="GKX91" s="338"/>
      <c r="GKY91" s="338"/>
      <c r="GKZ91" s="338"/>
      <c r="GLA91" s="338"/>
      <c r="GLB91" s="338"/>
      <c r="GLC91" s="338"/>
      <c r="GLD91" s="338"/>
      <c r="GLE91" s="338"/>
      <c r="GLF91" s="338"/>
      <c r="GLG91" s="338"/>
      <c r="GLH91" s="338"/>
      <c r="GLI91" s="338"/>
      <c r="GLJ91" s="338"/>
      <c r="GLK91" s="338"/>
      <c r="GLL91" s="338"/>
      <c r="GLM91" s="338"/>
      <c r="GLN91" s="338"/>
      <c r="GLO91" s="338"/>
      <c r="GLP91" s="338"/>
      <c r="GLQ91" s="338"/>
      <c r="GLR91" s="338"/>
      <c r="GLS91" s="338"/>
      <c r="GLT91" s="338"/>
      <c r="GLU91" s="338"/>
      <c r="GLV91" s="338"/>
      <c r="GLW91" s="338"/>
      <c r="GLX91" s="338"/>
      <c r="GLY91" s="338"/>
      <c r="GLZ91" s="338"/>
      <c r="GMA91" s="338"/>
      <c r="GMB91" s="338"/>
      <c r="GMC91" s="338"/>
      <c r="GMD91" s="338"/>
      <c r="GME91" s="338"/>
      <c r="GMF91" s="338"/>
      <c r="GMG91" s="338"/>
      <c r="GMH91" s="338"/>
      <c r="GMI91" s="338"/>
      <c r="GMJ91" s="338"/>
      <c r="GMK91" s="338"/>
      <c r="GML91" s="338"/>
      <c r="GMM91" s="338"/>
      <c r="GMN91" s="338"/>
      <c r="GMO91" s="338"/>
      <c r="GMP91" s="338"/>
      <c r="GMQ91" s="338"/>
      <c r="GMR91" s="338"/>
      <c r="GMS91" s="338"/>
      <c r="GMT91" s="338"/>
      <c r="GMU91" s="338"/>
      <c r="GMV91" s="338"/>
      <c r="GMW91" s="338"/>
      <c r="GMX91" s="338"/>
      <c r="GMY91" s="338"/>
      <c r="GMZ91" s="338"/>
      <c r="GNA91" s="338"/>
      <c r="GNB91" s="338"/>
      <c r="GNC91" s="338"/>
      <c r="GND91" s="338"/>
      <c r="GNE91" s="338"/>
      <c r="GNF91" s="338"/>
      <c r="GNG91" s="338"/>
      <c r="GNH91" s="338"/>
      <c r="GNI91" s="338"/>
      <c r="GNJ91" s="338"/>
      <c r="GNK91" s="338"/>
      <c r="GNL91" s="338"/>
      <c r="GNM91" s="338"/>
      <c r="GNN91" s="338"/>
      <c r="GNO91" s="338"/>
      <c r="GNP91" s="338"/>
      <c r="GNQ91" s="338"/>
      <c r="GNR91" s="338"/>
      <c r="GNS91" s="338"/>
      <c r="GNT91" s="338"/>
      <c r="GNU91" s="338"/>
      <c r="GNV91" s="338"/>
      <c r="GNW91" s="338"/>
      <c r="GNX91" s="338"/>
      <c r="GNY91" s="338"/>
      <c r="GNZ91" s="338"/>
      <c r="GOA91" s="338"/>
      <c r="GOB91" s="338"/>
      <c r="GOC91" s="338"/>
      <c r="GOD91" s="338"/>
      <c r="GOE91" s="338"/>
      <c r="GOF91" s="338"/>
      <c r="GOG91" s="338"/>
      <c r="GOH91" s="338"/>
      <c r="GOI91" s="338"/>
      <c r="GOJ91" s="338"/>
      <c r="GOK91" s="338"/>
      <c r="GOL91" s="338"/>
      <c r="GOM91" s="338"/>
      <c r="GON91" s="338"/>
      <c r="GOO91" s="338"/>
      <c r="GOP91" s="338"/>
      <c r="GOQ91" s="338"/>
      <c r="GOR91" s="338"/>
      <c r="GOS91" s="338"/>
      <c r="GOT91" s="338"/>
      <c r="GOU91" s="338"/>
      <c r="GOV91" s="338"/>
      <c r="GOW91" s="338"/>
      <c r="GOX91" s="338"/>
      <c r="GOY91" s="338"/>
      <c r="GOZ91" s="338"/>
      <c r="GPA91" s="338"/>
      <c r="GPB91" s="338"/>
      <c r="GPC91" s="338"/>
      <c r="GPD91" s="338"/>
      <c r="GPE91" s="338"/>
      <c r="GPF91" s="338"/>
      <c r="GPG91" s="338"/>
      <c r="GPH91" s="338"/>
      <c r="GPI91" s="338"/>
      <c r="GPJ91" s="338"/>
      <c r="GPK91" s="338"/>
      <c r="GPL91" s="338"/>
      <c r="GPM91" s="338"/>
      <c r="GPN91" s="338"/>
      <c r="GPO91" s="338"/>
      <c r="GPP91" s="338"/>
      <c r="GPQ91" s="338"/>
      <c r="GPR91" s="338"/>
      <c r="GPS91" s="338"/>
      <c r="GPT91" s="338"/>
      <c r="GPU91" s="338"/>
      <c r="GPV91" s="338"/>
      <c r="GPW91" s="338"/>
      <c r="GPX91" s="338"/>
      <c r="GPY91" s="338"/>
      <c r="GPZ91" s="338"/>
      <c r="GQA91" s="338"/>
      <c r="GQB91" s="338"/>
      <c r="GQC91" s="338"/>
      <c r="GQD91" s="338"/>
      <c r="GQE91" s="338"/>
      <c r="GQF91" s="338"/>
      <c r="GQG91" s="338"/>
      <c r="GQH91" s="338"/>
      <c r="GQI91" s="338"/>
      <c r="GQJ91" s="338"/>
      <c r="GQK91" s="338"/>
      <c r="GQL91" s="338"/>
      <c r="GQM91" s="338"/>
      <c r="GQN91" s="338"/>
      <c r="GQO91" s="338"/>
      <c r="GQP91" s="338"/>
      <c r="GQQ91" s="338"/>
      <c r="GQR91" s="338"/>
      <c r="GQS91" s="338"/>
      <c r="GQT91" s="338"/>
      <c r="GQU91" s="338"/>
      <c r="GQV91" s="338"/>
      <c r="GQW91" s="338"/>
      <c r="GQX91" s="338"/>
      <c r="GQY91" s="338"/>
      <c r="GQZ91" s="338"/>
      <c r="GRA91" s="338"/>
      <c r="GRB91" s="338"/>
      <c r="GRC91" s="338"/>
      <c r="GRD91" s="338"/>
      <c r="GRE91" s="338"/>
      <c r="GRF91" s="338"/>
      <c r="GRG91" s="338"/>
      <c r="GRH91" s="338"/>
      <c r="GRI91" s="338"/>
      <c r="GRJ91" s="338"/>
      <c r="GRK91" s="338"/>
      <c r="GRL91" s="338"/>
      <c r="GRM91" s="338"/>
      <c r="GRN91" s="338"/>
      <c r="GRO91" s="338"/>
      <c r="GRP91" s="338"/>
      <c r="GRQ91" s="338"/>
      <c r="GRR91" s="338"/>
      <c r="GRS91" s="338"/>
      <c r="GRT91" s="338"/>
      <c r="GRU91" s="338"/>
      <c r="GRV91" s="338"/>
      <c r="GRW91" s="338"/>
      <c r="GRX91" s="338"/>
      <c r="GRY91" s="338"/>
      <c r="GRZ91" s="338"/>
      <c r="GSA91" s="338"/>
      <c r="GSB91" s="338"/>
      <c r="GSC91" s="338"/>
      <c r="GSD91" s="338"/>
      <c r="GSE91" s="338"/>
      <c r="GSF91" s="338"/>
      <c r="GSG91" s="338"/>
      <c r="GSH91" s="338"/>
      <c r="GSI91" s="338"/>
      <c r="GSJ91" s="338"/>
      <c r="GSK91" s="338"/>
      <c r="GSL91" s="338"/>
      <c r="GSM91" s="338"/>
      <c r="GSN91" s="338"/>
      <c r="GSO91" s="338"/>
      <c r="GSP91" s="338"/>
      <c r="GSQ91" s="338"/>
      <c r="GSR91" s="338"/>
      <c r="GSS91" s="338"/>
      <c r="GST91" s="338"/>
      <c r="GSU91" s="338"/>
      <c r="GSV91" s="338"/>
      <c r="GSW91" s="338"/>
      <c r="GSX91" s="338"/>
      <c r="GSY91" s="338"/>
      <c r="GSZ91" s="338"/>
      <c r="GTA91" s="338"/>
      <c r="GTB91" s="338"/>
      <c r="GTC91" s="338"/>
      <c r="GTD91" s="338"/>
      <c r="GTE91" s="338"/>
      <c r="GTF91" s="338"/>
      <c r="GTG91" s="338"/>
      <c r="GTH91" s="338"/>
      <c r="GTI91" s="338"/>
      <c r="GTJ91" s="338"/>
      <c r="GTK91" s="338"/>
      <c r="GTL91" s="338"/>
      <c r="GTM91" s="338"/>
      <c r="GTN91" s="338"/>
      <c r="GTO91" s="338"/>
      <c r="GTP91" s="338"/>
      <c r="GTQ91" s="338"/>
      <c r="GTR91" s="338"/>
      <c r="GTS91" s="338"/>
      <c r="GTT91" s="338"/>
      <c r="GTU91" s="338"/>
      <c r="GTV91" s="338"/>
      <c r="GTW91" s="338"/>
      <c r="GTX91" s="338"/>
      <c r="GTY91" s="338"/>
      <c r="GTZ91" s="338"/>
      <c r="GUA91" s="338"/>
      <c r="GUB91" s="338"/>
      <c r="GUC91" s="338"/>
      <c r="GUD91" s="338"/>
      <c r="GUE91" s="338"/>
      <c r="GUF91" s="338"/>
      <c r="GUG91" s="338"/>
      <c r="GUH91" s="338"/>
      <c r="GUI91" s="338"/>
      <c r="GUJ91" s="338"/>
      <c r="GUK91" s="338"/>
      <c r="GUL91" s="338"/>
      <c r="GUM91" s="338"/>
      <c r="GUN91" s="338"/>
      <c r="GUO91" s="338"/>
      <c r="GUP91" s="338"/>
      <c r="GUQ91" s="338"/>
      <c r="GUR91" s="338"/>
      <c r="GUS91" s="338"/>
      <c r="GUT91" s="338"/>
      <c r="GUU91" s="338"/>
      <c r="GUV91" s="338"/>
      <c r="GUW91" s="338"/>
      <c r="GUX91" s="338"/>
      <c r="GUY91" s="338"/>
      <c r="GUZ91" s="338"/>
      <c r="GVA91" s="338"/>
      <c r="GVB91" s="338"/>
      <c r="GVC91" s="338"/>
      <c r="GVD91" s="338"/>
      <c r="GVE91" s="338"/>
      <c r="GVF91" s="338"/>
      <c r="GVG91" s="338"/>
      <c r="GVH91" s="338"/>
      <c r="GVI91" s="338"/>
      <c r="GVJ91" s="338"/>
      <c r="GVK91" s="338"/>
      <c r="GVL91" s="338"/>
      <c r="GVM91" s="338"/>
      <c r="GVN91" s="338"/>
      <c r="GVO91" s="338"/>
      <c r="GVP91" s="338"/>
      <c r="GVQ91" s="338"/>
      <c r="GVR91" s="338"/>
      <c r="GVS91" s="338"/>
      <c r="GVT91" s="338"/>
      <c r="GVU91" s="338"/>
      <c r="GVV91" s="338"/>
      <c r="GVW91" s="338"/>
      <c r="GVX91" s="338"/>
      <c r="GVY91" s="338"/>
      <c r="GVZ91" s="338"/>
      <c r="GWA91" s="338"/>
      <c r="GWB91" s="338"/>
      <c r="GWC91" s="338"/>
      <c r="GWD91" s="338"/>
      <c r="GWE91" s="338"/>
      <c r="GWF91" s="338"/>
      <c r="GWG91" s="338"/>
      <c r="GWH91" s="338"/>
      <c r="GWI91" s="338"/>
      <c r="GWJ91" s="338"/>
      <c r="GWK91" s="338"/>
      <c r="GWL91" s="338"/>
      <c r="GWM91" s="338"/>
      <c r="GWN91" s="338"/>
      <c r="GWO91" s="338"/>
      <c r="GWP91" s="338"/>
      <c r="GWQ91" s="338"/>
      <c r="GWR91" s="338"/>
      <c r="GWS91" s="338"/>
      <c r="GWT91" s="338"/>
      <c r="GWU91" s="338"/>
      <c r="GWV91" s="338"/>
      <c r="GWW91" s="338"/>
      <c r="GWX91" s="338"/>
      <c r="GWY91" s="338"/>
      <c r="GWZ91" s="338"/>
      <c r="GXA91" s="338"/>
      <c r="GXB91" s="338"/>
      <c r="GXC91" s="338"/>
      <c r="GXD91" s="338"/>
      <c r="GXE91" s="338"/>
      <c r="GXF91" s="338"/>
      <c r="GXG91" s="338"/>
      <c r="GXH91" s="338"/>
      <c r="GXI91" s="338"/>
      <c r="GXJ91" s="338"/>
      <c r="GXK91" s="338"/>
      <c r="GXL91" s="338"/>
      <c r="GXM91" s="338"/>
      <c r="GXN91" s="338"/>
      <c r="GXO91" s="338"/>
      <c r="GXP91" s="338"/>
      <c r="GXQ91" s="338"/>
      <c r="GXR91" s="338"/>
      <c r="GXS91" s="338"/>
      <c r="GXT91" s="338"/>
      <c r="GXU91" s="338"/>
      <c r="GXV91" s="338"/>
      <c r="GXW91" s="338"/>
      <c r="GXX91" s="338"/>
      <c r="GXY91" s="338"/>
      <c r="GXZ91" s="338"/>
      <c r="GYA91" s="338"/>
      <c r="GYB91" s="338"/>
      <c r="GYC91" s="338"/>
      <c r="GYD91" s="338"/>
      <c r="GYE91" s="338"/>
      <c r="GYF91" s="338"/>
      <c r="GYG91" s="338"/>
      <c r="GYH91" s="338"/>
      <c r="GYI91" s="338"/>
      <c r="GYJ91" s="338"/>
      <c r="GYK91" s="338"/>
      <c r="GYL91" s="338"/>
      <c r="GYM91" s="338"/>
      <c r="GYN91" s="338"/>
      <c r="GYO91" s="338"/>
      <c r="GYP91" s="338"/>
      <c r="GYQ91" s="338"/>
      <c r="GYR91" s="338"/>
      <c r="GYS91" s="338"/>
      <c r="GYT91" s="338"/>
      <c r="GYU91" s="338"/>
      <c r="GYV91" s="338"/>
      <c r="GYW91" s="338"/>
      <c r="GYX91" s="338"/>
      <c r="GYY91" s="338"/>
      <c r="GYZ91" s="338"/>
      <c r="GZA91" s="338"/>
      <c r="GZB91" s="338"/>
      <c r="GZC91" s="338"/>
      <c r="GZD91" s="338"/>
      <c r="GZE91" s="338"/>
      <c r="GZF91" s="338"/>
      <c r="GZG91" s="338"/>
      <c r="GZH91" s="338"/>
      <c r="GZI91" s="338"/>
      <c r="GZJ91" s="338"/>
      <c r="GZK91" s="338"/>
      <c r="GZL91" s="338"/>
      <c r="GZM91" s="338"/>
      <c r="GZN91" s="338"/>
      <c r="GZO91" s="338"/>
      <c r="GZP91" s="338"/>
      <c r="GZQ91" s="338"/>
      <c r="GZR91" s="338"/>
      <c r="GZS91" s="338"/>
      <c r="GZT91" s="338"/>
      <c r="GZU91" s="338"/>
      <c r="GZV91" s="338"/>
      <c r="GZW91" s="338"/>
      <c r="GZX91" s="338"/>
      <c r="GZY91" s="338"/>
      <c r="GZZ91" s="338"/>
      <c r="HAA91" s="338"/>
      <c r="HAB91" s="338"/>
      <c r="HAC91" s="338"/>
      <c r="HAD91" s="338"/>
      <c r="HAE91" s="338"/>
      <c r="HAF91" s="338"/>
      <c r="HAG91" s="338"/>
      <c r="HAH91" s="338"/>
      <c r="HAI91" s="338"/>
      <c r="HAJ91" s="338"/>
      <c r="HAK91" s="338"/>
      <c r="HAL91" s="338"/>
      <c r="HAM91" s="338"/>
      <c r="HAN91" s="338"/>
      <c r="HAO91" s="338"/>
      <c r="HAP91" s="338"/>
      <c r="HAQ91" s="338"/>
      <c r="HAR91" s="338"/>
      <c r="HAS91" s="338"/>
      <c r="HAT91" s="338"/>
      <c r="HAU91" s="338"/>
      <c r="HAV91" s="338"/>
      <c r="HAW91" s="338"/>
      <c r="HAX91" s="338"/>
      <c r="HAY91" s="338"/>
      <c r="HAZ91" s="338"/>
      <c r="HBA91" s="338"/>
      <c r="HBB91" s="338"/>
      <c r="HBC91" s="338"/>
      <c r="HBD91" s="338"/>
      <c r="HBE91" s="338"/>
      <c r="HBF91" s="338"/>
      <c r="HBG91" s="338"/>
      <c r="HBH91" s="338"/>
      <c r="HBI91" s="338"/>
      <c r="HBJ91" s="338"/>
      <c r="HBK91" s="338"/>
      <c r="HBL91" s="338"/>
      <c r="HBM91" s="338"/>
      <c r="HBN91" s="338"/>
      <c r="HBO91" s="338"/>
      <c r="HBP91" s="338"/>
      <c r="HBQ91" s="338"/>
      <c r="HBR91" s="338"/>
      <c r="HBS91" s="338"/>
      <c r="HBT91" s="338"/>
      <c r="HBU91" s="338"/>
      <c r="HBV91" s="338"/>
      <c r="HBW91" s="338"/>
      <c r="HBX91" s="338"/>
      <c r="HBY91" s="338"/>
      <c r="HBZ91" s="338"/>
      <c r="HCA91" s="338"/>
      <c r="HCB91" s="338"/>
      <c r="HCC91" s="338"/>
      <c r="HCD91" s="338"/>
      <c r="HCE91" s="338"/>
      <c r="HCF91" s="338"/>
      <c r="HCG91" s="338"/>
      <c r="HCH91" s="338"/>
      <c r="HCI91" s="338"/>
      <c r="HCJ91" s="338"/>
      <c r="HCK91" s="338"/>
      <c r="HCL91" s="338"/>
      <c r="HCM91" s="338"/>
      <c r="HCN91" s="338"/>
      <c r="HCO91" s="338"/>
      <c r="HCP91" s="338"/>
      <c r="HCQ91" s="338"/>
      <c r="HCR91" s="338"/>
      <c r="HCS91" s="338"/>
      <c r="HCT91" s="338"/>
      <c r="HCU91" s="338"/>
      <c r="HCV91" s="338"/>
      <c r="HCW91" s="338"/>
      <c r="HCX91" s="338"/>
      <c r="HCY91" s="338"/>
      <c r="HCZ91" s="338"/>
      <c r="HDA91" s="338"/>
      <c r="HDB91" s="338"/>
      <c r="HDC91" s="338"/>
      <c r="HDD91" s="338"/>
      <c r="HDE91" s="338"/>
      <c r="HDF91" s="338"/>
      <c r="HDG91" s="338"/>
      <c r="HDH91" s="338"/>
      <c r="HDI91" s="338"/>
      <c r="HDJ91" s="338"/>
      <c r="HDK91" s="338"/>
      <c r="HDL91" s="338"/>
      <c r="HDM91" s="338"/>
      <c r="HDN91" s="338"/>
      <c r="HDO91" s="338"/>
      <c r="HDP91" s="338"/>
      <c r="HDQ91" s="338"/>
      <c r="HDR91" s="338"/>
      <c r="HDS91" s="338"/>
      <c r="HDT91" s="338"/>
      <c r="HDU91" s="338"/>
      <c r="HDV91" s="338"/>
      <c r="HDW91" s="338"/>
      <c r="HDX91" s="338"/>
      <c r="HDY91" s="338"/>
      <c r="HDZ91" s="338"/>
      <c r="HEA91" s="338"/>
      <c r="HEB91" s="338"/>
      <c r="HEC91" s="338"/>
      <c r="HED91" s="338"/>
      <c r="HEE91" s="338"/>
      <c r="HEF91" s="338"/>
      <c r="HEG91" s="338"/>
      <c r="HEH91" s="338"/>
      <c r="HEI91" s="338"/>
      <c r="HEJ91" s="338"/>
      <c r="HEK91" s="338"/>
      <c r="HEL91" s="338"/>
      <c r="HEM91" s="338"/>
      <c r="HEN91" s="338"/>
      <c r="HEO91" s="338"/>
      <c r="HEP91" s="338"/>
      <c r="HEQ91" s="338"/>
      <c r="HER91" s="338"/>
      <c r="HES91" s="338"/>
      <c r="HET91" s="338"/>
      <c r="HEU91" s="338"/>
      <c r="HEV91" s="338"/>
      <c r="HEW91" s="338"/>
      <c r="HEX91" s="338"/>
      <c r="HEY91" s="338"/>
      <c r="HEZ91" s="338"/>
      <c r="HFA91" s="338"/>
      <c r="HFB91" s="338"/>
      <c r="HFC91" s="338"/>
      <c r="HFD91" s="338"/>
      <c r="HFE91" s="338"/>
      <c r="HFF91" s="338"/>
      <c r="HFG91" s="338"/>
      <c r="HFH91" s="338"/>
      <c r="HFI91" s="338"/>
      <c r="HFJ91" s="338"/>
      <c r="HFK91" s="338"/>
      <c r="HFL91" s="338"/>
      <c r="HFM91" s="338"/>
      <c r="HFN91" s="338"/>
      <c r="HFO91" s="338"/>
      <c r="HFP91" s="338"/>
      <c r="HFQ91" s="338"/>
      <c r="HFR91" s="338"/>
      <c r="HFS91" s="338"/>
      <c r="HFT91" s="338"/>
      <c r="HFU91" s="338"/>
      <c r="HFV91" s="338"/>
      <c r="HFW91" s="338"/>
      <c r="HFX91" s="338"/>
      <c r="HFY91" s="338"/>
      <c r="HFZ91" s="338"/>
      <c r="HGA91" s="338"/>
      <c r="HGB91" s="338"/>
      <c r="HGC91" s="338"/>
      <c r="HGD91" s="338"/>
      <c r="HGE91" s="338"/>
      <c r="HGF91" s="338"/>
      <c r="HGG91" s="338"/>
      <c r="HGH91" s="338"/>
      <c r="HGI91" s="338"/>
      <c r="HGJ91" s="338"/>
      <c r="HGK91" s="338"/>
      <c r="HGL91" s="338"/>
      <c r="HGM91" s="338"/>
      <c r="HGN91" s="338"/>
      <c r="HGO91" s="338"/>
      <c r="HGP91" s="338"/>
      <c r="HGQ91" s="338"/>
      <c r="HGR91" s="338"/>
      <c r="HGS91" s="338"/>
      <c r="HGT91" s="338"/>
      <c r="HGU91" s="338"/>
      <c r="HGV91" s="338"/>
      <c r="HGW91" s="338"/>
      <c r="HGX91" s="338"/>
      <c r="HGY91" s="338"/>
      <c r="HGZ91" s="338"/>
      <c r="HHA91" s="338"/>
      <c r="HHB91" s="338"/>
      <c r="HHC91" s="338"/>
      <c r="HHD91" s="338"/>
      <c r="HHE91" s="338"/>
      <c r="HHF91" s="338"/>
      <c r="HHG91" s="338"/>
      <c r="HHH91" s="338"/>
      <c r="HHI91" s="338"/>
      <c r="HHJ91" s="338"/>
      <c r="HHK91" s="338"/>
      <c r="HHL91" s="338"/>
      <c r="HHM91" s="338"/>
      <c r="HHN91" s="338"/>
      <c r="HHO91" s="338"/>
      <c r="HHP91" s="338"/>
      <c r="HHQ91" s="338"/>
      <c r="HHR91" s="338"/>
      <c r="HHS91" s="338"/>
      <c r="HHT91" s="338"/>
      <c r="HHU91" s="338"/>
      <c r="HHV91" s="338"/>
      <c r="HHW91" s="338"/>
      <c r="HHX91" s="338"/>
      <c r="HHY91" s="338"/>
      <c r="HHZ91" s="338"/>
      <c r="HIA91" s="338"/>
      <c r="HIB91" s="338"/>
      <c r="HIC91" s="338"/>
      <c r="HID91" s="338"/>
      <c r="HIE91" s="338"/>
      <c r="HIF91" s="338"/>
      <c r="HIG91" s="338"/>
      <c r="HIH91" s="338"/>
      <c r="HII91" s="338"/>
      <c r="HIJ91" s="338"/>
      <c r="HIK91" s="338"/>
      <c r="HIL91" s="338"/>
      <c r="HIM91" s="338"/>
      <c r="HIN91" s="338"/>
      <c r="HIO91" s="338"/>
      <c r="HIP91" s="338"/>
      <c r="HIQ91" s="338"/>
      <c r="HIR91" s="338"/>
      <c r="HIS91" s="338"/>
      <c r="HIT91" s="338"/>
      <c r="HIU91" s="338"/>
      <c r="HIV91" s="338"/>
      <c r="HIW91" s="338"/>
      <c r="HIX91" s="338"/>
      <c r="HIY91" s="338"/>
      <c r="HIZ91" s="338"/>
      <c r="HJA91" s="338"/>
      <c r="HJB91" s="338"/>
      <c r="HJC91" s="338"/>
      <c r="HJD91" s="338"/>
      <c r="HJE91" s="338"/>
      <c r="HJF91" s="338"/>
      <c r="HJG91" s="338"/>
      <c r="HJH91" s="338"/>
      <c r="HJI91" s="338"/>
      <c r="HJJ91" s="338"/>
      <c r="HJK91" s="338"/>
      <c r="HJL91" s="338"/>
      <c r="HJM91" s="338"/>
      <c r="HJN91" s="338"/>
      <c r="HJO91" s="338"/>
      <c r="HJP91" s="338"/>
      <c r="HJQ91" s="338"/>
      <c r="HJR91" s="338"/>
      <c r="HJS91" s="338"/>
      <c r="HJT91" s="338"/>
      <c r="HJU91" s="338"/>
      <c r="HJV91" s="338"/>
      <c r="HJW91" s="338"/>
      <c r="HJX91" s="338"/>
      <c r="HJY91" s="338"/>
      <c r="HJZ91" s="338"/>
      <c r="HKA91" s="338"/>
      <c r="HKB91" s="338"/>
      <c r="HKC91" s="338"/>
      <c r="HKD91" s="338"/>
      <c r="HKE91" s="338"/>
      <c r="HKF91" s="338"/>
      <c r="HKG91" s="338"/>
      <c r="HKH91" s="338"/>
      <c r="HKI91" s="338"/>
      <c r="HKJ91" s="338"/>
      <c r="HKK91" s="338"/>
      <c r="HKL91" s="338"/>
      <c r="HKM91" s="338"/>
      <c r="HKN91" s="338"/>
      <c r="HKO91" s="338"/>
      <c r="HKP91" s="338"/>
      <c r="HKQ91" s="338"/>
      <c r="HKR91" s="338"/>
      <c r="HKS91" s="338"/>
      <c r="HKT91" s="338"/>
      <c r="HKU91" s="338"/>
      <c r="HKV91" s="338"/>
      <c r="HKW91" s="338"/>
      <c r="HKX91" s="338"/>
      <c r="HKY91" s="338"/>
      <c r="HKZ91" s="338"/>
      <c r="HLA91" s="338"/>
      <c r="HLB91" s="338"/>
      <c r="HLC91" s="338"/>
      <c r="HLD91" s="338"/>
      <c r="HLE91" s="338"/>
      <c r="HLF91" s="338"/>
      <c r="HLG91" s="338"/>
      <c r="HLH91" s="338"/>
      <c r="HLI91" s="338"/>
      <c r="HLJ91" s="338"/>
      <c r="HLK91" s="338"/>
      <c r="HLL91" s="338"/>
      <c r="HLM91" s="338"/>
      <c r="HLN91" s="338"/>
      <c r="HLO91" s="338"/>
      <c r="HLP91" s="338"/>
      <c r="HLQ91" s="338"/>
      <c r="HLR91" s="338"/>
      <c r="HLS91" s="338"/>
      <c r="HLT91" s="338"/>
      <c r="HLU91" s="338"/>
      <c r="HLV91" s="338"/>
      <c r="HLW91" s="338"/>
      <c r="HLX91" s="338"/>
      <c r="HLY91" s="338"/>
      <c r="HLZ91" s="338"/>
      <c r="HMA91" s="338"/>
      <c r="HMB91" s="338"/>
      <c r="HMC91" s="338"/>
      <c r="HMD91" s="338"/>
      <c r="HME91" s="338"/>
      <c r="HMF91" s="338"/>
      <c r="HMG91" s="338"/>
      <c r="HMH91" s="338"/>
      <c r="HMI91" s="338"/>
      <c r="HMJ91" s="338"/>
      <c r="HMK91" s="338"/>
      <c r="HML91" s="338"/>
      <c r="HMM91" s="338"/>
      <c r="HMN91" s="338"/>
      <c r="HMO91" s="338"/>
      <c r="HMP91" s="338"/>
      <c r="HMQ91" s="338"/>
      <c r="HMR91" s="338"/>
      <c r="HMS91" s="338"/>
      <c r="HMT91" s="338"/>
      <c r="HMU91" s="338"/>
      <c r="HMV91" s="338"/>
      <c r="HMW91" s="338"/>
      <c r="HMX91" s="338"/>
      <c r="HMY91" s="338"/>
      <c r="HMZ91" s="338"/>
      <c r="HNA91" s="338"/>
      <c r="HNB91" s="338"/>
      <c r="HNC91" s="338"/>
      <c r="HND91" s="338"/>
      <c r="HNE91" s="338"/>
      <c r="HNF91" s="338"/>
      <c r="HNG91" s="338"/>
      <c r="HNH91" s="338"/>
      <c r="HNI91" s="338"/>
      <c r="HNJ91" s="338"/>
      <c r="HNK91" s="338"/>
      <c r="HNL91" s="338"/>
      <c r="HNM91" s="338"/>
      <c r="HNN91" s="338"/>
      <c r="HNO91" s="338"/>
      <c r="HNP91" s="338"/>
      <c r="HNQ91" s="338"/>
      <c r="HNR91" s="338"/>
      <c r="HNS91" s="338"/>
      <c r="HNT91" s="338"/>
      <c r="HNU91" s="338"/>
      <c r="HNV91" s="338"/>
      <c r="HNW91" s="338"/>
      <c r="HNX91" s="338"/>
      <c r="HNY91" s="338"/>
      <c r="HNZ91" s="338"/>
      <c r="HOA91" s="338"/>
      <c r="HOB91" s="338"/>
      <c r="HOC91" s="338"/>
      <c r="HOD91" s="338"/>
      <c r="HOE91" s="338"/>
      <c r="HOF91" s="338"/>
      <c r="HOG91" s="338"/>
      <c r="HOH91" s="338"/>
      <c r="HOI91" s="338"/>
      <c r="HOJ91" s="338"/>
      <c r="HOK91" s="338"/>
      <c r="HOL91" s="338"/>
      <c r="HOM91" s="338"/>
      <c r="HON91" s="338"/>
      <c r="HOO91" s="338"/>
      <c r="HOP91" s="338"/>
      <c r="HOQ91" s="338"/>
      <c r="HOR91" s="338"/>
      <c r="HOS91" s="338"/>
      <c r="HOT91" s="338"/>
      <c r="HOU91" s="338"/>
      <c r="HOV91" s="338"/>
      <c r="HOW91" s="338"/>
      <c r="HOX91" s="338"/>
      <c r="HOY91" s="338"/>
      <c r="HOZ91" s="338"/>
      <c r="HPA91" s="338"/>
      <c r="HPB91" s="338"/>
      <c r="HPC91" s="338"/>
      <c r="HPD91" s="338"/>
      <c r="HPE91" s="338"/>
      <c r="HPF91" s="338"/>
      <c r="HPG91" s="338"/>
      <c r="HPH91" s="338"/>
      <c r="HPI91" s="338"/>
      <c r="HPJ91" s="338"/>
      <c r="HPK91" s="338"/>
      <c r="HPL91" s="338"/>
      <c r="HPM91" s="338"/>
      <c r="HPN91" s="338"/>
      <c r="HPO91" s="338"/>
      <c r="HPP91" s="338"/>
      <c r="HPQ91" s="338"/>
      <c r="HPR91" s="338"/>
      <c r="HPS91" s="338"/>
      <c r="HPT91" s="338"/>
      <c r="HPU91" s="338"/>
      <c r="HPV91" s="338"/>
      <c r="HPW91" s="338"/>
      <c r="HPX91" s="338"/>
      <c r="HPY91" s="338"/>
      <c r="HPZ91" s="338"/>
      <c r="HQA91" s="338"/>
      <c r="HQB91" s="338"/>
      <c r="HQC91" s="338"/>
      <c r="HQD91" s="338"/>
      <c r="HQE91" s="338"/>
      <c r="HQF91" s="338"/>
      <c r="HQG91" s="338"/>
      <c r="HQH91" s="338"/>
      <c r="HQI91" s="338"/>
      <c r="HQJ91" s="338"/>
      <c r="HQK91" s="338"/>
      <c r="HQL91" s="338"/>
      <c r="HQM91" s="338"/>
      <c r="HQN91" s="338"/>
      <c r="HQO91" s="338"/>
      <c r="HQP91" s="338"/>
      <c r="HQQ91" s="338"/>
      <c r="HQR91" s="338"/>
      <c r="HQS91" s="338"/>
      <c r="HQT91" s="338"/>
      <c r="HQU91" s="338"/>
      <c r="HQV91" s="338"/>
      <c r="HQW91" s="338"/>
      <c r="HQX91" s="338"/>
      <c r="HQY91" s="338"/>
      <c r="HQZ91" s="338"/>
      <c r="HRA91" s="338"/>
      <c r="HRB91" s="338"/>
      <c r="HRC91" s="338"/>
      <c r="HRD91" s="338"/>
      <c r="HRE91" s="338"/>
      <c r="HRF91" s="338"/>
      <c r="HRG91" s="338"/>
      <c r="HRH91" s="338"/>
      <c r="HRI91" s="338"/>
      <c r="HRJ91" s="338"/>
      <c r="HRK91" s="338"/>
      <c r="HRL91" s="338"/>
      <c r="HRM91" s="338"/>
      <c r="HRN91" s="338"/>
      <c r="HRO91" s="338"/>
      <c r="HRP91" s="338"/>
      <c r="HRQ91" s="338"/>
      <c r="HRR91" s="338"/>
      <c r="HRS91" s="338"/>
      <c r="HRT91" s="338"/>
      <c r="HRU91" s="338"/>
      <c r="HRV91" s="338"/>
      <c r="HRW91" s="338"/>
      <c r="HRX91" s="338"/>
      <c r="HRY91" s="338"/>
      <c r="HRZ91" s="338"/>
      <c r="HSA91" s="338"/>
      <c r="HSB91" s="338"/>
      <c r="HSC91" s="338"/>
      <c r="HSD91" s="338"/>
      <c r="HSE91" s="338"/>
      <c r="HSF91" s="338"/>
      <c r="HSG91" s="338"/>
      <c r="HSH91" s="338"/>
      <c r="HSI91" s="338"/>
      <c r="HSJ91" s="338"/>
      <c r="HSK91" s="338"/>
      <c r="HSL91" s="338"/>
      <c r="HSM91" s="338"/>
      <c r="HSN91" s="338"/>
      <c r="HSO91" s="338"/>
      <c r="HSP91" s="338"/>
      <c r="HSQ91" s="338"/>
      <c r="HSR91" s="338"/>
      <c r="HSS91" s="338"/>
      <c r="HST91" s="338"/>
      <c r="HSU91" s="338"/>
      <c r="HSV91" s="338"/>
      <c r="HSW91" s="338"/>
      <c r="HSX91" s="338"/>
      <c r="HSY91" s="338"/>
      <c r="HSZ91" s="338"/>
      <c r="HTA91" s="338"/>
      <c r="HTB91" s="338"/>
      <c r="HTC91" s="338"/>
      <c r="HTD91" s="338"/>
      <c r="HTE91" s="338"/>
      <c r="HTF91" s="338"/>
      <c r="HTG91" s="338"/>
      <c r="HTH91" s="338"/>
      <c r="HTI91" s="338"/>
      <c r="HTJ91" s="338"/>
      <c r="HTK91" s="338"/>
      <c r="HTL91" s="338"/>
      <c r="HTM91" s="338"/>
      <c r="HTN91" s="338"/>
      <c r="HTO91" s="338"/>
      <c r="HTP91" s="338"/>
      <c r="HTQ91" s="338"/>
      <c r="HTR91" s="338"/>
      <c r="HTS91" s="338"/>
      <c r="HTT91" s="338"/>
      <c r="HTU91" s="338"/>
      <c r="HTV91" s="338"/>
      <c r="HTW91" s="338"/>
      <c r="HTX91" s="338"/>
      <c r="HTY91" s="338"/>
      <c r="HTZ91" s="338"/>
      <c r="HUA91" s="338"/>
      <c r="HUB91" s="338"/>
      <c r="HUC91" s="338"/>
      <c r="HUD91" s="338"/>
      <c r="HUE91" s="338"/>
      <c r="HUF91" s="338"/>
      <c r="HUG91" s="338"/>
      <c r="HUH91" s="338"/>
      <c r="HUI91" s="338"/>
      <c r="HUJ91" s="338"/>
      <c r="HUK91" s="338"/>
      <c r="HUL91" s="338"/>
      <c r="HUM91" s="338"/>
      <c r="HUN91" s="338"/>
      <c r="HUO91" s="338"/>
      <c r="HUP91" s="338"/>
      <c r="HUQ91" s="338"/>
      <c r="HUR91" s="338"/>
      <c r="HUS91" s="338"/>
      <c r="HUT91" s="338"/>
      <c r="HUU91" s="338"/>
      <c r="HUV91" s="338"/>
      <c r="HUW91" s="338"/>
      <c r="HUX91" s="338"/>
      <c r="HUY91" s="338"/>
      <c r="HUZ91" s="338"/>
      <c r="HVA91" s="338"/>
      <c r="HVB91" s="338"/>
      <c r="HVC91" s="338"/>
      <c r="HVD91" s="338"/>
      <c r="HVE91" s="338"/>
      <c r="HVF91" s="338"/>
      <c r="HVG91" s="338"/>
      <c r="HVH91" s="338"/>
      <c r="HVI91" s="338"/>
      <c r="HVJ91" s="338"/>
      <c r="HVK91" s="338"/>
      <c r="HVL91" s="338"/>
      <c r="HVM91" s="338"/>
      <c r="HVN91" s="338"/>
      <c r="HVO91" s="338"/>
      <c r="HVP91" s="338"/>
      <c r="HVQ91" s="338"/>
      <c r="HVR91" s="338"/>
      <c r="HVS91" s="338"/>
      <c r="HVT91" s="338"/>
      <c r="HVU91" s="338"/>
      <c r="HVV91" s="338"/>
      <c r="HVW91" s="338"/>
      <c r="HVX91" s="338"/>
      <c r="HVY91" s="338"/>
      <c r="HVZ91" s="338"/>
      <c r="HWA91" s="338"/>
      <c r="HWB91" s="338"/>
      <c r="HWC91" s="338"/>
      <c r="HWD91" s="338"/>
      <c r="HWE91" s="338"/>
      <c r="HWF91" s="338"/>
      <c r="HWG91" s="338"/>
      <c r="HWH91" s="338"/>
      <c r="HWI91" s="338"/>
      <c r="HWJ91" s="338"/>
      <c r="HWK91" s="338"/>
      <c r="HWL91" s="338"/>
      <c r="HWM91" s="338"/>
      <c r="HWN91" s="338"/>
      <c r="HWO91" s="338"/>
      <c r="HWP91" s="338"/>
      <c r="HWQ91" s="338"/>
      <c r="HWR91" s="338"/>
      <c r="HWS91" s="338"/>
      <c r="HWT91" s="338"/>
      <c r="HWU91" s="338"/>
      <c r="HWV91" s="338"/>
      <c r="HWW91" s="338"/>
      <c r="HWX91" s="338"/>
      <c r="HWY91" s="338"/>
      <c r="HWZ91" s="338"/>
      <c r="HXA91" s="338"/>
      <c r="HXB91" s="338"/>
      <c r="HXC91" s="338"/>
      <c r="HXD91" s="338"/>
      <c r="HXE91" s="338"/>
      <c r="HXF91" s="338"/>
      <c r="HXG91" s="338"/>
      <c r="HXH91" s="338"/>
      <c r="HXI91" s="338"/>
      <c r="HXJ91" s="338"/>
      <c r="HXK91" s="338"/>
      <c r="HXL91" s="338"/>
      <c r="HXM91" s="338"/>
      <c r="HXN91" s="338"/>
      <c r="HXO91" s="338"/>
      <c r="HXP91" s="338"/>
      <c r="HXQ91" s="338"/>
      <c r="HXR91" s="338"/>
      <c r="HXS91" s="338"/>
      <c r="HXT91" s="338"/>
      <c r="HXU91" s="338"/>
      <c r="HXV91" s="338"/>
      <c r="HXW91" s="338"/>
      <c r="HXX91" s="338"/>
      <c r="HXY91" s="338"/>
      <c r="HXZ91" s="338"/>
      <c r="HYA91" s="338"/>
      <c r="HYB91" s="338"/>
      <c r="HYC91" s="338"/>
      <c r="HYD91" s="338"/>
      <c r="HYE91" s="338"/>
      <c r="HYF91" s="338"/>
      <c r="HYG91" s="338"/>
      <c r="HYH91" s="338"/>
      <c r="HYI91" s="338"/>
      <c r="HYJ91" s="338"/>
      <c r="HYK91" s="338"/>
      <c r="HYL91" s="338"/>
      <c r="HYM91" s="338"/>
      <c r="HYN91" s="338"/>
      <c r="HYO91" s="338"/>
      <c r="HYP91" s="338"/>
      <c r="HYQ91" s="338"/>
      <c r="HYR91" s="338"/>
      <c r="HYS91" s="338"/>
      <c r="HYT91" s="338"/>
      <c r="HYU91" s="338"/>
      <c r="HYV91" s="338"/>
      <c r="HYW91" s="338"/>
      <c r="HYX91" s="338"/>
      <c r="HYY91" s="338"/>
      <c r="HYZ91" s="338"/>
      <c r="HZA91" s="338"/>
      <c r="HZB91" s="338"/>
      <c r="HZC91" s="338"/>
      <c r="HZD91" s="338"/>
      <c r="HZE91" s="338"/>
      <c r="HZF91" s="338"/>
      <c r="HZG91" s="338"/>
      <c r="HZH91" s="338"/>
      <c r="HZI91" s="338"/>
      <c r="HZJ91" s="338"/>
      <c r="HZK91" s="338"/>
      <c r="HZL91" s="338"/>
      <c r="HZM91" s="338"/>
      <c r="HZN91" s="338"/>
      <c r="HZO91" s="338"/>
      <c r="HZP91" s="338"/>
      <c r="HZQ91" s="338"/>
      <c r="HZR91" s="338"/>
      <c r="HZS91" s="338"/>
      <c r="HZT91" s="338"/>
      <c r="HZU91" s="338"/>
      <c r="HZV91" s="338"/>
      <c r="HZW91" s="338"/>
      <c r="HZX91" s="338"/>
      <c r="HZY91" s="338"/>
      <c r="HZZ91" s="338"/>
      <c r="IAA91" s="338"/>
      <c r="IAB91" s="338"/>
      <c r="IAC91" s="338"/>
      <c r="IAD91" s="338"/>
      <c r="IAE91" s="338"/>
      <c r="IAF91" s="338"/>
      <c r="IAG91" s="338"/>
      <c r="IAH91" s="338"/>
      <c r="IAI91" s="338"/>
      <c r="IAJ91" s="338"/>
      <c r="IAK91" s="338"/>
      <c r="IAL91" s="338"/>
      <c r="IAM91" s="338"/>
      <c r="IAN91" s="338"/>
      <c r="IAO91" s="338"/>
      <c r="IAP91" s="338"/>
      <c r="IAQ91" s="338"/>
      <c r="IAR91" s="338"/>
      <c r="IAS91" s="338"/>
      <c r="IAT91" s="338"/>
      <c r="IAU91" s="338"/>
      <c r="IAV91" s="338"/>
      <c r="IAW91" s="338"/>
      <c r="IAX91" s="338"/>
      <c r="IAY91" s="338"/>
      <c r="IAZ91" s="338"/>
      <c r="IBA91" s="338"/>
      <c r="IBB91" s="338"/>
      <c r="IBC91" s="338"/>
      <c r="IBD91" s="338"/>
      <c r="IBE91" s="338"/>
      <c r="IBF91" s="338"/>
      <c r="IBG91" s="338"/>
      <c r="IBH91" s="338"/>
      <c r="IBI91" s="338"/>
      <c r="IBJ91" s="338"/>
      <c r="IBK91" s="338"/>
      <c r="IBL91" s="338"/>
      <c r="IBM91" s="338"/>
      <c r="IBN91" s="338"/>
      <c r="IBO91" s="338"/>
      <c r="IBP91" s="338"/>
      <c r="IBQ91" s="338"/>
      <c r="IBR91" s="338"/>
      <c r="IBS91" s="338"/>
      <c r="IBT91" s="338"/>
      <c r="IBU91" s="338"/>
      <c r="IBV91" s="338"/>
      <c r="IBW91" s="338"/>
      <c r="IBX91" s="338"/>
      <c r="IBY91" s="338"/>
      <c r="IBZ91" s="338"/>
      <c r="ICA91" s="338"/>
      <c r="ICB91" s="338"/>
      <c r="ICC91" s="338"/>
      <c r="ICD91" s="338"/>
      <c r="ICE91" s="338"/>
      <c r="ICF91" s="338"/>
      <c r="ICG91" s="338"/>
      <c r="ICH91" s="338"/>
      <c r="ICI91" s="338"/>
      <c r="ICJ91" s="338"/>
      <c r="ICK91" s="338"/>
      <c r="ICL91" s="338"/>
      <c r="ICM91" s="338"/>
      <c r="ICN91" s="338"/>
      <c r="ICO91" s="338"/>
      <c r="ICP91" s="338"/>
      <c r="ICQ91" s="338"/>
      <c r="ICR91" s="338"/>
      <c r="ICS91" s="338"/>
      <c r="ICT91" s="338"/>
      <c r="ICU91" s="338"/>
      <c r="ICV91" s="338"/>
      <c r="ICW91" s="338"/>
      <c r="ICX91" s="338"/>
      <c r="ICY91" s="338"/>
      <c r="ICZ91" s="338"/>
      <c r="IDA91" s="338"/>
      <c r="IDB91" s="338"/>
      <c r="IDC91" s="338"/>
      <c r="IDD91" s="338"/>
      <c r="IDE91" s="338"/>
      <c r="IDF91" s="338"/>
      <c r="IDG91" s="338"/>
      <c r="IDH91" s="338"/>
      <c r="IDI91" s="338"/>
      <c r="IDJ91" s="338"/>
      <c r="IDK91" s="338"/>
      <c r="IDL91" s="338"/>
      <c r="IDM91" s="338"/>
      <c r="IDN91" s="338"/>
      <c r="IDO91" s="338"/>
      <c r="IDP91" s="338"/>
      <c r="IDQ91" s="338"/>
      <c r="IDR91" s="338"/>
      <c r="IDS91" s="338"/>
      <c r="IDT91" s="338"/>
      <c r="IDU91" s="338"/>
      <c r="IDV91" s="338"/>
      <c r="IDW91" s="338"/>
      <c r="IDX91" s="338"/>
      <c r="IDY91" s="338"/>
      <c r="IDZ91" s="338"/>
      <c r="IEA91" s="338"/>
      <c r="IEB91" s="338"/>
      <c r="IEC91" s="338"/>
      <c r="IED91" s="338"/>
      <c r="IEE91" s="338"/>
      <c r="IEF91" s="338"/>
      <c r="IEG91" s="338"/>
      <c r="IEH91" s="338"/>
      <c r="IEI91" s="338"/>
      <c r="IEJ91" s="338"/>
      <c r="IEK91" s="338"/>
      <c r="IEL91" s="338"/>
      <c r="IEM91" s="338"/>
      <c r="IEN91" s="338"/>
      <c r="IEO91" s="338"/>
      <c r="IEP91" s="338"/>
      <c r="IEQ91" s="338"/>
      <c r="IER91" s="338"/>
      <c r="IES91" s="338"/>
      <c r="IET91" s="338"/>
      <c r="IEU91" s="338"/>
      <c r="IEV91" s="338"/>
      <c r="IEW91" s="338"/>
      <c r="IEX91" s="338"/>
      <c r="IEY91" s="338"/>
      <c r="IEZ91" s="338"/>
      <c r="IFA91" s="338"/>
      <c r="IFB91" s="338"/>
      <c r="IFC91" s="338"/>
      <c r="IFD91" s="338"/>
      <c r="IFE91" s="338"/>
      <c r="IFF91" s="338"/>
      <c r="IFG91" s="338"/>
      <c r="IFH91" s="338"/>
      <c r="IFI91" s="338"/>
      <c r="IFJ91" s="338"/>
      <c r="IFK91" s="338"/>
      <c r="IFL91" s="338"/>
      <c r="IFM91" s="338"/>
      <c r="IFN91" s="338"/>
      <c r="IFO91" s="338"/>
      <c r="IFP91" s="338"/>
      <c r="IFQ91" s="338"/>
      <c r="IFR91" s="338"/>
      <c r="IFS91" s="338"/>
      <c r="IFT91" s="338"/>
      <c r="IFU91" s="338"/>
      <c r="IFV91" s="338"/>
      <c r="IFW91" s="338"/>
      <c r="IFX91" s="338"/>
      <c r="IFY91" s="338"/>
      <c r="IFZ91" s="338"/>
      <c r="IGA91" s="338"/>
      <c r="IGB91" s="338"/>
      <c r="IGC91" s="338"/>
      <c r="IGD91" s="338"/>
      <c r="IGE91" s="338"/>
      <c r="IGF91" s="338"/>
      <c r="IGG91" s="338"/>
      <c r="IGH91" s="338"/>
      <c r="IGI91" s="338"/>
      <c r="IGJ91" s="338"/>
      <c r="IGK91" s="338"/>
      <c r="IGL91" s="338"/>
      <c r="IGM91" s="338"/>
      <c r="IGN91" s="338"/>
      <c r="IGO91" s="338"/>
      <c r="IGP91" s="338"/>
      <c r="IGQ91" s="338"/>
      <c r="IGR91" s="338"/>
      <c r="IGS91" s="338"/>
      <c r="IGT91" s="338"/>
      <c r="IGU91" s="338"/>
      <c r="IGV91" s="338"/>
      <c r="IGW91" s="338"/>
      <c r="IGX91" s="338"/>
      <c r="IGY91" s="338"/>
      <c r="IGZ91" s="338"/>
      <c r="IHA91" s="338"/>
      <c r="IHB91" s="338"/>
      <c r="IHC91" s="338"/>
      <c r="IHD91" s="338"/>
      <c r="IHE91" s="338"/>
      <c r="IHF91" s="338"/>
      <c r="IHG91" s="338"/>
      <c r="IHH91" s="338"/>
      <c r="IHI91" s="338"/>
      <c r="IHJ91" s="338"/>
      <c r="IHK91" s="338"/>
      <c r="IHL91" s="338"/>
      <c r="IHM91" s="338"/>
      <c r="IHN91" s="338"/>
      <c r="IHO91" s="338"/>
      <c r="IHP91" s="338"/>
      <c r="IHQ91" s="338"/>
      <c r="IHR91" s="338"/>
      <c r="IHS91" s="338"/>
      <c r="IHT91" s="338"/>
      <c r="IHU91" s="338"/>
      <c r="IHV91" s="338"/>
      <c r="IHW91" s="338"/>
      <c r="IHX91" s="338"/>
      <c r="IHY91" s="338"/>
      <c r="IHZ91" s="338"/>
      <c r="IIA91" s="338"/>
      <c r="IIB91" s="338"/>
      <c r="IIC91" s="338"/>
      <c r="IID91" s="338"/>
      <c r="IIE91" s="338"/>
      <c r="IIF91" s="338"/>
      <c r="IIG91" s="338"/>
      <c r="IIH91" s="338"/>
      <c r="III91" s="338"/>
      <c r="IIJ91" s="338"/>
      <c r="IIK91" s="338"/>
      <c r="IIL91" s="338"/>
      <c r="IIM91" s="338"/>
      <c r="IIN91" s="338"/>
      <c r="IIO91" s="338"/>
      <c r="IIP91" s="338"/>
      <c r="IIQ91" s="338"/>
      <c r="IIR91" s="338"/>
      <c r="IIS91" s="338"/>
      <c r="IIT91" s="338"/>
      <c r="IIU91" s="338"/>
      <c r="IIV91" s="338"/>
      <c r="IIW91" s="338"/>
      <c r="IIX91" s="338"/>
      <c r="IIY91" s="338"/>
      <c r="IIZ91" s="338"/>
      <c r="IJA91" s="338"/>
      <c r="IJB91" s="338"/>
      <c r="IJC91" s="338"/>
      <c r="IJD91" s="338"/>
      <c r="IJE91" s="338"/>
      <c r="IJF91" s="338"/>
      <c r="IJG91" s="338"/>
      <c r="IJH91" s="338"/>
      <c r="IJI91" s="338"/>
      <c r="IJJ91" s="338"/>
      <c r="IJK91" s="338"/>
      <c r="IJL91" s="338"/>
      <c r="IJM91" s="338"/>
      <c r="IJN91" s="338"/>
      <c r="IJO91" s="338"/>
      <c r="IJP91" s="338"/>
      <c r="IJQ91" s="338"/>
      <c r="IJR91" s="338"/>
      <c r="IJS91" s="338"/>
      <c r="IJT91" s="338"/>
      <c r="IJU91" s="338"/>
      <c r="IJV91" s="338"/>
      <c r="IJW91" s="338"/>
      <c r="IJX91" s="338"/>
      <c r="IJY91" s="338"/>
      <c r="IJZ91" s="338"/>
      <c r="IKA91" s="338"/>
      <c r="IKB91" s="338"/>
      <c r="IKC91" s="338"/>
      <c r="IKD91" s="338"/>
      <c r="IKE91" s="338"/>
      <c r="IKF91" s="338"/>
      <c r="IKG91" s="338"/>
      <c r="IKH91" s="338"/>
      <c r="IKI91" s="338"/>
      <c r="IKJ91" s="338"/>
      <c r="IKK91" s="338"/>
      <c r="IKL91" s="338"/>
      <c r="IKM91" s="338"/>
      <c r="IKN91" s="338"/>
      <c r="IKO91" s="338"/>
      <c r="IKP91" s="338"/>
      <c r="IKQ91" s="338"/>
      <c r="IKR91" s="338"/>
      <c r="IKS91" s="338"/>
      <c r="IKT91" s="338"/>
      <c r="IKU91" s="338"/>
      <c r="IKV91" s="338"/>
      <c r="IKW91" s="338"/>
      <c r="IKX91" s="338"/>
      <c r="IKY91" s="338"/>
      <c r="IKZ91" s="338"/>
      <c r="ILA91" s="338"/>
      <c r="ILB91" s="338"/>
      <c r="ILC91" s="338"/>
      <c r="ILD91" s="338"/>
      <c r="ILE91" s="338"/>
      <c r="ILF91" s="338"/>
      <c r="ILG91" s="338"/>
      <c r="ILH91" s="338"/>
      <c r="ILI91" s="338"/>
      <c r="ILJ91" s="338"/>
      <c r="ILK91" s="338"/>
      <c r="ILL91" s="338"/>
      <c r="ILM91" s="338"/>
      <c r="ILN91" s="338"/>
      <c r="ILO91" s="338"/>
      <c r="ILP91" s="338"/>
      <c r="ILQ91" s="338"/>
      <c r="ILR91" s="338"/>
      <c r="ILS91" s="338"/>
      <c r="ILT91" s="338"/>
      <c r="ILU91" s="338"/>
      <c r="ILV91" s="338"/>
      <c r="ILW91" s="338"/>
      <c r="ILX91" s="338"/>
      <c r="ILY91" s="338"/>
      <c r="ILZ91" s="338"/>
      <c r="IMA91" s="338"/>
      <c r="IMB91" s="338"/>
      <c r="IMC91" s="338"/>
      <c r="IMD91" s="338"/>
      <c r="IME91" s="338"/>
      <c r="IMF91" s="338"/>
      <c r="IMG91" s="338"/>
      <c r="IMH91" s="338"/>
      <c r="IMI91" s="338"/>
      <c r="IMJ91" s="338"/>
      <c r="IMK91" s="338"/>
      <c r="IML91" s="338"/>
      <c r="IMM91" s="338"/>
      <c r="IMN91" s="338"/>
      <c r="IMO91" s="338"/>
      <c r="IMP91" s="338"/>
      <c r="IMQ91" s="338"/>
      <c r="IMR91" s="338"/>
      <c r="IMS91" s="338"/>
      <c r="IMT91" s="338"/>
      <c r="IMU91" s="338"/>
      <c r="IMV91" s="338"/>
      <c r="IMW91" s="338"/>
      <c r="IMX91" s="338"/>
      <c r="IMY91" s="338"/>
      <c r="IMZ91" s="338"/>
      <c r="INA91" s="338"/>
      <c r="INB91" s="338"/>
      <c r="INC91" s="338"/>
      <c r="IND91" s="338"/>
      <c r="INE91" s="338"/>
      <c r="INF91" s="338"/>
      <c r="ING91" s="338"/>
      <c r="INH91" s="338"/>
      <c r="INI91" s="338"/>
      <c r="INJ91" s="338"/>
      <c r="INK91" s="338"/>
      <c r="INL91" s="338"/>
      <c r="INM91" s="338"/>
      <c r="INN91" s="338"/>
      <c r="INO91" s="338"/>
      <c r="INP91" s="338"/>
      <c r="INQ91" s="338"/>
      <c r="INR91" s="338"/>
      <c r="INS91" s="338"/>
      <c r="INT91" s="338"/>
      <c r="INU91" s="338"/>
      <c r="INV91" s="338"/>
      <c r="INW91" s="338"/>
      <c r="INX91" s="338"/>
      <c r="INY91" s="338"/>
      <c r="INZ91" s="338"/>
      <c r="IOA91" s="338"/>
      <c r="IOB91" s="338"/>
      <c r="IOC91" s="338"/>
      <c r="IOD91" s="338"/>
      <c r="IOE91" s="338"/>
      <c r="IOF91" s="338"/>
      <c r="IOG91" s="338"/>
      <c r="IOH91" s="338"/>
      <c r="IOI91" s="338"/>
      <c r="IOJ91" s="338"/>
      <c r="IOK91" s="338"/>
      <c r="IOL91" s="338"/>
      <c r="IOM91" s="338"/>
      <c r="ION91" s="338"/>
      <c r="IOO91" s="338"/>
      <c r="IOP91" s="338"/>
      <c r="IOQ91" s="338"/>
      <c r="IOR91" s="338"/>
      <c r="IOS91" s="338"/>
      <c r="IOT91" s="338"/>
      <c r="IOU91" s="338"/>
      <c r="IOV91" s="338"/>
      <c r="IOW91" s="338"/>
      <c r="IOX91" s="338"/>
      <c r="IOY91" s="338"/>
      <c r="IOZ91" s="338"/>
      <c r="IPA91" s="338"/>
      <c r="IPB91" s="338"/>
      <c r="IPC91" s="338"/>
      <c r="IPD91" s="338"/>
      <c r="IPE91" s="338"/>
      <c r="IPF91" s="338"/>
      <c r="IPG91" s="338"/>
      <c r="IPH91" s="338"/>
      <c r="IPI91" s="338"/>
      <c r="IPJ91" s="338"/>
      <c r="IPK91" s="338"/>
      <c r="IPL91" s="338"/>
      <c r="IPM91" s="338"/>
      <c r="IPN91" s="338"/>
      <c r="IPO91" s="338"/>
      <c r="IPP91" s="338"/>
      <c r="IPQ91" s="338"/>
      <c r="IPR91" s="338"/>
      <c r="IPS91" s="338"/>
      <c r="IPT91" s="338"/>
      <c r="IPU91" s="338"/>
      <c r="IPV91" s="338"/>
      <c r="IPW91" s="338"/>
      <c r="IPX91" s="338"/>
      <c r="IPY91" s="338"/>
      <c r="IPZ91" s="338"/>
      <c r="IQA91" s="338"/>
      <c r="IQB91" s="338"/>
      <c r="IQC91" s="338"/>
      <c r="IQD91" s="338"/>
      <c r="IQE91" s="338"/>
      <c r="IQF91" s="338"/>
      <c r="IQG91" s="338"/>
      <c r="IQH91" s="338"/>
      <c r="IQI91" s="338"/>
      <c r="IQJ91" s="338"/>
      <c r="IQK91" s="338"/>
      <c r="IQL91" s="338"/>
      <c r="IQM91" s="338"/>
      <c r="IQN91" s="338"/>
      <c r="IQO91" s="338"/>
      <c r="IQP91" s="338"/>
      <c r="IQQ91" s="338"/>
      <c r="IQR91" s="338"/>
      <c r="IQS91" s="338"/>
      <c r="IQT91" s="338"/>
      <c r="IQU91" s="338"/>
      <c r="IQV91" s="338"/>
      <c r="IQW91" s="338"/>
      <c r="IQX91" s="338"/>
      <c r="IQY91" s="338"/>
      <c r="IQZ91" s="338"/>
      <c r="IRA91" s="338"/>
      <c r="IRB91" s="338"/>
      <c r="IRC91" s="338"/>
      <c r="IRD91" s="338"/>
      <c r="IRE91" s="338"/>
      <c r="IRF91" s="338"/>
      <c r="IRG91" s="338"/>
      <c r="IRH91" s="338"/>
      <c r="IRI91" s="338"/>
      <c r="IRJ91" s="338"/>
      <c r="IRK91" s="338"/>
      <c r="IRL91" s="338"/>
      <c r="IRM91" s="338"/>
      <c r="IRN91" s="338"/>
      <c r="IRO91" s="338"/>
      <c r="IRP91" s="338"/>
      <c r="IRQ91" s="338"/>
      <c r="IRR91" s="338"/>
      <c r="IRS91" s="338"/>
      <c r="IRT91" s="338"/>
      <c r="IRU91" s="338"/>
      <c r="IRV91" s="338"/>
      <c r="IRW91" s="338"/>
      <c r="IRX91" s="338"/>
      <c r="IRY91" s="338"/>
      <c r="IRZ91" s="338"/>
      <c r="ISA91" s="338"/>
      <c r="ISB91" s="338"/>
      <c r="ISC91" s="338"/>
      <c r="ISD91" s="338"/>
      <c r="ISE91" s="338"/>
      <c r="ISF91" s="338"/>
      <c r="ISG91" s="338"/>
      <c r="ISH91" s="338"/>
      <c r="ISI91" s="338"/>
      <c r="ISJ91" s="338"/>
      <c r="ISK91" s="338"/>
      <c r="ISL91" s="338"/>
      <c r="ISM91" s="338"/>
      <c r="ISN91" s="338"/>
      <c r="ISO91" s="338"/>
      <c r="ISP91" s="338"/>
      <c r="ISQ91" s="338"/>
      <c r="ISR91" s="338"/>
      <c r="ISS91" s="338"/>
      <c r="IST91" s="338"/>
      <c r="ISU91" s="338"/>
      <c r="ISV91" s="338"/>
      <c r="ISW91" s="338"/>
      <c r="ISX91" s="338"/>
      <c r="ISY91" s="338"/>
      <c r="ISZ91" s="338"/>
      <c r="ITA91" s="338"/>
      <c r="ITB91" s="338"/>
      <c r="ITC91" s="338"/>
      <c r="ITD91" s="338"/>
      <c r="ITE91" s="338"/>
      <c r="ITF91" s="338"/>
      <c r="ITG91" s="338"/>
      <c r="ITH91" s="338"/>
      <c r="ITI91" s="338"/>
      <c r="ITJ91" s="338"/>
      <c r="ITK91" s="338"/>
      <c r="ITL91" s="338"/>
      <c r="ITM91" s="338"/>
      <c r="ITN91" s="338"/>
      <c r="ITO91" s="338"/>
      <c r="ITP91" s="338"/>
      <c r="ITQ91" s="338"/>
      <c r="ITR91" s="338"/>
      <c r="ITS91" s="338"/>
      <c r="ITT91" s="338"/>
      <c r="ITU91" s="338"/>
      <c r="ITV91" s="338"/>
      <c r="ITW91" s="338"/>
      <c r="ITX91" s="338"/>
      <c r="ITY91" s="338"/>
      <c r="ITZ91" s="338"/>
      <c r="IUA91" s="338"/>
      <c r="IUB91" s="338"/>
      <c r="IUC91" s="338"/>
      <c r="IUD91" s="338"/>
      <c r="IUE91" s="338"/>
      <c r="IUF91" s="338"/>
      <c r="IUG91" s="338"/>
      <c r="IUH91" s="338"/>
      <c r="IUI91" s="338"/>
      <c r="IUJ91" s="338"/>
      <c r="IUK91" s="338"/>
      <c r="IUL91" s="338"/>
      <c r="IUM91" s="338"/>
      <c r="IUN91" s="338"/>
      <c r="IUO91" s="338"/>
      <c r="IUP91" s="338"/>
      <c r="IUQ91" s="338"/>
      <c r="IUR91" s="338"/>
      <c r="IUS91" s="338"/>
      <c r="IUT91" s="338"/>
      <c r="IUU91" s="338"/>
      <c r="IUV91" s="338"/>
      <c r="IUW91" s="338"/>
      <c r="IUX91" s="338"/>
      <c r="IUY91" s="338"/>
      <c r="IUZ91" s="338"/>
      <c r="IVA91" s="338"/>
      <c r="IVB91" s="338"/>
      <c r="IVC91" s="338"/>
      <c r="IVD91" s="338"/>
      <c r="IVE91" s="338"/>
      <c r="IVF91" s="338"/>
      <c r="IVG91" s="338"/>
      <c r="IVH91" s="338"/>
      <c r="IVI91" s="338"/>
      <c r="IVJ91" s="338"/>
      <c r="IVK91" s="338"/>
      <c r="IVL91" s="338"/>
      <c r="IVM91" s="338"/>
      <c r="IVN91" s="338"/>
      <c r="IVO91" s="338"/>
      <c r="IVP91" s="338"/>
      <c r="IVQ91" s="338"/>
      <c r="IVR91" s="338"/>
      <c r="IVS91" s="338"/>
      <c r="IVT91" s="338"/>
      <c r="IVU91" s="338"/>
      <c r="IVV91" s="338"/>
      <c r="IVW91" s="338"/>
      <c r="IVX91" s="338"/>
      <c r="IVY91" s="338"/>
      <c r="IVZ91" s="338"/>
      <c r="IWA91" s="338"/>
      <c r="IWB91" s="338"/>
      <c r="IWC91" s="338"/>
      <c r="IWD91" s="338"/>
      <c r="IWE91" s="338"/>
      <c r="IWF91" s="338"/>
      <c r="IWG91" s="338"/>
      <c r="IWH91" s="338"/>
      <c r="IWI91" s="338"/>
      <c r="IWJ91" s="338"/>
      <c r="IWK91" s="338"/>
      <c r="IWL91" s="338"/>
      <c r="IWM91" s="338"/>
      <c r="IWN91" s="338"/>
      <c r="IWO91" s="338"/>
      <c r="IWP91" s="338"/>
      <c r="IWQ91" s="338"/>
      <c r="IWR91" s="338"/>
      <c r="IWS91" s="338"/>
      <c r="IWT91" s="338"/>
      <c r="IWU91" s="338"/>
      <c r="IWV91" s="338"/>
      <c r="IWW91" s="338"/>
      <c r="IWX91" s="338"/>
      <c r="IWY91" s="338"/>
      <c r="IWZ91" s="338"/>
      <c r="IXA91" s="338"/>
      <c r="IXB91" s="338"/>
      <c r="IXC91" s="338"/>
      <c r="IXD91" s="338"/>
      <c r="IXE91" s="338"/>
      <c r="IXF91" s="338"/>
      <c r="IXG91" s="338"/>
      <c r="IXH91" s="338"/>
      <c r="IXI91" s="338"/>
      <c r="IXJ91" s="338"/>
      <c r="IXK91" s="338"/>
      <c r="IXL91" s="338"/>
      <c r="IXM91" s="338"/>
      <c r="IXN91" s="338"/>
      <c r="IXO91" s="338"/>
      <c r="IXP91" s="338"/>
      <c r="IXQ91" s="338"/>
      <c r="IXR91" s="338"/>
      <c r="IXS91" s="338"/>
      <c r="IXT91" s="338"/>
      <c r="IXU91" s="338"/>
      <c r="IXV91" s="338"/>
      <c r="IXW91" s="338"/>
      <c r="IXX91" s="338"/>
      <c r="IXY91" s="338"/>
      <c r="IXZ91" s="338"/>
      <c r="IYA91" s="338"/>
      <c r="IYB91" s="338"/>
      <c r="IYC91" s="338"/>
      <c r="IYD91" s="338"/>
      <c r="IYE91" s="338"/>
      <c r="IYF91" s="338"/>
      <c r="IYG91" s="338"/>
      <c r="IYH91" s="338"/>
      <c r="IYI91" s="338"/>
      <c r="IYJ91" s="338"/>
      <c r="IYK91" s="338"/>
      <c r="IYL91" s="338"/>
      <c r="IYM91" s="338"/>
      <c r="IYN91" s="338"/>
      <c r="IYO91" s="338"/>
      <c r="IYP91" s="338"/>
      <c r="IYQ91" s="338"/>
      <c r="IYR91" s="338"/>
      <c r="IYS91" s="338"/>
      <c r="IYT91" s="338"/>
      <c r="IYU91" s="338"/>
      <c r="IYV91" s="338"/>
      <c r="IYW91" s="338"/>
      <c r="IYX91" s="338"/>
      <c r="IYY91" s="338"/>
      <c r="IYZ91" s="338"/>
      <c r="IZA91" s="338"/>
      <c r="IZB91" s="338"/>
      <c r="IZC91" s="338"/>
      <c r="IZD91" s="338"/>
      <c r="IZE91" s="338"/>
      <c r="IZF91" s="338"/>
      <c r="IZG91" s="338"/>
      <c r="IZH91" s="338"/>
      <c r="IZI91" s="338"/>
      <c r="IZJ91" s="338"/>
      <c r="IZK91" s="338"/>
      <c r="IZL91" s="338"/>
      <c r="IZM91" s="338"/>
      <c r="IZN91" s="338"/>
      <c r="IZO91" s="338"/>
      <c r="IZP91" s="338"/>
      <c r="IZQ91" s="338"/>
      <c r="IZR91" s="338"/>
      <c r="IZS91" s="338"/>
      <c r="IZT91" s="338"/>
      <c r="IZU91" s="338"/>
      <c r="IZV91" s="338"/>
      <c r="IZW91" s="338"/>
      <c r="IZX91" s="338"/>
      <c r="IZY91" s="338"/>
      <c r="IZZ91" s="338"/>
      <c r="JAA91" s="338"/>
      <c r="JAB91" s="338"/>
      <c r="JAC91" s="338"/>
      <c r="JAD91" s="338"/>
      <c r="JAE91" s="338"/>
      <c r="JAF91" s="338"/>
      <c r="JAG91" s="338"/>
      <c r="JAH91" s="338"/>
      <c r="JAI91" s="338"/>
      <c r="JAJ91" s="338"/>
      <c r="JAK91" s="338"/>
      <c r="JAL91" s="338"/>
      <c r="JAM91" s="338"/>
      <c r="JAN91" s="338"/>
      <c r="JAO91" s="338"/>
      <c r="JAP91" s="338"/>
      <c r="JAQ91" s="338"/>
      <c r="JAR91" s="338"/>
      <c r="JAS91" s="338"/>
      <c r="JAT91" s="338"/>
      <c r="JAU91" s="338"/>
      <c r="JAV91" s="338"/>
      <c r="JAW91" s="338"/>
      <c r="JAX91" s="338"/>
      <c r="JAY91" s="338"/>
      <c r="JAZ91" s="338"/>
      <c r="JBA91" s="338"/>
      <c r="JBB91" s="338"/>
      <c r="JBC91" s="338"/>
      <c r="JBD91" s="338"/>
      <c r="JBE91" s="338"/>
      <c r="JBF91" s="338"/>
      <c r="JBG91" s="338"/>
      <c r="JBH91" s="338"/>
      <c r="JBI91" s="338"/>
      <c r="JBJ91" s="338"/>
      <c r="JBK91" s="338"/>
      <c r="JBL91" s="338"/>
      <c r="JBM91" s="338"/>
      <c r="JBN91" s="338"/>
      <c r="JBO91" s="338"/>
      <c r="JBP91" s="338"/>
      <c r="JBQ91" s="338"/>
      <c r="JBR91" s="338"/>
      <c r="JBS91" s="338"/>
      <c r="JBT91" s="338"/>
      <c r="JBU91" s="338"/>
      <c r="JBV91" s="338"/>
      <c r="JBW91" s="338"/>
      <c r="JBX91" s="338"/>
      <c r="JBY91" s="338"/>
      <c r="JBZ91" s="338"/>
      <c r="JCA91" s="338"/>
      <c r="JCB91" s="338"/>
      <c r="JCC91" s="338"/>
      <c r="JCD91" s="338"/>
      <c r="JCE91" s="338"/>
      <c r="JCF91" s="338"/>
      <c r="JCG91" s="338"/>
      <c r="JCH91" s="338"/>
      <c r="JCI91" s="338"/>
      <c r="JCJ91" s="338"/>
      <c r="JCK91" s="338"/>
      <c r="JCL91" s="338"/>
      <c r="JCM91" s="338"/>
      <c r="JCN91" s="338"/>
      <c r="JCO91" s="338"/>
      <c r="JCP91" s="338"/>
      <c r="JCQ91" s="338"/>
      <c r="JCR91" s="338"/>
      <c r="JCS91" s="338"/>
      <c r="JCT91" s="338"/>
      <c r="JCU91" s="338"/>
      <c r="JCV91" s="338"/>
      <c r="JCW91" s="338"/>
      <c r="JCX91" s="338"/>
      <c r="JCY91" s="338"/>
      <c r="JCZ91" s="338"/>
      <c r="JDA91" s="338"/>
      <c r="JDB91" s="338"/>
      <c r="JDC91" s="338"/>
      <c r="JDD91" s="338"/>
      <c r="JDE91" s="338"/>
      <c r="JDF91" s="338"/>
      <c r="JDG91" s="338"/>
      <c r="JDH91" s="338"/>
      <c r="JDI91" s="338"/>
      <c r="JDJ91" s="338"/>
      <c r="JDK91" s="338"/>
      <c r="JDL91" s="338"/>
      <c r="JDM91" s="338"/>
      <c r="JDN91" s="338"/>
      <c r="JDO91" s="338"/>
      <c r="JDP91" s="338"/>
      <c r="JDQ91" s="338"/>
      <c r="JDR91" s="338"/>
      <c r="JDS91" s="338"/>
      <c r="JDT91" s="338"/>
      <c r="JDU91" s="338"/>
      <c r="JDV91" s="338"/>
      <c r="JDW91" s="338"/>
      <c r="JDX91" s="338"/>
      <c r="JDY91" s="338"/>
      <c r="JDZ91" s="338"/>
      <c r="JEA91" s="338"/>
      <c r="JEB91" s="338"/>
      <c r="JEC91" s="338"/>
      <c r="JED91" s="338"/>
      <c r="JEE91" s="338"/>
      <c r="JEF91" s="338"/>
      <c r="JEG91" s="338"/>
      <c r="JEH91" s="338"/>
      <c r="JEI91" s="338"/>
      <c r="JEJ91" s="338"/>
      <c r="JEK91" s="338"/>
      <c r="JEL91" s="338"/>
      <c r="JEM91" s="338"/>
      <c r="JEN91" s="338"/>
      <c r="JEO91" s="338"/>
      <c r="JEP91" s="338"/>
      <c r="JEQ91" s="338"/>
      <c r="JER91" s="338"/>
      <c r="JES91" s="338"/>
      <c r="JET91" s="338"/>
      <c r="JEU91" s="338"/>
      <c r="JEV91" s="338"/>
      <c r="JEW91" s="338"/>
      <c r="JEX91" s="338"/>
      <c r="JEY91" s="338"/>
      <c r="JEZ91" s="338"/>
      <c r="JFA91" s="338"/>
      <c r="JFB91" s="338"/>
      <c r="JFC91" s="338"/>
      <c r="JFD91" s="338"/>
      <c r="JFE91" s="338"/>
      <c r="JFF91" s="338"/>
      <c r="JFG91" s="338"/>
      <c r="JFH91" s="338"/>
      <c r="JFI91" s="338"/>
      <c r="JFJ91" s="338"/>
      <c r="JFK91" s="338"/>
      <c r="JFL91" s="338"/>
      <c r="JFM91" s="338"/>
      <c r="JFN91" s="338"/>
      <c r="JFO91" s="338"/>
      <c r="JFP91" s="338"/>
      <c r="JFQ91" s="338"/>
      <c r="JFR91" s="338"/>
      <c r="JFS91" s="338"/>
      <c r="JFT91" s="338"/>
      <c r="JFU91" s="338"/>
      <c r="JFV91" s="338"/>
      <c r="JFW91" s="338"/>
      <c r="JFX91" s="338"/>
      <c r="JFY91" s="338"/>
      <c r="JFZ91" s="338"/>
      <c r="JGA91" s="338"/>
      <c r="JGB91" s="338"/>
      <c r="JGC91" s="338"/>
      <c r="JGD91" s="338"/>
      <c r="JGE91" s="338"/>
      <c r="JGF91" s="338"/>
      <c r="JGG91" s="338"/>
      <c r="JGH91" s="338"/>
      <c r="JGI91" s="338"/>
      <c r="JGJ91" s="338"/>
      <c r="JGK91" s="338"/>
      <c r="JGL91" s="338"/>
      <c r="JGM91" s="338"/>
      <c r="JGN91" s="338"/>
      <c r="JGO91" s="338"/>
      <c r="JGP91" s="338"/>
      <c r="JGQ91" s="338"/>
      <c r="JGR91" s="338"/>
      <c r="JGS91" s="338"/>
      <c r="JGT91" s="338"/>
      <c r="JGU91" s="338"/>
      <c r="JGV91" s="338"/>
      <c r="JGW91" s="338"/>
      <c r="JGX91" s="338"/>
      <c r="JGY91" s="338"/>
      <c r="JGZ91" s="338"/>
      <c r="JHA91" s="338"/>
      <c r="JHB91" s="338"/>
      <c r="JHC91" s="338"/>
      <c r="JHD91" s="338"/>
      <c r="JHE91" s="338"/>
      <c r="JHF91" s="338"/>
      <c r="JHG91" s="338"/>
      <c r="JHH91" s="338"/>
      <c r="JHI91" s="338"/>
      <c r="JHJ91" s="338"/>
      <c r="JHK91" s="338"/>
      <c r="JHL91" s="338"/>
      <c r="JHM91" s="338"/>
      <c r="JHN91" s="338"/>
      <c r="JHO91" s="338"/>
      <c r="JHP91" s="338"/>
      <c r="JHQ91" s="338"/>
      <c r="JHR91" s="338"/>
      <c r="JHS91" s="338"/>
      <c r="JHT91" s="338"/>
      <c r="JHU91" s="338"/>
      <c r="JHV91" s="338"/>
      <c r="JHW91" s="338"/>
      <c r="JHX91" s="338"/>
      <c r="JHY91" s="338"/>
      <c r="JHZ91" s="338"/>
      <c r="JIA91" s="338"/>
      <c r="JIB91" s="338"/>
      <c r="JIC91" s="338"/>
      <c r="JID91" s="338"/>
      <c r="JIE91" s="338"/>
      <c r="JIF91" s="338"/>
      <c r="JIG91" s="338"/>
      <c r="JIH91" s="338"/>
      <c r="JII91" s="338"/>
      <c r="JIJ91" s="338"/>
      <c r="JIK91" s="338"/>
      <c r="JIL91" s="338"/>
      <c r="JIM91" s="338"/>
      <c r="JIN91" s="338"/>
      <c r="JIO91" s="338"/>
      <c r="JIP91" s="338"/>
      <c r="JIQ91" s="338"/>
      <c r="JIR91" s="338"/>
      <c r="JIS91" s="338"/>
      <c r="JIT91" s="338"/>
      <c r="JIU91" s="338"/>
      <c r="JIV91" s="338"/>
      <c r="JIW91" s="338"/>
      <c r="JIX91" s="338"/>
      <c r="JIY91" s="338"/>
      <c r="JIZ91" s="338"/>
      <c r="JJA91" s="338"/>
      <c r="JJB91" s="338"/>
      <c r="JJC91" s="338"/>
      <c r="JJD91" s="338"/>
      <c r="JJE91" s="338"/>
      <c r="JJF91" s="338"/>
      <c r="JJG91" s="338"/>
      <c r="JJH91" s="338"/>
      <c r="JJI91" s="338"/>
      <c r="JJJ91" s="338"/>
      <c r="JJK91" s="338"/>
      <c r="JJL91" s="338"/>
      <c r="JJM91" s="338"/>
      <c r="JJN91" s="338"/>
      <c r="JJO91" s="338"/>
      <c r="JJP91" s="338"/>
      <c r="JJQ91" s="338"/>
      <c r="JJR91" s="338"/>
      <c r="JJS91" s="338"/>
      <c r="JJT91" s="338"/>
      <c r="JJU91" s="338"/>
      <c r="JJV91" s="338"/>
      <c r="JJW91" s="338"/>
      <c r="JJX91" s="338"/>
      <c r="JJY91" s="338"/>
      <c r="JJZ91" s="338"/>
      <c r="JKA91" s="338"/>
      <c r="JKB91" s="338"/>
      <c r="JKC91" s="338"/>
      <c r="JKD91" s="338"/>
      <c r="JKE91" s="338"/>
      <c r="JKF91" s="338"/>
      <c r="JKG91" s="338"/>
      <c r="JKH91" s="338"/>
      <c r="JKI91" s="338"/>
      <c r="JKJ91" s="338"/>
      <c r="JKK91" s="338"/>
      <c r="JKL91" s="338"/>
      <c r="JKM91" s="338"/>
      <c r="JKN91" s="338"/>
      <c r="JKO91" s="338"/>
      <c r="JKP91" s="338"/>
      <c r="JKQ91" s="338"/>
      <c r="JKR91" s="338"/>
      <c r="JKS91" s="338"/>
      <c r="JKT91" s="338"/>
      <c r="JKU91" s="338"/>
      <c r="JKV91" s="338"/>
      <c r="JKW91" s="338"/>
      <c r="JKX91" s="338"/>
      <c r="JKY91" s="338"/>
      <c r="JKZ91" s="338"/>
      <c r="JLA91" s="338"/>
      <c r="JLB91" s="338"/>
      <c r="JLC91" s="338"/>
      <c r="JLD91" s="338"/>
      <c r="JLE91" s="338"/>
      <c r="JLF91" s="338"/>
      <c r="JLG91" s="338"/>
      <c r="JLH91" s="338"/>
      <c r="JLI91" s="338"/>
      <c r="JLJ91" s="338"/>
      <c r="JLK91" s="338"/>
      <c r="JLL91" s="338"/>
      <c r="JLM91" s="338"/>
      <c r="JLN91" s="338"/>
      <c r="JLO91" s="338"/>
      <c r="JLP91" s="338"/>
      <c r="JLQ91" s="338"/>
      <c r="JLR91" s="338"/>
      <c r="JLS91" s="338"/>
      <c r="JLT91" s="338"/>
      <c r="JLU91" s="338"/>
      <c r="JLV91" s="338"/>
      <c r="JLW91" s="338"/>
      <c r="JLX91" s="338"/>
      <c r="JLY91" s="338"/>
      <c r="JLZ91" s="338"/>
      <c r="JMA91" s="338"/>
      <c r="JMB91" s="338"/>
      <c r="JMC91" s="338"/>
      <c r="JMD91" s="338"/>
      <c r="JME91" s="338"/>
      <c r="JMF91" s="338"/>
      <c r="JMG91" s="338"/>
      <c r="JMH91" s="338"/>
      <c r="JMI91" s="338"/>
      <c r="JMJ91" s="338"/>
      <c r="JMK91" s="338"/>
      <c r="JML91" s="338"/>
      <c r="JMM91" s="338"/>
      <c r="JMN91" s="338"/>
      <c r="JMO91" s="338"/>
      <c r="JMP91" s="338"/>
      <c r="JMQ91" s="338"/>
      <c r="JMR91" s="338"/>
      <c r="JMS91" s="338"/>
      <c r="JMT91" s="338"/>
      <c r="JMU91" s="338"/>
      <c r="JMV91" s="338"/>
      <c r="JMW91" s="338"/>
      <c r="JMX91" s="338"/>
      <c r="JMY91" s="338"/>
      <c r="JMZ91" s="338"/>
      <c r="JNA91" s="338"/>
      <c r="JNB91" s="338"/>
      <c r="JNC91" s="338"/>
      <c r="JND91" s="338"/>
      <c r="JNE91" s="338"/>
      <c r="JNF91" s="338"/>
      <c r="JNG91" s="338"/>
      <c r="JNH91" s="338"/>
      <c r="JNI91" s="338"/>
      <c r="JNJ91" s="338"/>
      <c r="JNK91" s="338"/>
      <c r="JNL91" s="338"/>
      <c r="JNM91" s="338"/>
      <c r="JNN91" s="338"/>
      <c r="JNO91" s="338"/>
      <c r="JNP91" s="338"/>
      <c r="JNQ91" s="338"/>
      <c r="JNR91" s="338"/>
      <c r="JNS91" s="338"/>
      <c r="JNT91" s="338"/>
      <c r="JNU91" s="338"/>
      <c r="JNV91" s="338"/>
      <c r="JNW91" s="338"/>
      <c r="JNX91" s="338"/>
      <c r="JNY91" s="338"/>
      <c r="JNZ91" s="338"/>
      <c r="JOA91" s="338"/>
      <c r="JOB91" s="338"/>
      <c r="JOC91" s="338"/>
      <c r="JOD91" s="338"/>
      <c r="JOE91" s="338"/>
      <c r="JOF91" s="338"/>
      <c r="JOG91" s="338"/>
      <c r="JOH91" s="338"/>
      <c r="JOI91" s="338"/>
      <c r="JOJ91" s="338"/>
      <c r="JOK91" s="338"/>
      <c r="JOL91" s="338"/>
      <c r="JOM91" s="338"/>
      <c r="JON91" s="338"/>
      <c r="JOO91" s="338"/>
      <c r="JOP91" s="338"/>
      <c r="JOQ91" s="338"/>
      <c r="JOR91" s="338"/>
      <c r="JOS91" s="338"/>
      <c r="JOT91" s="338"/>
      <c r="JOU91" s="338"/>
      <c r="JOV91" s="338"/>
      <c r="JOW91" s="338"/>
      <c r="JOX91" s="338"/>
      <c r="JOY91" s="338"/>
      <c r="JOZ91" s="338"/>
      <c r="JPA91" s="338"/>
      <c r="JPB91" s="338"/>
      <c r="JPC91" s="338"/>
      <c r="JPD91" s="338"/>
      <c r="JPE91" s="338"/>
      <c r="JPF91" s="338"/>
      <c r="JPG91" s="338"/>
      <c r="JPH91" s="338"/>
      <c r="JPI91" s="338"/>
      <c r="JPJ91" s="338"/>
      <c r="JPK91" s="338"/>
      <c r="JPL91" s="338"/>
      <c r="JPM91" s="338"/>
      <c r="JPN91" s="338"/>
      <c r="JPO91" s="338"/>
      <c r="JPP91" s="338"/>
      <c r="JPQ91" s="338"/>
      <c r="JPR91" s="338"/>
      <c r="JPS91" s="338"/>
      <c r="JPT91" s="338"/>
      <c r="JPU91" s="338"/>
      <c r="JPV91" s="338"/>
      <c r="JPW91" s="338"/>
      <c r="JPX91" s="338"/>
      <c r="JPY91" s="338"/>
      <c r="JPZ91" s="338"/>
      <c r="JQA91" s="338"/>
      <c r="JQB91" s="338"/>
      <c r="JQC91" s="338"/>
      <c r="JQD91" s="338"/>
      <c r="JQE91" s="338"/>
      <c r="JQF91" s="338"/>
      <c r="JQG91" s="338"/>
      <c r="JQH91" s="338"/>
      <c r="JQI91" s="338"/>
      <c r="JQJ91" s="338"/>
      <c r="JQK91" s="338"/>
      <c r="JQL91" s="338"/>
      <c r="JQM91" s="338"/>
      <c r="JQN91" s="338"/>
      <c r="JQO91" s="338"/>
      <c r="JQP91" s="338"/>
      <c r="JQQ91" s="338"/>
      <c r="JQR91" s="338"/>
      <c r="JQS91" s="338"/>
      <c r="JQT91" s="338"/>
      <c r="JQU91" s="338"/>
      <c r="JQV91" s="338"/>
      <c r="JQW91" s="338"/>
      <c r="JQX91" s="338"/>
      <c r="JQY91" s="338"/>
      <c r="JQZ91" s="338"/>
      <c r="JRA91" s="338"/>
      <c r="JRB91" s="338"/>
      <c r="JRC91" s="338"/>
      <c r="JRD91" s="338"/>
      <c r="JRE91" s="338"/>
      <c r="JRF91" s="338"/>
      <c r="JRG91" s="338"/>
      <c r="JRH91" s="338"/>
      <c r="JRI91" s="338"/>
      <c r="JRJ91" s="338"/>
      <c r="JRK91" s="338"/>
      <c r="JRL91" s="338"/>
      <c r="JRM91" s="338"/>
      <c r="JRN91" s="338"/>
      <c r="JRO91" s="338"/>
      <c r="JRP91" s="338"/>
      <c r="JRQ91" s="338"/>
      <c r="JRR91" s="338"/>
      <c r="JRS91" s="338"/>
      <c r="JRT91" s="338"/>
      <c r="JRU91" s="338"/>
      <c r="JRV91" s="338"/>
      <c r="JRW91" s="338"/>
      <c r="JRX91" s="338"/>
      <c r="JRY91" s="338"/>
      <c r="JRZ91" s="338"/>
      <c r="JSA91" s="338"/>
      <c r="JSB91" s="338"/>
      <c r="JSC91" s="338"/>
      <c r="JSD91" s="338"/>
      <c r="JSE91" s="338"/>
      <c r="JSF91" s="338"/>
      <c r="JSG91" s="338"/>
      <c r="JSH91" s="338"/>
      <c r="JSI91" s="338"/>
      <c r="JSJ91" s="338"/>
      <c r="JSK91" s="338"/>
      <c r="JSL91" s="338"/>
      <c r="JSM91" s="338"/>
      <c r="JSN91" s="338"/>
      <c r="JSO91" s="338"/>
      <c r="JSP91" s="338"/>
      <c r="JSQ91" s="338"/>
      <c r="JSR91" s="338"/>
      <c r="JSS91" s="338"/>
      <c r="JST91" s="338"/>
      <c r="JSU91" s="338"/>
      <c r="JSV91" s="338"/>
      <c r="JSW91" s="338"/>
      <c r="JSX91" s="338"/>
      <c r="JSY91" s="338"/>
      <c r="JSZ91" s="338"/>
      <c r="JTA91" s="338"/>
      <c r="JTB91" s="338"/>
      <c r="JTC91" s="338"/>
      <c r="JTD91" s="338"/>
      <c r="JTE91" s="338"/>
      <c r="JTF91" s="338"/>
      <c r="JTG91" s="338"/>
      <c r="JTH91" s="338"/>
      <c r="JTI91" s="338"/>
      <c r="JTJ91" s="338"/>
      <c r="JTK91" s="338"/>
      <c r="JTL91" s="338"/>
      <c r="JTM91" s="338"/>
      <c r="JTN91" s="338"/>
      <c r="JTO91" s="338"/>
      <c r="JTP91" s="338"/>
      <c r="JTQ91" s="338"/>
      <c r="JTR91" s="338"/>
      <c r="JTS91" s="338"/>
      <c r="JTT91" s="338"/>
      <c r="JTU91" s="338"/>
      <c r="JTV91" s="338"/>
      <c r="JTW91" s="338"/>
      <c r="JTX91" s="338"/>
      <c r="JTY91" s="338"/>
      <c r="JTZ91" s="338"/>
      <c r="JUA91" s="338"/>
      <c r="JUB91" s="338"/>
      <c r="JUC91" s="338"/>
      <c r="JUD91" s="338"/>
      <c r="JUE91" s="338"/>
      <c r="JUF91" s="338"/>
      <c r="JUG91" s="338"/>
      <c r="JUH91" s="338"/>
      <c r="JUI91" s="338"/>
      <c r="JUJ91" s="338"/>
      <c r="JUK91" s="338"/>
      <c r="JUL91" s="338"/>
      <c r="JUM91" s="338"/>
      <c r="JUN91" s="338"/>
      <c r="JUO91" s="338"/>
      <c r="JUP91" s="338"/>
      <c r="JUQ91" s="338"/>
      <c r="JUR91" s="338"/>
      <c r="JUS91" s="338"/>
      <c r="JUT91" s="338"/>
      <c r="JUU91" s="338"/>
      <c r="JUV91" s="338"/>
      <c r="JUW91" s="338"/>
      <c r="JUX91" s="338"/>
      <c r="JUY91" s="338"/>
      <c r="JUZ91" s="338"/>
      <c r="JVA91" s="338"/>
      <c r="JVB91" s="338"/>
      <c r="JVC91" s="338"/>
      <c r="JVD91" s="338"/>
      <c r="JVE91" s="338"/>
      <c r="JVF91" s="338"/>
      <c r="JVG91" s="338"/>
      <c r="JVH91" s="338"/>
      <c r="JVI91" s="338"/>
      <c r="JVJ91" s="338"/>
      <c r="JVK91" s="338"/>
      <c r="JVL91" s="338"/>
      <c r="JVM91" s="338"/>
      <c r="JVN91" s="338"/>
      <c r="JVO91" s="338"/>
      <c r="JVP91" s="338"/>
      <c r="JVQ91" s="338"/>
      <c r="JVR91" s="338"/>
      <c r="JVS91" s="338"/>
      <c r="JVT91" s="338"/>
      <c r="JVU91" s="338"/>
      <c r="JVV91" s="338"/>
      <c r="JVW91" s="338"/>
      <c r="JVX91" s="338"/>
      <c r="JVY91" s="338"/>
      <c r="JVZ91" s="338"/>
      <c r="JWA91" s="338"/>
      <c r="JWB91" s="338"/>
      <c r="JWC91" s="338"/>
      <c r="JWD91" s="338"/>
      <c r="JWE91" s="338"/>
      <c r="JWF91" s="338"/>
      <c r="JWG91" s="338"/>
      <c r="JWH91" s="338"/>
      <c r="JWI91" s="338"/>
      <c r="JWJ91" s="338"/>
      <c r="JWK91" s="338"/>
      <c r="JWL91" s="338"/>
      <c r="JWM91" s="338"/>
      <c r="JWN91" s="338"/>
      <c r="JWO91" s="338"/>
      <c r="JWP91" s="338"/>
      <c r="JWQ91" s="338"/>
      <c r="JWR91" s="338"/>
      <c r="JWS91" s="338"/>
      <c r="JWT91" s="338"/>
      <c r="JWU91" s="338"/>
      <c r="JWV91" s="338"/>
      <c r="JWW91" s="338"/>
      <c r="JWX91" s="338"/>
      <c r="JWY91" s="338"/>
      <c r="JWZ91" s="338"/>
      <c r="JXA91" s="338"/>
      <c r="JXB91" s="338"/>
      <c r="JXC91" s="338"/>
      <c r="JXD91" s="338"/>
      <c r="JXE91" s="338"/>
      <c r="JXF91" s="338"/>
      <c r="JXG91" s="338"/>
      <c r="JXH91" s="338"/>
      <c r="JXI91" s="338"/>
      <c r="JXJ91" s="338"/>
      <c r="JXK91" s="338"/>
      <c r="JXL91" s="338"/>
      <c r="JXM91" s="338"/>
      <c r="JXN91" s="338"/>
      <c r="JXO91" s="338"/>
      <c r="JXP91" s="338"/>
      <c r="JXQ91" s="338"/>
      <c r="JXR91" s="338"/>
      <c r="JXS91" s="338"/>
      <c r="JXT91" s="338"/>
      <c r="JXU91" s="338"/>
      <c r="JXV91" s="338"/>
      <c r="JXW91" s="338"/>
      <c r="JXX91" s="338"/>
      <c r="JXY91" s="338"/>
      <c r="JXZ91" s="338"/>
      <c r="JYA91" s="338"/>
      <c r="JYB91" s="338"/>
      <c r="JYC91" s="338"/>
      <c r="JYD91" s="338"/>
      <c r="JYE91" s="338"/>
      <c r="JYF91" s="338"/>
      <c r="JYG91" s="338"/>
      <c r="JYH91" s="338"/>
      <c r="JYI91" s="338"/>
      <c r="JYJ91" s="338"/>
      <c r="JYK91" s="338"/>
      <c r="JYL91" s="338"/>
      <c r="JYM91" s="338"/>
      <c r="JYN91" s="338"/>
      <c r="JYO91" s="338"/>
      <c r="JYP91" s="338"/>
      <c r="JYQ91" s="338"/>
      <c r="JYR91" s="338"/>
      <c r="JYS91" s="338"/>
      <c r="JYT91" s="338"/>
      <c r="JYU91" s="338"/>
      <c r="JYV91" s="338"/>
      <c r="JYW91" s="338"/>
      <c r="JYX91" s="338"/>
      <c r="JYY91" s="338"/>
      <c r="JYZ91" s="338"/>
      <c r="JZA91" s="338"/>
      <c r="JZB91" s="338"/>
      <c r="JZC91" s="338"/>
      <c r="JZD91" s="338"/>
      <c r="JZE91" s="338"/>
      <c r="JZF91" s="338"/>
      <c r="JZG91" s="338"/>
      <c r="JZH91" s="338"/>
      <c r="JZI91" s="338"/>
      <c r="JZJ91" s="338"/>
      <c r="JZK91" s="338"/>
      <c r="JZL91" s="338"/>
      <c r="JZM91" s="338"/>
      <c r="JZN91" s="338"/>
      <c r="JZO91" s="338"/>
      <c r="JZP91" s="338"/>
      <c r="JZQ91" s="338"/>
      <c r="JZR91" s="338"/>
      <c r="JZS91" s="338"/>
      <c r="JZT91" s="338"/>
      <c r="JZU91" s="338"/>
      <c r="JZV91" s="338"/>
      <c r="JZW91" s="338"/>
      <c r="JZX91" s="338"/>
      <c r="JZY91" s="338"/>
      <c r="JZZ91" s="338"/>
      <c r="KAA91" s="338"/>
      <c r="KAB91" s="338"/>
      <c r="KAC91" s="338"/>
      <c r="KAD91" s="338"/>
      <c r="KAE91" s="338"/>
      <c r="KAF91" s="338"/>
      <c r="KAG91" s="338"/>
      <c r="KAH91" s="338"/>
      <c r="KAI91" s="338"/>
      <c r="KAJ91" s="338"/>
      <c r="KAK91" s="338"/>
      <c r="KAL91" s="338"/>
      <c r="KAM91" s="338"/>
      <c r="KAN91" s="338"/>
      <c r="KAO91" s="338"/>
      <c r="KAP91" s="338"/>
      <c r="KAQ91" s="338"/>
      <c r="KAR91" s="338"/>
      <c r="KAS91" s="338"/>
      <c r="KAT91" s="338"/>
      <c r="KAU91" s="338"/>
      <c r="KAV91" s="338"/>
      <c r="KAW91" s="338"/>
      <c r="KAX91" s="338"/>
      <c r="KAY91" s="338"/>
      <c r="KAZ91" s="338"/>
      <c r="KBA91" s="338"/>
      <c r="KBB91" s="338"/>
      <c r="KBC91" s="338"/>
      <c r="KBD91" s="338"/>
      <c r="KBE91" s="338"/>
      <c r="KBF91" s="338"/>
      <c r="KBG91" s="338"/>
      <c r="KBH91" s="338"/>
      <c r="KBI91" s="338"/>
      <c r="KBJ91" s="338"/>
      <c r="KBK91" s="338"/>
      <c r="KBL91" s="338"/>
      <c r="KBM91" s="338"/>
      <c r="KBN91" s="338"/>
      <c r="KBO91" s="338"/>
      <c r="KBP91" s="338"/>
      <c r="KBQ91" s="338"/>
      <c r="KBR91" s="338"/>
      <c r="KBS91" s="338"/>
      <c r="KBT91" s="338"/>
      <c r="KBU91" s="338"/>
      <c r="KBV91" s="338"/>
      <c r="KBW91" s="338"/>
      <c r="KBX91" s="338"/>
      <c r="KBY91" s="338"/>
      <c r="KBZ91" s="338"/>
      <c r="KCA91" s="338"/>
      <c r="KCB91" s="338"/>
      <c r="KCC91" s="338"/>
      <c r="KCD91" s="338"/>
      <c r="KCE91" s="338"/>
      <c r="KCF91" s="338"/>
      <c r="KCG91" s="338"/>
      <c r="KCH91" s="338"/>
      <c r="KCI91" s="338"/>
      <c r="KCJ91" s="338"/>
      <c r="KCK91" s="338"/>
      <c r="KCL91" s="338"/>
      <c r="KCM91" s="338"/>
      <c r="KCN91" s="338"/>
      <c r="KCO91" s="338"/>
      <c r="KCP91" s="338"/>
      <c r="KCQ91" s="338"/>
      <c r="KCR91" s="338"/>
      <c r="KCS91" s="338"/>
      <c r="KCT91" s="338"/>
      <c r="KCU91" s="338"/>
      <c r="KCV91" s="338"/>
      <c r="KCW91" s="338"/>
      <c r="KCX91" s="338"/>
      <c r="KCY91" s="338"/>
      <c r="KCZ91" s="338"/>
      <c r="KDA91" s="338"/>
      <c r="KDB91" s="338"/>
      <c r="KDC91" s="338"/>
      <c r="KDD91" s="338"/>
      <c r="KDE91" s="338"/>
      <c r="KDF91" s="338"/>
      <c r="KDG91" s="338"/>
      <c r="KDH91" s="338"/>
      <c r="KDI91" s="338"/>
      <c r="KDJ91" s="338"/>
      <c r="KDK91" s="338"/>
      <c r="KDL91" s="338"/>
      <c r="KDM91" s="338"/>
      <c r="KDN91" s="338"/>
      <c r="KDO91" s="338"/>
      <c r="KDP91" s="338"/>
      <c r="KDQ91" s="338"/>
      <c r="KDR91" s="338"/>
      <c r="KDS91" s="338"/>
      <c r="KDT91" s="338"/>
      <c r="KDU91" s="338"/>
      <c r="KDV91" s="338"/>
      <c r="KDW91" s="338"/>
      <c r="KDX91" s="338"/>
      <c r="KDY91" s="338"/>
      <c r="KDZ91" s="338"/>
      <c r="KEA91" s="338"/>
      <c r="KEB91" s="338"/>
      <c r="KEC91" s="338"/>
      <c r="KED91" s="338"/>
      <c r="KEE91" s="338"/>
      <c r="KEF91" s="338"/>
      <c r="KEG91" s="338"/>
      <c r="KEH91" s="338"/>
      <c r="KEI91" s="338"/>
      <c r="KEJ91" s="338"/>
      <c r="KEK91" s="338"/>
      <c r="KEL91" s="338"/>
      <c r="KEM91" s="338"/>
      <c r="KEN91" s="338"/>
      <c r="KEO91" s="338"/>
      <c r="KEP91" s="338"/>
      <c r="KEQ91" s="338"/>
      <c r="KER91" s="338"/>
      <c r="KES91" s="338"/>
      <c r="KET91" s="338"/>
      <c r="KEU91" s="338"/>
      <c r="KEV91" s="338"/>
      <c r="KEW91" s="338"/>
      <c r="KEX91" s="338"/>
      <c r="KEY91" s="338"/>
      <c r="KEZ91" s="338"/>
      <c r="KFA91" s="338"/>
      <c r="KFB91" s="338"/>
      <c r="KFC91" s="338"/>
      <c r="KFD91" s="338"/>
      <c r="KFE91" s="338"/>
      <c r="KFF91" s="338"/>
      <c r="KFG91" s="338"/>
      <c r="KFH91" s="338"/>
      <c r="KFI91" s="338"/>
      <c r="KFJ91" s="338"/>
      <c r="KFK91" s="338"/>
      <c r="KFL91" s="338"/>
      <c r="KFM91" s="338"/>
      <c r="KFN91" s="338"/>
      <c r="KFO91" s="338"/>
      <c r="KFP91" s="338"/>
      <c r="KFQ91" s="338"/>
      <c r="KFR91" s="338"/>
      <c r="KFS91" s="338"/>
      <c r="KFT91" s="338"/>
      <c r="KFU91" s="338"/>
      <c r="KFV91" s="338"/>
      <c r="KFW91" s="338"/>
      <c r="KFX91" s="338"/>
      <c r="KFY91" s="338"/>
      <c r="KFZ91" s="338"/>
      <c r="KGA91" s="338"/>
      <c r="KGB91" s="338"/>
      <c r="KGC91" s="338"/>
      <c r="KGD91" s="338"/>
      <c r="KGE91" s="338"/>
      <c r="KGF91" s="338"/>
      <c r="KGG91" s="338"/>
      <c r="KGH91" s="338"/>
      <c r="KGI91" s="338"/>
      <c r="KGJ91" s="338"/>
      <c r="KGK91" s="338"/>
      <c r="KGL91" s="338"/>
      <c r="KGM91" s="338"/>
      <c r="KGN91" s="338"/>
      <c r="KGO91" s="338"/>
      <c r="KGP91" s="338"/>
      <c r="KGQ91" s="338"/>
      <c r="KGR91" s="338"/>
      <c r="KGS91" s="338"/>
      <c r="KGT91" s="338"/>
      <c r="KGU91" s="338"/>
      <c r="KGV91" s="338"/>
      <c r="KGW91" s="338"/>
      <c r="KGX91" s="338"/>
      <c r="KGY91" s="338"/>
      <c r="KGZ91" s="338"/>
      <c r="KHA91" s="338"/>
      <c r="KHB91" s="338"/>
      <c r="KHC91" s="338"/>
      <c r="KHD91" s="338"/>
      <c r="KHE91" s="338"/>
      <c r="KHF91" s="338"/>
      <c r="KHG91" s="338"/>
      <c r="KHH91" s="338"/>
      <c r="KHI91" s="338"/>
      <c r="KHJ91" s="338"/>
      <c r="KHK91" s="338"/>
      <c r="KHL91" s="338"/>
      <c r="KHM91" s="338"/>
      <c r="KHN91" s="338"/>
      <c r="KHO91" s="338"/>
      <c r="KHP91" s="338"/>
      <c r="KHQ91" s="338"/>
      <c r="KHR91" s="338"/>
      <c r="KHS91" s="338"/>
      <c r="KHT91" s="338"/>
      <c r="KHU91" s="338"/>
      <c r="KHV91" s="338"/>
      <c r="KHW91" s="338"/>
      <c r="KHX91" s="338"/>
      <c r="KHY91" s="338"/>
      <c r="KHZ91" s="338"/>
      <c r="KIA91" s="338"/>
      <c r="KIB91" s="338"/>
      <c r="KIC91" s="338"/>
      <c r="KID91" s="338"/>
      <c r="KIE91" s="338"/>
      <c r="KIF91" s="338"/>
      <c r="KIG91" s="338"/>
      <c r="KIH91" s="338"/>
      <c r="KII91" s="338"/>
      <c r="KIJ91" s="338"/>
      <c r="KIK91" s="338"/>
      <c r="KIL91" s="338"/>
      <c r="KIM91" s="338"/>
      <c r="KIN91" s="338"/>
      <c r="KIO91" s="338"/>
      <c r="KIP91" s="338"/>
      <c r="KIQ91" s="338"/>
      <c r="KIR91" s="338"/>
      <c r="KIS91" s="338"/>
      <c r="KIT91" s="338"/>
      <c r="KIU91" s="338"/>
      <c r="KIV91" s="338"/>
      <c r="KIW91" s="338"/>
      <c r="KIX91" s="338"/>
      <c r="KIY91" s="338"/>
      <c r="KIZ91" s="338"/>
      <c r="KJA91" s="338"/>
      <c r="KJB91" s="338"/>
      <c r="KJC91" s="338"/>
      <c r="KJD91" s="338"/>
      <c r="KJE91" s="338"/>
      <c r="KJF91" s="338"/>
      <c r="KJG91" s="338"/>
      <c r="KJH91" s="338"/>
      <c r="KJI91" s="338"/>
      <c r="KJJ91" s="338"/>
      <c r="KJK91" s="338"/>
      <c r="KJL91" s="338"/>
      <c r="KJM91" s="338"/>
      <c r="KJN91" s="338"/>
      <c r="KJO91" s="338"/>
      <c r="KJP91" s="338"/>
      <c r="KJQ91" s="338"/>
      <c r="KJR91" s="338"/>
      <c r="KJS91" s="338"/>
      <c r="KJT91" s="338"/>
      <c r="KJU91" s="338"/>
      <c r="KJV91" s="338"/>
      <c r="KJW91" s="338"/>
      <c r="KJX91" s="338"/>
      <c r="KJY91" s="338"/>
      <c r="KJZ91" s="338"/>
      <c r="KKA91" s="338"/>
      <c r="KKB91" s="338"/>
      <c r="KKC91" s="338"/>
      <c r="KKD91" s="338"/>
      <c r="KKE91" s="338"/>
      <c r="KKF91" s="338"/>
      <c r="KKG91" s="338"/>
      <c r="KKH91" s="338"/>
      <c r="KKI91" s="338"/>
      <c r="KKJ91" s="338"/>
      <c r="KKK91" s="338"/>
      <c r="KKL91" s="338"/>
      <c r="KKM91" s="338"/>
      <c r="KKN91" s="338"/>
      <c r="KKO91" s="338"/>
      <c r="KKP91" s="338"/>
      <c r="KKQ91" s="338"/>
      <c r="KKR91" s="338"/>
      <c r="KKS91" s="338"/>
      <c r="KKT91" s="338"/>
      <c r="KKU91" s="338"/>
      <c r="KKV91" s="338"/>
      <c r="KKW91" s="338"/>
      <c r="KKX91" s="338"/>
      <c r="KKY91" s="338"/>
      <c r="KKZ91" s="338"/>
      <c r="KLA91" s="338"/>
      <c r="KLB91" s="338"/>
      <c r="KLC91" s="338"/>
      <c r="KLD91" s="338"/>
      <c r="KLE91" s="338"/>
      <c r="KLF91" s="338"/>
      <c r="KLG91" s="338"/>
      <c r="KLH91" s="338"/>
      <c r="KLI91" s="338"/>
      <c r="KLJ91" s="338"/>
      <c r="KLK91" s="338"/>
      <c r="KLL91" s="338"/>
      <c r="KLM91" s="338"/>
      <c r="KLN91" s="338"/>
      <c r="KLO91" s="338"/>
      <c r="KLP91" s="338"/>
      <c r="KLQ91" s="338"/>
      <c r="KLR91" s="338"/>
      <c r="KLS91" s="338"/>
      <c r="KLT91" s="338"/>
      <c r="KLU91" s="338"/>
      <c r="KLV91" s="338"/>
      <c r="KLW91" s="338"/>
      <c r="KLX91" s="338"/>
      <c r="KLY91" s="338"/>
      <c r="KLZ91" s="338"/>
      <c r="KMA91" s="338"/>
      <c r="KMB91" s="338"/>
      <c r="KMC91" s="338"/>
      <c r="KMD91" s="338"/>
      <c r="KME91" s="338"/>
      <c r="KMF91" s="338"/>
      <c r="KMG91" s="338"/>
      <c r="KMH91" s="338"/>
      <c r="KMI91" s="338"/>
      <c r="KMJ91" s="338"/>
      <c r="KMK91" s="338"/>
      <c r="KML91" s="338"/>
      <c r="KMM91" s="338"/>
      <c r="KMN91" s="338"/>
      <c r="KMO91" s="338"/>
      <c r="KMP91" s="338"/>
      <c r="KMQ91" s="338"/>
      <c r="KMR91" s="338"/>
      <c r="KMS91" s="338"/>
      <c r="KMT91" s="338"/>
      <c r="KMU91" s="338"/>
      <c r="KMV91" s="338"/>
      <c r="KMW91" s="338"/>
      <c r="KMX91" s="338"/>
      <c r="KMY91" s="338"/>
      <c r="KMZ91" s="338"/>
      <c r="KNA91" s="338"/>
      <c r="KNB91" s="338"/>
      <c r="KNC91" s="338"/>
      <c r="KND91" s="338"/>
      <c r="KNE91" s="338"/>
      <c r="KNF91" s="338"/>
      <c r="KNG91" s="338"/>
      <c r="KNH91" s="338"/>
      <c r="KNI91" s="338"/>
      <c r="KNJ91" s="338"/>
      <c r="KNK91" s="338"/>
      <c r="KNL91" s="338"/>
      <c r="KNM91" s="338"/>
      <c r="KNN91" s="338"/>
      <c r="KNO91" s="338"/>
      <c r="KNP91" s="338"/>
      <c r="KNQ91" s="338"/>
      <c r="KNR91" s="338"/>
      <c r="KNS91" s="338"/>
      <c r="KNT91" s="338"/>
      <c r="KNU91" s="338"/>
      <c r="KNV91" s="338"/>
      <c r="KNW91" s="338"/>
      <c r="KNX91" s="338"/>
      <c r="KNY91" s="338"/>
      <c r="KNZ91" s="338"/>
      <c r="KOA91" s="338"/>
      <c r="KOB91" s="338"/>
      <c r="KOC91" s="338"/>
      <c r="KOD91" s="338"/>
      <c r="KOE91" s="338"/>
      <c r="KOF91" s="338"/>
      <c r="KOG91" s="338"/>
      <c r="KOH91" s="338"/>
      <c r="KOI91" s="338"/>
      <c r="KOJ91" s="338"/>
      <c r="KOK91" s="338"/>
      <c r="KOL91" s="338"/>
      <c r="KOM91" s="338"/>
      <c r="KON91" s="338"/>
      <c r="KOO91" s="338"/>
      <c r="KOP91" s="338"/>
      <c r="KOQ91" s="338"/>
      <c r="KOR91" s="338"/>
      <c r="KOS91" s="338"/>
      <c r="KOT91" s="338"/>
      <c r="KOU91" s="338"/>
      <c r="KOV91" s="338"/>
      <c r="KOW91" s="338"/>
      <c r="KOX91" s="338"/>
      <c r="KOY91" s="338"/>
      <c r="KOZ91" s="338"/>
      <c r="KPA91" s="338"/>
      <c r="KPB91" s="338"/>
      <c r="KPC91" s="338"/>
      <c r="KPD91" s="338"/>
      <c r="KPE91" s="338"/>
      <c r="KPF91" s="338"/>
      <c r="KPG91" s="338"/>
      <c r="KPH91" s="338"/>
      <c r="KPI91" s="338"/>
      <c r="KPJ91" s="338"/>
      <c r="KPK91" s="338"/>
      <c r="KPL91" s="338"/>
      <c r="KPM91" s="338"/>
      <c r="KPN91" s="338"/>
      <c r="KPO91" s="338"/>
      <c r="KPP91" s="338"/>
      <c r="KPQ91" s="338"/>
      <c r="KPR91" s="338"/>
      <c r="KPS91" s="338"/>
      <c r="KPT91" s="338"/>
      <c r="KPU91" s="338"/>
      <c r="KPV91" s="338"/>
      <c r="KPW91" s="338"/>
      <c r="KPX91" s="338"/>
      <c r="KPY91" s="338"/>
      <c r="KPZ91" s="338"/>
      <c r="KQA91" s="338"/>
      <c r="KQB91" s="338"/>
      <c r="KQC91" s="338"/>
      <c r="KQD91" s="338"/>
      <c r="KQE91" s="338"/>
      <c r="KQF91" s="338"/>
      <c r="KQG91" s="338"/>
      <c r="KQH91" s="338"/>
      <c r="KQI91" s="338"/>
      <c r="KQJ91" s="338"/>
      <c r="KQK91" s="338"/>
      <c r="KQL91" s="338"/>
      <c r="KQM91" s="338"/>
      <c r="KQN91" s="338"/>
      <c r="KQO91" s="338"/>
      <c r="KQP91" s="338"/>
      <c r="KQQ91" s="338"/>
      <c r="KQR91" s="338"/>
      <c r="KQS91" s="338"/>
      <c r="KQT91" s="338"/>
      <c r="KQU91" s="338"/>
      <c r="KQV91" s="338"/>
      <c r="KQW91" s="338"/>
      <c r="KQX91" s="338"/>
      <c r="KQY91" s="338"/>
      <c r="KQZ91" s="338"/>
      <c r="KRA91" s="338"/>
      <c r="KRB91" s="338"/>
      <c r="KRC91" s="338"/>
      <c r="KRD91" s="338"/>
      <c r="KRE91" s="338"/>
      <c r="KRF91" s="338"/>
      <c r="KRG91" s="338"/>
      <c r="KRH91" s="338"/>
      <c r="KRI91" s="338"/>
      <c r="KRJ91" s="338"/>
      <c r="KRK91" s="338"/>
      <c r="KRL91" s="338"/>
      <c r="KRM91" s="338"/>
      <c r="KRN91" s="338"/>
      <c r="KRO91" s="338"/>
      <c r="KRP91" s="338"/>
      <c r="KRQ91" s="338"/>
      <c r="KRR91" s="338"/>
      <c r="KRS91" s="338"/>
      <c r="KRT91" s="338"/>
      <c r="KRU91" s="338"/>
      <c r="KRV91" s="338"/>
      <c r="KRW91" s="338"/>
      <c r="KRX91" s="338"/>
      <c r="KRY91" s="338"/>
      <c r="KRZ91" s="338"/>
      <c r="KSA91" s="338"/>
      <c r="KSB91" s="338"/>
      <c r="KSC91" s="338"/>
      <c r="KSD91" s="338"/>
      <c r="KSE91" s="338"/>
      <c r="KSF91" s="338"/>
      <c r="KSG91" s="338"/>
      <c r="KSH91" s="338"/>
      <c r="KSI91" s="338"/>
      <c r="KSJ91" s="338"/>
      <c r="KSK91" s="338"/>
      <c r="KSL91" s="338"/>
      <c r="KSM91" s="338"/>
      <c r="KSN91" s="338"/>
      <c r="KSO91" s="338"/>
      <c r="KSP91" s="338"/>
      <c r="KSQ91" s="338"/>
      <c r="KSR91" s="338"/>
      <c r="KSS91" s="338"/>
      <c r="KST91" s="338"/>
      <c r="KSU91" s="338"/>
      <c r="KSV91" s="338"/>
      <c r="KSW91" s="338"/>
      <c r="KSX91" s="338"/>
      <c r="KSY91" s="338"/>
      <c r="KSZ91" s="338"/>
      <c r="KTA91" s="338"/>
      <c r="KTB91" s="338"/>
      <c r="KTC91" s="338"/>
      <c r="KTD91" s="338"/>
      <c r="KTE91" s="338"/>
      <c r="KTF91" s="338"/>
      <c r="KTG91" s="338"/>
      <c r="KTH91" s="338"/>
      <c r="KTI91" s="338"/>
      <c r="KTJ91" s="338"/>
      <c r="KTK91" s="338"/>
      <c r="KTL91" s="338"/>
      <c r="KTM91" s="338"/>
      <c r="KTN91" s="338"/>
      <c r="KTO91" s="338"/>
      <c r="KTP91" s="338"/>
      <c r="KTQ91" s="338"/>
      <c r="KTR91" s="338"/>
      <c r="KTS91" s="338"/>
      <c r="KTT91" s="338"/>
      <c r="KTU91" s="338"/>
      <c r="KTV91" s="338"/>
      <c r="KTW91" s="338"/>
      <c r="KTX91" s="338"/>
      <c r="KTY91" s="338"/>
      <c r="KTZ91" s="338"/>
      <c r="KUA91" s="338"/>
      <c r="KUB91" s="338"/>
      <c r="KUC91" s="338"/>
      <c r="KUD91" s="338"/>
      <c r="KUE91" s="338"/>
      <c r="KUF91" s="338"/>
      <c r="KUG91" s="338"/>
      <c r="KUH91" s="338"/>
      <c r="KUI91" s="338"/>
      <c r="KUJ91" s="338"/>
      <c r="KUK91" s="338"/>
      <c r="KUL91" s="338"/>
      <c r="KUM91" s="338"/>
      <c r="KUN91" s="338"/>
      <c r="KUO91" s="338"/>
      <c r="KUP91" s="338"/>
      <c r="KUQ91" s="338"/>
      <c r="KUR91" s="338"/>
      <c r="KUS91" s="338"/>
      <c r="KUT91" s="338"/>
      <c r="KUU91" s="338"/>
      <c r="KUV91" s="338"/>
      <c r="KUW91" s="338"/>
      <c r="KUX91" s="338"/>
      <c r="KUY91" s="338"/>
      <c r="KUZ91" s="338"/>
      <c r="KVA91" s="338"/>
      <c r="KVB91" s="338"/>
      <c r="KVC91" s="338"/>
      <c r="KVD91" s="338"/>
      <c r="KVE91" s="338"/>
      <c r="KVF91" s="338"/>
      <c r="KVG91" s="338"/>
      <c r="KVH91" s="338"/>
      <c r="KVI91" s="338"/>
      <c r="KVJ91" s="338"/>
      <c r="KVK91" s="338"/>
      <c r="KVL91" s="338"/>
      <c r="KVM91" s="338"/>
      <c r="KVN91" s="338"/>
      <c r="KVO91" s="338"/>
      <c r="KVP91" s="338"/>
      <c r="KVQ91" s="338"/>
      <c r="KVR91" s="338"/>
      <c r="KVS91" s="338"/>
      <c r="KVT91" s="338"/>
      <c r="KVU91" s="338"/>
      <c r="KVV91" s="338"/>
      <c r="KVW91" s="338"/>
      <c r="KVX91" s="338"/>
      <c r="KVY91" s="338"/>
      <c r="KVZ91" s="338"/>
      <c r="KWA91" s="338"/>
      <c r="KWB91" s="338"/>
      <c r="KWC91" s="338"/>
      <c r="KWD91" s="338"/>
      <c r="KWE91" s="338"/>
      <c r="KWF91" s="338"/>
      <c r="KWG91" s="338"/>
      <c r="KWH91" s="338"/>
      <c r="KWI91" s="338"/>
      <c r="KWJ91" s="338"/>
      <c r="KWK91" s="338"/>
      <c r="KWL91" s="338"/>
      <c r="KWM91" s="338"/>
      <c r="KWN91" s="338"/>
      <c r="KWO91" s="338"/>
      <c r="KWP91" s="338"/>
      <c r="KWQ91" s="338"/>
      <c r="KWR91" s="338"/>
      <c r="KWS91" s="338"/>
      <c r="KWT91" s="338"/>
      <c r="KWU91" s="338"/>
      <c r="KWV91" s="338"/>
      <c r="KWW91" s="338"/>
      <c r="KWX91" s="338"/>
      <c r="KWY91" s="338"/>
      <c r="KWZ91" s="338"/>
      <c r="KXA91" s="338"/>
      <c r="KXB91" s="338"/>
      <c r="KXC91" s="338"/>
      <c r="KXD91" s="338"/>
      <c r="KXE91" s="338"/>
      <c r="KXF91" s="338"/>
      <c r="KXG91" s="338"/>
      <c r="KXH91" s="338"/>
      <c r="KXI91" s="338"/>
      <c r="KXJ91" s="338"/>
      <c r="KXK91" s="338"/>
      <c r="KXL91" s="338"/>
      <c r="KXM91" s="338"/>
      <c r="KXN91" s="338"/>
      <c r="KXO91" s="338"/>
      <c r="KXP91" s="338"/>
      <c r="KXQ91" s="338"/>
      <c r="KXR91" s="338"/>
      <c r="KXS91" s="338"/>
      <c r="KXT91" s="338"/>
      <c r="KXU91" s="338"/>
      <c r="KXV91" s="338"/>
      <c r="KXW91" s="338"/>
      <c r="KXX91" s="338"/>
      <c r="KXY91" s="338"/>
      <c r="KXZ91" s="338"/>
      <c r="KYA91" s="338"/>
      <c r="KYB91" s="338"/>
      <c r="KYC91" s="338"/>
      <c r="KYD91" s="338"/>
      <c r="KYE91" s="338"/>
      <c r="KYF91" s="338"/>
      <c r="KYG91" s="338"/>
      <c r="KYH91" s="338"/>
      <c r="KYI91" s="338"/>
      <c r="KYJ91" s="338"/>
      <c r="KYK91" s="338"/>
      <c r="KYL91" s="338"/>
      <c r="KYM91" s="338"/>
      <c r="KYN91" s="338"/>
      <c r="KYO91" s="338"/>
      <c r="KYP91" s="338"/>
      <c r="KYQ91" s="338"/>
      <c r="KYR91" s="338"/>
      <c r="KYS91" s="338"/>
      <c r="KYT91" s="338"/>
      <c r="KYU91" s="338"/>
      <c r="KYV91" s="338"/>
      <c r="KYW91" s="338"/>
      <c r="KYX91" s="338"/>
      <c r="KYY91" s="338"/>
      <c r="KYZ91" s="338"/>
      <c r="KZA91" s="338"/>
      <c r="KZB91" s="338"/>
      <c r="KZC91" s="338"/>
      <c r="KZD91" s="338"/>
      <c r="KZE91" s="338"/>
      <c r="KZF91" s="338"/>
      <c r="KZG91" s="338"/>
      <c r="KZH91" s="338"/>
      <c r="KZI91" s="338"/>
      <c r="KZJ91" s="338"/>
      <c r="KZK91" s="338"/>
      <c r="KZL91" s="338"/>
      <c r="KZM91" s="338"/>
      <c r="KZN91" s="338"/>
      <c r="KZO91" s="338"/>
      <c r="KZP91" s="338"/>
      <c r="KZQ91" s="338"/>
      <c r="KZR91" s="338"/>
      <c r="KZS91" s="338"/>
      <c r="KZT91" s="338"/>
      <c r="KZU91" s="338"/>
      <c r="KZV91" s="338"/>
      <c r="KZW91" s="338"/>
      <c r="KZX91" s="338"/>
      <c r="KZY91" s="338"/>
      <c r="KZZ91" s="338"/>
      <c r="LAA91" s="338"/>
      <c r="LAB91" s="338"/>
      <c r="LAC91" s="338"/>
      <c r="LAD91" s="338"/>
      <c r="LAE91" s="338"/>
      <c r="LAF91" s="338"/>
      <c r="LAG91" s="338"/>
      <c r="LAH91" s="338"/>
      <c r="LAI91" s="338"/>
      <c r="LAJ91" s="338"/>
      <c r="LAK91" s="338"/>
      <c r="LAL91" s="338"/>
      <c r="LAM91" s="338"/>
      <c r="LAN91" s="338"/>
      <c r="LAO91" s="338"/>
      <c r="LAP91" s="338"/>
      <c r="LAQ91" s="338"/>
      <c r="LAR91" s="338"/>
      <c r="LAS91" s="338"/>
      <c r="LAT91" s="338"/>
      <c r="LAU91" s="338"/>
      <c r="LAV91" s="338"/>
      <c r="LAW91" s="338"/>
      <c r="LAX91" s="338"/>
      <c r="LAY91" s="338"/>
      <c r="LAZ91" s="338"/>
      <c r="LBA91" s="338"/>
      <c r="LBB91" s="338"/>
      <c r="LBC91" s="338"/>
      <c r="LBD91" s="338"/>
      <c r="LBE91" s="338"/>
      <c r="LBF91" s="338"/>
      <c r="LBG91" s="338"/>
      <c r="LBH91" s="338"/>
      <c r="LBI91" s="338"/>
      <c r="LBJ91" s="338"/>
      <c r="LBK91" s="338"/>
      <c r="LBL91" s="338"/>
      <c r="LBM91" s="338"/>
      <c r="LBN91" s="338"/>
      <c r="LBO91" s="338"/>
      <c r="LBP91" s="338"/>
      <c r="LBQ91" s="338"/>
      <c r="LBR91" s="338"/>
      <c r="LBS91" s="338"/>
      <c r="LBT91" s="338"/>
      <c r="LBU91" s="338"/>
      <c r="LBV91" s="338"/>
      <c r="LBW91" s="338"/>
      <c r="LBX91" s="338"/>
      <c r="LBY91" s="338"/>
      <c r="LBZ91" s="338"/>
      <c r="LCA91" s="338"/>
      <c r="LCB91" s="338"/>
      <c r="LCC91" s="338"/>
      <c r="LCD91" s="338"/>
      <c r="LCE91" s="338"/>
      <c r="LCF91" s="338"/>
      <c r="LCG91" s="338"/>
      <c r="LCH91" s="338"/>
      <c r="LCI91" s="338"/>
      <c r="LCJ91" s="338"/>
      <c r="LCK91" s="338"/>
      <c r="LCL91" s="338"/>
      <c r="LCM91" s="338"/>
      <c r="LCN91" s="338"/>
      <c r="LCO91" s="338"/>
      <c r="LCP91" s="338"/>
      <c r="LCQ91" s="338"/>
      <c r="LCR91" s="338"/>
      <c r="LCS91" s="338"/>
      <c r="LCT91" s="338"/>
      <c r="LCU91" s="338"/>
      <c r="LCV91" s="338"/>
      <c r="LCW91" s="338"/>
      <c r="LCX91" s="338"/>
      <c r="LCY91" s="338"/>
      <c r="LCZ91" s="338"/>
      <c r="LDA91" s="338"/>
      <c r="LDB91" s="338"/>
      <c r="LDC91" s="338"/>
      <c r="LDD91" s="338"/>
      <c r="LDE91" s="338"/>
      <c r="LDF91" s="338"/>
      <c r="LDG91" s="338"/>
      <c r="LDH91" s="338"/>
      <c r="LDI91" s="338"/>
      <c r="LDJ91" s="338"/>
      <c r="LDK91" s="338"/>
      <c r="LDL91" s="338"/>
      <c r="LDM91" s="338"/>
      <c r="LDN91" s="338"/>
      <c r="LDO91" s="338"/>
      <c r="LDP91" s="338"/>
      <c r="LDQ91" s="338"/>
      <c r="LDR91" s="338"/>
      <c r="LDS91" s="338"/>
      <c r="LDT91" s="338"/>
      <c r="LDU91" s="338"/>
      <c r="LDV91" s="338"/>
      <c r="LDW91" s="338"/>
      <c r="LDX91" s="338"/>
      <c r="LDY91" s="338"/>
      <c r="LDZ91" s="338"/>
      <c r="LEA91" s="338"/>
      <c r="LEB91" s="338"/>
      <c r="LEC91" s="338"/>
      <c r="LED91" s="338"/>
      <c r="LEE91" s="338"/>
      <c r="LEF91" s="338"/>
      <c r="LEG91" s="338"/>
      <c r="LEH91" s="338"/>
      <c r="LEI91" s="338"/>
      <c r="LEJ91" s="338"/>
      <c r="LEK91" s="338"/>
      <c r="LEL91" s="338"/>
      <c r="LEM91" s="338"/>
      <c r="LEN91" s="338"/>
      <c r="LEO91" s="338"/>
      <c r="LEP91" s="338"/>
      <c r="LEQ91" s="338"/>
      <c r="LER91" s="338"/>
      <c r="LES91" s="338"/>
      <c r="LET91" s="338"/>
      <c r="LEU91" s="338"/>
      <c r="LEV91" s="338"/>
      <c r="LEW91" s="338"/>
      <c r="LEX91" s="338"/>
      <c r="LEY91" s="338"/>
      <c r="LEZ91" s="338"/>
      <c r="LFA91" s="338"/>
      <c r="LFB91" s="338"/>
      <c r="LFC91" s="338"/>
      <c r="LFD91" s="338"/>
      <c r="LFE91" s="338"/>
      <c r="LFF91" s="338"/>
      <c r="LFG91" s="338"/>
      <c r="LFH91" s="338"/>
      <c r="LFI91" s="338"/>
      <c r="LFJ91" s="338"/>
      <c r="LFK91" s="338"/>
      <c r="LFL91" s="338"/>
      <c r="LFM91" s="338"/>
      <c r="LFN91" s="338"/>
      <c r="LFO91" s="338"/>
      <c r="LFP91" s="338"/>
      <c r="LFQ91" s="338"/>
      <c r="LFR91" s="338"/>
      <c r="LFS91" s="338"/>
      <c r="LFT91" s="338"/>
      <c r="LFU91" s="338"/>
      <c r="LFV91" s="338"/>
      <c r="LFW91" s="338"/>
      <c r="LFX91" s="338"/>
      <c r="LFY91" s="338"/>
      <c r="LFZ91" s="338"/>
      <c r="LGA91" s="338"/>
      <c r="LGB91" s="338"/>
      <c r="LGC91" s="338"/>
      <c r="LGD91" s="338"/>
      <c r="LGE91" s="338"/>
      <c r="LGF91" s="338"/>
      <c r="LGG91" s="338"/>
      <c r="LGH91" s="338"/>
      <c r="LGI91" s="338"/>
      <c r="LGJ91" s="338"/>
      <c r="LGK91" s="338"/>
      <c r="LGL91" s="338"/>
      <c r="LGM91" s="338"/>
      <c r="LGN91" s="338"/>
      <c r="LGO91" s="338"/>
      <c r="LGP91" s="338"/>
      <c r="LGQ91" s="338"/>
      <c r="LGR91" s="338"/>
      <c r="LGS91" s="338"/>
      <c r="LGT91" s="338"/>
      <c r="LGU91" s="338"/>
      <c r="LGV91" s="338"/>
      <c r="LGW91" s="338"/>
      <c r="LGX91" s="338"/>
      <c r="LGY91" s="338"/>
      <c r="LGZ91" s="338"/>
      <c r="LHA91" s="338"/>
      <c r="LHB91" s="338"/>
      <c r="LHC91" s="338"/>
      <c r="LHD91" s="338"/>
      <c r="LHE91" s="338"/>
      <c r="LHF91" s="338"/>
      <c r="LHG91" s="338"/>
      <c r="LHH91" s="338"/>
      <c r="LHI91" s="338"/>
      <c r="LHJ91" s="338"/>
      <c r="LHK91" s="338"/>
      <c r="LHL91" s="338"/>
      <c r="LHM91" s="338"/>
      <c r="LHN91" s="338"/>
      <c r="LHO91" s="338"/>
      <c r="LHP91" s="338"/>
      <c r="LHQ91" s="338"/>
      <c r="LHR91" s="338"/>
      <c r="LHS91" s="338"/>
      <c r="LHT91" s="338"/>
      <c r="LHU91" s="338"/>
      <c r="LHV91" s="338"/>
      <c r="LHW91" s="338"/>
      <c r="LHX91" s="338"/>
      <c r="LHY91" s="338"/>
      <c r="LHZ91" s="338"/>
      <c r="LIA91" s="338"/>
      <c r="LIB91" s="338"/>
      <c r="LIC91" s="338"/>
      <c r="LID91" s="338"/>
      <c r="LIE91" s="338"/>
      <c r="LIF91" s="338"/>
      <c r="LIG91" s="338"/>
      <c r="LIH91" s="338"/>
      <c r="LII91" s="338"/>
      <c r="LIJ91" s="338"/>
      <c r="LIK91" s="338"/>
      <c r="LIL91" s="338"/>
      <c r="LIM91" s="338"/>
      <c r="LIN91" s="338"/>
      <c r="LIO91" s="338"/>
      <c r="LIP91" s="338"/>
      <c r="LIQ91" s="338"/>
      <c r="LIR91" s="338"/>
      <c r="LIS91" s="338"/>
      <c r="LIT91" s="338"/>
      <c r="LIU91" s="338"/>
      <c r="LIV91" s="338"/>
      <c r="LIW91" s="338"/>
      <c r="LIX91" s="338"/>
      <c r="LIY91" s="338"/>
      <c r="LIZ91" s="338"/>
      <c r="LJA91" s="338"/>
      <c r="LJB91" s="338"/>
      <c r="LJC91" s="338"/>
      <c r="LJD91" s="338"/>
      <c r="LJE91" s="338"/>
      <c r="LJF91" s="338"/>
      <c r="LJG91" s="338"/>
      <c r="LJH91" s="338"/>
      <c r="LJI91" s="338"/>
      <c r="LJJ91" s="338"/>
      <c r="LJK91" s="338"/>
      <c r="LJL91" s="338"/>
      <c r="LJM91" s="338"/>
      <c r="LJN91" s="338"/>
      <c r="LJO91" s="338"/>
      <c r="LJP91" s="338"/>
      <c r="LJQ91" s="338"/>
      <c r="LJR91" s="338"/>
      <c r="LJS91" s="338"/>
      <c r="LJT91" s="338"/>
      <c r="LJU91" s="338"/>
      <c r="LJV91" s="338"/>
      <c r="LJW91" s="338"/>
      <c r="LJX91" s="338"/>
      <c r="LJY91" s="338"/>
      <c r="LJZ91" s="338"/>
      <c r="LKA91" s="338"/>
      <c r="LKB91" s="338"/>
      <c r="LKC91" s="338"/>
      <c r="LKD91" s="338"/>
      <c r="LKE91" s="338"/>
      <c r="LKF91" s="338"/>
      <c r="LKG91" s="338"/>
      <c r="LKH91" s="338"/>
      <c r="LKI91" s="338"/>
      <c r="LKJ91" s="338"/>
      <c r="LKK91" s="338"/>
      <c r="LKL91" s="338"/>
      <c r="LKM91" s="338"/>
      <c r="LKN91" s="338"/>
      <c r="LKO91" s="338"/>
      <c r="LKP91" s="338"/>
      <c r="LKQ91" s="338"/>
      <c r="LKR91" s="338"/>
      <c r="LKS91" s="338"/>
      <c r="LKT91" s="338"/>
      <c r="LKU91" s="338"/>
      <c r="LKV91" s="338"/>
      <c r="LKW91" s="338"/>
      <c r="LKX91" s="338"/>
      <c r="LKY91" s="338"/>
      <c r="LKZ91" s="338"/>
      <c r="LLA91" s="338"/>
      <c r="LLB91" s="338"/>
      <c r="LLC91" s="338"/>
      <c r="LLD91" s="338"/>
      <c r="LLE91" s="338"/>
      <c r="LLF91" s="338"/>
      <c r="LLG91" s="338"/>
      <c r="LLH91" s="338"/>
      <c r="LLI91" s="338"/>
      <c r="LLJ91" s="338"/>
      <c r="LLK91" s="338"/>
      <c r="LLL91" s="338"/>
      <c r="LLM91" s="338"/>
      <c r="LLN91" s="338"/>
      <c r="LLO91" s="338"/>
      <c r="LLP91" s="338"/>
      <c r="LLQ91" s="338"/>
      <c r="LLR91" s="338"/>
      <c r="LLS91" s="338"/>
      <c r="LLT91" s="338"/>
      <c r="LLU91" s="338"/>
      <c r="LLV91" s="338"/>
      <c r="LLW91" s="338"/>
      <c r="LLX91" s="338"/>
      <c r="LLY91" s="338"/>
      <c r="LLZ91" s="338"/>
      <c r="LMA91" s="338"/>
      <c r="LMB91" s="338"/>
      <c r="LMC91" s="338"/>
      <c r="LMD91" s="338"/>
      <c r="LME91" s="338"/>
      <c r="LMF91" s="338"/>
      <c r="LMG91" s="338"/>
      <c r="LMH91" s="338"/>
      <c r="LMI91" s="338"/>
      <c r="LMJ91" s="338"/>
      <c r="LMK91" s="338"/>
      <c r="LML91" s="338"/>
      <c r="LMM91" s="338"/>
      <c r="LMN91" s="338"/>
      <c r="LMO91" s="338"/>
      <c r="LMP91" s="338"/>
      <c r="LMQ91" s="338"/>
      <c r="LMR91" s="338"/>
      <c r="LMS91" s="338"/>
      <c r="LMT91" s="338"/>
      <c r="LMU91" s="338"/>
      <c r="LMV91" s="338"/>
      <c r="LMW91" s="338"/>
      <c r="LMX91" s="338"/>
      <c r="LMY91" s="338"/>
      <c r="LMZ91" s="338"/>
      <c r="LNA91" s="338"/>
      <c r="LNB91" s="338"/>
      <c r="LNC91" s="338"/>
      <c r="LND91" s="338"/>
      <c r="LNE91" s="338"/>
      <c r="LNF91" s="338"/>
      <c r="LNG91" s="338"/>
      <c r="LNH91" s="338"/>
      <c r="LNI91" s="338"/>
      <c r="LNJ91" s="338"/>
      <c r="LNK91" s="338"/>
      <c r="LNL91" s="338"/>
      <c r="LNM91" s="338"/>
      <c r="LNN91" s="338"/>
      <c r="LNO91" s="338"/>
      <c r="LNP91" s="338"/>
      <c r="LNQ91" s="338"/>
      <c r="LNR91" s="338"/>
      <c r="LNS91" s="338"/>
      <c r="LNT91" s="338"/>
      <c r="LNU91" s="338"/>
      <c r="LNV91" s="338"/>
      <c r="LNW91" s="338"/>
      <c r="LNX91" s="338"/>
      <c r="LNY91" s="338"/>
      <c r="LNZ91" s="338"/>
      <c r="LOA91" s="338"/>
      <c r="LOB91" s="338"/>
      <c r="LOC91" s="338"/>
      <c r="LOD91" s="338"/>
      <c r="LOE91" s="338"/>
      <c r="LOF91" s="338"/>
      <c r="LOG91" s="338"/>
      <c r="LOH91" s="338"/>
      <c r="LOI91" s="338"/>
      <c r="LOJ91" s="338"/>
      <c r="LOK91" s="338"/>
      <c r="LOL91" s="338"/>
      <c r="LOM91" s="338"/>
      <c r="LON91" s="338"/>
      <c r="LOO91" s="338"/>
      <c r="LOP91" s="338"/>
      <c r="LOQ91" s="338"/>
      <c r="LOR91" s="338"/>
      <c r="LOS91" s="338"/>
      <c r="LOT91" s="338"/>
      <c r="LOU91" s="338"/>
      <c r="LOV91" s="338"/>
      <c r="LOW91" s="338"/>
      <c r="LOX91" s="338"/>
      <c r="LOY91" s="338"/>
      <c r="LOZ91" s="338"/>
      <c r="LPA91" s="338"/>
      <c r="LPB91" s="338"/>
      <c r="LPC91" s="338"/>
      <c r="LPD91" s="338"/>
      <c r="LPE91" s="338"/>
      <c r="LPF91" s="338"/>
      <c r="LPG91" s="338"/>
      <c r="LPH91" s="338"/>
      <c r="LPI91" s="338"/>
      <c r="LPJ91" s="338"/>
      <c r="LPK91" s="338"/>
      <c r="LPL91" s="338"/>
      <c r="LPM91" s="338"/>
      <c r="LPN91" s="338"/>
      <c r="LPO91" s="338"/>
      <c r="LPP91" s="338"/>
      <c r="LPQ91" s="338"/>
      <c r="LPR91" s="338"/>
      <c r="LPS91" s="338"/>
      <c r="LPT91" s="338"/>
      <c r="LPU91" s="338"/>
      <c r="LPV91" s="338"/>
      <c r="LPW91" s="338"/>
      <c r="LPX91" s="338"/>
      <c r="LPY91" s="338"/>
      <c r="LPZ91" s="338"/>
      <c r="LQA91" s="338"/>
      <c r="LQB91" s="338"/>
      <c r="LQC91" s="338"/>
      <c r="LQD91" s="338"/>
      <c r="LQE91" s="338"/>
      <c r="LQF91" s="338"/>
      <c r="LQG91" s="338"/>
      <c r="LQH91" s="338"/>
      <c r="LQI91" s="338"/>
      <c r="LQJ91" s="338"/>
      <c r="LQK91" s="338"/>
      <c r="LQL91" s="338"/>
      <c r="LQM91" s="338"/>
      <c r="LQN91" s="338"/>
      <c r="LQO91" s="338"/>
      <c r="LQP91" s="338"/>
      <c r="LQQ91" s="338"/>
      <c r="LQR91" s="338"/>
      <c r="LQS91" s="338"/>
      <c r="LQT91" s="338"/>
      <c r="LQU91" s="338"/>
      <c r="LQV91" s="338"/>
      <c r="LQW91" s="338"/>
      <c r="LQX91" s="338"/>
      <c r="LQY91" s="338"/>
      <c r="LQZ91" s="338"/>
      <c r="LRA91" s="338"/>
      <c r="LRB91" s="338"/>
      <c r="LRC91" s="338"/>
      <c r="LRD91" s="338"/>
      <c r="LRE91" s="338"/>
      <c r="LRF91" s="338"/>
      <c r="LRG91" s="338"/>
      <c r="LRH91" s="338"/>
      <c r="LRI91" s="338"/>
      <c r="LRJ91" s="338"/>
      <c r="LRK91" s="338"/>
      <c r="LRL91" s="338"/>
      <c r="LRM91" s="338"/>
      <c r="LRN91" s="338"/>
      <c r="LRO91" s="338"/>
      <c r="LRP91" s="338"/>
      <c r="LRQ91" s="338"/>
      <c r="LRR91" s="338"/>
      <c r="LRS91" s="338"/>
      <c r="LRT91" s="338"/>
      <c r="LRU91" s="338"/>
      <c r="LRV91" s="338"/>
      <c r="LRW91" s="338"/>
      <c r="LRX91" s="338"/>
      <c r="LRY91" s="338"/>
      <c r="LRZ91" s="338"/>
      <c r="LSA91" s="338"/>
      <c r="LSB91" s="338"/>
      <c r="LSC91" s="338"/>
      <c r="LSD91" s="338"/>
      <c r="LSE91" s="338"/>
      <c r="LSF91" s="338"/>
      <c r="LSG91" s="338"/>
      <c r="LSH91" s="338"/>
      <c r="LSI91" s="338"/>
      <c r="LSJ91" s="338"/>
      <c r="LSK91" s="338"/>
      <c r="LSL91" s="338"/>
      <c r="LSM91" s="338"/>
      <c r="LSN91" s="338"/>
      <c r="LSO91" s="338"/>
      <c r="LSP91" s="338"/>
      <c r="LSQ91" s="338"/>
      <c r="LSR91" s="338"/>
      <c r="LSS91" s="338"/>
      <c r="LST91" s="338"/>
      <c r="LSU91" s="338"/>
      <c r="LSV91" s="338"/>
      <c r="LSW91" s="338"/>
      <c r="LSX91" s="338"/>
      <c r="LSY91" s="338"/>
      <c r="LSZ91" s="338"/>
      <c r="LTA91" s="338"/>
      <c r="LTB91" s="338"/>
      <c r="LTC91" s="338"/>
      <c r="LTD91" s="338"/>
      <c r="LTE91" s="338"/>
      <c r="LTF91" s="338"/>
      <c r="LTG91" s="338"/>
      <c r="LTH91" s="338"/>
      <c r="LTI91" s="338"/>
      <c r="LTJ91" s="338"/>
      <c r="LTK91" s="338"/>
      <c r="LTL91" s="338"/>
      <c r="LTM91" s="338"/>
      <c r="LTN91" s="338"/>
      <c r="LTO91" s="338"/>
      <c r="LTP91" s="338"/>
      <c r="LTQ91" s="338"/>
      <c r="LTR91" s="338"/>
      <c r="LTS91" s="338"/>
      <c r="LTT91" s="338"/>
      <c r="LTU91" s="338"/>
      <c r="LTV91" s="338"/>
      <c r="LTW91" s="338"/>
      <c r="LTX91" s="338"/>
      <c r="LTY91" s="338"/>
      <c r="LTZ91" s="338"/>
      <c r="LUA91" s="338"/>
      <c r="LUB91" s="338"/>
      <c r="LUC91" s="338"/>
      <c r="LUD91" s="338"/>
      <c r="LUE91" s="338"/>
      <c r="LUF91" s="338"/>
      <c r="LUG91" s="338"/>
      <c r="LUH91" s="338"/>
      <c r="LUI91" s="338"/>
      <c r="LUJ91" s="338"/>
      <c r="LUK91" s="338"/>
      <c r="LUL91" s="338"/>
      <c r="LUM91" s="338"/>
      <c r="LUN91" s="338"/>
      <c r="LUO91" s="338"/>
      <c r="LUP91" s="338"/>
      <c r="LUQ91" s="338"/>
      <c r="LUR91" s="338"/>
      <c r="LUS91" s="338"/>
      <c r="LUT91" s="338"/>
      <c r="LUU91" s="338"/>
      <c r="LUV91" s="338"/>
      <c r="LUW91" s="338"/>
      <c r="LUX91" s="338"/>
      <c r="LUY91" s="338"/>
      <c r="LUZ91" s="338"/>
      <c r="LVA91" s="338"/>
      <c r="LVB91" s="338"/>
      <c r="LVC91" s="338"/>
      <c r="LVD91" s="338"/>
      <c r="LVE91" s="338"/>
      <c r="LVF91" s="338"/>
      <c r="LVG91" s="338"/>
      <c r="LVH91" s="338"/>
      <c r="LVI91" s="338"/>
      <c r="LVJ91" s="338"/>
      <c r="LVK91" s="338"/>
      <c r="LVL91" s="338"/>
      <c r="LVM91" s="338"/>
      <c r="LVN91" s="338"/>
      <c r="LVO91" s="338"/>
      <c r="LVP91" s="338"/>
      <c r="LVQ91" s="338"/>
      <c r="LVR91" s="338"/>
      <c r="LVS91" s="338"/>
      <c r="LVT91" s="338"/>
      <c r="LVU91" s="338"/>
      <c r="LVV91" s="338"/>
      <c r="LVW91" s="338"/>
      <c r="LVX91" s="338"/>
      <c r="LVY91" s="338"/>
      <c r="LVZ91" s="338"/>
      <c r="LWA91" s="338"/>
      <c r="LWB91" s="338"/>
      <c r="LWC91" s="338"/>
      <c r="LWD91" s="338"/>
      <c r="LWE91" s="338"/>
      <c r="LWF91" s="338"/>
      <c r="LWG91" s="338"/>
      <c r="LWH91" s="338"/>
      <c r="LWI91" s="338"/>
      <c r="LWJ91" s="338"/>
      <c r="LWK91" s="338"/>
      <c r="LWL91" s="338"/>
      <c r="LWM91" s="338"/>
      <c r="LWN91" s="338"/>
      <c r="LWO91" s="338"/>
      <c r="LWP91" s="338"/>
      <c r="LWQ91" s="338"/>
      <c r="LWR91" s="338"/>
      <c r="LWS91" s="338"/>
      <c r="LWT91" s="338"/>
      <c r="LWU91" s="338"/>
      <c r="LWV91" s="338"/>
      <c r="LWW91" s="338"/>
      <c r="LWX91" s="338"/>
      <c r="LWY91" s="338"/>
      <c r="LWZ91" s="338"/>
      <c r="LXA91" s="338"/>
      <c r="LXB91" s="338"/>
      <c r="LXC91" s="338"/>
      <c r="LXD91" s="338"/>
      <c r="LXE91" s="338"/>
      <c r="LXF91" s="338"/>
      <c r="LXG91" s="338"/>
      <c r="LXH91" s="338"/>
      <c r="LXI91" s="338"/>
      <c r="LXJ91" s="338"/>
      <c r="LXK91" s="338"/>
      <c r="LXL91" s="338"/>
      <c r="LXM91" s="338"/>
      <c r="LXN91" s="338"/>
      <c r="LXO91" s="338"/>
      <c r="LXP91" s="338"/>
      <c r="LXQ91" s="338"/>
      <c r="LXR91" s="338"/>
      <c r="LXS91" s="338"/>
      <c r="LXT91" s="338"/>
      <c r="LXU91" s="338"/>
      <c r="LXV91" s="338"/>
      <c r="LXW91" s="338"/>
      <c r="LXX91" s="338"/>
      <c r="LXY91" s="338"/>
      <c r="LXZ91" s="338"/>
      <c r="LYA91" s="338"/>
      <c r="LYB91" s="338"/>
      <c r="LYC91" s="338"/>
      <c r="LYD91" s="338"/>
      <c r="LYE91" s="338"/>
      <c r="LYF91" s="338"/>
      <c r="LYG91" s="338"/>
      <c r="LYH91" s="338"/>
      <c r="LYI91" s="338"/>
      <c r="LYJ91" s="338"/>
      <c r="LYK91" s="338"/>
      <c r="LYL91" s="338"/>
      <c r="LYM91" s="338"/>
      <c r="LYN91" s="338"/>
      <c r="LYO91" s="338"/>
      <c r="LYP91" s="338"/>
      <c r="LYQ91" s="338"/>
      <c r="LYR91" s="338"/>
      <c r="LYS91" s="338"/>
      <c r="LYT91" s="338"/>
      <c r="LYU91" s="338"/>
      <c r="LYV91" s="338"/>
      <c r="LYW91" s="338"/>
      <c r="LYX91" s="338"/>
      <c r="LYY91" s="338"/>
      <c r="LYZ91" s="338"/>
      <c r="LZA91" s="338"/>
      <c r="LZB91" s="338"/>
      <c r="LZC91" s="338"/>
      <c r="LZD91" s="338"/>
      <c r="LZE91" s="338"/>
      <c r="LZF91" s="338"/>
      <c r="LZG91" s="338"/>
      <c r="LZH91" s="338"/>
      <c r="LZI91" s="338"/>
      <c r="LZJ91" s="338"/>
      <c r="LZK91" s="338"/>
      <c r="LZL91" s="338"/>
      <c r="LZM91" s="338"/>
      <c r="LZN91" s="338"/>
      <c r="LZO91" s="338"/>
      <c r="LZP91" s="338"/>
      <c r="LZQ91" s="338"/>
      <c r="LZR91" s="338"/>
      <c r="LZS91" s="338"/>
      <c r="LZT91" s="338"/>
      <c r="LZU91" s="338"/>
      <c r="LZV91" s="338"/>
      <c r="LZW91" s="338"/>
      <c r="LZX91" s="338"/>
      <c r="LZY91" s="338"/>
      <c r="LZZ91" s="338"/>
      <c r="MAA91" s="338"/>
      <c r="MAB91" s="338"/>
      <c r="MAC91" s="338"/>
      <c r="MAD91" s="338"/>
      <c r="MAE91" s="338"/>
      <c r="MAF91" s="338"/>
      <c r="MAG91" s="338"/>
      <c r="MAH91" s="338"/>
      <c r="MAI91" s="338"/>
      <c r="MAJ91" s="338"/>
      <c r="MAK91" s="338"/>
      <c r="MAL91" s="338"/>
      <c r="MAM91" s="338"/>
      <c r="MAN91" s="338"/>
      <c r="MAO91" s="338"/>
      <c r="MAP91" s="338"/>
      <c r="MAQ91" s="338"/>
      <c r="MAR91" s="338"/>
      <c r="MAS91" s="338"/>
      <c r="MAT91" s="338"/>
      <c r="MAU91" s="338"/>
      <c r="MAV91" s="338"/>
      <c r="MAW91" s="338"/>
      <c r="MAX91" s="338"/>
      <c r="MAY91" s="338"/>
      <c r="MAZ91" s="338"/>
      <c r="MBA91" s="338"/>
      <c r="MBB91" s="338"/>
      <c r="MBC91" s="338"/>
      <c r="MBD91" s="338"/>
      <c r="MBE91" s="338"/>
      <c r="MBF91" s="338"/>
      <c r="MBG91" s="338"/>
      <c r="MBH91" s="338"/>
      <c r="MBI91" s="338"/>
      <c r="MBJ91" s="338"/>
      <c r="MBK91" s="338"/>
      <c r="MBL91" s="338"/>
      <c r="MBM91" s="338"/>
      <c r="MBN91" s="338"/>
      <c r="MBO91" s="338"/>
      <c r="MBP91" s="338"/>
      <c r="MBQ91" s="338"/>
      <c r="MBR91" s="338"/>
      <c r="MBS91" s="338"/>
      <c r="MBT91" s="338"/>
      <c r="MBU91" s="338"/>
      <c r="MBV91" s="338"/>
      <c r="MBW91" s="338"/>
      <c r="MBX91" s="338"/>
      <c r="MBY91" s="338"/>
      <c r="MBZ91" s="338"/>
      <c r="MCA91" s="338"/>
      <c r="MCB91" s="338"/>
      <c r="MCC91" s="338"/>
      <c r="MCD91" s="338"/>
      <c r="MCE91" s="338"/>
      <c r="MCF91" s="338"/>
      <c r="MCG91" s="338"/>
      <c r="MCH91" s="338"/>
      <c r="MCI91" s="338"/>
      <c r="MCJ91" s="338"/>
      <c r="MCK91" s="338"/>
      <c r="MCL91" s="338"/>
      <c r="MCM91" s="338"/>
      <c r="MCN91" s="338"/>
      <c r="MCO91" s="338"/>
      <c r="MCP91" s="338"/>
      <c r="MCQ91" s="338"/>
      <c r="MCR91" s="338"/>
      <c r="MCS91" s="338"/>
      <c r="MCT91" s="338"/>
      <c r="MCU91" s="338"/>
      <c r="MCV91" s="338"/>
      <c r="MCW91" s="338"/>
      <c r="MCX91" s="338"/>
      <c r="MCY91" s="338"/>
      <c r="MCZ91" s="338"/>
      <c r="MDA91" s="338"/>
      <c r="MDB91" s="338"/>
      <c r="MDC91" s="338"/>
      <c r="MDD91" s="338"/>
      <c r="MDE91" s="338"/>
      <c r="MDF91" s="338"/>
      <c r="MDG91" s="338"/>
      <c r="MDH91" s="338"/>
      <c r="MDI91" s="338"/>
      <c r="MDJ91" s="338"/>
      <c r="MDK91" s="338"/>
      <c r="MDL91" s="338"/>
      <c r="MDM91" s="338"/>
      <c r="MDN91" s="338"/>
      <c r="MDO91" s="338"/>
      <c r="MDP91" s="338"/>
      <c r="MDQ91" s="338"/>
      <c r="MDR91" s="338"/>
      <c r="MDS91" s="338"/>
      <c r="MDT91" s="338"/>
      <c r="MDU91" s="338"/>
      <c r="MDV91" s="338"/>
      <c r="MDW91" s="338"/>
      <c r="MDX91" s="338"/>
      <c r="MDY91" s="338"/>
      <c r="MDZ91" s="338"/>
      <c r="MEA91" s="338"/>
      <c r="MEB91" s="338"/>
      <c r="MEC91" s="338"/>
      <c r="MED91" s="338"/>
      <c r="MEE91" s="338"/>
      <c r="MEF91" s="338"/>
      <c r="MEG91" s="338"/>
      <c r="MEH91" s="338"/>
      <c r="MEI91" s="338"/>
      <c r="MEJ91" s="338"/>
      <c r="MEK91" s="338"/>
      <c r="MEL91" s="338"/>
      <c r="MEM91" s="338"/>
      <c r="MEN91" s="338"/>
      <c r="MEO91" s="338"/>
      <c r="MEP91" s="338"/>
      <c r="MEQ91" s="338"/>
      <c r="MER91" s="338"/>
      <c r="MES91" s="338"/>
      <c r="MET91" s="338"/>
      <c r="MEU91" s="338"/>
      <c r="MEV91" s="338"/>
      <c r="MEW91" s="338"/>
      <c r="MEX91" s="338"/>
      <c r="MEY91" s="338"/>
      <c r="MEZ91" s="338"/>
      <c r="MFA91" s="338"/>
      <c r="MFB91" s="338"/>
      <c r="MFC91" s="338"/>
      <c r="MFD91" s="338"/>
      <c r="MFE91" s="338"/>
      <c r="MFF91" s="338"/>
      <c r="MFG91" s="338"/>
      <c r="MFH91" s="338"/>
      <c r="MFI91" s="338"/>
      <c r="MFJ91" s="338"/>
      <c r="MFK91" s="338"/>
      <c r="MFL91" s="338"/>
      <c r="MFM91" s="338"/>
      <c r="MFN91" s="338"/>
      <c r="MFO91" s="338"/>
      <c r="MFP91" s="338"/>
      <c r="MFQ91" s="338"/>
      <c r="MFR91" s="338"/>
      <c r="MFS91" s="338"/>
      <c r="MFT91" s="338"/>
      <c r="MFU91" s="338"/>
      <c r="MFV91" s="338"/>
      <c r="MFW91" s="338"/>
      <c r="MFX91" s="338"/>
      <c r="MFY91" s="338"/>
      <c r="MFZ91" s="338"/>
      <c r="MGA91" s="338"/>
      <c r="MGB91" s="338"/>
      <c r="MGC91" s="338"/>
      <c r="MGD91" s="338"/>
      <c r="MGE91" s="338"/>
      <c r="MGF91" s="338"/>
      <c r="MGG91" s="338"/>
      <c r="MGH91" s="338"/>
      <c r="MGI91" s="338"/>
      <c r="MGJ91" s="338"/>
      <c r="MGK91" s="338"/>
      <c r="MGL91" s="338"/>
      <c r="MGM91" s="338"/>
      <c r="MGN91" s="338"/>
      <c r="MGO91" s="338"/>
      <c r="MGP91" s="338"/>
      <c r="MGQ91" s="338"/>
      <c r="MGR91" s="338"/>
      <c r="MGS91" s="338"/>
      <c r="MGT91" s="338"/>
      <c r="MGU91" s="338"/>
      <c r="MGV91" s="338"/>
      <c r="MGW91" s="338"/>
      <c r="MGX91" s="338"/>
      <c r="MGY91" s="338"/>
      <c r="MGZ91" s="338"/>
      <c r="MHA91" s="338"/>
      <c r="MHB91" s="338"/>
      <c r="MHC91" s="338"/>
      <c r="MHD91" s="338"/>
      <c r="MHE91" s="338"/>
      <c r="MHF91" s="338"/>
      <c r="MHG91" s="338"/>
      <c r="MHH91" s="338"/>
      <c r="MHI91" s="338"/>
      <c r="MHJ91" s="338"/>
      <c r="MHK91" s="338"/>
      <c r="MHL91" s="338"/>
      <c r="MHM91" s="338"/>
      <c r="MHN91" s="338"/>
      <c r="MHO91" s="338"/>
      <c r="MHP91" s="338"/>
      <c r="MHQ91" s="338"/>
      <c r="MHR91" s="338"/>
      <c r="MHS91" s="338"/>
      <c r="MHT91" s="338"/>
      <c r="MHU91" s="338"/>
      <c r="MHV91" s="338"/>
      <c r="MHW91" s="338"/>
      <c r="MHX91" s="338"/>
      <c r="MHY91" s="338"/>
      <c r="MHZ91" s="338"/>
      <c r="MIA91" s="338"/>
      <c r="MIB91" s="338"/>
      <c r="MIC91" s="338"/>
      <c r="MID91" s="338"/>
      <c r="MIE91" s="338"/>
      <c r="MIF91" s="338"/>
      <c r="MIG91" s="338"/>
      <c r="MIH91" s="338"/>
      <c r="MII91" s="338"/>
      <c r="MIJ91" s="338"/>
      <c r="MIK91" s="338"/>
      <c r="MIL91" s="338"/>
      <c r="MIM91" s="338"/>
      <c r="MIN91" s="338"/>
      <c r="MIO91" s="338"/>
      <c r="MIP91" s="338"/>
      <c r="MIQ91" s="338"/>
      <c r="MIR91" s="338"/>
      <c r="MIS91" s="338"/>
      <c r="MIT91" s="338"/>
      <c r="MIU91" s="338"/>
      <c r="MIV91" s="338"/>
      <c r="MIW91" s="338"/>
      <c r="MIX91" s="338"/>
      <c r="MIY91" s="338"/>
      <c r="MIZ91" s="338"/>
      <c r="MJA91" s="338"/>
      <c r="MJB91" s="338"/>
      <c r="MJC91" s="338"/>
      <c r="MJD91" s="338"/>
      <c r="MJE91" s="338"/>
      <c r="MJF91" s="338"/>
      <c r="MJG91" s="338"/>
      <c r="MJH91" s="338"/>
      <c r="MJI91" s="338"/>
      <c r="MJJ91" s="338"/>
      <c r="MJK91" s="338"/>
      <c r="MJL91" s="338"/>
      <c r="MJM91" s="338"/>
      <c r="MJN91" s="338"/>
      <c r="MJO91" s="338"/>
      <c r="MJP91" s="338"/>
      <c r="MJQ91" s="338"/>
      <c r="MJR91" s="338"/>
      <c r="MJS91" s="338"/>
      <c r="MJT91" s="338"/>
      <c r="MJU91" s="338"/>
      <c r="MJV91" s="338"/>
      <c r="MJW91" s="338"/>
      <c r="MJX91" s="338"/>
      <c r="MJY91" s="338"/>
      <c r="MJZ91" s="338"/>
      <c r="MKA91" s="338"/>
      <c r="MKB91" s="338"/>
      <c r="MKC91" s="338"/>
      <c r="MKD91" s="338"/>
      <c r="MKE91" s="338"/>
      <c r="MKF91" s="338"/>
      <c r="MKG91" s="338"/>
      <c r="MKH91" s="338"/>
      <c r="MKI91" s="338"/>
      <c r="MKJ91" s="338"/>
      <c r="MKK91" s="338"/>
      <c r="MKL91" s="338"/>
      <c r="MKM91" s="338"/>
      <c r="MKN91" s="338"/>
      <c r="MKO91" s="338"/>
      <c r="MKP91" s="338"/>
      <c r="MKQ91" s="338"/>
      <c r="MKR91" s="338"/>
      <c r="MKS91" s="338"/>
      <c r="MKT91" s="338"/>
      <c r="MKU91" s="338"/>
      <c r="MKV91" s="338"/>
      <c r="MKW91" s="338"/>
      <c r="MKX91" s="338"/>
      <c r="MKY91" s="338"/>
      <c r="MKZ91" s="338"/>
      <c r="MLA91" s="338"/>
      <c r="MLB91" s="338"/>
      <c r="MLC91" s="338"/>
      <c r="MLD91" s="338"/>
      <c r="MLE91" s="338"/>
      <c r="MLF91" s="338"/>
      <c r="MLG91" s="338"/>
      <c r="MLH91" s="338"/>
      <c r="MLI91" s="338"/>
      <c r="MLJ91" s="338"/>
      <c r="MLK91" s="338"/>
      <c r="MLL91" s="338"/>
      <c r="MLM91" s="338"/>
      <c r="MLN91" s="338"/>
      <c r="MLO91" s="338"/>
      <c r="MLP91" s="338"/>
      <c r="MLQ91" s="338"/>
      <c r="MLR91" s="338"/>
      <c r="MLS91" s="338"/>
      <c r="MLT91" s="338"/>
      <c r="MLU91" s="338"/>
      <c r="MLV91" s="338"/>
      <c r="MLW91" s="338"/>
      <c r="MLX91" s="338"/>
      <c r="MLY91" s="338"/>
      <c r="MLZ91" s="338"/>
      <c r="MMA91" s="338"/>
      <c r="MMB91" s="338"/>
      <c r="MMC91" s="338"/>
      <c r="MMD91" s="338"/>
      <c r="MME91" s="338"/>
      <c r="MMF91" s="338"/>
      <c r="MMG91" s="338"/>
      <c r="MMH91" s="338"/>
      <c r="MMI91" s="338"/>
      <c r="MMJ91" s="338"/>
      <c r="MMK91" s="338"/>
      <c r="MML91" s="338"/>
      <c r="MMM91" s="338"/>
      <c r="MMN91" s="338"/>
      <c r="MMO91" s="338"/>
      <c r="MMP91" s="338"/>
      <c r="MMQ91" s="338"/>
      <c r="MMR91" s="338"/>
      <c r="MMS91" s="338"/>
      <c r="MMT91" s="338"/>
      <c r="MMU91" s="338"/>
      <c r="MMV91" s="338"/>
      <c r="MMW91" s="338"/>
      <c r="MMX91" s="338"/>
      <c r="MMY91" s="338"/>
      <c r="MMZ91" s="338"/>
      <c r="MNA91" s="338"/>
      <c r="MNB91" s="338"/>
      <c r="MNC91" s="338"/>
      <c r="MND91" s="338"/>
      <c r="MNE91" s="338"/>
      <c r="MNF91" s="338"/>
      <c r="MNG91" s="338"/>
      <c r="MNH91" s="338"/>
      <c r="MNI91" s="338"/>
      <c r="MNJ91" s="338"/>
      <c r="MNK91" s="338"/>
      <c r="MNL91" s="338"/>
      <c r="MNM91" s="338"/>
      <c r="MNN91" s="338"/>
      <c r="MNO91" s="338"/>
      <c r="MNP91" s="338"/>
      <c r="MNQ91" s="338"/>
      <c r="MNR91" s="338"/>
      <c r="MNS91" s="338"/>
      <c r="MNT91" s="338"/>
      <c r="MNU91" s="338"/>
      <c r="MNV91" s="338"/>
      <c r="MNW91" s="338"/>
      <c r="MNX91" s="338"/>
      <c r="MNY91" s="338"/>
      <c r="MNZ91" s="338"/>
      <c r="MOA91" s="338"/>
      <c r="MOB91" s="338"/>
      <c r="MOC91" s="338"/>
      <c r="MOD91" s="338"/>
      <c r="MOE91" s="338"/>
      <c r="MOF91" s="338"/>
      <c r="MOG91" s="338"/>
      <c r="MOH91" s="338"/>
      <c r="MOI91" s="338"/>
      <c r="MOJ91" s="338"/>
      <c r="MOK91" s="338"/>
      <c r="MOL91" s="338"/>
      <c r="MOM91" s="338"/>
      <c r="MON91" s="338"/>
      <c r="MOO91" s="338"/>
      <c r="MOP91" s="338"/>
      <c r="MOQ91" s="338"/>
      <c r="MOR91" s="338"/>
      <c r="MOS91" s="338"/>
      <c r="MOT91" s="338"/>
      <c r="MOU91" s="338"/>
      <c r="MOV91" s="338"/>
      <c r="MOW91" s="338"/>
      <c r="MOX91" s="338"/>
      <c r="MOY91" s="338"/>
      <c r="MOZ91" s="338"/>
      <c r="MPA91" s="338"/>
      <c r="MPB91" s="338"/>
      <c r="MPC91" s="338"/>
      <c r="MPD91" s="338"/>
      <c r="MPE91" s="338"/>
      <c r="MPF91" s="338"/>
      <c r="MPG91" s="338"/>
      <c r="MPH91" s="338"/>
      <c r="MPI91" s="338"/>
      <c r="MPJ91" s="338"/>
      <c r="MPK91" s="338"/>
      <c r="MPL91" s="338"/>
      <c r="MPM91" s="338"/>
      <c r="MPN91" s="338"/>
      <c r="MPO91" s="338"/>
      <c r="MPP91" s="338"/>
      <c r="MPQ91" s="338"/>
      <c r="MPR91" s="338"/>
      <c r="MPS91" s="338"/>
      <c r="MPT91" s="338"/>
      <c r="MPU91" s="338"/>
      <c r="MPV91" s="338"/>
      <c r="MPW91" s="338"/>
      <c r="MPX91" s="338"/>
      <c r="MPY91" s="338"/>
      <c r="MPZ91" s="338"/>
      <c r="MQA91" s="338"/>
      <c r="MQB91" s="338"/>
      <c r="MQC91" s="338"/>
      <c r="MQD91" s="338"/>
      <c r="MQE91" s="338"/>
      <c r="MQF91" s="338"/>
      <c r="MQG91" s="338"/>
      <c r="MQH91" s="338"/>
      <c r="MQI91" s="338"/>
      <c r="MQJ91" s="338"/>
      <c r="MQK91" s="338"/>
      <c r="MQL91" s="338"/>
      <c r="MQM91" s="338"/>
      <c r="MQN91" s="338"/>
      <c r="MQO91" s="338"/>
      <c r="MQP91" s="338"/>
      <c r="MQQ91" s="338"/>
      <c r="MQR91" s="338"/>
      <c r="MQS91" s="338"/>
      <c r="MQT91" s="338"/>
      <c r="MQU91" s="338"/>
      <c r="MQV91" s="338"/>
      <c r="MQW91" s="338"/>
      <c r="MQX91" s="338"/>
      <c r="MQY91" s="338"/>
      <c r="MQZ91" s="338"/>
      <c r="MRA91" s="338"/>
      <c r="MRB91" s="338"/>
      <c r="MRC91" s="338"/>
      <c r="MRD91" s="338"/>
      <c r="MRE91" s="338"/>
      <c r="MRF91" s="338"/>
      <c r="MRG91" s="338"/>
      <c r="MRH91" s="338"/>
      <c r="MRI91" s="338"/>
      <c r="MRJ91" s="338"/>
      <c r="MRK91" s="338"/>
      <c r="MRL91" s="338"/>
      <c r="MRM91" s="338"/>
      <c r="MRN91" s="338"/>
      <c r="MRO91" s="338"/>
      <c r="MRP91" s="338"/>
      <c r="MRQ91" s="338"/>
      <c r="MRR91" s="338"/>
      <c r="MRS91" s="338"/>
      <c r="MRT91" s="338"/>
      <c r="MRU91" s="338"/>
      <c r="MRV91" s="338"/>
      <c r="MRW91" s="338"/>
      <c r="MRX91" s="338"/>
      <c r="MRY91" s="338"/>
      <c r="MRZ91" s="338"/>
      <c r="MSA91" s="338"/>
      <c r="MSB91" s="338"/>
      <c r="MSC91" s="338"/>
      <c r="MSD91" s="338"/>
      <c r="MSE91" s="338"/>
      <c r="MSF91" s="338"/>
      <c r="MSG91" s="338"/>
      <c r="MSH91" s="338"/>
      <c r="MSI91" s="338"/>
      <c r="MSJ91" s="338"/>
      <c r="MSK91" s="338"/>
      <c r="MSL91" s="338"/>
      <c r="MSM91" s="338"/>
      <c r="MSN91" s="338"/>
      <c r="MSO91" s="338"/>
      <c r="MSP91" s="338"/>
      <c r="MSQ91" s="338"/>
      <c r="MSR91" s="338"/>
      <c r="MSS91" s="338"/>
      <c r="MST91" s="338"/>
      <c r="MSU91" s="338"/>
      <c r="MSV91" s="338"/>
      <c r="MSW91" s="338"/>
      <c r="MSX91" s="338"/>
      <c r="MSY91" s="338"/>
      <c r="MSZ91" s="338"/>
      <c r="MTA91" s="338"/>
      <c r="MTB91" s="338"/>
      <c r="MTC91" s="338"/>
      <c r="MTD91" s="338"/>
      <c r="MTE91" s="338"/>
      <c r="MTF91" s="338"/>
      <c r="MTG91" s="338"/>
      <c r="MTH91" s="338"/>
      <c r="MTI91" s="338"/>
      <c r="MTJ91" s="338"/>
      <c r="MTK91" s="338"/>
      <c r="MTL91" s="338"/>
      <c r="MTM91" s="338"/>
      <c r="MTN91" s="338"/>
      <c r="MTO91" s="338"/>
      <c r="MTP91" s="338"/>
      <c r="MTQ91" s="338"/>
      <c r="MTR91" s="338"/>
      <c r="MTS91" s="338"/>
      <c r="MTT91" s="338"/>
      <c r="MTU91" s="338"/>
      <c r="MTV91" s="338"/>
      <c r="MTW91" s="338"/>
      <c r="MTX91" s="338"/>
      <c r="MTY91" s="338"/>
      <c r="MTZ91" s="338"/>
      <c r="MUA91" s="338"/>
      <c r="MUB91" s="338"/>
      <c r="MUC91" s="338"/>
      <c r="MUD91" s="338"/>
      <c r="MUE91" s="338"/>
      <c r="MUF91" s="338"/>
      <c r="MUG91" s="338"/>
      <c r="MUH91" s="338"/>
      <c r="MUI91" s="338"/>
      <c r="MUJ91" s="338"/>
      <c r="MUK91" s="338"/>
      <c r="MUL91" s="338"/>
      <c r="MUM91" s="338"/>
      <c r="MUN91" s="338"/>
      <c r="MUO91" s="338"/>
      <c r="MUP91" s="338"/>
      <c r="MUQ91" s="338"/>
      <c r="MUR91" s="338"/>
      <c r="MUS91" s="338"/>
      <c r="MUT91" s="338"/>
      <c r="MUU91" s="338"/>
      <c r="MUV91" s="338"/>
      <c r="MUW91" s="338"/>
      <c r="MUX91" s="338"/>
      <c r="MUY91" s="338"/>
      <c r="MUZ91" s="338"/>
      <c r="MVA91" s="338"/>
      <c r="MVB91" s="338"/>
      <c r="MVC91" s="338"/>
      <c r="MVD91" s="338"/>
      <c r="MVE91" s="338"/>
      <c r="MVF91" s="338"/>
      <c r="MVG91" s="338"/>
      <c r="MVH91" s="338"/>
      <c r="MVI91" s="338"/>
      <c r="MVJ91" s="338"/>
      <c r="MVK91" s="338"/>
      <c r="MVL91" s="338"/>
      <c r="MVM91" s="338"/>
      <c r="MVN91" s="338"/>
      <c r="MVO91" s="338"/>
      <c r="MVP91" s="338"/>
      <c r="MVQ91" s="338"/>
      <c r="MVR91" s="338"/>
      <c r="MVS91" s="338"/>
      <c r="MVT91" s="338"/>
      <c r="MVU91" s="338"/>
      <c r="MVV91" s="338"/>
      <c r="MVW91" s="338"/>
      <c r="MVX91" s="338"/>
      <c r="MVY91" s="338"/>
      <c r="MVZ91" s="338"/>
      <c r="MWA91" s="338"/>
      <c r="MWB91" s="338"/>
      <c r="MWC91" s="338"/>
      <c r="MWD91" s="338"/>
      <c r="MWE91" s="338"/>
      <c r="MWF91" s="338"/>
      <c r="MWG91" s="338"/>
      <c r="MWH91" s="338"/>
      <c r="MWI91" s="338"/>
      <c r="MWJ91" s="338"/>
      <c r="MWK91" s="338"/>
      <c r="MWL91" s="338"/>
      <c r="MWM91" s="338"/>
      <c r="MWN91" s="338"/>
      <c r="MWO91" s="338"/>
      <c r="MWP91" s="338"/>
      <c r="MWQ91" s="338"/>
      <c r="MWR91" s="338"/>
      <c r="MWS91" s="338"/>
      <c r="MWT91" s="338"/>
      <c r="MWU91" s="338"/>
      <c r="MWV91" s="338"/>
      <c r="MWW91" s="338"/>
      <c r="MWX91" s="338"/>
      <c r="MWY91" s="338"/>
      <c r="MWZ91" s="338"/>
      <c r="MXA91" s="338"/>
      <c r="MXB91" s="338"/>
      <c r="MXC91" s="338"/>
      <c r="MXD91" s="338"/>
      <c r="MXE91" s="338"/>
      <c r="MXF91" s="338"/>
      <c r="MXG91" s="338"/>
      <c r="MXH91" s="338"/>
      <c r="MXI91" s="338"/>
      <c r="MXJ91" s="338"/>
      <c r="MXK91" s="338"/>
      <c r="MXL91" s="338"/>
      <c r="MXM91" s="338"/>
      <c r="MXN91" s="338"/>
      <c r="MXO91" s="338"/>
      <c r="MXP91" s="338"/>
      <c r="MXQ91" s="338"/>
      <c r="MXR91" s="338"/>
      <c r="MXS91" s="338"/>
      <c r="MXT91" s="338"/>
      <c r="MXU91" s="338"/>
      <c r="MXV91" s="338"/>
      <c r="MXW91" s="338"/>
      <c r="MXX91" s="338"/>
      <c r="MXY91" s="338"/>
      <c r="MXZ91" s="338"/>
      <c r="MYA91" s="338"/>
      <c r="MYB91" s="338"/>
      <c r="MYC91" s="338"/>
      <c r="MYD91" s="338"/>
      <c r="MYE91" s="338"/>
      <c r="MYF91" s="338"/>
      <c r="MYG91" s="338"/>
      <c r="MYH91" s="338"/>
      <c r="MYI91" s="338"/>
      <c r="MYJ91" s="338"/>
      <c r="MYK91" s="338"/>
      <c r="MYL91" s="338"/>
      <c r="MYM91" s="338"/>
      <c r="MYN91" s="338"/>
      <c r="MYO91" s="338"/>
      <c r="MYP91" s="338"/>
      <c r="MYQ91" s="338"/>
      <c r="MYR91" s="338"/>
      <c r="MYS91" s="338"/>
      <c r="MYT91" s="338"/>
      <c r="MYU91" s="338"/>
      <c r="MYV91" s="338"/>
      <c r="MYW91" s="338"/>
      <c r="MYX91" s="338"/>
      <c r="MYY91" s="338"/>
      <c r="MYZ91" s="338"/>
      <c r="MZA91" s="338"/>
      <c r="MZB91" s="338"/>
      <c r="MZC91" s="338"/>
      <c r="MZD91" s="338"/>
      <c r="MZE91" s="338"/>
      <c r="MZF91" s="338"/>
      <c r="MZG91" s="338"/>
      <c r="MZH91" s="338"/>
      <c r="MZI91" s="338"/>
      <c r="MZJ91" s="338"/>
      <c r="MZK91" s="338"/>
      <c r="MZL91" s="338"/>
      <c r="MZM91" s="338"/>
      <c r="MZN91" s="338"/>
      <c r="MZO91" s="338"/>
      <c r="MZP91" s="338"/>
      <c r="MZQ91" s="338"/>
      <c r="MZR91" s="338"/>
      <c r="MZS91" s="338"/>
      <c r="MZT91" s="338"/>
      <c r="MZU91" s="338"/>
      <c r="MZV91" s="338"/>
      <c r="MZW91" s="338"/>
      <c r="MZX91" s="338"/>
      <c r="MZY91" s="338"/>
      <c r="MZZ91" s="338"/>
      <c r="NAA91" s="338"/>
      <c r="NAB91" s="338"/>
      <c r="NAC91" s="338"/>
      <c r="NAD91" s="338"/>
      <c r="NAE91" s="338"/>
      <c r="NAF91" s="338"/>
      <c r="NAG91" s="338"/>
      <c r="NAH91" s="338"/>
      <c r="NAI91" s="338"/>
      <c r="NAJ91" s="338"/>
      <c r="NAK91" s="338"/>
      <c r="NAL91" s="338"/>
      <c r="NAM91" s="338"/>
      <c r="NAN91" s="338"/>
      <c r="NAO91" s="338"/>
      <c r="NAP91" s="338"/>
      <c r="NAQ91" s="338"/>
      <c r="NAR91" s="338"/>
      <c r="NAS91" s="338"/>
      <c r="NAT91" s="338"/>
      <c r="NAU91" s="338"/>
      <c r="NAV91" s="338"/>
      <c r="NAW91" s="338"/>
      <c r="NAX91" s="338"/>
      <c r="NAY91" s="338"/>
      <c r="NAZ91" s="338"/>
      <c r="NBA91" s="338"/>
      <c r="NBB91" s="338"/>
      <c r="NBC91" s="338"/>
      <c r="NBD91" s="338"/>
      <c r="NBE91" s="338"/>
      <c r="NBF91" s="338"/>
      <c r="NBG91" s="338"/>
      <c r="NBH91" s="338"/>
      <c r="NBI91" s="338"/>
      <c r="NBJ91" s="338"/>
      <c r="NBK91" s="338"/>
      <c r="NBL91" s="338"/>
      <c r="NBM91" s="338"/>
      <c r="NBN91" s="338"/>
      <c r="NBO91" s="338"/>
      <c r="NBP91" s="338"/>
      <c r="NBQ91" s="338"/>
      <c r="NBR91" s="338"/>
      <c r="NBS91" s="338"/>
      <c r="NBT91" s="338"/>
      <c r="NBU91" s="338"/>
      <c r="NBV91" s="338"/>
      <c r="NBW91" s="338"/>
      <c r="NBX91" s="338"/>
      <c r="NBY91" s="338"/>
      <c r="NBZ91" s="338"/>
      <c r="NCA91" s="338"/>
      <c r="NCB91" s="338"/>
      <c r="NCC91" s="338"/>
      <c r="NCD91" s="338"/>
      <c r="NCE91" s="338"/>
      <c r="NCF91" s="338"/>
      <c r="NCG91" s="338"/>
      <c r="NCH91" s="338"/>
      <c r="NCI91" s="338"/>
      <c r="NCJ91" s="338"/>
      <c r="NCK91" s="338"/>
      <c r="NCL91" s="338"/>
      <c r="NCM91" s="338"/>
      <c r="NCN91" s="338"/>
      <c r="NCO91" s="338"/>
      <c r="NCP91" s="338"/>
      <c r="NCQ91" s="338"/>
      <c r="NCR91" s="338"/>
      <c r="NCS91" s="338"/>
      <c r="NCT91" s="338"/>
      <c r="NCU91" s="338"/>
      <c r="NCV91" s="338"/>
      <c r="NCW91" s="338"/>
      <c r="NCX91" s="338"/>
      <c r="NCY91" s="338"/>
      <c r="NCZ91" s="338"/>
      <c r="NDA91" s="338"/>
      <c r="NDB91" s="338"/>
      <c r="NDC91" s="338"/>
      <c r="NDD91" s="338"/>
      <c r="NDE91" s="338"/>
      <c r="NDF91" s="338"/>
      <c r="NDG91" s="338"/>
      <c r="NDH91" s="338"/>
      <c r="NDI91" s="338"/>
      <c r="NDJ91" s="338"/>
      <c r="NDK91" s="338"/>
      <c r="NDL91" s="338"/>
      <c r="NDM91" s="338"/>
      <c r="NDN91" s="338"/>
      <c r="NDO91" s="338"/>
      <c r="NDP91" s="338"/>
      <c r="NDQ91" s="338"/>
      <c r="NDR91" s="338"/>
      <c r="NDS91" s="338"/>
      <c r="NDT91" s="338"/>
      <c r="NDU91" s="338"/>
      <c r="NDV91" s="338"/>
      <c r="NDW91" s="338"/>
      <c r="NDX91" s="338"/>
      <c r="NDY91" s="338"/>
      <c r="NDZ91" s="338"/>
      <c r="NEA91" s="338"/>
      <c r="NEB91" s="338"/>
      <c r="NEC91" s="338"/>
      <c r="NED91" s="338"/>
      <c r="NEE91" s="338"/>
      <c r="NEF91" s="338"/>
      <c r="NEG91" s="338"/>
      <c r="NEH91" s="338"/>
      <c r="NEI91" s="338"/>
      <c r="NEJ91" s="338"/>
      <c r="NEK91" s="338"/>
      <c r="NEL91" s="338"/>
      <c r="NEM91" s="338"/>
      <c r="NEN91" s="338"/>
      <c r="NEO91" s="338"/>
      <c r="NEP91" s="338"/>
      <c r="NEQ91" s="338"/>
      <c r="NER91" s="338"/>
      <c r="NES91" s="338"/>
      <c r="NET91" s="338"/>
      <c r="NEU91" s="338"/>
      <c r="NEV91" s="338"/>
      <c r="NEW91" s="338"/>
      <c r="NEX91" s="338"/>
      <c r="NEY91" s="338"/>
      <c r="NEZ91" s="338"/>
      <c r="NFA91" s="338"/>
      <c r="NFB91" s="338"/>
      <c r="NFC91" s="338"/>
      <c r="NFD91" s="338"/>
      <c r="NFE91" s="338"/>
      <c r="NFF91" s="338"/>
      <c r="NFG91" s="338"/>
      <c r="NFH91" s="338"/>
      <c r="NFI91" s="338"/>
      <c r="NFJ91" s="338"/>
      <c r="NFK91" s="338"/>
      <c r="NFL91" s="338"/>
      <c r="NFM91" s="338"/>
      <c r="NFN91" s="338"/>
      <c r="NFO91" s="338"/>
      <c r="NFP91" s="338"/>
      <c r="NFQ91" s="338"/>
      <c r="NFR91" s="338"/>
      <c r="NFS91" s="338"/>
      <c r="NFT91" s="338"/>
      <c r="NFU91" s="338"/>
      <c r="NFV91" s="338"/>
      <c r="NFW91" s="338"/>
      <c r="NFX91" s="338"/>
      <c r="NFY91" s="338"/>
      <c r="NFZ91" s="338"/>
      <c r="NGA91" s="338"/>
      <c r="NGB91" s="338"/>
      <c r="NGC91" s="338"/>
      <c r="NGD91" s="338"/>
      <c r="NGE91" s="338"/>
      <c r="NGF91" s="338"/>
      <c r="NGG91" s="338"/>
      <c r="NGH91" s="338"/>
      <c r="NGI91" s="338"/>
      <c r="NGJ91" s="338"/>
      <c r="NGK91" s="338"/>
      <c r="NGL91" s="338"/>
      <c r="NGM91" s="338"/>
      <c r="NGN91" s="338"/>
      <c r="NGO91" s="338"/>
      <c r="NGP91" s="338"/>
      <c r="NGQ91" s="338"/>
      <c r="NGR91" s="338"/>
      <c r="NGS91" s="338"/>
      <c r="NGT91" s="338"/>
      <c r="NGU91" s="338"/>
      <c r="NGV91" s="338"/>
      <c r="NGW91" s="338"/>
      <c r="NGX91" s="338"/>
      <c r="NGY91" s="338"/>
      <c r="NGZ91" s="338"/>
      <c r="NHA91" s="338"/>
      <c r="NHB91" s="338"/>
      <c r="NHC91" s="338"/>
      <c r="NHD91" s="338"/>
      <c r="NHE91" s="338"/>
      <c r="NHF91" s="338"/>
      <c r="NHG91" s="338"/>
      <c r="NHH91" s="338"/>
      <c r="NHI91" s="338"/>
      <c r="NHJ91" s="338"/>
      <c r="NHK91" s="338"/>
      <c r="NHL91" s="338"/>
      <c r="NHM91" s="338"/>
      <c r="NHN91" s="338"/>
      <c r="NHO91" s="338"/>
      <c r="NHP91" s="338"/>
      <c r="NHQ91" s="338"/>
      <c r="NHR91" s="338"/>
      <c r="NHS91" s="338"/>
      <c r="NHT91" s="338"/>
      <c r="NHU91" s="338"/>
      <c r="NHV91" s="338"/>
      <c r="NHW91" s="338"/>
      <c r="NHX91" s="338"/>
      <c r="NHY91" s="338"/>
      <c r="NHZ91" s="338"/>
      <c r="NIA91" s="338"/>
      <c r="NIB91" s="338"/>
      <c r="NIC91" s="338"/>
      <c r="NID91" s="338"/>
      <c r="NIE91" s="338"/>
      <c r="NIF91" s="338"/>
      <c r="NIG91" s="338"/>
      <c r="NIH91" s="338"/>
      <c r="NII91" s="338"/>
      <c r="NIJ91" s="338"/>
      <c r="NIK91" s="338"/>
      <c r="NIL91" s="338"/>
      <c r="NIM91" s="338"/>
      <c r="NIN91" s="338"/>
      <c r="NIO91" s="338"/>
      <c r="NIP91" s="338"/>
      <c r="NIQ91" s="338"/>
      <c r="NIR91" s="338"/>
      <c r="NIS91" s="338"/>
      <c r="NIT91" s="338"/>
      <c r="NIU91" s="338"/>
      <c r="NIV91" s="338"/>
      <c r="NIW91" s="338"/>
      <c r="NIX91" s="338"/>
      <c r="NIY91" s="338"/>
      <c r="NIZ91" s="338"/>
      <c r="NJA91" s="338"/>
      <c r="NJB91" s="338"/>
      <c r="NJC91" s="338"/>
      <c r="NJD91" s="338"/>
      <c r="NJE91" s="338"/>
      <c r="NJF91" s="338"/>
      <c r="NJG91" s="338"/>
      <c r="NJH91" s="338"/>
      <c r="NJI91" s="338"/>
      <c r="NJJ91" s="338"/>
      <c r="NJK91" s="338"/>
      <c r="NJL91" s="338"/>
      <c r="NJM91" s="338"/>
      <c r="NJN91" s="338"/>
      <c r="NJO91" s="338"/>
      <c r="NJP91" s="338"/>
      <c r="NJQ91" s="338"/>
      <c r="NJR91" s="338"/>
      <c r="NJS91" s="338"/>
      <c r="NJT91" s="338"/>
      <c r="NJU91" s="338"/>
      <c r="NJV91" s="338"/>
      <c r="NJW91" s="338"/>
      <c r="NJX91" s="338"/>
      <c r="NJY91" s="338"/>
      <c r="NJZ91" s="338"/>
      <c r="NKA91" s="338"/>
      <c r="NKB91" s="338"/>
      <c r="NKC91" s="338"/>
      <c r="NKD91" s="338"/>
      <c r="NKE91" s="338"/>
      <c r="NKF91" s="338"/>
      <c r="NKG91" s="338"/>
      <c r="NKH91" s="338"/>
      <c r="NKI91" s="338"/>
      <c r="NKJ91" s="338"/>
      <c r="NKK91" s="338"/>
      <c r="NKL91" s="338"/>
      <c r="NKM91" s="338"/>
      <c r="NKN91" s="338"/>
      <c r="NKO91" s="338"/>
      <c r="NKP91" s="338"/>
      <c r="NKQ91" s="338"/>
      <c r="NKR91" s="338"/>
      <c r="NKS91" s="338"/>
      <c r="NKT91" s="338"/>
      <c r="NKU91" s="338"/>
      <c r="NKV91" s="338"/>
      <c r="NKW91" s="338"/>
      <c r="NKX91" s="338"/>
      <c r="NKY91" s="338"/>
      <c r="NKZ91" s="338"/>
      <c r="NLA91" s="338"/>
      <c r="NLB91" s="338"/>
      <c r="NLC91" s="338"/>
      <c r="NLD91" s="338"/>
      <c r="NLE91" s="338"/>
      <c r="NLF91" s="338"/>
      <c r="NLG91" s="338"/>
      <c r="NLH91" s="338"/>
      <c r="NLI91" s="338"/>
      <c r="NLJ91" s="338"/>
      <c r="NLK91" s="338"/>
      <c r="NLL91" s="338"/>
      <c r="NLM91" s="338"/>
      <c r="NLN91" s="338"/>
      <c r="NLO91" s="338"/>
      <c r="NLP91" s="338"/>
      <c r="NLQ91" s="338"/>
      <c r="NLR91" s="338"/>
      <c r="NLS91" s="338"/>
      <c r="NLT91" s="338"/>
      <c r="NLU91" s="338"/>
      <c r="NLV91" s="338"/>
      <c r="NLW91" s="338"/>
      <c r="NLX91" s="338"/>
      <c r="NLY91" s="338"/>
      <c r="NLZ91" s="338"/>
      <c r="NMA91" s="338"/>
      <c r="NMB91" s="338"/>
      <c r="NMC91" s="338"/>
      <c r="NMD91" s="338"/>
      <c r="NME91" s="338"/>
      <c r="NMF91" s="338"/>
      <c r="NMG91" s="338"/>
      <c r="NMH91" s="338"/>
      <c r="NMI91" s="338"/>
      <c r="NMJ91" s="338"/>
      <c r="NMK91" s="338"/>
      <c r="NML91" s="338"/>
      <c r="NMM91" s="338"/>
      <c r="NMN91" s="338"/>
      <c r="NMO91" s="338"/>
      <c r="NMP91" s="338"/>
      <c r="NMQ91" s="338"/>
      <c r="NMR91" s="338"/>
      <c r="NMS91" s="338"/>
      <c r="NMT91" s="338"/>
      <c r="NMU91" s="338"/>
      <c r="NMV91" s="338"/>
      <c r="NMW91" s="338"/>
      <c r="NMX91" s="338"/>
      <c r="NMY91" s="338"/>
      <c r="NMZ91" s="338"/>
      <c r="NNA91" s="338"/>
      <c r="NNB91" s="338"/>
      <c r="NNC91" s="338"/>
      <c r="NND91" s="338"/>
      <c r="NNE91" s="338"/>
      <c r="NNF91" s="338"/>
      <c r="NNG91" s="338"/>
      <c r="NNH91" s="338"/>
      <c r="NNI91" s="338"/>
      <c r="NNJ91" s="338"/>
      <c r="NNK91" s="338"/>
      <c r="NNL91" s="338"/>
      <c r="NNM91" s="338"/>
      <c r="NNN91" s="338"/>
      <c r="NNO91" s="338"/>
      <c r="NNP91" s="338"/>
      <c r="NNQ91" s="338"/>
      <c r="NNR91" s="338"/>
      <c r="NNS91" s="338"/>
      <c r="NNT91" s="338"/>
      <c r="NNU91" s="338"/>
      <c r="NNV91" s="338"/>
      <c r="NNW91" s="338"/>
      <c r="NNX91" s="338"/>
      <c r="NNY91" s="338"/>
      <c r="NNZ91" s="338"/>
      <c r="NOA91" s="338"/>
      <c r="NOB91" s="338"/>
      <c r="NOC91" s="338"/>
      <c r="NOD91" s="338"/>
      <c r="NOE91" s="338"/>
      <c r="NOF91" s="338"/>
      <c r="NOG91" s="338"/>
      <c r="NOH91" s="338"/>
      <c r="NOI91" s="338"/>
      <c r="NOJ91" s="338"/>
      <c r="NOK91" s="338"/>
      <c r="NOL91" s="338"/>
      <c r="NOM91" s="338"/>
      <c r="NON91" s="338"/>
      <c r="NOO91" s="338"/>
      <c r="NOP91" s="338"/>
      <c r="NOQ91" s="338"/>
      <c r="NOR91" s="338"/>
      <c r="NOS91" s="338"/>
      <c r="NOT91" s="338"/>
      <c r="NOU91" s="338"/>
      <c r="NOV91" s="338"/>
      <c r="NOW91" s="338"/>
      <c r="NOX91" s="338"/>
      <c r="NOY91" s="338"/>
      <c r="NOZ91" s="338"/>
      <c r="NPA91" s="338"/>
      <c r="NPB91" s="338"/>
      <c r="NPC91" s="338"/>
      <c r="NPD91" s="338"/>
      <c r="NPE91" s="338"/>
      <c r="NPF91" s="338"/>
      <c r="NPG91" s="338"/>
      <c r="NPH91" s="338"/>
      <c r="NPI91" s="338"/>
      <c r="NPJ91" s="338"/>
      <c r="NPK91" s="338"/>
      <c r="NPL91" s="338"/>
      <c r="NPM91" s="338"/>
      <c r="NPN91" s="338"/>
      <c r="NPO91" s="338"/>
      <c r="NPP91" s="338"/>
      <c r="NPQ91" s="338"/>
      <c r="NPR91" s="338"/>
      <c r="NPS91" s="338"/>
      <c r="NPT91" s="338"/>
      <c r="NPU91" s="338"/>
      <c r="NPV91" s="338"/>
      <c r="NPW91" s="338"/>
      <c r="NPX91" s="338"/>
      <c r="NPY91" s="338"/>
      <c r="NPZ91" s="338"/>
      <c r="NQA91" s="338"/>
      <c r="NQB91" s="338"/>
      <c r="NQC91" s="338"/>
      <c r="NQD91" s="338"/>
      <c r="NQE91" s="338"/>
      <c r="NQF91" s="338"/>
      <c r="NQG91" s="338"/>
      <c r="NQH91" s="338"/>
      <c r="NQI91" s="338"/>
      <c r="NQJ91" s="338"/>
      <c r="NQK91" s="338"/>
      <c r="NQL91" s="338"/>
      <c r="NQM91" s="338"/>
      <c r="NQN91" s="338"/>
      <c r="NQO91" s="338"/>
      <c r="NQP91" s="338"/>
      <c r="NQQ91" s="338"/>
      <c r="NQR91" s="338"/>
      <c r="NQS91" s="338"/>
      <c r="NQT91" s="338"/>
      <c r="NQU91" s="338"/>
      <c r="NQV91" s="338"/>
      <c r="NQW91" s="338"/>
      <c r="NQX91" s="338"/>
      <c r="NQY91" s="338"/>
      <c r="NQZ91" s="338"/>
      <c r="NRA91" s="338"/>
      <c r="NRB91" s="338"/>
      <c r="NRC91" s="338"/>
      <c r="NRD91" s="338"/>
      <c r="NRE91" s="338"/>
      <c r="NRF91" s="338"/>
      <c r="NRG91" s="338"/>
      <c r="NRH91" s="338"/>
      <c r="NRI91" s="338"/>
      <c r="NRJ91" s="338"/>
      <c r="NRK91" s="338"/>
      <c r="NRL91" s="338"/>
      <c r="NRM91" s="338"/>
      <c r="NRN91" s="338"/>
      <c r="NRO91" s="338"/>
      <c r="NRP91" s="338"/>
      <c r="NRQ91" s="338"/>
      <c r="NRR91" s="338"/>
      <c r="NRS91" s="338"/>
      <c r="NRT91" s="338"/>
      <c r="NRU91" s="338"/>
      <c r="NRV91" s="338"/>
      <c r="NRW91" s="338"/>
      <c r="NRX91" s="338"/>
      <c r="NRY91" s="338"/>
      <c r="NRZ91" s="338"/>
      <c r="NSA91" s="338"/>
      <c r="NSB91" s="338"/>
      <c r="NSC91" s="338"/>
      <c r="NSD91" s="338"/>
      <c r="NSE91" s="338"/>
      <c r="NSF91" s="338"/>
      <c r="NSG91" s="338"/>
      <c r="NSH91" s="338"/>
      <c r="NSI91" s="338"/>
      <c r="NSJ91" s="338"/>
      <c r="NSK91" s="338"/>
      <c r="NSL91" s="338"/>
      <c r="NSM91" s="338"/>
      <c r="NSN91" s="338"/>
      <c r="NSO91" s="338"/>
      <c r="NSP91" s="338"/>
      <c r="NSQ91" s="338"/>
      <c r="NSR91" s="338"/>
      <c r="NSS91" s="338"/>
      <c r="NST91" s="338"/>
      <c r="NSU91" s="338"/>
      <c r="NSV91" s="338"/>
      <c r="NSW91" s="338"/>
      <c r="NSX91" s="338"/>
      <c r="NSY91" s="338"/>
      <c r="NSZ91" s="338"/>
      <c r="NTA91" s="338"/>
      <c r="NTB91" s="338"/>
      <c r="NTC91" s="338"/>
      <c r="NTD91" s="338"/>
      <c r="NTE91" s="338"/>
      <c r="NTF91" s="338"/>
      <c r="NTG91" s="338"/>
      <c r="NTH91" s="338"/>
      <c r="NTI91" s="338"/>
      <c r="NTJ91" s="338"/>
      <c r="NTK91" s="338"/>
      <c r="NTL91" s="338"/>
      <c r="NTM91" s="338"/>
      <c r="NTN91" s="338"/>
      <c r="NTO91" s="338"/>
      <c r="NTP91" s="338"/>
      <c r="NTQ91" s="338"/>
      <c r="NTR91" s="338"/>
      <c r="NTS91" s="338"/>
      <c r="NTT91" s="338"/>
      <c r="NTU91" s="338"/>
      <c r="NTV91" s="338"/>
      <c r="NTW91" s="338"/>
      <c r="NTX91" s="338"/>
      <c r="NTY91" s="338"/>
      <c r="NTZ91" s="338"/>
      <c r="NUA91" s="338"/>
      <c r="NUB91" s="338"/>
      <c r="NUC91" s="338"/>
      <c r="NUD91" s="338"/>
      <c r="NUE91" s="338"/>
      <c r="NUF91" s="338"/>
      <c r="NUG91" s="338"/>
      <c r="NUH91" s="338"/>
      <c r="NUI91" s="338"/>
      <c r="NUJ91" s="338"/>
      <c r="NUK91" s="338"/>
      <c r="NUL91" s="338"/>
      <c r="NUM91" s="338"/>
      <c r="NUN91" s="338"/>
      <c r="NUO91" s="338"/>
      <c r="NUP91" s="338"/>
      <c r="NUQ91" s="338"/>
      <c r="NUR91" s="338"/>
      <c r="NUS91" s="338"/>
      <c r="NUT91" s="338"/>
      <c r="NUU91" s="338"/>
      <c r="NUV91" s="338"/>
      <c r="NUW91" s="338"/>
      <c r="NUX91" s="338"/>
      <c r="NUY91" s="338"/>
      <c r="NUZ91" s="338"/>
      <c r="NVA91" s="338"/>
      <c r="NVB91" s="338"/>
      <c r="NVC91" s="338"/>
      <c r="NVD91" s="338"/>
      <c r="NVE91" s="338"/>
      <c r="NVF91" s="338"/>
      <c r="NVG91" s="338"/>
      <c r="NVH91" s="338"/>
      <c r="NVI91" s="338"/>
      <c r="NVJ91" s="338"/>
      <c r="NVK91" s="338"/>
      <c r="NVL91" s="338"/>
      <c r="NVM91" s="338"/>
      <c r="NVN91" s="338"/>
      <c r="NVO91" s="338"/>
      <c r="NVP91" s="338"/>
      <c r="NVQ91" s="338"/>
      <c r="NVR91" s="338"/>
      <c r="NVS91" s="338"/>
      <c r="NVT91" s="338"/>
      <c r="NVU91" s="338"/>
      <c r="NVV91" s="338"/>
      <c r="NVW91" s="338"/>
      <c r="NVX91" s="338"/>
      <c r="NVY91" s="338"/>
      <c r="NVZ91" s="338"/>
      <c r="NWA91" s="338"/>
      <c r="NWB91" s="338"/>
      <c r="NWC91" s="338"/>
      <c r="NWD91" s="338"/>
      <c r="NWE91" s="338"/>
      <c r="NWF91" s="338"/>
      <c r="NWG91" s="338"/>
      <c r="NWH91" s="338"/>
      <c r="NWI91" s="338"/>
      <c r="NWJ91" s="338"/>
      <c r="NWK91" s="338"/>
      <c r="NWL91" s="338"/>
      <c r="NWM91" s="338"/>
      <c r="NWN91" s="338"/>
      <c r="NWO91" s="338"/>
      <c r="NWP91" s="338"/>
      <c r="NWQ91" s="338"/>
      <c r="NWR91" s="338"/>
      <c r="NWS91" s="338"/>
      <c r="NWT91" s="338"/>
      <c r="NWU91" s="338"/>
      <c r="NWV91" s="338"/>
      <c r="NWW91" s="338"/>
      <c r="NWX91" s="338"/>
      <c r="NWY91" s="338"/>
      <c r="NWZ91" s="338"/>
      <c r="NXA91" s="338"/>
      <c r="NXB91" s="338"/>
      <c r="NXC91" s="338"/>
      <c r="NXD91" s="338"/>
      <c r="NXE91" s="338"/>
      <c r="NXF91" s="338"/>
      <c r="NXG91" s="338"/>
      <c r="NXH91" s="338"/>
      <c r="NXI91" s="338"/>
      <c r="NXJ91" s="338"/>
      <c r="NXK91" s="338"/>
      <c r="NXL91" s="338"/>
      <c r="NXM91" s="338"/>
      <c r="NXN91" s="338"/>
      <c r="NXO91" s="338"/>
      <c r="NXP91" s="338"/>
      <c r="NXQ91" s="338"/>
      <c r="NXR91" s="338"/>
      <c r="NXS91" s="338"/>
      <c r="NXT91" s="338"/>
      <c r="NXU91" s="338"/>
      <c r="NXV91" s="338"/>
      <c r="NXW91" s="338"/>
      <c r="NXX91" s="338"/>
      <c r="NXY91" s="338"/>
      <c r="NXZ91" s="338"/>
      <c r="NYA91" s="338"/>
      <c r="NYB91" s="338"/>
      <c r="NYC91" s="338"/>
      <c r="NYD91" s="338"/>
      <c r="NYE91" s="338"/>
      <c r="NYF91" s="338"/>
      <c r="NYG91" s="338"/>
      <c r="NYH91" s="338"/>
      <c r="NYI91" s="338"/>
      <c r="NYJ91" s="338"/>
      <c r="NYK91" s="338"/>
      <c r="NYL91" s="338"/>
      <c r="NYM91" s="338"/>
      <c r="NYN91" s="338"/>
      <c r="NYO91" s="338"/>
      <c r="NYP91" s="338"/>
      <c r="NYQ91" s="338"/>
      <c r="NYR91" s="338"/>
      <c r="NYS91" s="338"/>
      <c r="NYT91" s="338"/>
      <c r="NYU91" s="338"/>
      <c r="NYV91" s="338"/>
      <c r="NYW91" s="338"/>
      <c r="NYX91" s="338"/>
      <c r="NYY91" s="338"/>
      <c r="NYZ91" s="338"/>
      <c r="NZA91" s="338"/>
      <c r="NZB91" s="338"/>
      <c r="NZC91" s="338"/>
      <c r="NZD91" s="338"/>
      <c r="NZE91" s="338"/>
      <c r="NZF91" s="338"/>
      <c r="NZG91" s="338"/>
      <c r="NZH91" s="338"/>
      <c r="NZI91" s="338"/>
      <c r="NZJ91" s="338"/>
      <c r="NZK91" s="338"/>
      <c r="NZL91" s="338"/>
      <c r="NZM91" s="338"/>
      <c r="NZN91" s="338"/>
      <c r="NZO91" s="338"/>
      <c r="NZP91" s="338"/>
      <c r="NZQ91" s="338"/>
      <c r="NZR91" s="338"/>
      <c r="NZS91" s="338"/>
      <c r="NZT91" s="338"/>
      <c r="NZU91" s="338"/>
      <c r="NZV91" s="338"/>
      <c r="NZW91" s="338"/>
      <c r="NZX91" s="338"/>
      <c r="NZY91" s="338"/>
      <c r="NZZ91" s="338"/>
      <c r="OAA91" s="338"/>
      <c r="OAB91" s="338"/>
      <c r="OAC91" s="338"/>
      <c r="OAD91" s="338"/>
      <c r="OAE91" s="338"/>
      <c r="OAF91" s="338"/>
      <c r="OAG91" s="338"/>
      <c r="OAH91" s="338"/>
      <c r="OAI91" s="338"/>
      <c r="OAJ91" s="338"/>
      <c r="OAK91" s="338"/>
      <c r="OAL91" s="338"/>
      <c r="OAM91" s="338"/>
      <c r="OAN91" s="338"/>
      <c r="OAO91" s="338"/>
      <c r="OAP91" s="338"/>
      <c r="OAQ91" s="338"/>
      <c r="OAR91" s="338"/>
      <c r="OAS91" s="338"/>
      <c r="OAT91" s="338"/>
      <c r="OAU91" s="338"/>
      <c r="OAV91" s="338"/>
      <c r="OAW91" s="338"/>
      <c r="OAX91" s="338"/>
      <c r="OAY91" s="338"/>
      <c r="OAZ91" s="338"/>
      <c r="OBA91" s="338"/>
      <c r="OBB91" s="338"/>
      <c r="OBC91" s="338"/>
      <c r="OBD91" s="338"/>
      <c r="OBE91" s="338"/>
      <c r="OBF91" s="338"/>
      <c r="OBG91" s="338"/>
      <c r="OBH91" s="338"/>
      <c r="OBI91" s="338"/>
      <c r="OBJ91" s="338"/>
      <c r="OBK91" s="338"/>
      <c r="OBL91" s="338"/>
      <c r="OBM91" s="338"/>
      <c r="OBN91" s="338"/>
      <c r="OBO91" s="338"/>
      <c r="OBP91" s="338"/>
      <c r="OBQ91" s="338"/>
      <c r="OBR91" s="338"/>
      <c r="OBS91" s="338"/>
      <c r="OBT91" s="338"/>
      <c r="OBU91" s="338"/>
      <c r="OBV91" s="338"/>
      <c r="OBW91" s="338"/>
      <c r="OBX91" s="338"/>
      <c r="OBY91" s="338"/>
      <c r="OBZ91" s="338"/>
      <c r="OCA91" s="338"/>
      <c r="OCB91" s="338"/>
      <c r="OCC91" s="338"/>
      <c r="OCD91" s="338"/>
      <c r="OCE91" s="338"/>
      <c r="OCF91" s="338"/>
      <c r="OCG91" s="338"/>
      <c r="OCH91" s="338"/>
      <c r="OCI91" s="338"/>
      <c r="OCJ91" s="338"/>
      <c r="OCK91" s="338"/>
      <c r="OCL91" s="338"/>
      <c r="OCM91" s="338"/>
      <c r="OCN91" s="338"/>
      <c r="OCO91" s="338"/>
      <c r="OCP91" s="338"/>
      <c r="OCQ91" s="338"/>
      <c r="OCR91" s="338"/>
      <c r="OCS91" s="338"/>
      <c r="OCT91" s="338"/>
      <c r="OCU91" s="338"/>
      <c r="OCV91" s="338"/>
      <c r="OCW91" s="338"/>
      <c r="OCX91" s="338"/>
      <c r="OCY91" s="338"/>
      <c r="OCZ91" s="338"/>
      <c r="ODA91" s="338"/>
      <c r="ODB91" s="338"/>
      <c r="ODC91" s="338"/>
      <c r="ODD91" s="338"/>
      <c r="ODE91" s="338"/>
      <c r="ODF91" s="338"/>
      <c r="ODG91" s="338"/>
      <c r="ODH91" s="338"/>
      <c r="ODI91" s="338"/>
      <c r="ODJ91" s="338"/>
      <c r="ODK91" s="338"/>
      <c r="ODL91" s="338"/>
      <c r="ODM91" s="338"/>
      <c r="ODN91" s="338"/>
      <c r="ODO91" s="338"/>
      <c r="ODP91" s="338"/>
      <c r="ODQ91" s="338"/>
      <c r="ODR91" s="338"/>
      <c r="ODS91" s="338"/>
      <c r="ODT91" s="338"/>
      <c r="ODU91" s="338"/>
      <c r="ODV91" s="338"/>
      <c r="ODW91" s="338"/>
      <c r="ODX91" s="338"/>
      <c r="ODY91" s="338"/>
      <c r="ODZ91" s="338"/>
      <c r="OEA91" s="338"/>
      <c r="OEB91" s="338"/>
      <c r="OEC91" s="338"/>
      <c r="OED91" s="338"/>
      <c r="OEE91" s="338"/>
      <c r="OEF91" s="338"/>
      <c r="OEG91" s="338"/>
      <c r="OEH91" s="338"/>
      <c r="OEI91" s="338"/>
      <c r="OEJ91" s="338"/>
      <c r="OEK91" s="338"/>
      <c r="OEL91" s="338"/>
      <c r="OEM91" s="338"/>
      <c r="OEN91" s="338"/>
      <c r="OEO91" s="338"/>
      <c r="OEP91" s="338"/>
      <c r="OEQ91" s="338"/>
      <c r="OER91" s="338"/>
      <c r="OES91" s="338"/>
      <c r="OET91" s="338"/>
      <c r="OEU91" s="338"/>
      <c r="OEV91" s="338"/>
      <c r="OEW91" s="338"/>
      <c r="OEX91" s="338"/>
      <c r="OEY91" s="338"/>
      <c r="OEZ91" s="338"/>
      <c r="OFA91" s="338"/>
      <c r="OFB91" s="338"/>
      <c r="OFC91" s="338"/>
      <c r="OFD91" s="338"/>
      <c r="OFE91" s="338"/>
      <c r="OFF91" s="338"/>
      <c r="OFG91" s="338"/>
      <c r="OFH91" s="338"/>
      <c r="OFI91" s="338"/>
      <c r="OFJ91" s="338"/>
      <c r="OFK91" s="338"/>
      <c r="OFL91" s="338"/>
      <c r="OFM91" s="338"/>
      <c r="OFN91" s="338"/>
      <c r="OFO91" s="338"/>
      <c r="OFP91" s="338"/>
      <c r="OFQ91" s="338"/>
      <c r="OFR91" s="338"/>
      <c r="OFS91" s="338"/>
      <c r="OFT91" s="338"/>
      <c r="OFU91" s="338"/>
      <c r="OFV91" s="338"/>
      <c r="OFW91" s="338"/>
      <c r="OFX91" s="338"/>
      <c r="OFY91" s="338"/>
      <c r="OFZ91" s="338"/>
      <c r="OGA91" s="338"/>
      <c r="OGB91" s="338"/>
      <c r="OGC91" s="338"/>
      <c r="OGD91" s="338"/>
      <c r="OGE91" s="338"/>
      <c r="OGF91" s="338"/>
      <c r="OGG91" s="338"/>
      <c r="OGH91" s="338"/>
      <c r="OGI91" s="338"/>
      <c r="OGJ91" s="338"/>
      <c r="OGK91" s="338"/>
      <c r="OGL91" s="338"/>
      <c r="OGM91" s="338"/>
      <c r="OGN91" s="338"/>
      <c r="OGO91" s="338"/>
      <c r="OGP91" s="338"/>
      <c r="OGQ91" s="338"/>
      <c r="OGR91" s="338"/>
      <c r="OGS91" s="338"/>
      <c r="OGT91" s="338"/>
      <c r="OGU91" s="338"/>
      <c r="OGV91" s="338"/>
      <c r="OGW91" s="338"/>
      <c r="OGX91" s="338"/>
      <c r="OGY91" s="338"/>
      <c r="OGZ91" s="338"/>
      <c r="OHA91" s="338"/>
      <c r="OHB91" s="338"/>
      <c r="OHC91" s="338"/>
      <c r="OHD91" s="338"/>
      <c r="OHE91" s="338"/>
      <c r="OHF91" s="338"/>
      <c r="OHG91" s="338"/>
      <c r="OHH91" s="338"/>
      <c r="OHI91" s="338"/>
      <c r="OHJ91" s="338"/>
      <c r="OHK91" s="338"/>
      <c r="OHL91" s="338"/>
      <c r="OHM91" s="338"/>
      <c r="OHN91" s="338"/>
      <c r="OHO91" s="338"/>
      <c r="OHP91" s="338"/>
      <c r="OHQ91" s="338"/>
      <c r="OHR91" s="338"/>
      <c r="OHS91" s="338"/>
      <c r="OHT91" s="338"/>
      <c r="OHU91" s="338"/>
      <c r="OHV91" s="338"/>
      <c r="OHW91" s="338"/>
      <c r="OHX91" s="338"/>
      <c r="OHY91" s="338"/>
      <c r="OHZ91" s="338"/>
      <c r="OIA91" s="338"/>
      <c r="OIB91" s="338"/>
      <c r="OIC91" s="338"/>
      <c r="OID91" s="338"/>
      <c r="OIE91" s="338"/>
      <c r="OIF91" s="338"/>
      <c r="OIG91" s="338"/>
      <c r="OIH91" s="338"/>
      <c r="OII91" s="338"/>
      <c r="OIJ91" s="338"/>
      <c r="OIK91" s="338"/>
      <c r="OIL91" s="338"/>
      <c r="OIM91" s="338"/>
      <c r="OIN91" s="338"/>
      <c r="OIO91" s="338"/>
      <c r="OIP91" s="338"/>
      <c r="OIQ91" s="338"/>
      <c r="OIR91" s="338"/>
      <c r="OIS91" s="338"/>
      <c r="OIT91" s="338"/>
      <c r="OIU91" s="338"/>
      <c r="OIV91" s="338"/>
      <c r="OIW91" s="338"/>
      <c r="OIX91" s="338"/>
      <c r="OIY91" s="338"/>
      <c r="OIZ91" s="338"/>
      <c r="OJA91" s="338"/>
      <c r="OJB91" s="338"/>
      <c r="OJC91" s="338"/>
      <c r="OJD91" s="338"/>
      <c r="OJE91" s="338"/>
      <c r="OJF91" s="338"/>
      <c r="OJG91" s="338"/>
      <c r="OJH91" s="338"/>
      <c r="OJI91" s="338"/>
      <c r="OJJ91" s="338"/>
      <c r="OJK91" s="338"/>
      <c r="OJL91" s="338"/>
      <c r="OJM91" s="338"/>
      <c r="OJN91" s="338"/>
      <c r="OJO91" s="338"/>
      <c r="OJP91" s="338"/>
      <c r="OJQ91" s="338"/>
      <c r="OJR91" s="338"/>
      <c r="OJS91" s="338"/>
      <c r="OJT91" s="338"/>
      <c r="OJU91" s="338"/>
      <c r="OJV91" s="338"/>
      <c r="OJW91" s="338"/>
      <c r="OJX91" s="338"/>
      <c r="OJY91" s="338"/>
      <c r="OJZ91" s="338"/>
      <c r="OKA91" s="338"/>
      <c r="OKB91" s="338"/>
      <c r="OKC91" s="338"/>
      <c r="OKD91" s="338"/>
      <c r="OKE91" s="338"/>
      <c r="OKF91" s="338"/>
      <c r="OKG91" s="338"/>
      <c r="OKH91" s="338"/>
      <c r="OKI91" s="338"/>
      <c r="OKJ91" s="338"/>
      <c r="OKK91" s="338"/>
      <c r="OKL91" s="338"/>
      <c r="OKM91" s="338"/>
      <c r="OKN91" s="338"/>
      <c r="OKO91" s="338"/>
      <c r="OKP91" s="338"/>
      <c r="OKQ91" s="338"/>
      <c r="OKR91" s="338"/>
      <c r="OKS91" s="338"/>
      <c r="OKT91" s="338"/>
      <c r="OKU91" s="338"/>
      <c r="OKV91" s="338"/>
      <c r="OKW91" s="338"/>
      <c r="OKX91" s="338"/>
      <c r="OKY91" s="338"/>
      <c r="OKZ91" s="338"/>
      <c r="OLA91" s="338"/>
      <c r="OLB91" s="338"/>
      <c r="OLC91" s="338"/>
      <c r="OLD91" s="338"/>
      <c r="OLE91" s="338"/>
      <c r="OLF91" s="338"/>
      <c r="OLG91" s="338"/>
      <c r="OLH91" s="338"/>
      <c r="OLI91" s="338"/>
      <c r="OLJ91" s="338"/>
      <c r="OLK91" s="338"/>
      <c r="OLL91" s="338"/>
      <c r="OLM91" s="338"/>
      <c r="OLN91" s="338"/>
      <c r="OLO91" s="338"/>
      <c r="OLP91" s="338"/>
      <c r="OLQ91" s="338"/>
      <c r="OLR91" s="338"/>
      <c r="OLS91" s="338"/>
      <c r="OLT91" s="338"/>
      <c r="OLU91" s="338"/>
      <c r="OLV91" s="338"/>
      <c r="OLW91" s="338"/>
      <c r="OLX91" s="338"/>
      <c r="OLY91" s="338"/>
      <c r="OLZ91" s="338"/>
      <c r="OMA91" s="338"/>
      <c r="OMB91" s="338"/>
      <c r="OMC91" s="338"/>
      <c r="OMD91" s="338"/>
      <c r="OME91" s="338"/>
      <c r="OMF91" s="338"/>
      <c r="OMG91" s="338"/>
      <c r="OMH91" s="338"/>
      <c r="OMI91" s="338"/>
      <c r="OMJ91" s="338"/>
      <c r="OMK91" s="338"/>
      <c r="OML91" s="338"/>
      <c r="OMM91" s="338"/>
      <c r="OMN91" s="338"/>
      <c r="OMO91" s="338"/>
      <c r="OMP91" s="338"/>
      <c r="OMQ91" s="338"/>
      <c r="OMR91" s="338"/>
      <c r="OMS91" s="338"/>
      <c r="OMT91" s="338"/>
      <c r="OMU91" s="338"/>
      <c r="OMV91" s="338"/>
      <c r="OMW91" s="338"/>
      <c r="OMX91" s="338"/>
      <c r="OMY91" s="338"/>
      <c r="OMZ91" s="338"/>
      <c r="ONA91" s="338"/>
      <c r="ONB91" s="338"/>
      <c r="ONC91" s="338"/>
      <c r="OND91" s="338"/>
      <c r="ONE91" s="338"/>
      <c r="ONF91" s="338"/>
      <c r="ONG91" s="338"/>
      <c r="ONH91" s="338"/>
      <c r="ONI91" s="338"/>
      <c r="ONJ91" s="338"/>
      <c r="ONK91" s="338"/>
      <c r="ONL91" s="338"/>
      <c r="ONM91" s="338"/>
      <c r="ONN91" s="338"/>
      <c r="ONO91" s="338"/>
      <c r="ONP91" s="338"/>
      <c r="ONQ91" s="338"/>
      <c r="ONR91" s="338"/>
      <c r="ONS91" s="338"/>
      <c r="ONT91" s="338"/>
      <c r="ONU91" s="338"/>
      <c r="ONV91" s="338"/>
      <c r="ONW91" s="338"/>
      <c r="ONX91" s="338"/>
      <c r="ONY91" s="338"/>
      <c r="ONZ91" s="338"/>
      <c r="OOA91" s="338"/>
      <c r="OOB91" s="338"/>
      <c r="OOC91" s="338"/>
      <c r="OOD91" s="338"/>
      <c r="OOE91" s="338"/>
      <c r="OOF91" s="338"/>
      <c r="OOG91" s="338"/>
      <c r="OOH91" s="338"/>
      <c r="OOI91" s="338"/>
      <c r="OOJ91" s="338"/>
      <c r="OOK91" s="338"/>
      <c r="OOL91" s="338"/>
      <c r="OOM91" s="338"/>
      <c r="OON91" s="338"/>
      <c r="OOO91" s="338"/>
      <c r="OOP91" s="338"/>
      <c r="OOQ91" s="338"/>
      <c r="OOR91" s="338"/>
      <c r="OOS91" s="338"/>
      <c r="OOT91" s="338"/>
      <c r="OOU91" s="338"/>
      <c r="OOV91" s="338"/>
      <c r="OOW91" s="338"/>
      <c r="OOX91" s="338"/>
      <c r="OOY91" s="338"/>
      <c r="OOZ91" s="338"/>
      <c r="OPA91" s="338"/>
      <c r="OPB91" s="338"/>
      <c r="OPC91" s="338"/>
      <c r="OPD91" s="338"/>
      <c r="OPE91" s="338"/>
      <c r="OPF91" s="338"/>
      <c r="OPG91" s="338"/>
      <c r="OPH91" s="338"/>
      <c r="OPI91" s="338"/>
      <c r="OPJ91" s="338"/>
      <c r="OPK91" s="338"/>
      <c r="OPL91" s="338"/>
      <c r="OPM91" s="338"/>
      <c r="OPN91" s="338"/>
      <c r="OPO91" s="338"/>
      <c r="OPP91" s="338"/>
      <c r="OPQ91" s="338"/>
      <c r="OPR91" s="338"/>
      <c r="OPS91" s="338"/>
      <c r="OPT91" s="338"/>
      <c r="OPU91" s="338"/>
      <c r="OPV91" s="338"/>
      <c r="OPW91" s="338"/>
      <c r="OPX91" s="338"/>
      <c r="OPY91" s="338"/>
      <c r="OPZ91" s="338"/>
      <c r="OQA91" s="338"/>
      <c r="OQB91" s="338"/>
      <c r="OQC91" s="338"/>
      <c r="OQD91" s="338"/>
      <c r="OQE91" s="338"/>
      <c r="OQF91" s="338"/>
      <c r="OQG91" s="338"/>
      <c r="OQH91" s="338"/>
      <c r="OQI91" s="338"/>
      <c r="OQJ91" s="338"/>
      <c r="OQK91" s="338"/>
      <c r="OQL91" s="338"/>
      <c r="OQM91" s="338"/>
      <c r="OQN91" s="338"/>
      <c r="OQO91" s="338"/>
      <c r="OQP91" s="338"/>
      <c r="OQQ91" s="338"/>
      <c r="OQR91" s="338"/>
      <c r="OQS91" s="338"/>
      <c r="OQT91" s="338"/>
      <c r="OQU91" s="338"/>
      <c r="OQV91" s="338"/>
      <c r="OQW91" s="338"/>
      <c r="OQX91" s="338"/>
      <c r="OQY91" s="338"/>
      <c r="OQZ91" s="338"/>
      <c r="ORA91" s="338"/>
      <c r="ORB91" s="338"/>
      <c r="ORC91" s="338"/>
      <c r="ORD91" s="338"/>
      <c r="ORE91" s="338"/>
      <c r="ORF91" s="338"/>
      <c r="ORG91" s="338"/>
      <c r="ORH91" s="338"/>
      <c r="ORI91" s="338"/>
      <c r="ORJ91" s="338"/>
      <c r="ORK91" s="338"/>
      <c r="ORL91" s="338"/>
      <c r="ORM91" s="338"/>
      <c r="ORN91" s="338"/>
      <c r="ORO91" s="338"/>
      <c r="ORP91" s="338"/>
      <c r="ORQ91" s="338"/>
      <c r="ORR91" s="338"/>
      <c r="ORS91" s="338"/>
      <c r="ORT91" s="338"/>
      <c r="ORU91" s="338"/>
      <c r="ORV91" s="338"/>
      <c r="ORW91" s="338"/>
      <c r="ORX91" s="338"/>
      <c r="ORY91" s="338"/>
      <c r="ORZ91" s="338"/>
      <c r="OSA91" s="338"/>
      <c r="OSB91" s="338"/>
      <c r="OSC91" s="338"/>
      <c r="OSD91" s="338"/>
      <c r="OSE91" s="338"/>
      <c r="OSF91" s="338"/>
      <c r="OSG91" s="338"/>
      <c r="OSH91" s="338"/>
      <c r="OSI91" s="338"/>
      <c r="OSJ91" s="338"/>
      <c r="OSK91" s="338"/>
      <c r="OSL91" s="338"/>
      <c r="OSM91" s="338"/>
      <c r="OSN91" s="338"/>
      <c r="OSO91" s="338"/>
      <c r="OSP91" s="338"/>
      <c r="OSQ91" s="338"/>
      <c r="OSR91" s="338"/>
      <c r="OSS91" s="338"/>
      <c r="OST91" s="338"/>
      <c r="OSU91" s="338"/>
      <c r="OSV91" s="338"/>
      <c r="OSW91" s="338"/>
      <c r="OSX91" s="338"/>
      <c r="OSY91" s="338"/>
      <c r="OSZ91" s="338"/>
      <c r="OTA91" s="338"/>
      <c r="OTB91" s="338"/>
      <c r="OTC91" s="338"/>
      <c r="OTD91" s="338"/>
      <c r="OTE91" s="338"/>
      <c r="OTF91" s="338"/>
      <c r="OTG91" s="338"/>
      <c r="OTH91" s="338"/>
      <c r="OTI91" s="338"/>
      <c r="OTJ91" s="338"/>
      <c r="OTK91" s="338"/>
      <c r="OTL91" s="338"/>
      <c r="OTM91" s="338"/>
      <c r="OTN91" s="338"/>
      <c r="OTO91" s="338"/>
      <c r="OTP91" s="338"/>
      <c r="OTQ91" s="338"/>
      <c r="OTR91" s="338"/>
      <c r="OTS91" s="338"/>
      <c r="OTT91" s="338"/>
      <c r="OTU91" s="338"/>
      <c r="OTV91" s="338"/>
      <c r="OTW91" s="338"/>
      <c r="OTX91" s="338"/>
      <c r="OTY91" s="338"/>
      <c r="OTZ91" s="338"/>
      <c r="OUA91" s="338"/>
      <c r="OUB91" s="338"/>
      <c r="OUC91" s="338"/>
      <c r="OUD91" s="338"/>
      <c r="OUE91" s="338"/>
      <c r="OUF91" s="338"/>
      <c r="OUG91" s="338"/>
      <c r="OUH91" s="338"/>
      <c r="OUI91" s="338"/>
      <c r="OUJ91" s="338"/>
      <c r="OUK91" s="338"/>
      <c r="OUL91" s="338"/>
      <c r="OUM91" s="338"/>
      <c r="OUN91" s="338"/>
      <c r="OUO91" s="338"/>
      <c r="OUP91" s="338"/>
      <c r="OUQ91" s="338"/>
      <c r="OUR91" s="338"/>
      <c r="OUS91" s="338"/>
      <c r="OUT91" s="338"/>
      <c r="OUU91" s="338"/>
      <c r="OUV91" s="338"/>
      <c r="OUW91" s="338"/>
      <c r="OUX91" s="338"/>
      <c r="OUY91" s="338"/>
      <c r="OUZ91" s="338"/>
      <c r="OVA91" s="338"/>
      <c r="OVB91" s="338"/>
      <c r="OVC91" s="338"/>
      <c r="OVD91" s="338"/>
      <c r="OVE91" s="338"/>
      <c r="OVF91" s="338"/>
      <c r="OVG91" s="338"/>
      <c r="OVH91" s="338"/>
      <c r="OVI91" s="338"/>
      <c r="OVJ91" s="338"/>
      <c r="OVK91" s="338"/>
      <c r="OVL91" s="338"/>
      <c r="OVM91" s="338"/>
      <c r="OVN91" s="338"/>
      <c r="OVO91" s="338"/>
      <c r="OVP91" s="338"/>
      <c r="OVQ91" s="338"/>
      <c r="OVR91" s="338"/>
      <c r="OVS91" s="338"/>
      <c r="OVT91" s="338"/>
      <c r="OVU91" s="338"/>
      <c r="OVV91" s="338"/>
      <c r="OVW91" s="338"/>
      <c r="OVX91" s="338"/>
      <c r="OVY91" s="338"/>
      <c r="OVZ91" s="338"/>
      <c r="OWA91" s="338"/>
      <c r="OWB91" s="338"/>
      <c r="OWC91" s="338"/>
      <c r="OWD91" s="338"/>
      <c r="OWE91" s="338"/>
      <c r="OWF91" s="338"/>
      <c r="OWG91" s="338"/>
      <c r="OWH91" s="338"/>
      <c r="OWI91" s="338"/>
      <c r="OWJ91" s="338"/>
      <c r="OWK91" s="338"/>
      <c r="OWL91" s="338"/>
      <c r="OWM91" s="338"/>
      <c r="OWN91" s="338"/>
      <c r="OWO91" s="338"/>
      <c r="OWP91" s="338"/>
      <c r="OWQ91" s="338"/>
      <c r="OWR91" s="338"/>
      <c r="OWS91" s="338"/>
      <c r="OWT91" s="338"/>
      <c r="OWU91" s="338"/>
      <c r="OWV91" s="338"/>
      <c r="OWW91" s="338"/>
      <c r="OWX91" s="338"/>
      <c r="OWY91" s="338"/>
      <c r="OWZ91" s="338"/>
      <c r="OXA91" s="338"/>
      <c r="OXB91" s="338"/>
      <c r="OXC91" s="338"/>
      <c r="OXD91" s="338"/>
      <c r="OXE91" s="338"/>
      <c r="OXF91" s="338"/>
      <c r="OXG91" s="338"/>
      <c r="OXH91" s="338"/>
      <c r="OXI91" s="338"/>
      <c r="OXJ91" s="338"/>
      <c r="OXK91" s="338"/>
      <c r="OXL91" s="338"/>
      <c r="OXM91" s="338"/>
      <c r="OXN91" s="338"/>
      <c r="OXO91" s="338"/>
      <c r="OXP91" s="338"/>
      <c r="OXQ91" s="338"/>
      <c r="OXR91" s="338"/>
      <c r="OXS91" s="338"/>
      <c r="OXT91" s="338"/>
      <c r="OXU91" s="338"/>
      <c r="OXV91" s="338"/>
      <c r="OXW91" s="338"/>
      <c r="OXX91" s="338"/>
      <c r="OXY91" s="338"/>
      <c r="OXZ91" s="338"/>
      <c r="OYA91" s="338"/>
      <c r="OYB91" s="338"/>
      <c r="OYC91" s="338"/>
      <c r="OYD91" s="338"/>
      <c r="OYE91" s="338"/>
      <c r="OYF91" s="338"/>
      <c r="OYG91" s="338"/>
      <c r="OYH91" s="338"/>
      <c r="OYI91" s="338"/>
      <c r="OYJ91" s="338"/>
      <c r="OYK91" s="338"/>
      <c r="OYL91" s="338"/>
      <c r="OYM91" s="338"/>
      <c r="OYN91" s="338"/>
      <c r="OYO91" s="338"/>
      <c r="OYP91" s="338"/>
      <c r="OYQ91" s="338"/>
      <c r="OYR91" s="338"/>
      <c r="OYS91" s="338"/>
      <c r="OYT91" s="338"/>
      <c r="OYU91" s="338"/>
      <c r="OYV91" s="338"/>
      <c r="OYW91" s="338"/>
      <c r="OYX91" s="338"/>
      <c r="OYY91" s="338"/>
      <c r="OYZ91" s="338"/>
      <c r="OZA91" s="338"/>
      <c r="OZB91" s="338"/>
      <c r="OZC91" s="338"/>
      <c r="OZD91" s="338"/>
      <c r="OZE91" s="338"/>
      <c r="OZF91" s="338"/>
      <c r="OZG91" s="338"/>
      <c r="OZH91" s="338"/>
      <c r="OZI91" s="338"/>
      <c r="OZJ91" s="338"/>
      <c r="OZK91" s="338"/>
      <c r="OZL91" s="338"/>
      <c r="OZM91" s="338"/>
      <c r="OZN91" s="338"/>
      <c r="OZO91" s="338"/>
      <c r="OZP91" s="338"/>
      <c r="OZQ91" s="338"/>
      <c r="OZR91" s="338"/>
      <c r="OZS91" s="338"/>
      <c r="OZT91" s="338"/>
      <c r="OZU91" s="338"/>
      <c r="OZV91" s="338"/>
      <c r="OZW91" s="338"/>
      <c r="OZX91" s="338"/>
      <c r="OZY91" s="338"/>
      <c r="OZZ91" s="338"/>
      <c r="PAA91" s="338"/>
      <c r="PAB91" s="338"/>
      <c r="PAC91" s="338"/>
      <c r="PAD91" s="338"/>
      <c r="PAE91" s="338"/>
      <c r="PAF91" s="338"/>
      <c r="PAG91" s="338"/>
      <c r="PAH91" s="338"/>
      <c r="PAI91" s="338"/>
      <c r="PAJ91" s="338"/>
      <c r="PAK91" s="338"/>
      <c r="PAL91" s="338"/>
      <c r="PAM91" s="338"/>
      <c r="PAN91" s="338"/>
      <c r="PAO91" s="338"/>
      <c r="PAP91" s="338"/>
      <c r="PAQ91" s="338"/>
      <c r="PAR91" s="338"/>
      <c r="PAS91" s="338"/>
      <c r="PAT91" s="338"/>
      <c r="PAU91" s="338"/>
      <c r="PAV91" s="338"/>
      <c r="PAW91" s="338"/>
      <c r="PAX91" s="338"/>
      <c r="PAY91" s="338"/>
      <c r="PAZ91" s="338"/>
      <c r="PBA91" s="338"/>
      <c r="PBB91" s="338"/>
      <c r="PBC91" s="338"/>
      <c r="PBD91" s="338"/>
      <c r="PBE91" s="338"/>
      <c r="PBF91" s="338"/>
      <c r="PBG91" s="338"/>
      <c r="PBH91" s="338"/>
      <c r="PBI91" s="338"/>
      <c r="PBJ91" s="338"/>
      <c r="PBK91" s="338"/>
      <c r="PBL91" s="338"/>
      <c r="PBM91" s="338"/>
      <c r="PBN91" s="338"/>
      <c r="PBO91" s="338"/>
      <c r="PBP91" s="338"/>
      <c r="PBQ91" s="338"/>
      <c r="PBR91" s="338"/>
      <c r="PBS91" s="338"/>
      <c r="PBT91" s="338"/>
      <c r="PBU91" s="338"/>
      <c r="PBV91" s="338"/>
      <c r="PBW91" s="338"/>
      <c r="PBX91" s="338"/>
      <c r="PBY91" s="338"/>
      <c r="PBZ91" s="338"/>
      <c r="PCA91" s="338"/>
      <c r="PCB91" s="338"/>
      <c r="PCC91" s="338"/>
      <c r="PCD91" s="338"/>
      <c r="PCE91" s="338"/>
      <c r="PCF91" s="338"/>
      <c r="PCG91" s="338"/>
      <c r="PCH91" s="338"/>
      <c r="PCI91" s="338"/>
      <c r="PCJ91" s="338"/>
      <c r="PCK91" s="338"/>
      <c r="PCL91" s="338"/>
      <c r="PCM91" s="338"/>
      <c r="PCN91" s="338"/>
      <c r="PCO91" s="338"/>
      <c r="PCP91" s="338"/>
      <c r="PCQ91" s="338"/>
      <c r="PCR91" s="338"/>
      <c r="PCS91" s="338"/>
      <c r="PCT91" s="338"/>
      <c r="PCU91" s="338"/>
      <c r="PCV91" s="338"/>
      <c r="PCW91" s="338"/>
      <c r="PCX91" s="338"/>
      <c r="PCY91" s="338"/>
      <c r="PCZ91" s="338"/>
      <c r="PDA91" s="338"/>
      <c r="PDB91" s="338"/>
      <c r="PDC91" s="338"/>
      <c r="PDD91" s="338"/>
      <c r="PDE91" s="338"/>
      <c r="PDF91" s="338"/>
      <c r="PDG91" s="338"/>
      <c r="PDH91" s="338"/>
      <c r="PDI91" s="338"/>
      <c r="PDJ91" s="338"/>
      <c r="PDK91" s="338"/>
      <c r="PDL91" s="338"/>
      <c r="PDM91" s="338"/>
      <c r="PDN91" s="338"/>
      <c r="PDO91" s="338"/>
      <c r="PDP91" s="338"/>
      <c r="PDQ91" s="338"/>
      <c r="PDR91" s="338"/>
      <c r="PDS91" s="338"/>
      <c r="PDT91" s="338"/>
      <c r="PDU91" s="338"/>
      <c r="PDV91" s="338"/>
      <c r="PDW91" s="338"/>
      <c r="PDX91" s="338"/>
      <c r="PDY91" s="338"/>
      <c r="PDZ91" s="338"/>
      <c r="PEA91" s="338"/>
      <c r="PEB91" s="338"/>
      <c r="PEC91" s="338"/>
      <c r="PED91" s="338"/>
      <c r="PEE91" s="338"/>
      <c r="PEF91" s="338"/>
      <c r="PEG91" s="338"/>
      <c r="PEH91" s="338"/>
      <c r="PEI91" s="338"/>
      <c r="PEJ91" s="338"/>
      <c r="PEK91" s="338"/>
      <c r="PEL91" s="338"/>
      <c r="PEM91" s="338"/>
      <c r="PEN91" s="338"/>
      <c r="PEO91" s="338"/>
      <c r="PEP91" s="338"/>
      <c r="PEQ91" s="338"/>
      <c r="PER91" s="338"/>
      <c r="PES91" s="338"/>
      <c r="PET91" s="338"/>
      <c r="PEU91" s="338"/>
      <c r="PEV91" s="338"/>
      <c r="PEW91" s="338"/>
      <c r="PEX91" s="338"/>
      <c r="PEY91" s="338"/>
      <c r="PEZ91" s="338"/>
      <c r="PFA91" s="338"/>
      <c r="PFB91" s="338"/>
      <c r="PFC91" s="338"/>
      <c r="PFD91" s="338"/>
      <c r="PFE91" s="338"/>
      <c r="PFF91" s="338"/>
      <c r="PFG91" s="338"/>
      <c r="PFH91" s="338"/>
      <c r="PFI91" s="338"/>
      <c r="PFJ91" s="338"/>
      <c r="PFK91" s="338"/>
      <c r="PFL91" s="338"/>
      <c r="PFM91" s="338"/>
      <c r="PFN91" s="338"/>
      <c r="PFO91" s="338"/>
      <c r="PFP91" s="338"/>
      <c r="PFQ91" s="338"/>
      <c r="PFR91" s="338"/>
      <c r="PFS91" s="338"/>
      <c r="PFT91" s="338"/>
      <c r="PFU91" s="338"/>
      <c r="PFV91" s="338"/>
      <c r="PFW91" s="338"/>
      <c r="PFX91" s="338"/>
      <c r="PFY91" s="338"/>
      <c r="PFZ91" s="338"/>
      <c r="PGA91" s="338"/>
      <c r="PGB91" s="338"/>
      <c r="PGC91" s="338"/>
      <c r="PGD91" s="338"/>
      <c r="PGE91" s="338"/>
      <c r="PGF91" s="338"/>
      <c r="PGG91" s="338"/>
      <c r="PGH91" s="338"/>
      <c r="PGI91" s="338"/>
      <c r="PGJ91" s="338"/>
      <c r="PGK91" s="338"/>
      <c r="PGL91" s="338"/>
      <c r="PGM91" s="338"/>
      <c r="PGN91" s="338"/>
      <c r="PGO91" s="338"/>
      <c r="PGP91" s="338"/>
      <c r="PGQ91" s="338"/>
      <c r="PGR91" s="338"/>
      <c r="PGS91" s="338"/>
      <c r="PGT91" s="338"/>
      <c r="PGU91" s="338"/>
      <c r="PGV91" s="338"/>
      <c r="PGW91" s="338"/>
      <c r="PGX91" s="338"/>
      <c r="PGY91" s="338"/>
      <c r="PGZ91" s="338"/>
      <c r="PHA91" s="338"/>
      <c r="PHB91" s="338"/>
      <c r="PHC91" s="338"/>
      <c r="PHD91" s="338"/>
      <c r="PHE91" s="338"/>
      <c r="PHF91" s="338"/>
      <c r="PHG91" s="338"/>
      <c r="PHH91" s="338"/>
      <c r="PHI91" s="338"/>
      <c r="PHJ91" s="338"/>
      <c r="PHK91" s="338"/>
      <c r="PHL91" s="338"/>
      <c r="PHM91" s="338"/>
      <c r="PHN91" s="338"/>
      <c r="PHO91" s="338"/>
      <c r="PHP91" s="338"/>
      <c r="PHQ91" s="338"/>
      <c r="PHR91" s="338"/>
      <c r="PHS91" s="338"/>
      <c r="PHT91" s="338"/>
      <c r="PHU91" s="338"/>
      <c r="PHV91" s="338"/>
      <c r="PHW91" s="338"/>
      <c r="PHX91" s="338"/>
      <c r="PHY91" s="338"/>
      <c r="PHZ91" s="338"/>
      <c r="PIA91" s="338"/>
      <c r="PIB91" s="338"/>
      <c r="PIC91" s="338"/>
      <c r="PID91" s="338"/>
      <c r="PIE91" s="338"/>
      <c r="PIF91" s="338"/>
      <c r="PIG91" s="338"/>
      <c r="PIH91" s="338"/>
      <c r="PII91" s="338"/>
      <c r="PIJ91" s="338"/>
      <c r="PIK91" s="338"/>
      <c r="PIL91" s="338"/>
      <c r="PIM91" s="338"/>
      <c r="PIN91" s="338"/>
      <c r="PIO91" s="338"/>
      <c r="PIP91" s="338"/>
      <c r="PIQ91" s="338"/>
      <c r="PIR91" s="338"/>
      <c r="PIS91" s="338"/>
      <c r="PIT91" s="338"/>
      <c r="PIU91" s="338"/>
      <c r="PIV91" s="338"/>
      <c r="PIW91" s="338"/>
      <c r="PIX91" s="338"/>
      <c r="PIY91" s="338"/>
      <c r="PIZ91" s="338"/>
      <c r="PJA91" s="338"/>
      <c r="PJB91" s="338"/>
      <c r="PJC91" s="338"/>
      <c r="PJD91" s="338"/>
      <c r="PJE91" s="338"/>
      <c r="PJF91" s="338"/>
      <c r="PJG91" s="338"/>
      <c r="PJH91" s="338"/>
      <c r="PJI91" s="338"/>
      <c r="PJJ91" s="338"/>
      <c r="PJK91" s="338"/>
      <c r="PJL91" s="338"/>
      <c r="PJM91" s="338"/>
      <c r="PJN91" s="338"/>
      <c r="PJO91" s="338"/>
      <c r="PJP91" s="338"/>
      <c r="PJQ91" s="338"/>
      <c r="PJR91" s="338"/>
      <c r="PJS91" s="338"/>
      <c r="PJT91" s="338"/>
      <c r="PJU91" s="338"/>
      <c r="PJV91" s="338"/>
      <c r="PJW91" s="338"/>
      <c r="PJX91" s="338"/>
      <c r="PJY91" s="338"/>
      <c r="PJZ91" s="338"/>
      <c r="PKA91" s="338"/>
      <c r="PKB91" s="338"/>
      <c r="PKC91" s="338"/>
      <c r="PKD91" s="338"/>
      <c r="PKE91" s="338"/>
      <c r="PKF91" s="338"/>
      <c r="PKG91" s="338"/>
      <c r="PKH91" s="338"/>
      <c r="PKI91" s="338"/>
      <c r="PKJ91" s="338"/>
      <c r="PKK91" s="338"/>
      <c r="PKL91" s="338"/>
      <c r="PKM91" s="338"/>
      <c r="PKN91" s="338"/>
      <c r="PKO91" s="338"/>
      <c r="PKP91" s="338"/>
      <c r="PKQ91" s="338"/>
      <c r="PKR91" s="338"/>
      <c r="PKS91" s="338"/>
      <c r="PKT91" s="338"/>
      <c r="PKU91" s="338"/>
      <c r="PKV91" s="338"/>
      <c r="PKW91" s="338"/>
      <c r="PKX91" s="338"/>
      <c r="PKY91" s="338"/>
      <c r="PKZ91" s="338"/>
      <c r="PLA91" s="338"/>
      <c r="PLB91" s="338"/>
      <c r="PLC91" s="338"/>
      <c r="PLD91" s="338"/>
      <c r="PLE91" s="338"/>
      <c r="PLF91" s="338"/>
      <c r="PLG91" s="338"/>
      <c r="PLH91" s="338"/>
      <c r="PLI91" s="338"/>
      <c r="PLJ91" s="338"/>
      <c r="PLK91" s="338"/>
      <c r="PLL91" s="338"/>
      <c r="PLM91" s="338"/>
      <c r="PLN91" s="338"/>
      <c r="PLO91" s="338"/>
      <c r="PLP91" s="338"/>
      <c r="PLQ91" s="338"/>
      <c r="PLR91" s="338"/>
      <c r="PLS91" s="338"/>
      <c r="PLT91" s="338"/>
      <c r="PLU91" s="338"/>
      <c r="PLV91" s="338"/>
      <c r="PLW91" s="338"/>
      <c r="PLX91" s="338"/>
      <c r="PLY91" s="338"/>
      <c r="PLZ91" s="338"/>
      <c r="PMA91" s="338"/>
      <c r="PMB91" s="338"/>
      <c r="PMC91" s="338"/>
      <c r="PMD91" s="338"/>
      <c r="PME91" s="338"/>
      <c r="PMF91" s="338"/>
      <c r="PMG91" s="338"/>
      <c r="PMH91" s="338"/>
      <c r="PMI91" s="338"/>
      <c r="PMJ91" s="338"/>
      <c r="PMK91" s="338"/>
      <c r="PML91" s="338"/>
      <c r="PMM91" s="338"/>
      <c r="PMN91" s="338"/>
      <c r="PMO91" s="338"/>
      <c r="PMP91" s="338"/>
      <c r="PMQ91" s="338"/>
      <c r="PMR91" s="338"/>
      <c r="PMS91" s="338"/>
      <c r="PMT91" s="338"/>
      <c r="PMU91" s="338"/>
      <c r="PMV91" s="338"/>
      <c r="PMW91" s="338"/>
      <c r="PMX91" s="338"/>
      <c r="PMY91" s="338"/>
      <c r="PMZ91" s="338"/>
      <c r="PNA91" s="338"/>
      <c r="PNB91" s="338"/>
      <c r="PNC91" s="338"/>
      <c r="PND91" s="338"/>
      <c r="PNE91" s="338"/>
      <c r="PNF91" s="338"/>
      <c r="PNG91" s="338"/>
      <c r="PNH91" s="338"/>
      <c r="PNI91" s="338"/>
      <c r="PNJ91" s="338"/>
      <c r="PNK91" s="338"/>
      <c r="PNL91" s="338"/>
      <c r="PNM91" s="338"/>
      <c r="PNN91" s="338"/>
      <c r="PNO91" s="338"/>
      <c r="PNP91" s="338"/>
      <c r="PNQ91" s="338"/>
      <c r="PNR91" s="338"/>
      <c r="PNS91" s="338"/>
      <c r="PNT91" s="338"/>
      <c r="PNU91" s="338"/>
      <c r="PNV91" s="338"/>
      <c r="PNW91" s="338"/>
      <c r="PNX91" s="338"/>
      <c r="PNY91" s="338"/>
      <c r="PNZ91" s="338"/>
      <c r="POA91" s="338"/>
      <c r="POB91" s="338"/>
      <c r="POC91" s="338"/>
      <c r="POD91" s="338"/>
      <c r="POE91" s="338"/>
      <c r="POF91" s="338"/>
      <c r="POG91" s="338"/>
      <c r="POH91" s="338"/>
      <c r="POI91" s="338"/>
      <c r="POJ91" s="338"/>
      <c r="POK91" s="338"/>
      <c r="POL91" s="338"/>
      <c r="POM91" s="338"/>
      <c r="PON91" s="338"/>
      <c r="POO91" s="338"/>
      <c r="POP91" s="338"/>
      <c r="POQ91" s="338"/>
      <c r="POR91" s="338"/>
      <c r="POS91" s="338"/>
      <c r="POT91" s="338"/>
      <c r="POU91" s="338"/>
      <c r="POV91" s="338"/>
      <c r="POW91" s="338"/>
      <c r="POX91" s="338"/>
      <c r="POY91" s="338"/>
      <c r="POZ91" s="338"/>
      <c r="PPA91" s="338"/>
      <c r="PPB91" s="338"/>
      <c r="PPC91" s="338"/>
      <c r="PPD91" s="338"/>
      <c r="PPE91" s="338"/>
      <c r="PPF91" s="338"/>
      <c r="PPG91" s="338"/>
      <c r="PPH91" s="338"/>
      <c r="PPI91" s="338"/>
      <c r="PPJ91" s="338"/>
      <c r="PPK91" s="338"/>
      <c r="PPL91" s="338"/>
      <c r="PPM91" s="338"/>
      <c r="PPN91" s="338"/>
      <c r="PPO91" s="338"/>
      <c r="PPP91" s="338"/>
      <c r="PPQ91" s="338"/>
      <c r="PPR91" s="338"/>
      <c r="PPS91" s="338"/>
      <c r="PPT91" s="338"/>
      <c r="PPU91" s="338"/>
      <c r="PPV91" s="338"/>
      <c r="PPW91" s="338"/>
      <c r="PPX91" s="338"/>
      <c r="PPY91" s="338"/>
      <c r="PPZ91" s="338"/>
      <c r="PQA91" s="338"/>
      <c r="PQB91" s="338"/>
      <c r="PQC91" s="338"/>
      <c r="PQD91" s="338"/>
      <c r="PQE91" s="338"/>
      <c r="PQF91" s="338"/>
      <c r="PQG91" s="338"/>
      <c r="PQH91" s="338"/>
      <c r="PQI91" s="338"/>
      <c r="PQJ91" s="338"/>
      <c r="PQK91" s="338"/>
      <c r="PQL91" s="338"/>
      <c r="PQM91" s="338"/>
      <c r="PQN91" s="338"/>
      <c r="PQO91" s="338"/>
      <c r="PQP91" s="338"/>
      <c r="PQQ91" s="338"/>
      <c r="PQR91" s="338"/>
      <c r="PQS91" s="338"/>
      <c r="PQT91" s="338"/>
      <c r="PQU91" s="338"/>
      <c r="PQV91" s="338"/>
      <c r="PQW91" s="338"/>
      <c r="PQX91" s="338"/>
      <c r="PQY91" s="338"/>
      <c r="PQZ91" s="338"/>
      <c r="PRA91" s="338"/>
      <c r="PRB91" s="338"/>
      <c r="PRC91" s="338"/>
      <c r="PRD91" s="338"/>
      <c r="PRE91" s="338"/>
      <c r="PRF91" s="338"/>
      <c r="PRG91" s="338"/>
      <c r="PRH91" s="338"/>
      <c r="PRI91" s="338"/>
      <c r="PRJ91" s="338"/>
      <c r="PRK91" s="338"/>
      <c r="PRL91" s="338"/>
      <c r="PRM91" s="338"/>
      <c r="PRN91" s="338"/>
      <c r="PRO91" s="338"/>
      <c r="PRP91" s="338"/>
      <c r="PRQ91" s="338"/>
      <c r="PRR91" s="338"/>
      <c r="PRS91" s="338"/>
      <c r="PRT91" s="338"/>
      <c r="PRU91" s="338"/>
      <c r="PRV91" s="338"/>
      <c r="PRW91" s="338"/>
      <c r="PRX91" s="338"/>
      <c r="PRY91" s="338"/>
      <c r="PRZ91" s="338"/>
      <c r="PSA91" s="338"/>
      <c r="PSB91" s="338"/>
      <c r="PSC91" s="338"/>
      <c r="PSD91" s="338"/>
      <c r="PSE91" s="338"/>
      <c r="PSF91" s="338"/>
      <c r="PSG91" s="338"/>
      <c r="PSH91" s="338"/>
      <c r="PSI91" s="338"/>
      <c r="PSJ91" s="338"/>
      <c r="PSK91" s="338"/>
      <c r="PSL91" s="338"/>
      <c r="PSM91" s="338"/>
      <c r="PSN91" s="338"/>
      <c r="PSO91" s="338"/>
      <c r="PSP91" s="338"/>
      <c r="PSQ91" s="338"/>
      <c r="PSR91" s="338"/>
      <c r="PSS91" s="338"/>
      <c r="PST91" s="338"/>
      <c r="PSU91" s="338"/>
      <c r="PSV91" s="338"/>
      <c r="PSW91" s="338"/>
      <c r="PSX91" s="338"/>
      <c r="PSY91" s="338"/>
      <c r="PSZ91" s="338"/>
      <c r="PTA91" s="338"/>
      <c r="PTB91" s="338"/>
      <c r="PTC91" s="338"/>
      <c r="PTD91" s="338"/>
      <c r="PTE91" s="338"/>
      <c r="PTF91" s="338"/>
      <c r="PTG91" s="338"/>
      <c r="PTH91" s="338"/>
      <c r="PTI91" s="338"/>
      <c r="PTJ91" s="338"/>
      <c r="PTK91" s="338"/>
      <c r="PTL91" s="338"/>
      <c r="PTM91" s="338"/>
      <c r="PTN91" s="338"/>
      <c r="PTO91" s="338"/>
      <c r="PTP91" s="338"/>
      <c r="PTQ91" s="338"/>
      <c r="PTR91" s="338"/>
      <c r="PTS91" s="338"/>
      <c r="PTT91" s="338"/>
      <c r="PTU91" s="338"/>
      <c r="PTV91" s="338"/>
      <c r="PTW91" s="338"/>
      <c r="PTX91" s="338"/>
      <c r="PTY91" s="338"/>
      <c r="PTZ91" s="338"/>
      <c r="PUA91" s="338"/>
      <c r="PUB91" s="338"/>
      <c r="PUC91" s="338"/>
      <c r="PUD91" s="338"/>
      <c r="PUE91" s="338"/>
      <c r="PUF91" s="338"/>
      <c r="PUG91" s="338"/>
      <c r="PUH91" s="338"/>
      <c r="PUI91" s="338"/>
      <c r="PUJ91" s="338"/>
      <c r="PUK91" s="338"/>
      <c r="PUL91" s="338"/>
      <c r="PUM91" s="338"/>
      <c r="PUN91" s="338"/>
      <c r="PUO91" s="338"/>
      <c r="PUP91" s="338"/>
      <c r="PUQ91" s="338"/>
      <c r="PUR91" s="338"/>
      <c r="PUS91" s="338"/>
      <c r="PUT91" s="338"/>
      <c r="PUU91" s="338"/>
      <c r="PUV91" s="338"/>
      <c r="PUW91" s="338"/>
      <c r="PUX91" s="338"/>
      <c r="PUY91" s="338"/>
      <c r="PUZ91" s="338"/>
      <c r="PVA91" s="338"/>
      <c r="PVB91" s="338"/>
      <c r="PVC91" s="338"/>
      <c r="PVD91" s="338"/>
      <c r="PVE91" s="338"/>
      <c r="PVF91" s="338"/>
      <c r="PVG91" s="338"/>
      <c r="PVH91" s="338"/>
      <c r="PVI91" s="338"/>
      <c r="PVJ91" s="338"/>
      <c r="PVK91" s="338"/>
      <c r="PVL91" s="338"/>
      <c r="PVM91" s="338"/>
      <c r="PVN91" s="338"/>
      <c r="PVO91" s="338"/>
      <c r="PVP91" s="338"/>
      <c r="PVQ91" s="338"/>
      <c r="PVR91" s="338"/>
      <c r="PVS91" s="338"/>
      <c r="PVT91" s="338"/>
      <c r="PVU91" s="338"/>
      <c r="PVV91" s="338"/>
      <c r="PVW91" s="338"/>
      <c r="PVX91" s="338"/>
      <c r="PVY91" s="338"/>
      <c r="PVZ91" s="338"/>
      <c r="PWA91" s="338"/>
      <c r="PWB91" s="338"/>
      <c r="PWC91" s="338"/>
      <c r="PWD91" s="338"/>
      <c r="PWE91" s="338"/>
      <c r="PWF91" s="338"/>
      <c r="PWG91" s="338"/>
      <c r="PWH91" s="338"/>
      <c r="PWI91" s="338"/>
      <c r="PWJ91" s="338"/>
      <c r="PWK91" s="338"/>
      <c r="PWL91" s="338"/>
      <c r="PWM91" s="338"/>
      <c r="PWN91" s="338"/>
      <c r="PWO91" s="338"/>
      <c r="PWP91" s="338"/>
      <c r="PWQ91" s="338"/>
      <c r="PWR91" s="338"/>
      <c r="PWS91" s="338"/>
      <c r="PWT91" s="338"/>
      <c r="PWU91" s="338"/>
      <c r="PWV91" s="338"/>
      <c r="PWW91" s="338"/>
      <c r="PWX91" s="338"/>
      <c r="PWY91" s="338"/>
      <c r="PWZ91" s="338"/>
      <c r="PXA91" s="338"/>
      <c r="PXB91" s="338"/>
      <c r="PXC91" s="338"/>
      <c r="PXD91" s="338"/>
      <c r="PXE91" s="338"/>
      <c r="PXF91" s="338"/>
      <c r="PXG91" s="338"/>
      <c r="PXH91" s="338"/>
      <c r="PXI91" s="338"/>
      <c r="PXJ91" s="338"/>
      <c r="PXK91" s="338"/>
      <c r="PXL91" s="338"/>
      <c r="PXM91" s="338"/>
      <c r="PXN91" s="338"/>
      <c r="PXO91" s="338"/>
      <c r="PXP91" s="338"/>
      <c r="PXQ91" s="338"/>
      <c r="PXR91" s="338"/>
      <c r="PXS91" s="338"/>
      <c r="PXT91" s="338"/>
      <c r="PXU91" s="338"/>
      <c r="PXV91" s="338"/>
      <c r="PXW91" s="338"/>
      <c r="PXX91" s="338"/>
      <c r="PXY91" s="338"/>
      <c r="PXZ91" s="338"/>
      <c r="PYA91" s="338"/>
      <c r="PYB91" s="338"/>
      <c r="PYC91" s="338"/>
      <c r="PYD91" s="338"/>
      <c r="PYE91" s="338"/>
      <c r="PYF91" s="338"/>
      <c r="PYG91" s="338"/>
      <c r="PYH91" s="338"/>
      <c r="PYI91" s="338"/>
      <c r="PYJ91" s="338"/>
      <c r="PYK91" s="338"/>
      <c r="PYL91" s="338"/>
      <c r="PYM91" s="338"/>
      <c r="PYN91" s="338"/>
      <c r="PYO91" s="338"/>
      <c r="PYP91" s="338"/>
      <c r="PYQ91" s="338"/>
      <c r="PYR91" s="338"/>
      <c r="PYS91" s="338"/>
      <c r="PYT91" s="338"/>
      <c r="PYU91" s="338"/>
      <c r="PYV91" s="338"/>
      <c r="PYW91" s="338"/>
      <c r="PYX91" s="338"/>
      <c r="PYY91" s="338"/>
      <c r="PYZ91" s="338"/>
      <c r="PZA91" s="338"/>
      <c r="PZB91" s="338"/>
      <c r="PZC91" s="338"/>
      <c r="PZD91" s="338"/>
      <c r="PZE91" s="338"/>
      <c r="PZF91" s="338"/>
      <c r="PZG91" s="338"/>
      <c r="PZH91" s="338"/>
      <c r="PZI91" s="338"/>
      <c r="PZJ91" s="338"/>
      <c r="PZK91" s="338"/>
      <c r="PZL91" s="338"/>
      <c r="PZM91" s="338"/>
      <c r="PZN91" s="338"/>
      <c r="PZO91" s="338"/>
      <c r="PZP91" s="338"/>
      <c r="PZQ91" s="338"/>
      <c r="PZR91" s="338"/>
      <c r="PZS91" s="338"/>
      <c r="PZT91" s="338"/>
      <c r="PZU91" s="338"/>
      <c r="PZV91" s="338"/>
      <c r="PZW91" s="338"/>
      <c r="PZX91" s="338"/>
      <c r="PZY91" s="338"/>
      <c r="PZZ91" s="338"/>
      <c r="QAA91" s="338"/>
      <c r="QAB91" s="338"/>
      <c r="QAC91" s="338"/>
      <c r="QAD91" s="338"/>
      <c r="QAE91" s="338"/>
      <c r="QAF91" s="338"/>
      <c r="QAG91" s="338"/>
      <c r="QAH91" s="338"/>
      <c r="QAI91" s="338"/>
      <c r="QAJ91" s="338"/>
      <c r="QAK91" s="338"/>
      <c r="QAL91" s="338"/>
      <c r="QAM91" s="338"/>
      <c r="QAN91" s="338"/>
      <c r="QAO91" s="338"/>
      <c r="QAP91" s="338"/>
      <c r="QAQ91" s="338"/>
      <c r="QAR91" s="338"/>
      <c r="QAS91" s="338"/>
      <c r="QAT91" s="338"/>
      <c r="QAU91" s="338"/>
      <c r="QAV91" s="338"/>
      <c r="QAW91" s="338"/>
      <c r="QAX91" s="338"/>
      <c r="QAY91" s="338"/>
      <c r="QAZ91" s="338"/>
      <c r="QBA91" s="338"/>
      <c r="QBB91" s="338"/>
      <c r="QBC91" s="338"/>
      <c r="QBD91" s="338"/>
      <c r="QBE91" s="338"/>
      <c r="QBF91" s="338"/>
      <c r="QBG91" s="338"/>
      <c r="QBH91" s="338"/>
      <c r="QBI91" s="338"/>
      <c r="QBJ91" s="338"/>
      <c r="QBK91" s="338"/>
      <c r="QBL91" s="338"/>
      <c r="QBM91" s="338"/>
      <c r="QBN91" s="338"/>
      <c r="QBO91" s="338"/>
      <c r="QBP91" s="338"/>
      <c r="QBQ91" s="338"/>
      <c r="QBR91" s="338"/>
      <c r="QBS91" s="338"/>
      <c r="QBT91" s="338"/>
      <c r="QBU91" s="338"/>
      <c r="QBV91" s="338"/>
      <c r="QBW91" s="338"/>
      <c r="QBX91" s="338"/>
      <c r="QBY91" s="338"/>
      <c r="QBZ91" s="338"/>
      <c r="QCA91" s="338"/>
      <c r="QCB91" s="338"/>
      <c r="QCC91" s="338"/>
      <c r="QCD91" s="338"/>
      <c r="QCE91" s="338"/>
      <c r="QCF91" s="338"/>
      <c r="QCG91" s="338"/>
      <c r="QCH91" s="338"/>
      <c r="QCI91" s="338"/>
      <c r="QCJ91" s="338"/>
      <c r="QCK91" s="338"/>
      <c r="QCL91" s="338"/>
      <c r="QCM91" s="338"/>
      <c r="QCN91" s="338"/>
      <c r="QCO91" s="338"/>
      <c r="QCP91" s="338"/>
      <c r="QCQ91" s="338"/>
      <c r="QCR91" s="338"/>
      <c r="QCS91" s="338"/>
      <c r="QCT91" s="338"/>
      <c r="QCU91" s="338"/>
      <c r="QCV91" s="338"/>
      <c r="QCW91" s="338"/>
      <c r="QCX91" s="338"/>
      <c r="QCY91" s="338"/>
      <c r="QCZ91" s="338"/>
      <c r="QDA91" s="338"/>
      <c r="QDB91" s="338"/>
      <c r="QDC91" s="338"/>
      <c r="QDD91" s="338"/>
      <c r="QDE91" s="338"/>
      <c r="QDF91" s="338"/>
      <c r="QDG91" s="338"/>
      <c r="QDH91" s="338"/>
      <c r="QDI91" s="338"/>
      <c r="QDJ91" s="338"/>
      <c r="QDK91" s="338"/>
      <c r="QDL91" s="338"/>
      <c r="QDM91" s="338"/>
      <c r="QDN91" s="338"/>
      <c r="QDO91" s="338"/>
      <c r="QDP91" s="338"/>
      <c r="QDQ91" s="338"/>
      <c r="QDR91" s="338"/>
      <c r="QDS91" s="338"/>
      <c r="QDT91" s="338"/>
      <c r="QDU91" s="338"/>
      <c r="QDV91" s="338"/>
      <c r="QDW91" s="338"/>
      <c r="QDX91" s="338"/>
      <c r="QDY91" s="338"/>
      <c r="QDZ91" s="338"/>
      <c r="QEA91" s="338"/>
      <c r="QEB91" s="338"/>
      <c r="QEC91" s="338"/>
      <c r="QED91" s="338"/>
      <c r="QEE91" s="338"/>
      <c r="QEF91" s="338"/>
      <c r="QEG91" s="338"/>
      <c r="QEH91" s="338"/>
      <c r="QEI91" s="338"/>
      <c r="QEJ91" s="338"/>
      <c r="QEK91" s="338"/>
      <c r="QEL91" s="338"/>
      <c r="QEM91" s="338"/>
      <c r="QEN91" s="338"/>
      <c r="QEO91" s="338"/>
      <c r="QEP91" s="338"/>
      <c r="QEQ91" s="338"/>
      <c r="QER91" s="338"/>
      <c r="QES91" s="338"/>
      <c r="QET91" s="338"/>
      <c r="QEU91" s="338"/>
      <c r="QEV91" s="338"/>
      <c r="QEW91" s="338"/>
      <c r="QEX91" s="338"/>
      <c r="QEY91" s="338"/>
      <c r="QEZ91" s="338"/>
      <c r="QFA91" s="338"/>
      <c r="QFB91" s="338"/>
      <c r="QFC91" s="338"/>
      <c r="QFD91" s="338"/>
      <c r="QFE91" s="338"/>
      <c r="QFF91" s="338"/>
      <c r="QFG91" s="338"/>
      <c r="QFH91" s="338"/>
      <c r="QFI91" s="338"/>
      <c r="QFJ91" s="338"/>
      <c r="QFK91" s="338"/>
      <c r="QFL91" s="338"/>
      <c r="QFM91" s="338"/>
      <c r="QFN91" s="338"/>
      <c r="QFO91" s="338"/>
      <c r="QFP91" s="338"/>
      <c r="QFQ91" s="338"/>
      <c r="QFR91" s="338"/>
      <c r="QFS91" s="338"/>
      <c r="QFT91" s="338"/>
      <c r="QFU91" s="338"/>
      <c r="QFV91" s="338"/>
      <c r="QFW91" s="338"/>
      <c r="QFX91" s="338"/>
      <c r="QFY91" s="338"/>
      <c r="QFZ91" s="338"/>
      <c r="QGA91" s="338"/>
      <c r="QGB91" s="338"/>
      <c r="QGC91" s="338"/>
      <c r="QGD91" s="338"/>
      <c r="QGE91" s="338"/>
      <c r="QGF91" s="338"/>
      <c r="QGG91" s="338"/>
      <c r="QGH91" s="338"/>
      <c r="QGI91" s="338"/>
      <c r="QGJ91" s="338"/>
      <c r="QGK91" s="338"/>
      <c r="QGL91" s="338"/>
      <c r="QGM91" s="338"/>
      <c r="QGN91" s="338"/>
      <c r="QGO91" s="338"/>
      <c r="QGP91" s="338"/>
      <c r="QGQ91" s="338"/>
      <c r="QGR91" s="338"/>
      <c r="QGS91" s="338"/>
      <c r="QGT91" s="338"/>
      <c r="QGU91" s="338"/>
      <c r="QGV91" s="338"/>
      <c r="QGW91" s="338"/>
      <c r="QGX91" s="338"/>
      <c r="QGY91" s="338"/>
      <c r="QGZ91" s="338"/>
      <c r="QHA91" s="338"/>
      <c r="QHB91" s="338"/>
      <c r="QHC91" s="338"/>
      <c r="QHD91" s="338"/>
      <c r="QHE91" s="338"/>
      <c r="QHF91" s="338"/>
      <c r="QHG91" s="338"/>
      <c r="QHH91" s="338"/>
      <c r="QHI91" s="338"/>
      <c r="QHJ91" s="338"/>
      <c r="QHK91" s="338"/>
      <c r="QHL91" s="338"/>
      <c r="QHM91" s="338"/>
      <c r="QHN91" s="338"/>
      <c r="QHO91" s="338"/>
      <c r="QHP91" s="338"/>
      <c r="QHQ91" s="338"/>
      <c r="QHR91" s="338"/>
      <c r="QHS91" s="338"/>
      <c r="QHT91" s="338"/>
      <c r="QHU91" s="338"/>
      <c r="QHV91" s="338"/>
      <c r="QHW91" s="338"/>
      <c r="QHX91" s="338"/>
      <c r="QHY91" s="338"/>
      <c r="QHZ91" s="338"/>
      <c r="QIA91" s="338"/>
      <c r="QIB91" s="338"/>
      <c r="QIC91" s="338"/>
      <c r="QID91" s="338"/>
      <c r="QIE91" s="338"/>
      <c r="QIF91" s="338"/>
      <c r="QIG91" s="338"/>
      <c r="QIH91" s="338"/>
      <c r="QII91" s="338"/>
      <c r="QIJ91" s="338"/>
      <c r="QIK91" s="338"/>
      <c r="QIL91" s="338"/>
      <c r="QIM91" s="338"/>
      <c r="QIN91" s="338"/>
      <c r="QIO91" s="338"/>
      <c r="QIP91" s="338"/>
      <c r="QIQ91" s="338"/>
      <c r="QIR91" s="338"/>
      <c r="QIS91" s="338"/>
      <c r="QIT91" s="338"/>
      <c r="QIU91" s="338"/>
      <c r="QIV91" s="338"/>
      <c r="QIW91" s="338"/>
      <c r="QIX91" s="338"/>
      <c r="QIY91" s="338"/>
      <c r="QIZ91" s="338"/>
      <c r="QJA91" s="338"/>
      <c r="QJB91" s="338"/>
      <c r="QJC91" s="338"/>
      <c r="QJD91" s="338"/>
      <c r="QJE91" s="338"/>
      <c r="QJF91" s="338"/>
      <c r="QJG91" s="338"/>
      <c r="QJH91" s="338"/>
      <c r="QJI91" s="338"/>
      <c r="QJJ91" s="338"/>
      <c r="QJK91" s="338"/>
      <c r="QJL91" s="338"/>
      <c r="QJM91" s="338"/>
      <c r="QJN91" s="338"/>
      <c r="QJO91" s="338"/>
      <c r="QJP91" s="338"/>
      <c r="QJQ91" s="338"/>
      <c r="QJR91" s="338"/>
      <c r="QJS91" s="338"/>
      <c r="QJT91" s="338"/>
      <c r="QJU91" s="338"/>
      <c r="QJV91" s="338"/>
      <c r="QJW91" s="338"/>
      <c r="QJX91" s="338"/>
      <c r="QJY91" s="338"/>
      <c r="QJZ91" s="338"/>
      <c r="QKA91" s="338"/>
      <c r="QKB91" s="338"/>
      <c r="QKC91" s="338"/>
      <c r="QKD91" s="338"/>
      <c r="QKE91" s="338"/>
      <c r="QKF91" s="338"/>
      <c r="QKG91" s="338"/>
      <c r="QKH91" s="338"/>
      <c r="QKI91" s="338"/>
      <c r="QKJ91" s="338"/>
      <c r="QKK91" s="338"/>
      <c r="QKL91" s="338"/>
      <c r="QKM91" s="338"/>
      <c r="QKN91" s="338"/>
      <c r="QKO91" s="338"/>
      <c r="QKP91" s="338"/>
      <c r="QKQ91" s="338"/>
      <c r="QKR91" s="338"/>
      <c r="QKS91" s="338"/>
      <c r="QKT91" s="338"/>
      <c r="QKU91" s="338"/>
      <c r="QKV91" s="338"/>
      <c r="QKW91" s="338"/>
      <c r="QKX91" s="338"/>
      <c r="QKY91" s="338"/>
      <c r="QKZ91" s="338"/>
      <c r="QLA91" s="338"/>
      <c r="QLB91" s="338"/>
      <c r="QLC91" s="338"/>
      <c r="QLD91" s="338"/>
      <c r="QLE91" s="338"/>
      <c r="QLF91" s="338"/>
      <c r="QLG91" s="338"/>
      <c r="QLH91" s="338"/>
      <c r="QLI91" s="338"/>
      <c r="QLJ91" s="338"/>
      <c r="QLK91" s="338"/>
      <c r="QLL91" s="338"/>
      <c r="QLM91" s="338"/>
      <c r="QLN91" s="338"/>
      <c r="QLO91" s="338"/>
      <c r="QLP91" s="338"/>
      <c r="QLQ91" s="338"/>
      <c r="QLR91" s="338"/>
      <c r="QLS91" s="338"/>
      <c r="QLT91" s="338"/>
      <c r="QLU91" s="338"/>
      <c r="QLV91" s="338"/>
      <c r="QLW91" s="338"/>
      <c r="QLX91" s="338"/>
      <c r="QLY91" s="338"/>
      <c r="QLZ91" s="338"/>
      <c r="QMA91" s="338"/>
      <c r="QMB91" s="338"/>
      <c r="QMC91" s="338"/>
      <c r="QMD91" s="338"/>
      <c r="QME91" s="338"/>
      <c r="QMF91" s="338"/>
      <c r="QMG91" s="338"/>
      <c r="QMH91" s="338"/>
      <c r="QMI91" s="338"/>
      <c r="QMJ91" s="338"/>
      <c r="QMK91" s="338"/>
      <c r="QML91" s="338"/>
      <c r="QMM91" s="338"/>
      <c r="QMN91" s="338"/>
      <c r="QMO91" s="338"/>
      <c r="QMP91" s="338"/>
      <c r="QMQ91" s="338"/>
      <c r="QMR91" s="338"/>
      <c r="QMS91" s="338"/>
      <c r="QMT91" s="338"/>
      <c r="QMU91" s="338"/>
      <c r="QMV91" s="338"/>
      <c r="QMW91" s="338"/>
      <c r="QMX91" s="338"/>
      <c r="QMY91" s="338"/>
      <c r="QMZ91" s="338"/>
      <c r="QNA91" s="338"/>
      <c r="QNB91" s="338"/>
      <c r="QNC91" s="338"/>
      <c r="QND91" s="338"/>
      <c r="QNE91" s="338"/>
      <c r="QNF91" s="338"/>
      <c r="QNG91" s="338"/>
      <c r="QNH91" s="338"/>
      <c r="QNI91" s="338"/>
      <c r="QNJ91" s="338"/>
      <c r="QNK91" s="338"/>
      <c r="QNL91" s="338"/>
      <c r="QNM91" s="338"/>
      <c r="QNN91" s="338"/>
      <c r="QNO91" s="338"/>
      <c r="QNP91" s="338"/>
      <c r="QNQ91" s="338"/>
      <c r="QNR91" s="338"/>
      <c r="QNS91" s="338"/>
      <c r="QNT91" s="338"/>
      <c r="QNU91" s="338"/>
      <c r="QNV91" s="338"/>
      <c r="QNW91" s="338"/>
      <c r="QNX91" s="338"/>
      <c r="QNY91" s="338"/>
      <c r="QNZ91" s="338"/>
      <c r="QOA91" s="338"/>
      <c r="QOB91" s="338"/>
      <c r="QOC91" s="338"/>
      <c r="QOD91" s="338"/>
      <c r="QOE91" s="338"/>
      <c r="QOF91" s="338"/>
      <c r="QOG91" s="338"/>
      <c r="QOH91" s="338"/>
      <c r="QOI91" s="338"/>
      <c r="QOJ91" s="338"/>
      <c r="QOK91" s="338"/>
      <c r="QOL91" s="338"/>
      <c r="QOM91" s="338"/>
      <c r="QON91" s="338"/>
      <c r="QOO91" s="338"/>
      <c r="QOP91" s="338"/>
      <c r="QOQ91" s="338"/>
      <c r="QOR91" s="338"/>
      <c r="QOS91" s="338"/>
      <c r="QOT91" s="338"/>
      <c r="QOU91" s="338"/>
      <c r="QOV91" s="338"/>
      <c r="QOW91" s="338"/>
      <c r="QOX91" s="338"/>
      <c r="QOY91" s="338"/>
      <c r="QOZ91" s="338"/>
      <c r="QPA91" s="338"/>
      <c r="QPB91" s="338"/>
      <c r="QPC91" s="338"/>
      <c r="QPD91" s="338"/>
      <c r="QPE91" s="338"/>
      <c r="QPF91" s="338"/>
      <c r="QPG91" s="338"/>
      <c r="QPH91" s="338"/>
      <c r="QPI91" s="338"/>
      <c r="QPJ91" s="338"/>
      <c r="QPK91" s="338"/>
      <c r="QPL91" s="338"/>
      <c r="QPM91" s="338"/>
      <c r="QPN91" s="338"/>
      <c r="QPO91" s="338"/>
      <c r="QPP91" s="338"/>
      <c r="QPQ91" s="338"/>
      <c r="QPR91" s="338"/>
      <c r="QPS91" s="338"/>
      <c r="QPT91" s="338"/>
      <c r="QPU91" s="338"/>
      <c r="QPV91" s="338"/>
      <c r="QPW91" s="338"/>
      <c r="QPX91" s="338"/>
      <c r="QPY91" s="338"/>
      <c r="QPZ91" s="338"/>
      <c r="QQA91" s="338"/>
      <c r="QQB91" s="338"/>
      <c r="QQC91" s="338"/>
      <c r="QQD91" s="338"/>
      <c r="QQE91" s="338"/>
      <c r="QQF91" s="338"/>
      <c r="QQG91" s="338"/>
      <c r="QQH91" s="338"/>
      <c r="QQI91" s="338"/>
      <c r="QQJ91" s="338"/>
      <c r="QQK91" s="338"/>
      <c r="QQL91" s="338"/>
      <c r="QQM91" s="338"/>
      <c r="QQN91" s="338"/>
      <c r="QQO91" s="338"/>
      <c r="QQP91" s="338"/>
      <c r="QQQ91" s="338"/>
      <c r="QQR91" s="338"/>
      <c r="QQS91" s="338"/>
      <c r="QQT91" s="338"/>
      <c r="QQU91" s="338"/>
      <c r="QQV91" s="338"/>
      <c r="QQW91" s="338"/>
      <c r="QQX91" s="338"/>
      <c r="QQY91" s="338"/>
      <c r="QQZ91" s="338"/>
      <c r="QRA91" s="338"/>
      <c r="QRB91" s="338"/>
      <c r="QRC91" s="338"/>
      <c r="QRD91" s="338"/>
      <c r="QRE91" s="338"/>
      <c r="QRF91" s="338"/>
      <c r="QRG91" s="338"/>
      <c r="QRH91" s="338"/>
      <c r="QRI91" s="338"/>
      <c r="QRJ91" s="338"/>
      <c r="QRK91" s="338"/>
      <c r="QRL91" s="338"/>
      <c r="QRM91" s="338"/>
      <c r="QRN91" s="338"/>
      <c r="QRO91" s="338"/>
      <c r="QRP91" s="338"/>
      <c r="QRQ91" s="338"/>
      <c r="QRR91" s="338"/>
      <c r="QRS91" s="338"/>
      <c r="QRT91" s="338"/>
      <c r="QRU91" s="338"/>
      <c r="QRV91" s="338"/>
      <c r="QRW91" s="338"/>
      <c r="QRX91" s="338"/>
      <c r="QRY91" s="338"/>
      <c r="QRZ91" s="338"/>
      <c r="QSA91" s="338"/>
      <c r="QSB91" s="338"/>
      <c r="QSC91" s="338"/>
      <c r="QSD91" s="338"/>
      <c r="QSE91" s="338"/>
      <c r="QSF91" s="338"/>
      <c r="QSG91" s="338"/>
      <c r="QSH91" s="338"/>
      <c r="QSI91" s="338"/>
      <c r="QSJ91" s="338"/>
      <c r="QSK91" s="338"/>
      <c r="QSL91" s="338"/>
      <c r="QSM91" s="338"/>
      <c r="QSN91" s="338"/>
      <c r="QSO91" s="338"/>
      <c r="QSP91" s="338"/>
      <c r="QSQ91" s="338"/>
      <c r="QSR91" s="338"/>
      <c r="QSS91" s="338"/>
      <c r="QST91" s="338"/>
      <c r="QSU91" s="338"/>
      <c r="QSV91" s="338"/>
      <c r="QSW91" s="338"/>
      <c r="QSX91" s="338"/>
      <c r="QSY91" s="338"/>
      <c r="QSZ91" s="338"/>
      <c r="QTA91" s="338"/>
      <c r="QTB91" s="338"/>
      <c r="QTC91" s="338"/>
      <c r="QTD91" s="338"/>
      <c r="QTE91" s="338"/>
      <c r="QTF91" s="338"/>
      <c r="QTG91" s="338"/>
      <c r="QTH91" s="338"/>
      <c r="QTI91" s="338"/>
      <c r="QTJ91" s="338"/>
      <c r="QTK91" s="338"/>
      <c r="QTL91" s="338"/>
      <c r="QTM91" s="338"/>
      <c r="QTN91" s="338"/>
      <c r="QTO91" s="338"/>
      <c r="QTP91" s="338"/>
      <c r="QTQ91" s="338"/>
      <c r="QTR91" s="338"/>
      <c r="QTS91" s="338"/>
      <c r="QTT91" s="338"/>
      <c r="QTU91" s="338"/>
      <c r="QTV91" s="338"/>
      <c r="QTW91" s="338"/>
      <c r="QTX91" s="338"/>
      <c r="QTY91" s="338"/>
      <c r="QTZ91" s="338"/>
      <c r="QUA91" s="338"/>
      <c r="QUB91" s="338"/>
      <c r="QUC91" s="338"/>
      <c r="QUD91" s="338"/>
      <c r="QUE91" s="338"/>
      <c r="QUF91" s="338"/>
      <c r="QUG91" s="338"/>
      <c r="QUH91" s="338"/>
      <c r="QUI91" s="338"/>
      <c r="QUJ91" s="338"/>
      <c r="QUK91" s="338"/>
      <c r="QUL91" s="338"/>
      <c r="QUM91" s="338"/>
      <c r="QUN91" s="338"/>
      <c r="QUO91" s="338"/>
      <c r="QUP91" s="338"/>
      <c r="QUQ91" s="338"/>
      <c r="QUR91" s="338"/>
      <c r="QUS91" s="338"/>
      <c r="QUT91" s="338"/>
      <c r="QUU91" s="338"/>
      <c r="QUV91" s="338"/>
      <c r="QUW91" s="338"/>
      <c r="QUX91" s="338"/>
      <c r="QUY91" s="338"/>
      <c r="QUZ91" s="338"/>
      <c r="QVA91" s="338"/>
      <c r="QVB91" s="338"/>
      <c r="QVC91" s="338"/>
      <c r="QVD91" s="338"/>
      <c r="QVE91" s="338"/>
      <c r="QVF91" s="338"/>
      <c r="QVG91" s="338"/>
      <c r="QVH91" s="338"/>
      <c r="QVI91" s="338"/>
      <c r="QVJ91" s="338"/>
      <c r="QVK91" s="338"/>
      <c r="QVL91" s="338"/>
      <c r="QVM91" s="338"/>
      <c r="QVN91" s="338"/>
      <c r="QVO91" s="338"/>
      <c r="QVP91" s="338"/>
      <c r="QVQ91" s="338"/>
      <c r="QVR91" s="338"/>
      <c r="QVS91" s="338"/>
      <c r="QVT91" s="338"/>
      <c r="QVU91" s="338"/>
      <c r="QVV91" s="338"/>
      <c r="QVW91" s="338"/>
      <c r="QVX91" s="338"/>
      <c r="QVY91" s="338"/>
      <c r="QVZ91" s="338"/>
      <c r="QWA91" s="338"/>
      <c r="QWB91" s="338"/>
      <c r="QWC91" s="338"/>
      <c r="QWD91" s="338"/>
      <c r="QWE91" s="338"/>
      <c r="QWF91" s="338"/>
      <c r="QWG91" s="338"/>
      <c r="QWH91" s="338"/>
      <c r="QWI91" s="338"/>
      <c r="QWJ91" s="338"/>
      <c r="QWK91" s="338"/>
      <c r="QWL91" s="338"/>
      <c r="QWM91" s="338"/>
      <c r="QWN91" s="338"/>
      <c r="QWO91" s="338"/>
      <c r="QWP91" s="338"/>
      <c r="QWQ91" s="338"/>
      <c r="QWR91" s="338"/>
      <c r="QWS91" s="338"/>
      <c r="QWT91" s="338"/>
      <c r="QWU91" s="338"/>
      <c r="QWV91" s="338"/>
      <c r="QWW91" s="338"/>
      <c r="QWX91" s="338"/>
      <c r="QWY91" s="338"/>
      <c r="QWZ91" s="338"/>
      <c r="QXA91" s="338"/>
      <c r="QXB91" s="338"/>
      <c r="QXC91" s="338"/>
      <c r="QXD91" s="338"/>
      <c r="QXE91" s="338"/>
      <c r="QXF91" s="338"/>
      <c r="QXG91" s="338"/>
      <c r="QXH91" s="338"/>
      <c r="QXI91" s="338"/>
      <c r="QXJ91" s="338"/>
      <c r="QXK91" s="338"/>
      <c r="QXL91" s="338"/>
      <c r="QXM91" s="338"/>
      <c r="QXN91" s="338"/>
      <c r="QXO91" s="338"/>
      <c r="QXP91" s="338"/>
      <c r="QXQ91" s="338"/>
      <c r="QXR91" s="338"/>
      <c r="QXS91" s="338"/>
      <c r="QXT91" s="338"/>
      <c r="QXU91" s="338"/>
      <c r="QXV91" s="338"/>
      <c r="QXW91" s="338"/>
      <c r="QXX91" s="338"/>
      <c r="QXY91" s="338"/>
      <c r="QXZ91" s="338"/>
      <c r="QYA91" s="338"/>
      <c r="QYB91" s="338"/>
      <c r="QYC91" s="338"/>
      <c r="QYD91" s="338"/>
      <c r="QYE91" s="338"/>
      <c r="QYF91" s="338"/>
      <c r="QYG91" s="338"/>
      <c r="QYH91" s="338"/>
      <c r="QYI91" s="338"/>
      <c r="QYJ91" s="338"/>
      <c r="QYK91" s="338"/>
      <c r="QYL91" s="338"/>
      <c r="QYM91" s="338"/>
      <c r="QYN91" s="338"/>
      <c r="QYO91" s="338"/>
      <c r="QYP91" s="338"/>
      <c r="QYQ91" s="338"/>
      <c r="QYR91" s="338"/>
      <c r="QYS91" s="338"/>
      <c r="QYT91" s="338"/>
      <c r="QYU91" s="338"/>
      <c r="QYV91" s="338"/>
      <c r="QYW91" s="338"/>
      <c r="QYX91" s="338"/>
      <c r="QYY91" s="338"/>
      <c r="QYZ91" s="338"/>
      <c r="QZA91" s="338"/>
      <c r="QZB91" s="338"/>
      <c r="QZC91" s="338"/>
      <c r="QZD91" s="338"/>
      <c r="QZE91" s="338"/>
      <c r="QZF91" s="338"/>
      <c r="QZG91" s="338"/>
      <c r="QZH91" s="338"/>
      <c r="QZI91" s="338"/>
      <c r="QZJ91" s="338"/>
      <c r="QZK91" s="338"/>
      <c r="QZL91" s="338"/>
      <c r="QZM91" s="338"/>
      <c r="QZN91" s="338"/>
      <c r="QZO91" s="338"/>
      <c r="QZP91" s="338"/>
      <c r="QZQ91" s="338"/>
      <c r="QZR91" s="338"/>
      <c r="QZS91" s="338"/>
      <c r="QZT91" s="338"/>
      <c r="QZU91" s="338"/>
      <c r="QZV91" s="338"/>
      <c r="QZW91" s="338"/>
      <c r="QZX91" s="338"/>
      <c r="QZY91" s="338"/>
      <c r="QZZ91" s="338"/>
      <c r="RAA91" s="338"/>
      <c r="RAB91" s="338"/>
      <c r="RAC91" s="338"/>
      <c r="RAD91" s="338"/>
      <c r="RAE91" s="338"/>
      <c r="RAF91" s="338"/>
      <c r="RAG91" s="338"/>
      <c r="RAH91" s="338"/>
      <c r="RAI91" s="338"/>
      <c r="RAJ91" s="338"/>
      <c r="RAK91" s="338"/>
      <c r="RAL91" s="338"/>
      <c r="RAM91" s="338"/>
      <c r="RAN91" s="338"/>
      <c r="RAO91" s="338"/>
      <c r="RAP91" s="338"/>
      <c r="RAQ91" s="338"/>
      <c r="RAR91" s="338"/>
      <c r="RAS91" s="338"/>
      <c r="RAT91" s="338"/>
      <c r="RAU91" s="338"/>
      <c r="RAV91" s="338"/>
      <c r="RAW91" s="338"/>
      <c r="RAX91" s="338"/>
      <c r="RAY91" s="338"/>
      <c r="RAZ91" s="338"/>
      <c r="RBA91" s="338"/>
      <c r="RBB91" s="338"/>
      <c r="RBC91" s="338"/>
      <c r="RBD91" s="338"/>
      <c r="RBE91" s="338"/>
      <c r="RBF91" s="338"/>
      <c r="RBG91" s="338"/>
      <c r="RBH91" s="338"/>
      <c r="RBI91" s="338"/>
      <c r="RBJ91" s="338"/>
      <c r="RBK91" s="338"/>
      <c r="RBL91" s="338"/>
      <c r="RBM91" s="338"/>
      <c r="RBN91" s="338"/>
      <c r="RBO91" s="338"/>
      <c r="RBP91" s="338"/>
      <c r="RBQ91" s="338"/>
      <c r="RBR91" s="338"/>
      <c r="RBS91" s="338"/>
      <c r="RBT91" s="338"/>
      <c r="RBU91" s="338"/>
      <c r="RBV91" s="338"/>
      <c r="RBW91" s="338"/>
      <c r="RBX91" s="338"/>
      <c r="RBY91" s="338"/>
      <c r="RBZ91" s="338"/>
      <c r="RCA91" s="338"/>
      <c r="RCB91" s="338"/>
      <c r="RCC91" s="338"/>
      <c r="RCD91" s="338"/>
      <c r="RCE91" s="338"/>
      <c r="RCF91" s="338"/>
      <c r="RCG91" s="338"/>
      <c r="RCH91" s="338"/>
      <c r="RCI91" s="338"/>
      <c r="RCJ91" s="338"/>
      <c r="RCK91" s="338"/>
      <c r="RCL91" s="338"/>
      <c r="RCM91" s="338"/>
      <c r="RCN91" s="338"/>
      <c r="RCO91" s="338"/>
      <c r="RCP91" s="338"/>
      <c r="RCQ91" s="338"/>
      <c r="RCR91" s="338"/>
      <c r="RCS91" s="338"/>
      <c r="RCT91" s="338"/>
      <c r="RCU91" s="338"/>
      <c r="RCV91" s="338"/>
      <c r="RCW91" s="338"/>
      <c r="RCX91" s="338"/>
      <c r="RCY91" s="338"/>
      <c r="RCZ91" s="338"/>
      <c r="RDA91" s="338"/>
      <c r="RDB91" s="338"/>
      <c r="RDC91" s="338"/>
      <c r="RDD91" s="338"/>
      <c r="RDE91" s="338"/>
      <c r="RDF91" s="338"/>
      <c r="RDG91" s="338"/>
      <c r="RDH91" s="338"/>
      <c r="RDI91" s="338"/>
      <c r="RDJ91" s="338"/>
      <c r="RDK91" s="338"/>
      <c r="RDL91" s="338"/>
      <c r="RDM91" s="338"/>
      <c r="RDN91" s="338"/>
      <c r="RDO91" s="338"/>
      <c r="RDP91" s="338"/>
      <c r="RDQ91" s="338"/>
      <c r="RDR91" s="338"/>
      <c r="RDS91" s="338"/>
      <c r="RDT91" s="338"/>
      <c r="RDU91" s="338"/>
      <c r="RDV91" s="338"/>
      <c r="RDW91" s="338"/>
      <c r="RDX91" s="338"/>
      <c r="RDY91" s="338"/>
      <c r="RDZ91" s="338"/>
      <c r="REA91" s="338"/>
      <c r="REB91" s="338"/>
      <c r="REC91" s="338"/>
      <c r="RED91" s="338"/>
      <c r="REE91" s="338"/>
      <c r="REF91" s="338"/>
      <c r="REG91" s="338"/>
      <c r="REH91" s="338"/>
      <c r="REI91" s="338"/>
      <c r="REJ91" s="338"/>
      <c r="REK91" s="338"/>
      <c r="REL91" s="338"/>
      <c r="REM91" s="338"/>
      <c r="REN91" s="338"/>
      <c r="REO91" s="338"/>
      <c r="REP91" s="338"/>
      <c r="REQ91" s="338"/>
      <c r="RER91" s="338"/>
      <c r="RES91" s="338"/>
      <c r="RET91" s="338"/>
      <c r="REU91" s="338"/>
      <c r="REV91" s="338"/>
      <c r="REW91" s="338"/>
      <c r="REX91" s="338"/>
      <c r="REY91" s="338"/>
      <c r="REZ91" s="338"/>
      <c r="RFA91" s="338"/>
      <c r="RFB91" s="338"/>
      <c r="RFC91" s="338"/>
      <c r="RFD91" s="338"/>
      <c r="RFE91" s="338"/>
      <c r="RFF91" s="338"/>
      <c r="RFG91" s="338"/>
      <c r="RFH91" s="338"/>
      <c r="RFI91" s="338"/>
      <c r="RFJ91" s="338"/>
      <c r="RFK91" s="338"/>
      <c r="RFL91" s="338"/>
      <c r="RFM91" s="338"/>
      <c r="RFN91" s="338"/>
      <c r="RFO91" s="338"/>
      <c r="RFP91" s="338"/>
      <c r="RFQ91" s="338"/>
      <c r="RFR91" s="338"/>
      <c r="RFS91" s="338"/>
      <c r="RFT91" s="338"/>
      <c r="RFU91" s="338"/>
      <c r="RFV91" s="338"/>
      <c r="RFW91" s="338"/>
      <c r="RFX91" s="338"/>
      <c r="RFY91" s="338"/>
      <c r="RFZ91" s="338"/>
      <c r="RGA91" s="338"/>
      <c r="RGB91" s="338"/>
      <c r="RGC91" s="338"/>
      <c r="RGD91" s="338"/>
      <c r="RGE91" s="338"/>
      <c r="RGF91" s="338"/>
      <c r="RGG91" s="338"/>
      <c r="RGH91" s="338"/>
      <c r="RGI91" s="338"/>
      <c r="RGJ91" s="338"/>
      <c r="RGK91" s="338"/>
      <c r="RGL91" s="338"/>
      <c r="RGM91" s="338"/>
      <c r="RGN91" s="338"/>
      <c r="RGO91" s="338"/>
      <c r="RGP91" s="338"/>
      <c r="RGQ91" s="338"/>
      <c r="RGR91" s="338"/>
      <c r="RGS91" s="338"/>
      <c r="RGT91" s="338"/>
      <c r="RGU91" s="338"/>
      <c r="RGV91" s="338"/>
      <c r="RGW91" s="338"/>
      <c r="RGX91" s="338"/>
      <c r="RGY91" s="338"/>
      <c r="RGZ91" s="338"/>
      <c r="RHA91" s="338"/>
      <c r="RHB91" s="338"/>
      <c r="RHC91" s="338"/>
      <c r="RHD91" s="338"/>
      <c r="RHE91" s="338"/>
      <c r="RHF91" s="338"/>
      <c r="RHG91" s="338"/>
      <c r="RHH91" s="338"/>
      <c r="RHI91" s="338"/>
      <c r="RHJ91" s="338"/>
      <c r="RHK91" s="338"/>
      <c r="RHL91" s="338"/>
      <c r="RHM91" s="338"/>
      <c r="RHN91" s="338"/>
      <c r="RHO91" s="338"/>
      <c r="RHP91" s="338"/>
      <c r="RHQ91" s="338"/>
      <c r="RHR91" s="338"/>
      <c r="RHS91" s="338"/>
      <c r="RHT91" s="338"/>
      <c r="RHU91" s="338"/>
      <c r="RHV91" s="338"/>
      <c r="RHW91" s="338"/>
      <c r="RHX91" s="338"/>
      <c r="RHY91" s="338"/>
      <c r="RHZ91" s="338"/>
      <c r="RIA91" s="338"/>
      <c r="RIB91" s="338"/>
      <c r="RIC91" s="338"/>
      <c r="RID91" s="338"/>
      <c r="RIE91" s="338"/>
      <c r="RIF91" s="338"/>
      <c r="RIG91" s="338"/>
      <c r="RIH91" s="338"/>
      <c r="RII91" s="338"/>
      <c r="RIJ91" s="338"/>
      <c r="RIK91" s="338"/>
      <c r="RIL91" s="338"/>
      <c r="RIM91" s="338"/>
      <c r="RIN91" s="338"/>
      <c r="RIO91" s="338"/>
      <c r="RIP91" s="338"/>
      <c r="RIQ91" s="338"/>
      <c r="RIR91" s="338"/>
      <c r="RIS91" s="338"/>
      <c r="RIT91" s="338"/>
      <c r="RIU91" s="338"/>
      <c r="RIV91" s="338"/>
      <c r="RIW91" s="338"/>
      <c r="RIX91" s="338"/>
      <c r="RIY91" s="338"/>
      <c r="RIZ91" s="338"/>
      <c r="RJA91" s="338"/>
      <c r="RJB91" s="338"/>
      <c r="RJC91" s="338"/>
      <c r="RJD91" s="338"/>
      <c r="RJE91" s="338"/>
      <c r="RJF91" s="338"/>
      <c r="RJG91" s="338"/>
      <c r="RJH91" s="338"/>
      <c r="RJI91" s="338"/>
      <c r="RJJ91" s="338"/>
      <c r="RJK91" s="338"/>
      <c r="RJL91" s="338"/>
      <c r="RJM91" s="338"/>
      <c r="RJN91" s="338"/>
      <c r="RJO91" s="338"/>
      <c r="RJP91" s="338"/>
      <c r="RJQ91" s="338"/>
      <c r="RJR91" s="338"/>
      <c r="RJS91" s="338"/>
      <c r="RJT91" s="338"/>
      <c r="RJU91" s="338"/>
      <c r="RJV91" s="338"/>
      <c r="RJW91" s="338"/>
      <c r="RJX91" s="338"/>
      <c r="RJY91" s="338"/>
      <c r="RJZ91" s="338"/>
      <c r="RKA91" s="338"/>
      <c r="RKB91" s="338"/>
      <c r="RKC91" s="338"/>
      <c r="RKD91" s="338"/>
      <c r="RKE91" s="338"/>
      <c r="RKF91" s="338"/>
      <c r="RKG91" s="338"/>
      <c r="RKH91" s="338"/>
      <c r="RKI91" s="338"/>
      <c r="RKJ91" s="338"/>
      <c r="RKK91" s="338"/>
      <c r="RKL91" s="338"/>
      <c r="RKM91" s="338"/>
      <c r="RKN91" s="338"/>
      <c r="RKO91" s="338"/>
      <c r="RKP91" s="338"/>
      <c r="RKQ91" s="338"/>
      <c r="RKR91" s="338"/>
      <c r="RKS91" s="338"/>
      <c r="RKT91" s="338"/>
      <c r="RKU91" s="338"/>
      <c r="RKV91" s="338"/>
      <c r="RKW91" s="338"/>
      <c r="RKX91" s="338"/>
      <c r="RKY91" s="338"/>
      <c r="RKZ91" s="338"/>
      <c r="RLA91" s="338"/>
      <c r="RLB91" s="338"/>
      <c r="RLC91" s="338"/>
      <c r="RLD91" s="338"/>
      <c r="RLE91" s="338"/>
      <c r="RLF91" s="338"/>
      <c r="RLG91" s="338"/>
      <c r="RLH91" s="338"/>
      <c r="RLI91" s="338"/>
      <c r="RLJ91" s="338"/>
      <c r="RLK91" s="338"/>
      <c r="RLL91" s="338"/>
      <c r="RLM91" s="338"/>
      <c r="RLN91" s="338"/>
      <c r="RLO91" s="338"/>
      <c r="RLP91" s="338"/>
      <c r="RLQ91" s="338"/>
      <c r="RLR91" s="338"/>
      <c r="RLS91" s="338"/>
      <c r="RLT91" s="338"/>
      <c r="RLU91" s="338"/>
      <c r="RLV91" s="338"/>
      <c r="RLW91" s="338"/>
      <c r="RLX91" s="338"/>
      <c r="RLY91" s="338"/>
      <c r="RLZ91" s="338"/>
      <c r="RMA91" s="338"/>
      <c r="RMB91" s="338"/>
      <c r="RMC91" s="338"/>
      <c r="RMD91" s="338"/>
      <c r="RME91" s="338"/>
      <c r="RMF91" s="338"/>
      <c r="RMG91" s="338"/>
      <c r="RMH91" s="338"/>
      <c r="RMI91" s="338"/>
      <c r="RMJ91" s="338"/>
      <c r="RMK91" s="338"/>
      <c r="RML91" s="338"/>
      <c r="RMM91" s="338"/>
      <c r="RMN91" s="338"/>
      <c r="RMO91" s="338"/>
      <c r="RMP91" s="338"/>
      <c r="RMQ91" s="338"/>
      <c r="RMR91" s="338"/>
      <c r="RMS91" s="338"/>
      <c r="RMT91" s="338"/>
      <c r="RMU91" s="338"/>
      <c r="RMV91" s="338"/>
      <c r="RMW91" s="338"/>
      <c r="RMX91" s="338"/>
      <c r="RMY91" s="338"/>
      <c r="RMZ91" s="338"/>
      <c r="RNA91" s="338"/>
      <c r="RNB91" s="338"/>
      <c r="RNC91" s="338"/>
      <c r="RND91" s="338"/>
      <c r="RNE91" s="338"/>
      <c r="RNF91" s="338"/>
      <c r="RNG91" s="338"/>
      <c r="RNH91" s="338"/>
      <c r="RNI91" s="338"/>
      <c r="RNJ91" s="338"/>
      <c r="RNK91" s="338"/>
      <c r="RNL91" s="338"/>
      <c r="RNM91" s="338"/>
      <c r="RNN91" s="338"/>
      <c r="RNO91" s="338"/>
      <c r="RNP91" s="338"/>
      <c r="RNQ91" s="338"/>
      <c r="RNR91" s="338"/>
      <c r="RNS91" s="338"/>
      <c r="RNT91" s="338"/>
      <c r="RNU91" s="338"/>
      <c r="RNV91" s="338"/>
      <c r="RNW91" s="338"/>
      <c r="RNX91" s="338"/>
      <c r="RNY91" s="338"/>
      <c r="RNZ91" s="338"/>
      <c r="ROA91" s="338"/>
      <c r="ROB91" s="338"/>
      <c r="ROC91" s="338"/>
      <c r="ROD91" s="338"/>
      <c r="ROE91" s="338"/>
      <c r="ROF91" s="338"/>
      <c r="ROG91" s="338"/>
      <c r="ROH91" s="338"/>
      <c r="ROI91" s="338"/>
      <c r="ROJ91" s="338"/>
      <c r="ROK91" s="338"/>
      <c r="ROL91" s="338"/>
      <c r="ROM91" s="338"/>
      <c r="RON91" s="338"/>
      <c r="ROO91" s="338"/>
      <c r="ROP91" s="338"/>
      <c r="ROQ91" s="338"/>
      <c r="ROR91" s="338"/>
      <c r="ROS91" s="338"/>
      <c r="ROT91" s="338"/>
      <c r="ROU91" s="338"/>
      <c r="ROV91" s="338"/>
      <c r="ROW91" s="338"/>
      <c r="ROX91" s="338"/>
      <c r="ROY91" s="338"/>
      <c r="ROZ91" s="338"/>
      <c r="RPA91" s="338"/>
      <c r="RPB91" s="338"/>
      <c r="RPC91" s="338"/>
      <c r="RPD91" s="338"/>
      <c r="RPE91" s="338"/>
      <c r="RPF91" s="338"/>
      <c r="RPG91" s="338"/>
      <c r="RPH91" s="338"/>
      <c r="RPI91" s="338"/>
      <c r="RPJ91" s="338"/>
      <c r="RPK91" s="338"/>
      <c r="RPL91" s="338"/>
      <c r="RPM91" s="338"/>
      <c r="RPN91" s="338"/>
      <c r="RPO91" s="338"/>
      <c r="RPP91" s="338"/>
      <c r="RPQ91" s="338"/>
      <c r="RPR91" s="338"/>
      <c r="RPS91" s="338"/>
      <c r="RPT91" s="338"/>
      <c r="RPU91" s="338"/>
      <c r="RPV91" s="338"/>
      <c r="RPW91" s="338"/>
      <c r="RPX91" s="338"/>
      <c r="RPY91" s="338"/>
      <c r="RPZ91" s="338"/>
      <c r="RQA91" s="338"/>
      <c r="RQB91" s="338"/>
      <c r="RQC91" s="338"/>
      <c r="RQD91" s="338"/>
      <c r="RQE91" s="338"/>
      <c r="RQF91" s="338"/>
      <c r="RQG91" s="338"/>
      <c r="RQH91" s="338"/>
      <c r="RQI91" s="338"/>
      <c r="RQJ91" s="338"/>
      <c r="RQK91" s="338"/>
      <c r="RQL91" s="338"/>
      <c r="RQM91" s="338"/>
      <c r="RQN91" s="338"/>
      <c r="RQO91" s="338"/>
      <c r="RQP91" s="338"/>
      <c r="RQQ91" s="338"/>
      <c r="RQR91" s="338"/>
      <c r="RQS91" s="338"/>
      <c r="RQT91" s="338"/>
      <c r="RQU91" s="338"/>
      <c r="RQV91" s="338"/>
      <c r="RQW91" s="338"/>
      <c r="RQX91" s="338"/>
      <c r="RQY91" s="338"/>
      <c r="RQZ91" s="338"/>
      <c r="RRA91" s="338"/>
      <c r="RRB91" s="338"/>
      <c r="RRC91" s="338"/>
      <c r="RRD91" s="338"/>
      <c r="RRE91" s="338"/>
      <c r="RRF91" s="338"/>
      <c r="RRG91" s="338"/>
      <c r="RRH91" s="338"/>
      <c r="RRI91" s="338"/>
      <c r="RRJ91" s="338"/>
      <c r="RRK91" s="338"/>
      <c r="RRL91" s="338"/>
      <c r="RRM91" s="338"/>
      <c r="RRN91" s="338"/>
      <c r="RRO91" s="338"/>
      <c r="RRP91" s="338"/>
      <c r="RRQ91" s="338"/>
      <c r="RRR91" s="338"/>
      <c r="RRS91" s="338"/>
      <c r="RRT91" s="338"/>
      <c r="RRU91" s="338"/>
      <c r="RRV91" s="338"/>
      <c r="RRW91" s="338"/>
      <c r="RRX91" s="338"/>
      <c r="RRY91" s="338"/>
      <c r="RRZ91" s="338"/>
      <c r="RSA91" s="338"/>
      <c r="RSB91" s="338"/>
      <c r="RSC91" s="338"/>
      <c r="RSD91" s="338"/>
      <c r="RSE91" s="338"/>
      <c r="RSF91" s="338"/>
      <c r="RSG91" s="338"/>
      <c r="RSH91" s="338"/>
      <c r="RSI91" s="338"/>
      <c r="RSJ91" s="338"/>
      <c r="RSK91" s="338"/>
      <c r="RSL91" s="338"/>
      <c r="RSM91" s="338"/>
      <c r="RSN91" s="338"/>
      <c r="RSO91" s="338"/>
      <c r="RSP91" s="338"/>
      <c r="RSQ91" s="338"/>
      <c r="RSR91" s="338"/>
      <c r="RSS91" s="338"/>
      <c r="RST91" s="338"/>
      <c r="RSU91" s="338"/>
      <c r="RSV91" s="338"/>
      <c r="RSW91" s="338"/>
      <c r="RSX91" s="338"/>
      <c r="RSY91" s="338"/>
      <c r="RSZ91" s="338"/>
      <c r="RTA91" s="338"/>
      <c r="RTB91" s="338"/>
      <c r="RTC91" s="338"/>
      <c r="RTD91" s="338"/>
      <c r="RTE91" s="338"/>
      <c r="RTF91" s="338"/>
      <c r="RTG91" s="338"/>
      <c r="RTH91" s="338"/>
      <c r="RTI91" s="338"/>
      <c r="RTJ91" s="338"/>
      <c r="RTK91" s="338"/>
      <c r="RTL91" s="338"/>
      <c r="RTM91" s="338"/>
      <c r="RTN91" s="338"/>
      <c r="RTO91" s="338"/>
      <c r="RTP91" s="338"/>
      <c r="RTQ91" s="338"/>
      <c r="RTR91" s="338"/>
      <c r="RTS91" s="338"/>
      <c r="RTT91" s="338"/>
      <c r="RTU91" s="338"/>
      <c r="RTV91" s="338"/>
      <c r="RTW91" s="338"/>
      <c r="RTX91" s="338"/>
      <c r="RTY91" s="338"/>
      <c r="RTZ91" s="338"/>
      <c r="RUA91" s="338"/>
      <c r="RUB91" s="338"/>
      <c r="RUC91" s="338"/>
      <c r="RUD91" s="338"/>
      <c r="RUE91" s="338"/>
      <c r="RUF91" s="338"/>
      <c r="RUG91" s="338"/>
      <c r="RUH91" s="338"/>
      <c r="RUI91" s="338"/>
      <c r="RUJ91" s="338"/>
      <c r="RUK91" s="338"/>
      <c r="RUL91" s="338"/>
      <c r="RUM91" s="338"/>
      <c r="RUN91" s="338"/>
      <c r="RUO91" s="338"/>
      <c r="RUP91" s="338"/>
      <c r="RUQ91" s="338"/>
      <c r="RUR91" s="338"/>
      <c r="RUS91" s="338"/>
      <c r="RUT91" s="338"/>
      <c r="RUU91" s="338"/>
      <c r="RUV91" s="338"/>
      <c r="RUW91" s="338"/>
      <c r="RUX91" s="338"/>
      <c r="RUY91" s="338"/>
      <c r="RUZ91" s="338"/>
      <c r="RVA91" s="338"/>
      <c r="RVB91" s="338"/>
      <c r="RVC91" s="338"/>
      <c r="RVD91" s="338"/>
      <c r="RVE91" s="338"/>
      <c r="RVF91" s="338"/>
      <c r="RVG91" s="338"/>
      <c r="RVH91" s="338"/>
      <c r="RVI91" s="338"/>
      <c r="RVJ91" s="338"/>
      <c r="RVK91" s="338"/>
      <c r="RVL91" s="338"/>
      <c r="RVM91" s="338"/>
      <c r="RVN91" s="338"/>
      <c r="RVO91" s="338"/>
      <c r="RVP91" s="338"/>
      <c r="RVQ91" s="338"/>
      <c r="RVR91" s="338"/>
      <c r="RVS91" s="338"/>
      <c r="RVT91" s="338"/>
      <c r="RVU91" s="338"/>
      <c r="RVV91" s="338"/>
      <c r="RVW91" s="338"/>
      <c r="RVX91" s="338"/>
      <c r="RVY91" s="338"/>
      <c r="RVZ91" s="338"/>
      <c r="RWA91" s="338"/>
      <c r="RWB91" s="338"/>
      <c r="RWC91" s="338"/>
      <c r="RWD91" s="338"/>
      <c r="RWE91" s="338"/>
      <c r="RWF91" s="338"/>
      <c r="RWG91" s="338"/>
      <c r="RWH91" s="338"/>
      <c r="RWI91" s="338"/>
      <c r="RWJ91" s="338"/>
      <c r="RWK91" s="338"/>
      <c r="RWL91" s="338"/>
      <c r="RWM91" s="338"/>
      <c r="RWN91" s="338"/>
      <c r="RWO91" s="338"/>
      <c r="RWP91" s="338"/>
      <c r="RWQ91" s="338"/>
      <c r="RWR91" s="338"/>
      <c r="RWS91" s="338"/>
      <c r="RWT91" s="338"/>
      <c r="RWU91" s="338"/>
      <c r="RWV91" s="338"/>
      <c r="RWW91" s="338"/>
      <c r="RWX91" s="338"/>
      <c r="RWY91" s="338"/>
      <c r="RWZ91" s="338"/>
      <c r="RXA91" s="338"/>
      <c r="RXB91" s="338"/>
      <c r="RXC91" s="338"/>
      <c r="RXD91" s="338"/>
      <c r="RXE91" s="338"/>
      <c r="RXF91" s="338"/>
      <c r="RXG91" s="338"/>
      <c r="RXH91" s="338"/>
      <c r="RXI91" s="338"/>
      <c r="RXJ91" s="338"/>
      <c r="RXK91" s="338"/>
      <c r="RXL91" s="338"/>
      <c r="RXM91" s="338"/>
      <c r="RXN91" s="338"/>
      <c r="RXO91" s="338"/>
      <c r="RXP91" s="338"/>
      <c r="RXQ91" s="338"/>
      <c r="RXR91" s="338"/>
      <c r="RXS91" s="338"/>
      <c r="RXT91" s="338"/>
      <c r="RXU91" s="338"/>
      <c r="RXV91" s="338"/>
      <c r="RXW91" s="338"/>
      <c r="RXX91" s="338"/>
      <c r="RXY91" s="338"/>
      <c r="RXZ91" s="338"/>
      <c r="RYA91" s="338"/>
      <c r="RYB91" s="338"/>
      <c r="RYC91" s="338"/>
      <c r="RYD91" s="338"/>
      <c r="RYE91" s="338"/>
      <c r="RYF91" s="338"/>
      <c r="RYG91" s="338"/>
      <c r="RYH91" s="338"/>
      <c r="RYI91" s="338"/>
      <c r="RYJ91" s="338"/>
      <c r="RYK91" s="338"/>
      <c r="RYL91" s="338"/>
      <c r="RYM91" s="338"/>
      <c r="RYN91" s="338"/>
      <c r="RYO91" s="338"/>
      <c r="RYP91" s="338"/>
      <c r="RYQ91" s="338"/>
      <c r="RYR91" s="338"/>
      <c r="RYS91" s="338"/>
      <c r="RYT91" s="338"/>
      <c r="RYU91" s="338"/>
      <c r="RYV91" s="338"/>
      <c r="RYW91" s="338"/>
      <c r="RYX91" s="338"/>
      <c r="RYY91" s="338"/>
      <c r="RYZ91" s="338"/>
      <c r="RZA91" s="338"/>
      <c r="RZB91" s="338"/>
      <c r="RZC91" s="338"/>
      <c r="RZD91" s="338"/>
      <c r="RZE91" s="338"/>
      <c r="RZF91" s="338"/>
      <c r="RZG91" s="338"/>
      <c r="RZH91" s="338"/>
      <c r="RZI91" s="338"/>
      <c r="RZJ91" s="338"/>
      <c r="RZK91" s="338"/>
      <c r="RZL91" s="338"/>
      <c r="RZM91" s="338"/>
      <c r="RZN91" s="338"/>
      <c r="RZO91" s="338"/>
      <c r="RZP91" s="338"/>
      <c r="RZQ91" s="338"/>
      <c r="RZR91" s="338"/>
      <c r="RZS91" s="338"/>
      <c r="RZT91" s="338"/>
      <c r="RZU91" s="338"/>
      <c r="RZV91" s="338"/>
      <c r="RZW91" s="338"/>
      <c r="RZX91" s="338"/>
      <c r="RZY91" s="338"/>
      <c r="RZZ91" s="338"/>
      <c r="SAA91" s="338"/>
      <c r="SAB91" s="338"/>
      <c r="SAC91" s="338"/>
      <c r="SAD91" s="338"/>
      <c r="SAE91" s="338"/>
      <c r="SAF91" s="338"/>
      <c r="SAG91" s="338"/>
      <c r="SAH91" s="338"/>
      <c r="SAI91" s="338"/>
      <c r="SAJ91" s="338"/>
      <c r="SAK91" s="338"/>
      <c r="SAL91" s="338"/>
      <c r="SAM91" s="338"/>
      <c r="SAN91" s="338"/>
      <c r="SAO91" s="338"/>
      <c r="SAP91" s="338"/>
      <c r="SAQ91" s="338"/>
      <c r="SAR91" s="338"/>
      <c r="SAS91" s="338"/>
      <c r="SAT91" s="338"/>
      <c r="SAU91" s="338"/>
      <c r="SAV91" s="338"/>
      <c r="SAW91" s="338"/>
      <c r="SAX91" s="338"/>
      <c r="SAY91" s="338"/>
      <c r="SAZ91" s="338"/>
      <c r="SBA91" s="338"/>
      <c r="SBB91" s="338"/>
      <c r="SBC91" s="338"/>
      <c r="SBD91" s="338"/>
      <c r="SBE91" s="338"/>
      <c r="SBF91" s="338"/>
      <c r="SBG91" s="338"/>
      <c r="SBH91" s="338"/>
      <c r="SBI91" s="338"/>
      <c r="SBJ91" s="338"/>
      <c r="SBK91" s="338"/>
      <c r="SBL91" s="338"/>
      <c r="SBM91" s="338"/>
      <c r="SBN91" s="338"/>
      <c r="SBO91" s="338"/>
      <c r="SBP91" s="338"/>
      <c r="SBQ91" s="338"/>
      <c r="SBR91" s="338"/>
      <c r="SBS91" s="338"/>
      <c r="SBT91" s="338"/>
      <c r="SBU91" s="338"/>
      <c r="SBV91" s="338"/>
      <c r="SBW91" s="338"/>
      <c r="SBX91" s="338"/>
      <c r="SBY91" s="338"/>
      <c r="SBZ91" s="338"/>
      <c r="SCA91" s="338"/>
      <c r="SCB91" s="338"/>
      <c r="SCC91" s="338"/>
      <c r="SCD91" s="338"/>
      <c r="SCE91" s="338"/>
      <c r="SCF91" s="338"/>
      <c r="SCG91" s="338"/>
      <c r="SCH91" s="338"/>
      <c r="SCI91" s="338"/>
      <c r="SCJ91" s="338"/>
      <c r="SCK91" s="338"/>
      <c r="SCL91" s="338"/>
      <c r="SCM91" s="338"/>
      <c r="SCN91" s="338"/>
      <c r="SCO91" s="338"/>
      <c r="SCP91" s="338"/>
      <c r="SCQ91" s="338"/>
      <c r="SCR91" s="338"/>
      <c r="SCS91" s="338"/>
      <c r="SCT91" s="338"/>
      <c r="SCU91" s="338"/>
      <c r="SCV91" s="338"/>
      <c r="SCW91" s="338"/>
      <c r="SCX91" s="338"/>
      <c r="SCY91" s="338"/>
      <c r="SCZ91" s="338"/>
      <c r="SDA91" s="338"/>
      <c r="SDB91" s="338"/>
      <c r="SDC91" s="338"/>
      <c r="SDD91" s="338"/>
      <c r="SDE91" s="338"/>
      <c r="SDF91" s="338"/>
      <c r="SDG91" s="338"/>
      <c r="SDH91" s="338"/>
      <c r="SDI91" s="338"/>
      <c r="SDJ91" s="338"/>
      <c r="SDK91" s="338"/>
      <c r="SDL91" s="338"/>
      <c r="SDM91" s="338"/>
      <c r="SDN91" s="338"/>
      <c r="SDO91" s="338"/>
      <c r="SDP91" s="338"/>
      <c r="SDQ91" s="338"/>
      <c r="SDR91" s="338"/>
      <c r="SDS91" s="338"/>
      <c r="SDT91" s="338"/>
      <c r="SDU91" s="338"/>
      <c r="SDV91" s="338"/>
      <c r="SDW91" s="338"/>
      <c r="SDX91" s="338"/>
      <c r="SDY91" s="338"/>
      <c r="SDZ91" s="338"/>
      <c r="SEA91" s="338"/>
      <c r="SEB91" s="338"/>
      <c r="SEC91" s="338"/>
      <c r="SED91" s="338"/>
      <c r="SEE91" s="338"/>
      <c r="SEF91" s="338"/>
      <c r="SEG91" s="338"/>
      <c r="SEH91" s="338"/>
      <c r="SEI91" s="338"/>
      <c r="SEJ91" s="338"/>
      <c r="SEK91" s="338"/>
      <c r="SEL91" s="338"/>
      <c r="SEM91" s="338"/>
      <c r="SEN91" s="338"/>
      <c r="SEO91" s="338"/>
      <c r="SEP91" s="338"/>
      <c r="SEQ91" s="338"/>
      <c r="SER91" s="338"/>
      <c r="SES91" s="338"/>
      <c r="SET91" s="338"/>
      <c r="SEU91" s="338"/>
      <c r="SEV91" s="338"/>
      <c r="SEW91" s="338"/>
      <c r="SEX91" s="338"/>
      <c r="SEY91" s="338"/>
      <c r="SEZ91" s="338"/>
      <c r="SFA91" s="338"/>
      <c r="SFB91" s="338"/>
      <c r="SFC91" s="338"/>
      <c r="SFD91" s="338"/>
      <c r="SFE91" s="338"/>
      <c r="SFF91" s="338"/>
      <c r="SFG91" s="338"/>
      <c r="SFH91" s="338"/>
      <c r="SFI91" s="338"/>
      <c r="SFJ91" s="338"/>
      <c r="SFK91" s="338"/>
      <c r="SFL91" s="338"/>
      <c r="SFM91" s="338"/>
      <c r="SFN91" s="338"/>
      <c r="SFO91" s="338"/>
      <c r="SFP91" s="338"/>
      <c r="SFQ91" s="338"/>
      <c r="SFR91" s="338"/>
      <c r="SFS91" s="338"/>
      <c r="SFT91" s="338"/>
      <c r="SFU91" s="338"/>
      <c r="SFV91" s="338"/>
      <c r="SFW91" s="338"/>
      <c r="SFX91" s="338"/>
      <c r="SFY91" s="338"/>
      <c r="SFZ91" s="338"/>
      <c r="SGA91" s="338"/>
      <c r="SGB91" s="338"/>
      <c r="SGC91" s="338"/>
      <c r="SGD91" s="338"/>
      <c r="SGE91" s="338"/>
      <c r="SGF91" s="338"/>
      <c r="SGG91" s="338"/>
      <c r="SGH91" s="338"/>
      <c r="SGI91" s="338"/>
      <c r="SGJ91" s="338"/>
      <c r="SGK91" s="338"/>
      <c r="SGL91" s="338"/>
      <c r="SGM91" s="338"/>
      <c r="SGN91" s="338"/>
      <c r="SGO91" s="338"/>
      <c r="SGP91" s="338"/>
      <c r="SGQ91" s="338"/>
      <c r="SGR91" s="338"/>
      <c r="SGS91" s="338"/>
      <c r="SGT91" s="338"/>
      <c r="SGU91" s="338"/>
      <c r="SGV91" s="338"/>
      <c r="SGW91" s="338"/>
      <c r="SGX91" s="338"/>
      <c r="SGY91" s="338"/>
      <c r="SGZ91" s="338"/>
      <c r="SHA91" s="338"/>
      <c r="SHB91" s="338"/>
      <c r="SHC91" s="338"/>
      <c r="SHD91" s="338"/>
      <c r="SHE91" s="338"/>
      <c r="SHF91" s="338"/>
      <c r="SHG91" s="338"/>
      <c r="SHH91" s="338"/>
      <c r="SHI91" s="338"/>
      <c r="SHJ91" s="338"/>
      <c r="SHK91" s="338"/>
      <c r="SHL91" s="338"/>
      <c r="SHM91" s="338"/>
      <c r="SHN91" s="338"/>
      <c r="SHO91" s="338"/>
      <c r="SHP91" s="338"/>
      <c r="SHQ91" s="338"/>
      <c r="SHR91" s="338"/>
      <c r="SHS91" s="338"/>
      <c r="SHT91" s="338"/>
      <c r="SHU91" s="338"/>
      <c r="SHV91" s="338"/>
      <c r="SHW91" s="338"/>
      <c r="SHX91" s="338"/>
      <c r="SHY91" s="338"/>
      <c r="SHZ91" s="338"/>
      <c r="SIA91" s="338"/>
      <c r="SIB91" s="338"/>
      <c r="SIC91" s="338"/>
      <c r="SID91" s="338"/>
      <c r="SIE91" s="338"/>
      <c r="SIF91" s="338"/>
      <c r="SIG91" s="338"/>
      <c r="SIH91" s="338"/>
      <c r="SII91" s="338"/>
      <c r="SIJ91" s="338"/>
      <c r="SIK91" s="338"/>
      <c r="SIL91" s="338"/>
      <c r="SIM91" s="338"/>
      <c r="SIN91" s="338"/>
      <c r="SIO91" s="338"/>
      <c r="SIP91" s="338"/>
      <c r="SIQ91" s="338"/>
      <c r="SIR91" s="338"/>
      <c r="SIS91" s="338"/>
      <c r="SIT91" s="338"/>
      <c r="SIU91" s="338"/>
      <c r="SIV91" s="338"/>
      <c r="SIW91" s="338"/>
      <c r="SIX91" s="338"/>
      <c r="SIY91" s="338"/>
      <c r="SIZ91" s="338"/>
      <c r="SJA91" s="338"/>
      <c r="SJB91" s="338"/>
      <c r="SJC91" s="338"/>
      <c r="SJD91" s="338"/>
      <c r="SJE91" s="338"/>
      <c r="SJF91" s="338"/>
      <c r="SJG91" s="338"/>
      <c r="SJH91" s="338"/>
      <c r="SJI91" s="338"/>
      <c r="SJJ91" s="338"/>
      <c r="SJK91" s="338"/>
      <c r="SJL91" s="338"/>
      <c r="SJM91" s="338"/>
      <c r="SJN91" s="338"/>
      <c r="SJO91" s="338"/>
      <c r="SJP91" s="338"/>
      <c r="SJQ91" s="338"/>
      <c r="SJR91" s="338"/>
      <c r="SJS91" s="338"/>
      <c r="SJT91" s="338"/>
      <c r="SJU91" s="338"/>
      <c r="SJV91" s="338"/>
      <c r="SJW91" s="338"/>
      <c r="SJX91" s="338"/>
      <c r="SJY91" s="338"/>
      <c r="SJZ91" s="338"/>
      <c r="SKA91" s="338"/>
      <c r="SKB91" s="338"/>
      <c r="SKC91" s="338"/>
      <c r="SKD91" s="338"/>
      <c r="SKE91" s="338"/>
      <c r="SKF91" s="338"/>
      <c r="SKG91" s="338"/>
      <c r="SKH91" s="338"/>
      <c r="SKI91" s="338"/>
      <c r="SKJ91" s="338"/>
      <c r="SKK91" s="338"/>
      <c r="SKL91" s="338"/>
      <c r="SKM91" s="338"/>
      <c r="SKN91" s="338"/>
      <c r="SKO91" s="338"/>
      <c r="SKP91" s="338"/>
      <c r="SKQ91" s="338"/>
      <c r="SKR91" s="338"/>
      <c r="SKS91" s="338"/>
      <c r="SKT91" s="338"/>
      <c r="SKU91" s="338"/>
      <c r="SKV91" s="338"/>
      <c r="SKW91" s="338"/>
      <c r="SKX91" s="338"/>
      <c r="SKY91" s="338"/>
      <c r="SKZ91" s="338"/>
      <c r="SLA91" s="338"/>
      <c r="SLB91" s="338"/>
      <c r="SLC91" s="338"/>
      <c r="SLD91" s="338"/>
      <c r="SLE91" s="338"/>
      <c r="SLF91" s="338"/>
      <c r="SLG91" s="338"/>
      <c r="SLH91" s="338"/>
      <c r="SLI91" s="338"/>
      <c r="SLJ91" s="338"/>
      <c r="SLK91" s="338"/>
      <c r="SLL91" s="338"/>
      <c r="SLM91" s="338"/>
      <c r="SLN91" s="338"/>
      <c r="SLO91" s="338"/>
      <c r="SLP91" s="338"/>
      <c r="SLQ91" s="338"/>
      <c r="SLR91" s="338"/>
      <c r="SLS91" s="338"/>
      <c r="SLT91" s="338"/>
      <c r="SLU91" s="338"/>
      <c r="SLV91" s="338"/>
      <c r="SLW91" s="338"/>
      <c r="SLX91" s="338"/>
      <c r="SLY91" s="338"/>
      <c r="SLZ91" s="338"/>
      <c r="SMA91" s="338"/>
      <c r="SMB91" s="338"/>
      <c r="SMC91" s="338"/>
      <c r="SMD91" s="338"/>
      <c r="SME91" s="338"/>
      <c r="SMF91" s="338"/>
      <c r="SMG91" s="338"/>
      <c r="SMH91" s="338"/>
      <c r="SMI91" s="338"/>
      <c r="SMJ91" s="338"/>
      <c r="SMK91" s="338"/>
      <c r="SML91" s="338"/>
      <c r="SMM91" s="338"/>
      <c r="SMN91" s="338"/>
      <c r="SMO91" s="338"/>
      <c r="SMP91" s="338"/>
      <c r="SMQ91" s="338"/>
      <c r="SMR91" s="338"/>
      <c r="SMS91" s="338"/>
      <c r="SMT91" s="338"/>
      <c r="SMU91" s="338"/>
      <c r="SMV91" s="338"/>
      <c r="SMW91" s="338"/>
      <c r="SMX91" s="338"/>
      <c r="SMY91" s="338"/>
      <c r="SMZ91" s="338"/>
      <c r="SNA91" s="338"/>
      <c r="SNB91" s="338"/>
      <c r="SNC91" s="338"/>
      <c r="SND91" s="338"/>
      <c r="SNE91" s="338"/>
      <c r="SNF91" s="338"/>
      <c r="SNG91" s="338"/>
      <c r="SNH91" s="338"/>
      <c r="SNI91" s="338"/>
      <c r="SNJ91" s="338"/>
      <c r="SNK91" s="338"/>
      <c r="SNL91" s="338"/>
      <c r="SNM91" s="338"/>
      <c r="SNN91" s="338"/>
      <c r="SNO91" s="338"/>
      <c r="SNP91" s="338"/>
      <c r="SNQ91" s="338"/>
      <c r="SNR91" s="338"/>
      <c r="SNS91" s="338"/>
      <c r="SNT91" s="338"/>
      <c r="SNU91" s="338"/>
      <c r="SNV91" s="338"/>
      <c r="SNW91" s="338"/>
      <c r="SNX91" s="338"/>
      <c r="SNY91" s="338"/>
      <c r="SNZ91" s="338"/>
      <c r="SOA91" s="338"/>
      <c r="SOB91" s="338"/>
      <c r="SOC91" s="338"/>
      <c r="SOD91" s="338"/>
      <c r="SOE91" s="338"/>
      <c r="SOF91" s="338"/>
      <c r="SOG91" s="338"/>
      <c r="SOH91" s="338"/>
      <c r="SOI91" s="338"/>
      <c r="SOJ91" s="338"/>
      <c r="SOK91" s="338"/>
      <c r="SOL91" s="338"/>
      <c r="SOM91" s="338"/>
      <c r="SON91" s="338"/>
      <c r="SOO91" s="338"/>
      <c r="SOP91" s="338"/>
      <c r="SOQ91" s="338"/>
      <c r="SOR91" s="338"/>
      <c r="SOS91" s="338"/>
      <c r="SOT91" s="338"/>
      <c r="SOU91" s="338"/>
      <c r="SOV91" s="338"/>
      <c r="SOW91" s="338"/>
      <c r="SOX91" s="338"/>
      <c r="SOY91" s="338"/>
      <c r="SOZ91" s="338"/>
      <c r="SPA91" s="338"/>
      <c r="SPB91" s="338"/>
      <c r="SPC91" s="338"/>
      <c r="SPD91" s="338"/>
      <c r="SPE91" s="338"/>
      <c r="SPF91" s="338"/>
      <c r="SPG91" s="338"/>
      <c r="SPH91" s="338"/>
      <c r="SPI91" s="338"/>
      <c r="SPJ91" s="338"/>
      <c r="SPK91" s="338"/>
      <c r="SPL91" s="338"/>
      <c r="SPM91" s="338"/>
      <c r="SPN91" s="338"/>
      <c r="SPO91" s="338"/>
      <c r="SPP91" s="338"/>
      <c r="SPQ91" s="338"/>
      <c r="SPR91" s="338"/>
      <c r="SPS91" s="338"/>
      <c r="SPT91" s="338"/>
      <c r="SPU91" s="338"/>
      <c r="SPV91" s="338"/>
      <c r="SPW91" s="338"/>
      <c r="SPX91" s="338"/>
      <c r="SPY91" s="338"/>
      <c r="SPZ91" s="338"/>
      <c r="SQA91" s="338"/>
      <c r="SQB91" s="338"/>
      <c r="SQC91" s="338"/>
      <c r="SQD91" s="338"/>
      <c r="SQE91" s="338"/>
      <c r="SQF91" s="338"/>
      <c r="SQG91" s="338"/>
      <c r="SQH91" s="338"/>
      <c r="SQI91" s="338"/>
      <c r="SQJ91" s="338"/>
      <c r="SQK91" s="338"/>
      <c r="SQL91" s="338"/>
      <c r="SQM91" s="338"/>
      <c r="SQN91" s="338"/>
      <c r="SQO91" s="338"/>
      <c r="SQP91" s="338"/>
      <c r="SQQ91" s="338"/>
      <c r="SQR91" s="338"/>
      <c r="SQS91" s="338"/>
      <c r="SQT91" s="338"/>
      <c r="SQU91" s="338"/>
      <c r="SQV91" s="338"/>
      <c r="SQW91" s="338"/>
      <c r="SQX91" s="338"/>
      <c r="SQY91" s="338"/>
      <c r="SQZ91" s="338"/>
      <c r="SRA91" s="338"/>
      <c r="SRB91" s="338"/>
      <c r="SRC91" s="338"/>
      <c r="SRD91" s="338"/>
      <c r="SRE91" s="338"/>
      <c r="SRF91" s="338"/>
      <c r="SRG91" s="338"/>
      <c r="SRH91" s="338"/>
      <c r="SRI91" s="338"/>
      <c r="SRJ91" s="338"/>
      <c r="SRK91" s="338"/>
      <c r="SRL91" s="338"/>
      <c r="SRM91" s="338"/>
      <c r="SRN91" s="338"/>
      <c r="SRO91" s="338"/>
      <c r="SRP91" s="338"/>
      <c r="SRQ91" s="338"/>
      <c r="SRR91" s="338"/>
      <c r="SRS91" s="338"/>
      <c r="SRT91" s="338"/>
      <c r="SRU91" s="338"/>
      <c r="SRV91" s="338"/>
      <c r="SRW91" s="338"/>
      <c r="SRX91" s="338"/>
      <c r="SRY91" s="338"/>
      <c r="SRZ91" s="338"/>
      <c r="SSA91" s="338"/>
      <c r="SSB91" s="338"/>
      <c r="SSC91" s="338"/>
      <c r="SSD91" s="338"/>
      <c r="SSE91" s="338"/>
      <c r="SSF91" s="338"/>
      <c r="SSG91" s="338"/>
      <c r="SSH91" s="338"/>
      <c r="SSI91" s="338"/>
      <c r="SSJ91" s="338"/>
      <c r="SSK91" s="338"/>
      <c r="SSL91" s="338"/>
      <c r="SSM91" s="338"/>
      <c r="SSN91" s="338"/>
      <c r="SSO91" s="338"/>
      <c r="SSP91" s="338"/>
      <c r="SSQ91" s="338"/>
      <c r="SSR91" s="338"/>
      <c r="SSS91" s="338"/>
      <c r="SST91" s="338"/>
      <c r="SSU91" s="338"/>
      <c r="SSV91" s="338"/>
      <c r="SSW91" s="338"/>
      <c r="SSX91" s="338"/>
      <c r="SSY91" s="338"/>
      <c r="SSZ91" s="338"/>
      <c r="STA91" s="338"/>
      <c r="STB91" s="338"/>
      <c r="STC91" s="338"/>
      <c r="STD91" s="338"/>
      <c r="STE91" s="338"/>
      <c r="STF91" s="338"/>
      <c r="STG91" s="338"/>
      <c r="STH91" s="338"/>
      <c r="STI91" s="338"/>
      <c r="STJ91" s="338"/>
      <c r="STK91" s="338"/>
      <c r="STL91" s="338"/>
      <c r="STM91" s="338"/>
      <c r="STN91" s="338"/>
      <c r="STO91" s="338"/>
      <c r="STP91" s="338"/>
      <c r="STQ91" s="338"/>
      <c r="STR91" s="338"/>
      <c r="STS91" s="338"/>
      <c r="STT91" s="338"/>
      <c r="STU91" s="338"/>
      <c r="STV91" s="338"/>
      <c r="STW91" s="338"/>
      <c r="STX91" s="338"/>
      <c r="STY91" s="338"/>
      <c r="STZ91" s="338"/>
      <c r="SUA91" s="338"/>
      <c r="SUB91" s="338"/>
      <c r="SUC91" s="338"/>
      <c r="SUD91" s="338"/>
      <c r="SUE91" s="338"/>
      <c r="SUF91" s="338"/>
      <c r="SUG91" s="338"/>
      <c r="SUH91" s="338"/>
      <c r="SUI91" s="338"/>
      <c r="SUJ91" s="338"/>
      <c r="SUK91" s="338"/>
      <c r="SUL91" s="338"/>
      <c r="SUM91" s="338"/>
      <c r="SUN91" s="338"/>
      <c r="SUO91" s="338"/>
      <c r="SUP91" s="338"/>
      <c r="SUQ91" s="338"/>
      <c r="SUR91" s="338"/>
      <c r="SUS91" s="338"/>
      <c r="SUT91" s="338"/>
      <c r="SUU91" s="338"/>
      <c r="SUV91" s="338"/>
      <c r="SUW91" s="338"/>
      <c r="SUX91" s="338"/>
      <c r="SUY91" s="338"/>
      <c r="SUZ91" s="338"/>
      <c r="SVA91" s="338"/>
      <c r="SVB91" s="338"/>
      <c r="SVC91" s="338"/>
      <c r="SVD91" s="338"/>
      <c r="SVE91" s="338"/>
      <c r="SVF91" s="338"/>
      <c r="SVG91" s="338"/>
      <c r="SVH91" s="338"/>
      <c r="SVI91" s="338"/>
      <c r="SVJ91" s="338"/>
      <c r="SVK91" s="338"/>
      <c r="SVL91" s="338"/>
      <c r="SVM91" s="338"/>
      <c r="SVN91" s="338"/>
      <c r="SVO91" s="338"/>
      <c r="SVP91" s="338"/>
      <c r="SVQ91" s="338"/>
      <c r="SVR91" s="338"/>
      <c r="SVS91" s="338"/>
      <c r="SVT91" s="338"/>
      <c r="SVU91" s="338"/>
      <c r="SVV91" s="338"/>
      <c r="SVW91" s="338"/>
      <c r="SVX91" s="338"/>
      <c r="SVY91" s="338"/>
      <c r="SVZ91" s="338"/>
      <c r="SWA91" s="338"/>
      <c r="SWB91" s="338"/>
      <c r="SWC91" s="338"/>
      <c r="SWD91" s="338"/>
      <c r="SWE91" s="338"/>
      <c r="SWF91" s="338"/>
      <c r="SWG91" s="338"/>
      <c r="SWH91" s="338"/>
      <c r="SWI91" s="338"/>
      <c r="SWJ91" s="338"/>
      <c r="SWK91" s="338"/>
      <c r="SWL91" s="338"/>
      <c r="SWM91" s="338"/>
      <c r="SWN91" s="338"/>
      <c r="SWO91" s="338"/>
      <c r="SWP91" s="338"/>
      <c r="SWQ91" s="338"/>
      <c r="SWR91" s="338"/>
      <c r="SWS91" s="338"/>
      <c r="SWT91" s="338"/>
      <c r="SWU91" s="338"/>
      <c r="SWV91" s="338"/>
      <c r="SWW91" s="338"/>
      <c r="SWX91" s="338"/>
      <c r="SWY91" s="338"/>
      <c r="SWZ91" s="338"/>
      <c r="SXA91" s="338"/>
      <c r="SXB91" s="338"/>
      <c r="SXC91" s="338"/>
      <c r="SXD91" s="338"/>
      <c r="SXE91" s="338"/>
      <c r="SXF91" s="338"/>
      <c r="SXG91" s="338"/>
      <c r="SXH91" s="338"/>
      <c r="SXI91" s="338"/>
      <c r="SXJ91" s="338"/>
      <c r="SXK91" s="338"/>
      <c r="SXL91" s="338"/>
      <c r="SXM91" s="338"/>
      <c r="SXN91" s="338"/>
      <c r="SXO91" s="338"/>
      <c r="SXP91" s="338"/>
      <c r="SXQ91" s="338"/>
      <c r="SXR91" s="338"/>
      <c r="SXS91" s="338"/>
      <c r="SXT91" s="338"/>
      <c r="SXU91" s="338"/>
      <c r="SXV91" s="338"/>
      <c r="SXW91" s="338"/>
      <c r="SXX91" s="338"/>
      <c r="SXY91" s="338"/>
      <c r="SXZ91" s="338"/>
      <c r="SYA91" s="338"/>
      <c r="SYB91" s="338"/>
      <c r="SYC91" s="338"/>
      <c r="SYD91" s="338"/>
      <c r="SYE91" s="338"/>
      <c r="SYF91" s="338"/>
      <c r="SYG91" s="338"/>
      <c r="SYH91" s="338"/>
      <c r="SYI91" s="338"/>
      <c r="SYJ91" s="338"/>
      <c r="SYK91" s="338"/>
      <c r="SYL91" s="338"/>
      <c r="SYM91" s="338"/>
      <c r="SYN91" s="338"/>
      <c r="SYO91" s="338"/>
      <c r="SYP91" s="338"/>
      <c r="SYQ91" s="338"/>
      <c r="SYR91" s="338"/>
      <c r="SYS91" s="338"/>
      <c r="SYT91" s="338"/>
      <c r="SYU91" s="338"/>
      <c r="SYV91" s="338"/>
      <c r="SYW91" s="338"/>
      <c r="SYX91" s="338"/>
      <c r="SYY91" s="338"/>
      <c r="SYZ91" s="338"/>
      <c r="SZA91" s="338"/>
      <c r="SZB91" s="338"/>
      <c r="SZC91" s="338"/>
      <c r="SZD91" s="338"/>
      <c r="SZE91" s="338"/>
      <c r="SZF91" s="338"/>
      <c r="SZG91" s="338"/>
      <c r="SZH91" s="338"/>
      <c r="SZI91" s="338"/>
      <c r="SZJ91" s="338"/>
      <c r="SZK91" s="338"/>
      <c r="SZL91" s="338"/>
      <c r="SZM91" s="338"/>
      <c r="SZN91" s="338"/>
      <c r="SZO91" s="338"/>
      <c r="SZP91" s="338"/>
      <c r="SZQ91" s="338"/>
      <c r="SZR91" s="338"/>
      <c r="SZS91" s="338"/>
      <c r="SZT91" s="338"/>
      <c r="SZU91" s="338"/>
      <c r="SZV91" s="338"/>
      <c r="SZW91" s="338"/>
      <c r="SZX91" s="338"/>
      <c r="SZY91" s="338"/>
      <c r="SZZ91" s="338"/>
      <c r="TAA91" s="338"/>
      <c r="TAB91" s="338"/>
      <c r="TAC91" s="338"/>
      <c r="TAD91" s="338"/>
      <c r="TAE91" s="338"/>
      <c r="TAF91" s="338"/>
      <c r="TAG91" s="338"/>
      <c r="TAH91" s="338"/>
      <c r="TAI91" s="338"/>
      <c r="TAJ91" s="338"/>
      <c r="TAK91" s="338"/>
      <c r="TAL91" s="338"/>
      <c r="TAM91" s="338"/>
      <c r="TAN91" s="338"/>
      <c r="TAO91" s="338"/>
      <c r="TAP91" s="338"/>
      <c r="TAQ91" s="338"/>
      <c r="TAR91" s="338"/>
      <c r="TAS91" s="338"/>
      <c r="TAT91" s="338"/>
      <c r="TAU91" s="338"/>
      <c r="TAV91" s="338"/>
      <c r="TAW91" s="338"/>
      <c r="TAX91" s="338"/>
      <c r="TAY91" s="338"/>
      <c r="TAZ91" s="338"/>
      <c r="TBA91" s="338"/>
      <c r="TBB91" s="338"/>
      <c r="TBC91" s="338"/>
      <c r="TBD91" s="338"/>
      <c r="TBE91" s="338"/>
      <c r="TBF91" s="338"/>
      <c r="TBG91" s="338"/>
      <c r="TBH91" s="338"/>
      <c r="TBI91" s="338"/>
      <c r="TBJ91" s="338"/>
      <c r="TBK91" s="338"/>
      <c r="TBL91" s="338"/>
      <c r="TBM91" s="338"/>
      <c r="TBN91" s="338"/>
      <c r="TBO91" s="338"/>
      <c r="TBP91" s="338"/>
      <c r="TBQ91" s="338"/>
      <c r="TBR91" s="338"/>
      <c r="TBS91" s="338"/>
      <c r="TBT91" s="338"/>
      <c r="TBU91" s="338"/>
      <c r="TBV91" s="338"/>
      <c r="TBW91" s="338"/>
      <c r="TBX91" s="338"/>
      <c r="TBY91" s="338"/>
      <c r="TBZ91" s="338"/>
      <c r="TCA91" s="338"/>
      <c r="TCB91" s="338"/>
      <c r="TCC91" s="338"/>
      <c r="TCD91" s="338"/>
      <c r="TCE91" s="338"/>
      <c r="TCF91" s="338"/>
      <c r="TCG91" s="338"/>
      <c r="TCH91" s="338"/>
      <c r="TCI91" s="338"/>
      <c r="TCJ91" s="338"/>
      <c r="TCK91" s="338"/>
      <c r="TCL91" s="338"/>
      <c r="TCM91" s="338"/>
      <c r="TCN91" s="338"/>
      <c r="TCO91" s="338"/>
      <c r="TCP91" s="338"/>
      <c r="TCQ91" s="338"/>
      <c r="TCR91" s="338"/>
      <c r="TCS91" s="338"/>
      <c r="TCT91" s="338"/>
      <c r="TCU91" s="338"/>
      <c r="TCV91" s="338"/>
      <c r="TCW91" s="338"/>
      <c r="TCX91" s="338"/>
      <c r="TCY91" s="338"/>
      <c r="TCZ91" s="338"/>
      <c r="TDA91" s="338"/>
      <c r="TDB91" s="338"/>
      <c r="TDC91" s="338"/>
      <c r="TDD91" s="338"/>
      <c r="TDE91" s="338"/>
      <c r="TDF91" s="338"/>
      <c r="TDG91" s="338"/>
      <c r="TDH91" s="338"/>
      <c r="TDI91" s="338"/>
      <c r="TDJ91" s="338"/>
      <c r="TDK91" s="338"/>
      <c r="TDL91" s="338"/>
      <c r="TDM91" s="338"/>
      <c r="TDN91" s="338"/>
      <c r="TDO91" s="338"/>
      <c r="TDP91" s="338"/>
      <c r="TDQ91" s="338"/>
      <c r="TDR91" s="338"/>
      <c r="TDS91" s="338"/>
      <c r="TDT91" s="338"/>
      <c r="TDU91" s="338"/>
      <c r="TDV91" s="338"/>
      <c r="TDW91" s="338"/>
      <c r="TDX91" s="338"/>
      <c r="TDY91" s="338"/>
      <c r="TDZ91" s="338"/>
      <c r="TEA91" s="338"/>
      <c r="TEB91" s="338"/>
      <c r="TEC91" s="338"/>
      <c r="TED91" s="338"/>
      <c r="TEE91" s="338"/>
      <c r="TEF91" s="338"/>
      <c r="TEG91" s="338"/>
      <c r="TEH91" s="338"/>
      <c r="TEI91" s="338"/>
      <c r="TEJ91" s="338"/>
      <c r="TEK91" s="338"/>
      <c r="TEL91" s="338"/>
      <c r="TEM91" s="338"/>
      <c r="TEN91" s="338"/>
      <c r="TEO91" s="338"/>
      <c r="TEP91" s="338"/>
      <c r="TEQ91" s="338"/>
      <c r="TER91" s="338"/>
      <c r="TES91" s="338"/>
      <c r="TET91" s="338"/>
      <c r="TEU91" s="338"/>
      <c r="TEV91" s="338"/>
      <c r="TEW91" s="338"/>
      <c r="TEX91" s="338"/>
      <c r="TEY91" s="338"/>
      <c r="TEZ91" s="338"/>
      <c r="TFA91" s="338"/>
      <c r="TFB91" s="338"/>
      <c r="TFC91" s="338"/>
      <c r="TFD91" s="338"/>
      <c r="TFE91" s="338"/>
      <c r="TFF91" s="338"/>
      <c r="TFG91" s="338"/>
      <c r="TFH91" s="338"/>
      <c r="TFI91" s="338"/>
      <c r="TFJ91" s="338"/>
      <c r="TFK91" s="338"/>
      <c r="TFL91" s="338"/>
      <c r="TFM91" s="338"/>
      <c r="TFN91" s="338"/>
      <c r="TFO91" s="338"/>
      <c r="TFP91" s="338"/>
      <c r="TFQ91" s="338"/>
      <c r="TFR91" s="338"/>
      <c r="TFS91" s="338"/>
      <c r="TFT91" s="338"/>
      <c r="TFU91" s="338"/>
      <c r="TFV91" s="338"/>
      <c r="TFW91" s="338"/>
      <c r="TFX91" s="338"/>
      <c r="TFY91" s="338"/>
      <c r="TFZ91" s="338"/>
      <c r="TGA91" s="338"/>
      <c r="TGB91" s="338"/>
      <c r="TGC91" s="338"/>
      <c r="TGD91" s="338"/>
      <c r="TGE91" s="338"/>
      <c r="TGF91" s="338"/>
      <c r="TGG91" s="338"/>
      <c r="TGH91" s="338"/>
      <c r="TGI91" s="338"/>
      <c r="TGJ91" s="338"/>
      <c r="TGK91" s="338"/>
      <c r="TGL91" s="338"/>
      <c r="TGM91" s="338"/>
      <c r="TGN91" s="338"/>
      <c r="TGO91" s="338"/>
      <c r="TGP91" s="338"/>
      <c r="TGQ91" s="338"/>
      <c r="TGR91" s="338"/>
      <c r="TGS91" s="338"/>
      <c r="TGT91" s="338"/>
      <c r="TGU91" s="338"/>
      <c r="TGV91" s="338"/>
      <c r="TGW91" s="338"/>
      <c r="TGX91" s="338"/>
      <c r="TGY91" s="338"/>
      <c r="TGZ91" s="338"/>
      <c r="THA91" s="338"/>
      <c r="THB91" s="338"/>
      <c r="THC91" s="338"/>
      <c r="THD91" s="338"/>
      <c r="THE91" s="338"/>
      <c r="THF91" s="338"/>
      <c r="THG91" s="338"/>
      <c r="THH91" s="338"/>
      <c r="THI91" s="338"/>
      <c r="THJ91" s="338"/>
      <c r="THK91" s="338"/>
      <c r="THL91" s="338"/>
      <c r="THM91" s="338"/>
      <c r="THN91" s="338"/>
      <c r="THO91" s="338"/>
      <c r="THP91" s="338"/>
      <c r="THQ91" s="338"/>
      <c r="THR91" s="338"/>
      <c r="THS91" s="338"/>
      <c r="THT91" s="338"/>
      <c r="THU91" s="338"/>
      <c r="THV91" s="338"/>
      <c r="THW91" s="338"/>
      <c r="THX91" s="338"/>
      <c r="THY91" s="338"/>
      <c r="THZ91" s="338"/>
      <c r="TIA91" s="338"/>
      <c r="TIB91" s="338"/>
      <c r="TIC91" s="338"/>
      <c r="TID91" s="338"/>
      <c r="TIE91" s="338"/>
      <c r="TIF91" s="338"/>
      <c r="TIG91" s="338"/>
      <c r="TIH91" s="338"/>
      <c r="TII91" s="338"/>
      <c r="TIJ91" s="338"/>
      <c r="TIK91" s="338"/>
      <c r="TIL91" s="338"/>
      <c r="TIM91" s="338"/>
      <c r="TIN91" s="338"/>
      <c r="TIO91" s="338"/>
      <c r="TIP91" s="338"/>
      <c r="TIQ91" s="338"/>
      <c r="TIR91" s="338"/>
      <c r="TIS91" s="338"/>
      <c r="TIT91" s="338"/>
      <c r="TIU91" s="338"/>
      <c r="TIV91" s="338"/>
      <c r="TIW91" s="338"/>
      <c r="TIX91" s="338"/>
      <c r="TIY91" s="338"/>
      <c r="TIZ91" s="338"/>
      <c r="TJA91" s="338"/>
      <c r="TJB91" s="338"/>
      <c r="TJC91" s="338"/>
      <c r="TJD91" s="338"/>
      <c r="TJE91" s="338"/>
      <c r="TJF91" s="338"/>
      <c r="TJG91" s="338"/>
      <c r="TJH91" s="338"/>
      <c r="TJI91" s="338"/>
      <c r="TJJ91" s="338"/>
      <c r="TJK91" s="338"/>
      <c r="TJL91" s="338"/>
      <c r="TJM91" s="338"/>
      <c r="TJN91" s="338"/>
      <c r="TJO91" s="338"/>
      <c r="TJP91" s="338"/>
      <c r="TJQ91" s="338"/>
      <c r="TJR91" s="338"/>
      <c r="TJS91" s="338"/>
      <c r="TJT91" s="338"/>
      <c r="TJU91" s="338"/>
      <c r="TJV91" s="338"/>
      <c r="TJW91" s="338"/>
      <c r="TJX91" s="338"/>
      <c r="TJY91" s="338"/>
      <c r="TJZ91" s="338"/>
      <c r="TKA91" s="338"/>
      <c r="TKB91" s="338"/>
      <c r="TKC91" s="338"/>
      <c r="TKD91" s="338"/>
      <c r="TKE91" s="338"/>
      <c r="TKF91" s="338"/>
      <c r="TKG91" s="338"/>
      <c r="TKH91" s="338"/>
      <c r="TKI91" s="338"/>
      <c r="TKJ91" s="338"/>
      <c r="TKK91" s="338"/>
      <c r="TKL91" s="338"/>
      <c r="TKM91" s="338"/>
      <c r="TKN91" s="338"/>
      <c r="TKO91" s="338"/>
      <c r="TKP91" s="338"/>
      <c r="TKQ91" s="338"/>
      <c r="TKR91" s="338"/>
      <c r="TKS91" s="338"/>
      <c r="TKT91" s="338"/>
      <c r="TKU91" s="338"/>
      <c r="TKV91" s="338"/>
      <c r="TKW91" s="338"/>
      <c r="TKX91" s="338"/>
      <c r="TKY91" s="338"/>
      <c r="TKZ91" s="338"/>
      <c r="TLA91" s="338"/>
      <c r="TLB91" s="338"/>
      <c r="TLC91" s="338"/>
      <c r="TLD91" s="338"/>
      <c r="TLE91" s="338"/>
      <c r="TLF91" s="338"/>
      <c r="TLG91" s="338"/>
      <c r="TLH91" s="338"/>
      <c r="TLI91" s="338"/>
      <c r="TLJ91" s="338"/>
      <c r="TLK91" s="338"/>
      <c r="TLL91" s="338"/>
      <c r="TLM91" s="338"/>
      <c r="TLN91" s="338"/>
      <c r="TLO91" s="338"/>
      <c r="TLP91" s="338"/>
      <c r="TLQ91" s="338"/>
      <c r="TLR91" s="338"/>
      <c r="TLS91" s="338"/>
      <c r="TLT91" s="338"/>
      <c r="TLU91" s="338"/>
      <c r="TLV91" s="338"/>
      <c r="TLW91" s="338"/>
      <c r="TLX91" s="338"/>
      <c r="TLY91" s="338"/>
      <c r="TLZ91" s="338"/>
      <c r="TMA91" s="338"/>
      <c r="TMB91" s="338"/>
      <c r="TMC91" s="338"/>
      <c r="TMD91" s="338"/>
      <c r="TME91" s="338"/>
      <c r="TMF91" s="338"/>
      <c r="TMG91" s="338"/>
      <c r="TMH91" s="338"/>
      <c r="TMI91" s="338"/>
      <c r="TMJ91" s="338"/>
      <c r="TMK91" s="338"/>
      <c r="TML91" s="338"/>
      <c r="TMM91" s="338"/>
      <c r="TMN91" s="338"/>
      <c r="TMO91" s="338"/>
      <c r="TMP91" s="338"/>
      <c r="TMQ91" s="338"/>
      <c r="TMR91" s="338"/>
      <c r="TMS91" s="338"/>
      <c r="TMT91" s="338"/>
      <c r="TMU91" s="338"/>
      <c r="TMV91" s="338"/>
      <c r="TMW91" s="338"/>
      <c r="TMX91" s="338"/>
      <c r="TMY91" s="338"/>
      <c r="TMZ91" s="338"/>
      <c r="TNA91" s="338"/>
      <c r="TNB91" s="338"/>
      <c r="TNC91" s="338"/>
      <c r="TND91" s="338"/>
      <c r="TNE91" s="338"/>
      <c r="TNF91" s="338"/>
      <c r="TNG91" s="338"/>
      <c r="TNH91" s="338"/>
      <c r="TNI91" s="338"/>
      <c r="TNJ91" s="338"/>
      <c r="TNK91" s="338"/>
      <c r="TNL91" s="338"/>
      <c r="TNM91" s="338"/>
      <c r="TNN91" s="338"/>
      <c r="TNO91" s="338"/>
      <c r="TNP91" s="338"/>
      <c r="TNQ91" s="338"/>
      <c r="TNR91" s="338"/>
      <c r="TNS91" s="338"/>
      <c r="TNT91" s="338"/>
      <c r="TNU91" s="338"/>
      <c r="TNV91" s="338"/>
      <c r="TNW91" s="338"/>
      <c r="TNX91" s="338"/>
      <c r="TNY91" s="338"/>
      <c r="TNZ91" s="338"/>
      <c r="TOA91" s="338"/>
      <c r="TOB91" s="338"/>
      <c r="TOC91" s="338"/>
      <c r="TOD91" s="338"/>
      <c r="TOE91" s="338"/>
      <c r="TOF91" s="338"/>
      <c r="TOG91" s="338"/>
      <c r="TOH91" s="338"/>
      <c r="TOI91" s="338"/>
      <c r="TOJ91" s="338"/>
      <c r="TOK91" s="338"/>
      <c r="TOL91" s="338"/>
      <c r="TOM91" s="338"/>
      <c r="TON91" s="338"/>
      <c r="TOO91" s="338"/>
      <c r="TOP91" s="338"/>
      <c r="TOQ91" s="338"/>
      <c r="TOR91" s="338"/>
      <c r="TOS91" s="338"/>
      <c r="TOT91" s="338"/>
      <c r="TOU91" s="338"/>
      <c r="TOV91" s="338"/>
      <c r="TOW91" s="338"/>
      <c r="TOX91" s="338"/>
      <c r="TOY91" s="338"/>
      <c r="TOZ91" s="338"/>
      <c r="TPA91" s="338"/>
      <c r="TPB91" s="338"/>
      <c r="TPC91" s="338"/>
      <c r="TPD91" s="338"/>
      <c r="TPE91" s="338"/>
      <c r="TPF91" s="338"/>
      <c r="TPG91" s="338"/>
      <c r="TPH91" s="338"/>
      <c r="TPI91" s="338"/>
      <c r="TPJ91" s="338"/>
      <c r="TPK91" s="338"/>
      <c r="TPL91" s="338"/>
      <c r="TPM91" s="338"/>
      <c r="TPN91" s="338"/>
      <c r="TPO91" s="338"/>
      <c r="TPP91" s="338"/>
      <c r="TPQ91" s="338"/>
      <c r="TPR91" s="338"/>
      <c r="TPS91" s="338"/>
      <c r="TPT91" s="338"/>
      <c r="TPU91" s="338"/>
      <c r="TPV91" s="338"/>
      <c r="TPW91" s="338"/>
      <c r="TPX91" s="338"/>
      <c r="TPY91" s="338"/>
      <c r="TPZ91" s="338"/>
      <c r="TQA91" s="338"/>
      <c r="TQB91" s="338"/>
      <c r="TQC91" s="338"/>
      <c r="TQD91" s="338"/>
      <c r="TQE91" s="338"/>
      <c r="TQF91" s="338"/>
      <c r="TQG91" s="338"/>
      <c r="TQH91" s="338"/>
      <c r="TQI91" s="338"/>
      <c r="TQJ91" s="338"/>
      <c r="TQK91" s="338"/>
      <c r="TQL91" s="338"/>
      <c r="TQM91" s="338"/>
      <c r="TQN91" s="338"/>
      <c r="TQO91" s="338"/>
      <c r="TQP91" s="338"/>
      <c r="TQQ91" s="338"/>
      <c r="TQR91" s="338"/>
      <c r="TQS91" s="338"/>
      <c r="TQT91" s="338"/>
      <c r="TQU91" s="338"/>
      <c r="TQV91" s="338"/>
      <c r="TQW91" s="338"/>
      <c r="TQX91" s="338"/>
      <c r="TQY91" s="338"/>
      <c r="TQZ91" s="338"/>
      <c r="TRA91" s="338"/>
      <c r="TRB91" s="338"/>
      <c r="TRC91" s="338"/>
      <c r="TRD91" s="338"/>
      <c r="TRE91" s="338"/>
      <c r="TRF91" s="338"/>
      <c r="TRG91" s="338"/>
      <c r="TRH91" s="338"/>
      <c r="TRI91" s="338"/>
      <c r="TRJ91" s="338"/>
      <c r="TRK91" s="338"/>
      <c r="TRL91" s="338"/>
      <c r="TRM91" s="338"/>
      <c r="TRN91" s="338"/>
      <c r="TRO91" s="338"/>
      <c r="TRP91" s="338"/>
      <c r="TRQ91" s="338"/>
      <c r="TRR91" s="338"/>
      <c r="TRS91" s="338"/>
      <c r="TRT91" s="338"/>
      <c r="TRU91" s="338"/>
      <c r="TRV91" s="338"/>
      <c r="TRW91" s="338"/>
      <c r="TRX91" s="338"/>
      <c r="TRY91" s="338"/>
      <c r="TRZ91" s="338"/>
      <c r="TSA91" s="338"/>
      <c r="TSB91" s="338"/>
      <c r="TSC91" s="338"/>
      <c r="TSD91" s="338"/>
      <c r="TSE91" s="338"/>
      <c r="TSF91" s="338"/>
      <c r="TSG91" s="338"/>
      <c r="TSH91" s="338"/>
      <c r="TSI91" s="338"/>
      <c r="TSJ91" s="338"/>
      <c r="TSK91" s="338"/>
      <c r="TSL91" s="338"/>
      <c r="TSM91" s="338"/>
      <c r="TSN91" s="338"/>
      <c r="TSO91" s="338"/>
      <c r="TSP91" s="338"/>
      <c r="TSQ91" s="338"/>
      <c r="TSR91" s="338"/>
      <c r="TSS91" s="338"/>
      <c r="TST91" s="338"/>
      <c r="TSU91" s="338"/>
      <c r="TSV91" s="338"/>
      <c r="TSW91" s="338"/>
      <c r="TSX91" s="338"/>
      <c r="TSY91" s="338"/>
      <c r="TSZ91" s="338"/>
      <c r="TTA91" s="338"/>
      <c r="TTB91" s="338"/>
      <c r="TTC91" s="338"/>
      <c r="TTD91" s="338"/>
      <c r="TTE91" s="338"/>
      <c r="TTF91" s="338"/>
      <c r="TTG91" s="338"/>
      <c r="TTH91" s="338"/>
      <c r="TTI91" s="338"/>
      <c r="TTJ91" s="338"/>
      <c r="TTK91" s="338"/>
      <c r="TTL91" s="338"/>
      <c r="TTM91" s="338"/>
      <c r="TTN91" s="338"/>
      <c r="TTO91" s="338"/>
      <c r="TTP91" s="338"/>
      <c r="TTQ91" s="338"/>
      <c r="TTR91" s="338"/>
      <c r="TTS91" s="338"/>
      <c r="TTT91" s="338"/>
      <c r="TTU91" s="338"/>
      <c r="TTV91" s="338"/>
      <c r="TTW91" s="338"/>
      <c r="TTX91" s="338"/>
      <c r="TTY91" s="338"/>
      <c r="TTZ91" s="338"/>
      <c r="TUA91" s="338"/>
      <c r="TUB91" s="338"/>
      <c r="TUC91" s="338"/>
      <c r="TUD91" s="338"/>
      <c r="TUE91" s="338"/>
      <c r="TUF91" s="338"/>
      <c r="TUG91" s="338"/>
      <c r="TUH91" s="338"/>
      <c r="TUI91" s="338"/>
      <c r="TUJ91" s="338"/>
      <c r="TUK91" s="338"/>
      <c r="TUL91" s="338"/>
      <c r="TUM91" s="338"/>
      <c r="TUN91" s="338"/>
      <c r="TUO91" s="338"/>
      <c r="TUP91" s="338"/>
      <c r="TUQ91" s="338"/>
      <c r="TUR91" s="338"/>
      <c r="TUS91" s="338"/>
      <c r="TUT91" s="338"/>
      <c r="TUU91" s="338"/>
      <c r="TUV91" s="338"/>
      <c r="TUW91" s="338"/>
      <c r="TUX91" s="338"/>
      <c r="TUY91" s="338"/>
      <c r="TUZ91" s="338"/>
      <c r="TVA91" s="338"/>
      <c r="TVB91" s="338"/>
      <c r="TVC91" s="338"/>
      <c r="TVD91" s="338"/>
      <c r="TVE91" s="338"/>
      <c r="TVF91" s="338"/>
      <c r="TVG91" s="338"/>
      <c r="TVH91" s="338"/>
      <c r="TVI91" s="338"/>
      <c r="TVJ91" s="338"/>
      <c r="TVK91" s="338"/>
      <c r="TVL91" s="338"/>
      <c r="TVM91" s="338"/>
      <c r="TVN91" s="338"/>
      <c r="TVO91" s="338"/>
      <c r="TVP91" s="338"/>
      <c r="TVQ91" s="338"/>
      <c r="TVR91" s="338"/>
      <c r="TVS91" s="338"/>
      <c r="TVT91" s="338"/>
      <c r="TVU91" s="338"/>
      <c r="TVV91" s="338"/>
      <c r="TVW91" s="338"/>
      <c r="TVX91" s="338"/>
      <c r="TVY91" s="338"/>
      <c r="TVZ91" s="338"/>
      <c r="TWA91" s="338"/>
      <c r="TWB91" s="338"/>
      <c r="TWC91" s="338"/>
      <c r="TWD91" s="338"/>
      <c r="TWE91" s="338"/>
      <c r="TWF91" s="338"/>
      <c r="TWG91" s="338"/>
      <c r="TWH91" s="338"/>
      <c r="TWI91" s="338"/>
      <c r="TWJ91" s="338"/>
      <c r="TWK91" s="338"/>
      <c r="TWL91" s="338"/>
      <c r="TWM91" s="338"/>
      <c r="TWN91" s="338"/>
      <c r="TWO91" s="338"/>
      <c r="TWP91" s="338"/>
      <c r="TWQ91" s="338"/>
      <c r="TWR91" s="338"/>
      <c r="TWS91" s="338"/>
      <c r="TWT91" s="338"/>
      <c r="TWU91" s="338"/>
      <c r="TWV91" s="338"/>
      <c r="TWW91" s="338"/>
      <c r="TWX91" s="338"/>
      <c r="TWY91" s="338"/>
      <c r="TWZ91" s="338"/>
      <c r="TXA91" s="338"/>
      <c r="TXB91" s="338"/>
      <c r="TXC91" s="338"/>
      <c r="TXD91" s="338"/>
      <c r="TXE91" s="338"/>
      <c r="TXF91" s="338"/>
      <c r="TXG91" s="338"/>
      <c r="TXH91" s="338"/>
      <c r="TXI91" s="338"/>
      <c r="TXJ91" s="338"/>
      <c r="TXK91" s="338"/>
      <c r="TXL91" s="338"/>
      <c r="TXM91" s="338"/>
      <c r="TXN91" s="338"/>
      <c r="TXO91" s="338"/>
      <c r="TXP91" s="338"/>
      <c r="TXQ91" s="338"/>
      <c r="TXR91" s="338"/>
      <c r="TXS91" s="338"/>
      <c r="TXT91" s="338"/>
      <c r="TXU91" s="338"/>
      <c r="TXV91" s="338"/>
      <c r="TXW91" s="338"/>
      <c r="TXX91" s="338"/>
      <c r="TXY91" s="338"/>
      <c r="TXZ91" s="338"/>
      <c r="TYA91" s="338"/>
      <c r="TYB91" s="338"/>
      <c r="TYC91" s="338"/>
      <c r="TYD91" s="338"/>
      <c r="TYE91" s="338"/>
      <c r="TYF91" s="338"/>
      <c r="TYG91" s="338"/>
      <c r="TYH91" s="338"/>
      <c r="TYI91" s="338"/>
      <c r="TYJ91" s="338"/>
      <c r="TYK91" s="338"/>
      <c r="TYL91" s="338"/>
      <c r="TYM91" s="338"/>
      <c r="TYN91" s="338"/>
      <c r="TYO91" s="338"/>
      <c r="TYP91" s="338"/>
      <c r="TYQ91" s="338"/>
      <c r="TYR91" s="338"/>
      <c r="TYS91" s="338"/>
      <c r="TYT91" s="338"/>
      <c r="TYU91" s="338"/>
      <c r="TYV91" s="338"/>
      <c r="TYW91" s="338"/>
      <c r="TYX91" s="338"/>
      <c r="TYY91" s="338"/>
      <c r="TYZ91" s="338"/>
      <c r="TZA91" s="338"/>
      <c r="TZB91" s="338"/>
      <c r="TZC91" s="338"/>
      <c r="TZD91" s="338"/>
      <c r="TZE91" s="338"/>
      <c r="TZF91" s="338"/>
      <c r="TZG91" s="338"/>
      <c r="TZH91" s="338"/>
      <c r="TZI91" s="338"/>
      <c r="TZJ91" s="338"/>
      <c r="TZK91" s="338"/>
      <c r="TZL91" s="338"/>
      <c r="TZM91" s="338"/>
      <c r="TZN91" s="338"/>
      <c r="TZO91" s="338"/>
      <c r="TZP91" s="338"/>
      <c r="TZQ91" s="338"/>
      <c r="TZR91" s="338"/>
      <c r="TZS91" s="338"/>
      <c r="TZT91" s="338"/>
      <c r="TZU91" s="338"/>
      <c r="TZV91" s="338"/>
      <c r="TZW91" s="338"/>
      <c r="TZX91" s="338"/>
      <c r="TZY91" s="338"/>
      <c r="TZZ91" s="338"/>
      <c r="UAA91" s="338"/>
      <c r="UAB91" s="338"/>
      <c r="UAC91" s="338"/>
      <c r="UAD91" s="338"/>
      <c r="UAE91" s="338"/>
      <c r="UAF91" s="338"/>
      <c r="UAG91" s="338"/>
      <c r="UAH91" s="338"/>
      <c r="UAI91" s="338"/>
      <c r="UAJ91" s="338"/>
      <c r="UAK91" s="338"/>
      <c r="UAL91" s="338"/>
      <c r="UAM91" s="338"/>
      <c r="UAN91" s="338"/>
      <c r="UAO91" s="338"/>
      <c r="UAP91" s="338"/>
      <c r="UAQ91" s="338"/>
      <c r="UAR91" s="338"/>
      <c r="UAS91" s="338"/>
      <c r="UAT91" s="338"/>
      <c r="UAU91" s="338"/>
      <c r="UAV91" s="338"/>
      <c r="UAW91" s="338"/>
      <c r="UAX91" s="338"/>
      <c r="UAY91" s="338"/>
      <c r="UAZ91" s="338"/>
      <c r="UBA91" s="338"/>
      <c r="UBB91" s="338"/>
      <c r="UBC91" s="338"/>
      <c r="UBD91" s="338"/>
      <c r="UBE91" s="338"/>
      <c r="UBF91" s="338"/>
      <c r="UBG91" s="338"/>
      <c r="UBH91" s="338"/>
      <c r="UBI91" s="338"/>
      <c r="UBJ91" s="338"/>
      <c r="UBK91" s="338"/>
      <c r="UBL91" s="338"/>
      <c r="UBM91" s="338"/>
      <c r="UBN91" s="338"/>
      <c r="UBO91" s="338"/>
      <c r="UBP91" s="338"/>
      <c r="UBQ91" s="338"/>
      <c r="UBR91" s="338"/>
      <c r="UBS91" s="338"/>
      <c r="UBT91" s="338"/>
      <c r="UBU91" s="338"/>
      <c r="UBV91" s="338"/>
      <c r="UBW91" s="338"/>
      <c r="UBX91" s="338"/>
      <c r="UBY91" s="338"/>
      <c r="UBZ91" s="338"/>
      <c r="UCA91" s="338"/>
      <c r="UCB91" s="338"/>
      <c r="UCC91" s="338"/>
      <c r="UCD91" s="338"/>
      <c r="UCE91" s="338"/>
      <c r="UCF91" s="338"/>
      <c r="UCG91" s="338"/>
      <c r="UCH91" s="338"/>
      <c r="UCI91" s="338"/>
      <c r="UCJ91" s="338"/>
      <c r="UCK91" s="338"/>
      <c r="UCL91" s="338"/>
      <c r="UCM91" s="338"/>
      <c r="UCN91" s="338"/>
      <c r="UCO91" s="338"/>
      <c r="UCP91" s="338"/>
      <c r="UCQ91" s="338"/>
      <c r="UCR91" s="338"/>
      <c r="UCS91" s="338"/>
      <c r="UCT91" s="338"/>
      <c r="UCU91" s="338"/>
      <c r="UCV91" s="338"/>
      <c r="UCW91" s="338"/>
      <c r="UCX91" s="338"/>
      <c r="UCY91" s="338"/>
      <c r="UCZ91" s="338"/>
      <c r="UDA91" s="338"/>
      <c r="UDB91" s="338"/>
      <c r="UDC91" s="338"/>
      <c r="UDD91" s="338"/>
      <c r="UDE91" s="338"/>
      <c r="UDF91" s="338"/>
      <c r="UDG91" s="338"/>
      <c r="UDH91" s="338"/>
      <c r="UDI91" s="338"/>
      <c r="UDJ91" s="338"/>
      <c r="UDK91" s="338"/>
      <c r="UDL91" s="338"/>
      <c r="UDM91" s="338"/>
      <c r="UDN91" s="338"/>
      <c r="UDO91" s="338"/>
      <c r="UDP91" s="338"/>
      <c r="UDQ91" s="338"/>
      <c r="UDR91" s="338"/>
      <c r="UDS91" s="338"/>
      <c r="UDT91" s="338"/>
      <c r="UDU91" s="338"/>
      <c r="UDV91" s="338"/>
      <c r="UDW91" s="338"/>
      <c r="UDX91" s="338"/>
      <c r="UDY91" s="338"/>
      <c r="UDZ91" s="338"/>
      <c r="UEA91" s="338"/>
      <c r="UEB91" s="338"/>
      <c r="UEC91" s="338"/>
      <c r="UED91" s="338"/>
      <c r="UEE91" s="338"/>
      <c r="UEF91" s="338"/>
      <c r="UEG91" s="338"/>
      <c r="UEH91" s="338"/>
      <c r="UEI91" s="338"/>
      <c r="UEJ91" s="338"/>
      <c r="UEK91" s="338"/>
      <c r="UEL91" s="338"/>
      <c r="UEM91" s="338"/>
      <c r="UEN91" s="338"/>
      <c r="UEO91" s="338"/>
      <c r="UEP91" s="338"/>
      <c r="UEQ91" s="338"/>
      <c r="UER91" s="338"/>
      <c r="UES91" s="338"/>
      <c r="UET91" s="338"/>
      <c r="UEU91" s="338"/>
      <c r="UEV91" s="338"/>
      <c r="UEW91" s="338"/>
      <c r="UEX91" s="338"/>
      <c r="UEY91" s="338"/>
      <c r="UEZ91" s="338"/>
      <c r="UFA91" s="338"/>
      <c r="UFB91" s="338"/>
      <c r="UFC91" s="338"/>
      <c r="UFD91" s="338"/>
      <c r="UFE91" s="338"/>
      <c r="UFF91" s="338"/>
      <c r="UFG91" s="338"/>
      <c r="UFH91" s="338"/>
      <c r="UFI91" s="338"/>
      <c r="UFJ91" s="338"/>
      <c r="UFK91" s="338"/>
      <c r="UFL91" s="338"/>
      <c r="UFM91" s="338"/>
      <c r="UFN91" s="338"/>
      <c r="UFO91" s="338"/>
      <c r="UFP91" s="338"/>
      <c r="UFQ91" s="338"/>
      <c r="UFR91" s="338"/>
      <c r="UFS91" s="338"/>
      <c r="UFT91" s="338"/>
      <c r="UFU91" s="338"/>
      <c r="UFV91" s="338"/>
      <c r="UFW91" s="338"/>
      <c r="UFX91" s="338"/>
      <c r="UFY91" s="338"/>
      <c r="UFZ91" s="338"/>
      <c r="UGA91" s="338"/>
      <c r="UGB91" s="338"/>
      <c r="UGC91" s="338"/>
      <c r="UGD91" s="338"/>
      <c r="UGE91" s="338"/>
      <c r="UGF91" s="338"/>
      <c r="UGG91" s="338"/>
      <c r="UGH91" s="338"/>
      <c r="UGI91" s="338"/>
      <c r="UGJ91" s="338"/>
      <c r="UGK91" s="338"/>
      <c r="UGL91" s="338"/>
      <c r="UGM91" s="338"/>
      <c r="UGN91" s="338"/>
      <c r="UGO91" s="338"/>
      <c r="UGP91" s="338"/>
      <c r="UGQ91" s="338"/>
      <c r="UGR91" s="338"/>
      <c r="UGS91" s="338"/>
      <c r="UGT91" s="338"/>
      <c r="UGU91" s="338"/>
      <c r="UGV91" s="338"/>
      <c r="UGW91" s="338"/>
      <c r="UGX91" s="338"/>
      <c r="UGY91" s="338"/>
      <c r="UGZ91" s="338"/>
      <c r="UHA91" s="338"/>
      <c r="UHB91" s="338"/>
      <c r="UHC91" s="338"/>
      <c r="UHD91" s="338"/>
      <c r="UHE91" s="338"/>
      <c r="UHF91" s="338"/>
      <c r="UHG91" s="338"/>
      <c r="UHH91" s="338"/>
      <c r="UHI91" s="338"/>
      <c r="UHJ91" s="338"/>
      <c r="UHK91" s="338"/>
      <c r="UHL91" s="338"/>
      <c r="UHM91" s="338"/>
      <c r="UHN91" s="338"/>
      <c r="UHO91" s="338"/>
      <c r="UHP91" s="338"/>
      <c r="UHQ91" s="338"/>
      <c r="UHR91" s="338"/>
      <c r="UHS91" s="338"/>
      <c r="UHT91" s="338"/>
      <c r="UHU91" s="338"/>
      <c r="UHV91" s="338"/>
      <c r="UHW91" s="338"/>
      <c r="UHX91" s="338"/>
      <c r="UHY91" s="338"/>
      <c r="UHZ91" s="338"/>
      <c r="UIA91" s="338"/>
      <c r="UIB91" s="338"/>
      <c r="UIC91" s="338"/>
      <c r="UID91" s="338"/>
      <c r="UIE91" s="338"/>
      <c r="UIF91" s="338"/>
      <c r="UIG91" s="338"/>
      <c r="UIH91" s="338"/>
      <c r="UII91" s="338"/>
      <c r="UIJ91" s="338"/>
      <c r="UIK91" s="338"/>
      <c r="UIL91" s="338"/>
      <c r="UIM91" s="338"/>
      <c r="UIN91" s="338"/>
      <c r="UIO91" s="338"/>
      <c r="UIP91" s="338"/>
      <c r="UIQ91" s="338"/>
      <c r="UIR91" s="338"/>
      <c r="UIS91" s="338"/>
      <c r="UIT91" s="338"/>
      <c r="UIU91" s="338"/>
      <c r="UIV91" s="338"/>
      <c r="UIW91" s="338"/>
      <c r="UIX91" s="338"/>
      <c r="UIY91" s="338"/>
      <c r="UIZ91" s="338"/>
      <c r="UJA91" s="338"/>
      <c r="UJB91" s="338"/>
      <c r="UJC91" s="338"/>
      <c r="UJD91" s="338"/>
      <c r="UJE91" s="338"/>
      <c r="UJF91" s="338"/>
      <c r="UJG91" s="338"/>
      <c r="UJH91" s="338"/>
      <c r="UJI91" s="338"/>
      <c r="UJJ91" s="338"/>
      <c r="UJK91" s="338"/>
      <c r="UJL91" s="338"/>
      <c r="UJM91" s="338"/>
      <c r="UJN91" s="338"/>
      <c r="UJO91" s="338"/>
      <c r="UJP91" s="338"/>
      <c r="UJQ91" s="338"/>
      <c r="UJR91" s="338"/>
      <c r="UJS91" s="338"/>
      <c r="UJT91" s="338"/>
      <c r="UJU91" s="338"/>
      <c r="UJV91" s="338"/>
      <c r="UJW91" s="338"/>
      <c r="UJX91" s="338"/>
      <c r="UJY91" s="338"/>
      <c r="UJZ91" s="338"/>
      <c r="UKA91" s="338"/>
      <c r="UKB91" s="338"/>
      <c r="UKC91" s="338"/>
      <c r="UKD91" s="338"/>
      <c r="UKE91" s="338"/>
      <c r="UKF91" s="338"/>
      <c r="UKG91" s="338"/>
      <c r="UKH91" s="338"/>
      <c r="UKI91" s="338"/>
      <c r="UKJ91" s="338"/>
      <c r="UKK91" s="338"/>
      <c r="UKL91" s="338"/>
      <c r="UKM91" s="338"/>
      <c r="UKN91" s="338"/>
      <c r="UKO91" s="338"/>
      <c r="UKP91" s="338"/>
      <c r="UKQ91" s="338"/>
      <c r="UKR91" s="338"/>
      <c r="UKS91" s="338"/>
      <c r="UKT91" s="338"/>
      <c r="UKU91" s="338"/>
      <c r="UKV91" s="338"/>
      <c r="UKW91" s="338"/>
      <c r="UKX91" s="338"/>
      <c r="UKY91" s="338"/>
      <c r="UKZ91" s="338"/>
      <c r="ULA91" s="338"/>
      <c r="ULB91" s="338"/>
      <c r="ULC91" s="338"/>
      <c r="ULD91" s="338"/>
      <c r="ULE91" s="338"/>
      <c r="ULF91" s="338"/>
      <c r="ULG91" s="338"/>
      <c r="ULH91" s="338"/>
      <c r="ULI91" s="338"/>
      <c r="ULJ91" s="338"/>
      <c r="ULK91" s="338"/>
      <c r="ULL91" s="338"/>
      <c r="ULM91" s="338"/>
      <c r="ULN91" s="338"/>
      <c r="ULO91" s="338"/>
      <c r="ULP91" s="338"/>
      <c r="ULQ91" s="338"/>
      <c r="ULR91" s="338"/>
      <c r="ULS91" s="338"/>
      <c r="ULT91" s="338"/>
      <c r="ULU91" s="338"/>
      <c r="ULV91" s="338"/>
      <c r="ULW91" s="338"/>
      <c r="ULX91" s="338"/>
      <c r="ULY91" s="338"/>
      <c r="ULZ91" s="338"/>
      <c r="UMA91" s="338"/>
      <c r="UMB91" s="338"/>
      <c r="UMC91" s="338"/>
      <c r="UMD91" s="338"/>
      <c r="UME91" s="338"/>
      <c r="UMF91" s="338"/>
      <c r="UMG91" s="338"/>
      <c r="UMH91" s="338"/>
      <c r="UMI91" s="338"/>
      <c r="UMJ91" s="338"/>
      <c r="UMK91" s="338"/>
      <c r="UML91" s="338"/>
      <c r="UMM91" s="338"/>
      <c r="UMN91" s="338"/>
      <c r="UMO91" s="338"/>
      <c r="UMP91" s="338"/>
      <c r="UMQ91" s="338"/>
      <c r="UMR91" s="338"/>
      <c r="UMS91" s="338"/>
      <c r="UMT91" s="338"/>
      <c r="UMU91" s="338"/>
      <c r="UMV91" s="338"/>
      <c r="UMW91" s="338"/>
      <c r="UMX91" s="338"/>
      <c r="UMY91" s="338"/>
      <c r="UMZ91" s="338"/>
      <c r="UNA91" s="338"/>
      <c r="UNB91" s="338"/>
      <c r="UNC91" s="338"/>
      <c r="UND91" s="338"/>
      <c r="UNE91" s="338"/>
      <c r="UNF91" s="338"/>
      <c r="UNG91" s="338"/>
      <c r="UNH91" s="338"/>
      <c r="UNI91" s="338"/>
      <c r="UNJ91" s="338"/>
      <c r="UNK91" s="338"/>
      <c r="UNL91" s="338"/>
      <c r="UNM91" s="338"/>
      <c r="UNN91" s="338"/>
      <c r="UNO91" s="338"/>
      <c r="UNP91" s="338"/>
      <c r="UNQ91" s="338"/>
      <c r="UNR91" s="338"/>
      <c r="UNS91" s="338"/>
      <c r="UNT91" s="338"/>
      <c r="UNU91" s="338"/>
      <c r="UNV91" s="338"/>
      <c r="UNW91" s="338"/>
      <c r="UNX91" s="338"/>
      <c r="UNY91" s="338"/>
      <c r="UNZ91" s="338"/>
      <c r="UOA91" s="338"/>
      <c r="UOB91" s="338"/>
      <c r="UOC91" s="338"/>
      <c r="UOD91" s="338"/>
      <c r="UOE91" s="338"/>
      <c r="UOF91" s="338"/>
      <c r="UOG91" s="338"/>
      <c r="UOH91" s="338"/>
      <c r="UOI91" s="338"/>
      <c r="UOJ91" s="338"/>
      <c r="UOK91" s="338"/>
      <c r="UOL91" s="338"/>
      <c r="UOM91" s="338"/>
      <c r="UON91" s="338"/>
      <c r="UOO91" s="338"/>
      <c r="UOP91" s="338"/>
      <c r="UOQ91" s="338"/>
      <c r="UOR91" s="338"/>
      <c r="UOS91" s="338"/>
      <c r="UOT91" s="338"/>
      <c r="UOU91" s="338"/>
      <c r="UOV91" s="338"/>
      <c r="UOW91" s="338"/>
      <c r="UOX91" s="338"/>
      <c r="UOY91" s="338"/>
      <c r="UOZ91" s="338"/>
      <c r="UPA91" s="338"/>
      <c r="UPB91" s="338"/>
      <c r="UPC91" s="338"/>
      <c r="UPD91" s="338"/>
      <c r="UPE91" s="338"/>
      <c r="UPF91" s="338"/>
      <c r="UPG91" s="338"/>
      <c r="UPH91" s="338"/>
      <c r="UPI91" s="338"/>
      <c r="UPJ91" s="338"/>
      <c r="UPK91" s="338"/>
      <c r="UPL91" s="338"/>
      <c r="UPM91" s="338"/>
      <c r="UPN91" s="338"/>
      <c r="UPO91" s="338"/>
      <c r="UPP91" s="338"/>
      <c r="UPQ91" s="338"/>
      <c r="UPR91" s="338"/>
      <c r="UPS91" s="338"/>
      <c r="UPT91" s="338"/>
      <c r="UPU91" s="338"/>
      <c r="UPV91" s="338"/>
      <c r="UPW91" s="338"/>
      <c r="UPX91" s="338"/>
      <c r="UPY91" s="338"/>
      <c r="UPZ91" s="338"/>
      <c r="UQA91" s="338"/>
      <c r="UQB91" s="338"/>
      <c r="UQC91" s="338"/>
      <c r="UQD91" s="338"/>
      <c r="UQE91" s="338"/>
      <c r="UQF91" s="338"/>
      <c r="UQG91" s="338"/>
      <c r="UQH91" s="338"/>
      <c r="UQI91" s="338"/>
      <c r="UQJ91" s="338"/>
      <c r="UQK91" s="338"/>
      <c r="UQL91" s="338"/>
      <c r="UQM91" s="338"/>
      <c r="UQN91" s="338"/>
      <c r="UQO91" s="338"/>
      <c r="UQP91" s="338"/>
      <c r="UQQ91" s="338"/>
      <c r="UQR91" s="338"/>
      <c r="UQS91" s="338"/>
      <c r="UQT91" s="338"/>
      <c r="UQU91" s="338"/>
      <c r="UQV91" s="338"/>
      <c r="UQW91" s="338"/>
      <c r="UQX91" s="338"/>
      <c r="UQY91" s="338"/>
      <c r="UQZ91" s="338"/>
      <c r="URA91" s="338"/>
      <c r="URB91" s="338"/>
      <c r="URC91" s="338"/>
      <c r="URD91" s="338"/>
      <c r="URE91" s="338"/>
      <c r="URF91" s="338"/>
      <c r="URG91" s="338"/>
      <c r="URH91" s="338"/>
      <c r="URI91" s="338"/>
      <c r="URJ91" s="338"/>
      <c r="URK91" s="338"/>
      <c r="URL91" s="338"/>
      <c r="URM91" s="338"/>
      <c r="URN91" s="338"/>
      <c r="URO91" s="338"/>
      <c r="URP91" s="338"/>
      <c r="URQ91" s="338"/>
      <c r="URR91" s="338"/>
      <c r="URS91" s="338"/>
      <c r="URT91" s="338"/>
      <c r="URU91" s="338"/>
      <c r="URV91" s="338"/>
      <c r="URW91" s="338"/>
      <c r="URX91" s="338"/>
      <c r="URY91" s="338"/>
      <c r="URZ91" s="338"/>
      <c r="USA91" s="338"/>
      <c r="USB91" s="338"/>
      <c r="USC91" s="338"/>
      <c r="USD91" s="338"/>
      <c r="USE91" s="338"/>
      <c r="USF91" s="338"/>
      <c r="USG91" s="338"/>
      <c r="USH91" s="338"/>
      <c r="USI91" s="338"/>
      <c r="USJ91" s="338"/>
      <c r="USK91" s="338"/>
      <c r="USL91" s="338"/>
      <c r="USM91" s="338"/>
      <c r="USN91" s="338"/>
      <c r="USO91" s="338"/>
      <c r="USP91" s="338"/>
      <c r="USQ91" s="338"/>
      <c r="USR91" s="338"/>
      <c r="USS91" s="338"/>
      <c r="UST91" s="338"/>
      <c r="USU91" s="338"/>
      <c r="USV91" s="338"/>
      <c r="USW91" s="338"/>
      <c r="USX91" s="338"/>
      <c r="USY91" s="338"/>
      <c r="USZ91" s="338"/>
      <c r="UTA91" s="338"/>
      <c r="UTB91" s="338"/>
      <c r="UTC91" s="338"/>
      <c r="UTD91" s="338"/>
      <c r="UTE91" s="338"/>
      <c r="UTF91" s="338"/>
      <c r="UTG91" s="338"/>
      <c r="UTH91" s="338"/>
      <c r="UTI91" s="338"/>
      <c r="UTJ91" s="338"/>
      <c r="UTK91" s="338"/>
      <c r="UTL91" s="338"/>
      <c r="UTM91" s="338"/>
      <c r="UTN91" s="338"/>
      <c r="UTO91" s="338"/>
      <c r="UTP91" s="338"/>
      <c r="UTQ91" s="338"/>
      <c r="UTR91" s="338"/>
      <c r="UTS91" s="338"/>
      <c r="UTT91" s="338"/>
      <c r="UTU91" s="338"/>
      <c r="UTV91" s="338"/>
      <c r="UTW91" s="338"/>
      <c r="UTX91" s="338"/>
      <c r="UTY91" s="338"/>
      <c r="UTZ91" s="338"/>
      <c r="UUA91" s="338"/>
      <c r="UUB91" s="338"/>
      <c r="UUC91" s="338"/>
      <c r="UUD91" s="338"/>
      <c r="UUE91" s="338"/>
      <c r="UUF91" s="338"/>
      <c r="UUG91" s="338"/>
      <c r="UUH91" s="338"/>
      <c r="UUI91" s="338"/>
      <c r="UUJ91" s="338"/>
      <c r="UUK91" s="338"/>
      <c r="UUL91" s="338"/>
      <c r="UUM91" s="338"/>
      <c r="UUN91" s="338"/>
      <c r="UUO91" s="338"/>
      <c r="UUP91" s="338"/>
      <c r="UUQ91" s="338"/>
      <c r="UUR91" s="338"/>
      <c r="UUS91" s="338"/>
      <c r="UUT91" s="338"/>
      <c r="UUU91" s="338"/>
      <c r="UUV91" s="338"/>
      <c r="UUW91" s="338"/>
      <c r="UUX91" s="338"/>
      <c r="UUY91" s="338"/>
      <c r="UUZ91" s="338"/>
      <c r="UVA91" s="338"/>
      <c r="UVB91" s="338"/>
      <c r="UVC91" s="338"/>
      <c r="UVD91" s="338"/>
      <c r="UVE91" s="338"/>
      <c r="UVF91" s="338"/>
      <c r="UVG91" s="338"/>
      <c r="UVH91" s="338"/>
      <c r="UVI91" s="338"/>
      <c r="UVJ91" s="338"/>
      <c r="UVK91" s="338"/>
      <c r="UVL91" s="338"/>
      <c r="UVM91" s="338"/>
      <c r="UVN91" s="338"/>
      <c r="UVO91" s="338"/>
      <c r="UVP91" s="338"/>
      <c r="UVQ91" s="338"/>
      <c r="UVR91" s="338"/>
      <c r="UVS91" s="338"/>
      <c r="UVT91" s="338"/>
      <c r="UVU91" s="338"/>
      <c r="UVV91" s="338"/>
      <c r="UVW91" s="338"/>
      <c r="UVX91" s="338"/>
      <c r="UVY91" s="338"/>
      <c r="UVZ91" s="338"/>
      <c r="UWA91" s="338"/>
      <c r="UWB91" s="338"/>
      <c r="UWC91" s="338"/>
      <c r="UWD91" s="338"/>
      <c r="UWE91" s="338"/>
      <c r="UWF91" s="338"/>
      <c r="UWG91" s="338"/>
      <c r="UWH91" s="338"/>
      <c r="UWI91" s="338"/>
      <c r="UWJ91" s="338"/>
      <c r="UWK91" s="338"/>
      <c r="UWL91" s="338"/>
      <c r="UWM91" s="338"/>
      <c r="UWN91" s="338"/>
      <c r="UWO91" s="338"/>
      <c r="UWP91" s="338"/>
      <c r="UWQ91" s="338"/>
      <c r="UWR91" s="338"/>
      <c r="UWS91" s="338"/>
      <c r="UWT91" s="338"/>
      <c r="UWU91" s="338"/>
      <c r="UWV91" s="338"/>
      <c r="UWW91" s="338"/>
      <c r="UWX91" s="338"/>
      <c r="UWY91" s="338"/>
      <c r="UWZ91" s="338"/>
      <c r="UXA91" s="338"/>
      <c r="UXB91" s="338"/>
      <c r="UXC91" s="338"/>
      <c r="UXD91" s="338"/>
      <c r="UXE91" s="338"/>
      <c r="UXF91" s="338"/>
      <c r="UXG91" s="338"/>
      <c r="UXH91" s="338"/>
      <c r="UXI91" s="338"/>
      <c r="UXJ91" s="338"/>
      <c r="UXK91" s="338"/>
      <c r="UXL91" s="338"/>
      <c r="UXM91" s="338"/>
      <c r="UXN91" s="338"/>
      <c r="UXO91" s="338"/>
      <c r="UXP91" s="338"/>
      <c r="UXQ91" s="338"/>
      <c r="UXR91" s="338"/>
      <c r="UXS91" s="338"/>
      <c r="UXT91" s="338"/>
      <c r="UXU91" s="338"/>
      <c r="UXV91" s="338"/>
      <c r="UXW91" s="338"/>
      <c r="UXX91" s="338"/>
      <c r="UXY91" s="338"/>
      <c r="UXZ91" s="338"/>
      <c r="UYA91" s="338"/>
      <c r="UYB91" s="338"/>
      <c r="UYC91" s="338"/>
      <c r="UYD91" s="338"/>
      <c r="UYE91" s="338"/>
      <c r="UYF91" s="338"/>
      <c r="UYG91" s="338"/>
      <c r="UYH91" s="338"/>
      <c r="UYI91" s="338"/>
      <c r="UYJ91" s="338"/>
      <c r="UYK91" s="338"/>
      <c r="UYL91" s="338"/>
      <c r="UYM91" s="338"/>
      <c r="UYN91" s="338"/>
      <c r="UYO91" s="338"/>
      <c r="UYP91" s="338"/>
      <c r="UYQ91" s="338"/>
      <c r="UYR91" s="338"/>
      <c r="UYS91" s="338"/>
      <c r="UYT91" s="338"/>
      <c r="UYU91" s="338"/>
      <c r="UYV91" s="338"/>
      <c r="UYW91" s="338"/>
      <c r="UYX91" s="338"/>
      <c r="UYY91" s="338"/>
      <c r="UYZ91" s="338"/>
      <c r="UZA91" s="338"/>
      <c r="UZB91" s="338"/>
      <c r="UZC91" s="338"/>
      <c r="UZD91" s="338"/>
      <c r="UZE91" s="338"/>
      <c r="UZF91" s="338"/>
      <c r="UZG91" s="338"/>
      <c r="UZH91" s="338"/>
      <c r="UZI91" s="338"/>
      <c r="UZJ91" s="338"/>
      <c r="UZK91" s="338"/>
      <c r="UZL91" s="338"/>
      <c r="UZM91" s="338"/>
      <c r="UZN91" s="338"/>
      <c r="UZO91" s="338"/>
      <c r="UZP91" s="338"/>
      <c r="UZQ91" s="338"/>
      <c r="UZR91" s="338"/>
      <c r="UZS91" s="338"/>
      <c r="UZT91" s="338"/>
      <c r="UZU91" s="338"/>
      <c r="UZV91" s="338"/>
      <c r="UZW91" s="338"/>
      <c r="UZX91" s="338"/>
      <c r="UZY91" s="338"/>
      <c r="UZZ91" s="338"/>
      <c r="VAA91" s="338"/>
      <c r="VAB91" s="338"/>
      <c r="VAC91" s="338"/>
      <c r="VAD91" s="338"/>
      <c r="VAE91" s="338"/>
      <c r="VAF91" s="338"/>
      <c r="VAG91" s="338"/>
      <c r="VAH91" s="338"/>
      <c r="VAI91" s="338"/>
      <c r="VAJ91" s="338"/>
      <c r="VAK91" s="338"/>
      <c r="VAL91" s="338"/>
      <c r="VAM91" s="338"/>
      <c r="VAN91" s="338"/>
      <c r="VAO91" s="338"/>
      <c r="VAP91" s="338"/>
      <c r="VAQ91" s="338"/>
      <c r="VAR91" s="338"/>
      <c r="VAS91" s="338"/>
      <c r="VAT91" s="338"/>
      <c r="VAU91" s="338"/>
      <c r="VAV91" s="338"/>
      <c r="VAW91" s="338"/>
      <c r="VAX91" s="338"/>
      <c r="VAY91" s="338"/>
      <c r="VAZ91" s="338"/>
      <c r="VBA91" s="338"/>
      <c r="VBB91" s="338"/>
      <c r="VBC91" s="338"/>
      <c r="VBD91" s="338"/>
      <c r="VBE91" s="338"/>
      <c r="VBF91" s="338"/>
      <c r="VBG91" s="338"/>
      <c r="VBH91" s="338"/>
      <c r="VBI91" s="338"/>
      <c r="VBJ91" s="338"/>
      <c r="VBK91" s="338"/>
      <c r="VBL91" s="338"/>
      <c r="VBM91" s="338"/>
      <c r="VBN91" s="338"/>
      <c r="VBO91" s="338"/>
      <c r="VBP91" s="338"/>
      <c r="VBQ91" s="338"/>
      <c r="VBR91" s="338"/>
      <c r="VBS91" s="338"/>
      <c r="VBT91" s="338"/>
      <c r="VBU91" s="338"/>
      <c r="VBV91" s="338"/>
      <c r="VBW91" s="338"/>
      <c r="VBX91" s="338"/>
      <c r="VBY91" s="338"/>
      <c r="VBZ91" s="338"/>
      <c r="VCA91" s="338"/>
      <c r="VCB91" s="338"/>
      <c r="VCC91" s="338"/>
      <c r="VCD91" s="338"/>
      <c r="VCE91" s="338"/>
      <c r="VCF91" s="338"/>
      <c r="VCG91" s="338"/>
      <c r="VCH91" s="338"/>
      <c r="VCI91" s="338"/>
      <c r="VCJ91" s="338"/>
      <c r="VCK91" s="338"/>
      <c r="VCL91" s="338"/>
      <c r="VCM91" s="338"/>
      <c r="VCN91" s="338"/>
      <c r="VCO91" s="338"/>
      <c r="VCP91" s="338"/>
      <c r="VCQ91" s="338"/>
      <c r="VCR91" s="338"/>
      <c r="VCS91" s="338"/>
      <c r="VCT91" s="338"/>
      <c r="VCU91" s="338"/>
      <c r="VCV91" s="338"/>
      <c r="VCW91" s="338"/>
      <c r="VCX91" s="338"/>
      <c r="VCY91" s="338"/>
      <c r="VCZ91" s="338"/>
      <c r="VDA91" s="338"/>
      <c r="VDB91" s="338"/>
      <c r="VDC91" s="338"/>
      <c r="VDD91" s="338"/>
      <c r="VDE91" s="338"/>
      <c r="VDF91" s="338"/>
      <c r="VDG91" s="338"/>
      <c r="VDH91" s="338"/>
      <c r="VDI91" s="338"/>
      <c r="VDJ91" s="338"/>
      <c r="VDK91" s="338"/>
      <c r="VDL91" s="338"/>
      <c r="VDM91" s="338"/>
      <c r="VDN91" s="338"/>
      <c r="VDO91" s="338"/>
      <c r="VDP91" s="338"/>
      <c r="VDQ91" s="338"/>
      <c r="VDR91" s="338"/>
      <c r="VDS91" s="338"/>
      <c r="VDT91" s="338"/>
      <c r="VDU91" s="338"/>
      <c r="VDV91" s="338"/>
      <c r="VDW91" s="338"/>
      <c r="VDX91" s="338"/>
      <c r="VDY91" s="338"/>
      <c r="VDZ91" s="338"/>
      <c r="VEA91" s="338"/>
      <c r="VEB91" s="338"/>
      <c r="VEC91" s="338"/>
      <c r="VED91" s="338"/>
      <c r="VEE91" s="338"/>
      <c r="VEF91" s="338"/>
      <c r="VEG91" s="338"/>
      <c r="VEH91" s="338"/>
      <c r="VEI91" s="338"/>
      <c r="VEJ91" s="338"/>
      <c r="VEK91" s="338"/>
      <c r="VEL91" s="338"/>
      <c r="VEM91" s="338"/>
      <c r="VEN91" s="338"/>
      <c r="VEO91" s="338"/>
      <c r="VEP91" s="338"/>
      <c r="VEQ91" s="338"/>
      <c r="VER91" s="338"/>
      <c r="VES91" s="338"/>
      <c r="VET91" s="338"/>
      <c r="VEU91" s="338"/>
      <c r="VEV91" s="338"/>
      <c r="VEW91" s="338"/>
      <c r="VEX91" s="338"/>
      <c r="VEY91" s="338"/>
      <c r="VEZ91" s="338"/>
      <c r="VFA91" s="338"/>
      <c r="VFB91" s="338"/>
      <c r="VFC91" s="338"/>
      <c r="VFD91" s="338"/>
      <c r="VFE91" s="338"/>
      <c r="VFF91" s="338"/>
      <c r="VFG91" s="338"/>
      <c r="VFH91" s="338"/>
      <c r="VFI91" s="338"/>
      <c r="VFJ91" s="338"/>
      <c r="VFK91" s="338"/>
      <c r="VFL91" s="338"/>
      <c r="VFM91" s="338"/>
      <c r="VFN91" s="338"/>
      <c r="VFO91" s="338"/>
      <c r="VFP91" s="338"/>
      <c r="VFQ91" s="338"/>
      <c r="VFR91" s="338"/>
      <c r="VFS91" s="338"/>
      <c r="VFT91" s="338"/>
      <c r="VFU91" s="338"/>
      <c r="VFV91" s="338"/>
      <c r="VFW91" s="338"/>
      <c r="VFX91" s="338"/>
      <c r="VFY91" s="338"/>
      <c r="VFZ91" s="338"/>
      <c r="VGA91" s="338"/>
      <c r="VGB91" s="338"/>
      <c r="VGC91" s="338"/>
      <c r="VGD91" s="338"/>
      <c r="VGE91" s="338"/>
      <c r="VGF91" s="338"/>
      <c r="VGG91" s="338"/>
      <c r="VGH91" s="338"/>
      <c r="VGI91" s="338"/>
      <c r="VGJ91" s="338"/>
      <c r="VGK91" s="338"/>
      <c r="VGL91" s="338"/>
      <c r="VGM91" s="338"/>
      <c r="VGN91" s="338"/>
      <c r="VGO91" s="338"/>
      <c r="VGP91" s="338"/>
      <c r="VGQ91" s="338"/>
      <c r="VGR91" s="338"/>
      <c r="VGS91" s="338"/>
      <c r="VGT91" s="338"/>
      <c r="VGU91" s="338"/>
      <c r="VGV91" s="338"/>
      <c r="VGW91" s="338"/>
      <c r="VGX91" s="338"/>
      <c r="VGY91" s="338"/>
      <c r="VGZ91" s="338"/>
      <c r="VHA91" s="338"/>
      <c r="VHB91" s="338"/>
      <c r="VHC91" s="338"/>
      <c r="VHD91" s="338"/>
      <c r="VHE91" s="338"/>
      <c r="VHF91" s="338"/>
      <c r="VHG91" s="338"/>
      <c r="VHH91" s="338"/>
      <c r="VHI91" s="338"/>
      <c r="VHJ91" s="338"/>
      <c r="VHK91" s="338"/>
      <c r="VHL91" s="338"/>
      <c r="VHM91" s="338"/>
      <c r="VHN91" s="338"/>
      <c r="VHO91" s="338"/>
      <c r="VHP91" s="338"/>
      <c r="VHQ91" s="338"/>
      <c r="VHR91" s="338"/>
      <c r="VHS91" s="338"/>
      <c r="VHT91" s="338"/>
      <c r="VHU91" s="338"/>
      <c r="VHV91" s="338"/>
      <c r="VHW91" s="338"/>
      <c r="VHX91" s="338"/>
      <c r="VHY91" s="338"/>
      <c r="VHZ91" s="338"/>
      <c r="VIA91" s="338"/>
      <c r="VIB91" s="338"/>
      <c r="VIC91" s="338"/>
      <c r="VID91" s="338"/>
      <c r="VIE91" s="338"/>
      <c r="VIF91" s="338"/>
      <c r="VIG91" s="338"/>
      <c r="VIH91" s="338"/>
      <c r="VII91" s="338"/>
      <c r="VIJ91" s="338"/>
      <c r="VIK91" s="338"/>
      <c r="VIL91" s="338"/>
      <c r="VIM91" s="338"/>
      <c r="VIN91" s="338"/>
      <c r="VIO91" s="338"/>
      <c r="VIP91" s="338"/>
      <c r="VIQ91" s="338"/>
      <c r="VIR91" s="338"/>
      <c r="VIS91" s="338"/>
      <c r="VIT91" s="338"/>
      <c r="VIU91" s="338"/>
      <c r="VIV91" s="338"/>
      <c r="VIW91" s="338"/>
      <c r="VIX91" s="338"/>
      <c r="VIY91" s="338"/>
      <c r="VIZ91" s="338"/>
      <c r="VJA91" s="338"/>
      <c r="VJB91" s="338"/>
      <c r="VJC91" s="338"/>
      <c r="VJD91" s="338"/>
      <c r="VJE91" s="338"/>
      <c r="VJF91" s="338"/>
      <c r="VJG91" s="338"/>
      <c r="VJH91" s="338"/>
      <c r="VJI91" s="338"/>
      <c r="VJJ91" s="338"/>
      <c r="VJK91" s="338"/>
      <c r="VJL91" s="338"/>
      <c r="VJM91" s="338"/>
      <c r="VJN91" s="338"/>
      <c r="VJO91" s="338"/>
      <c r="VJP91" s="338"/>
      <c r="VJQ91" s="338"/>
      <c r="VJR91" s="338"/>
      <c r="VJS91" s="338"/>
      <c r="VJT91" s="338"/>
      <c r="VJU91" s="338"/>
      <c r="VJV91" s="338"/>
      <c r="VJW91" s="338"/>
      <c r="VJX91" s="338"/>
      <c r="VJY91" s="338"/>
      <c r="VJZ91" s="338"/>
      <c r="VKA91" s="338"/>
      <c r="VKB91" s="338"/>
      <c r="VKC91" s="338"/>
      <c r="VKD91" s="338"/>
      <c r="VKE91" s="338"/>
      <c r="VKF91" s="338"/>
      <c r="VKG91" s="338"/>
      <c r="VKH91" s="338"/>
      <c r="VKI91" s="338"/>
      <c r="VKJ91" s="338"/>
      <c r="VKK91" s="338"/>
      <c r="VKL91" s="338"/>
      <c r="VKM91" s="338"/>
      <c r="VKN91" s="338"/>
      <c r="VKO91" s="338"/>
      <c r="VKP91" s="338"/>
      <c r="VKQ91" s="338"/>
      <c r="VKR91" s="338"/>
      <c r="VKS91" s="338"/>
      <c r="VKT91" s="338"/>
      <c r="VKU91" s="338"/>
      <c r="VKV91" s="338"/>
      <c r="VKW91" s="338"/>
      <c r="VKX91" s="338"/>
      <c r="VKY91" s="338"/>
      <c r="VKZ91" s="338"/>
      <c r="VLA91" s="338"/>
      <c r="VLB91" s="338"/>
      <c r="VLC91" s="338"/>
      <c r="VLD91" s="338"/>
      <c r="VLE91" s="338"/>
      <c r="VLF91" s="338"/>
      <c r="VLG91" s="338"/>
      <c r="VLH91" s="338"/>
      <c r="VLI91" s="338"/>
      <c r="VLJ91" s="338"/>
      <c r="VLK91" s="338"/>
      <c r="VLL91" s="338"/>
      <c r="VLM91" s="338"/>
      <c r="VLN91" s="338"/>
      <c r="VLO91" s="338"/>
      <c r="VLP91" s="338"/>
      <c r="VLQ91" s="338"/>
      <c r="VLR91" s="338"/>
      <c r="VLS91" s="338"/>
      <c r="VLT91" s="338"/>
      <c r="VLU91" s="338"/>
      <c r="VLV91" s="338"/>
      <c r="VLW91" s="338"/>
      <c r="VLX91" s="338"/>
      <c r="VLY91" s="338"/>
      <c r="VLZ91" s="338"/>
      <c r="VMA91" s="338"/>
      <c r="VMB91" s="338"/>
      <c r="VMC91" s="338"/>
      <c r="VMD91" s="338"/>
      <c r="VME91" s="338"/>
      <c r="VMF91" s="338"/>
      <c r="VMG91" s="338"/>
      <c r="VMH91" s="338"/>
      <c r="VMI91" s="338"/>
      <c r="VMJ91" s="338"/>
      <c r="VMK91" s="338"/>
      <c r="VML91" s="338"/>
      <c r="VMM91" s="338"/>
      <c r="VMN91" s="338"/>
      <c r="VMO91" s="338"/>
      <c r="VMP91" s="338"/>
      <c r="VMQ91" s="338"/>
      <c r="VMR91" s="338"/>
      <c r="VMS91" s="338"/>
      <c r="VMT91" s="338"/>
      <c r="VMU91" s="338"/>
      <c r="VMV91" s="338"/>
      <c r="VMW91" s="338"/>
      <c r="VMX91" s="338"/>
      <c r="VMY91" s="338"/>
      <c r="VMZ91" s="338"/>
      <c r="VNA91" s="338"/>
      <c r="VNB91" s="338"/>
      <c r="VNC91" s="338"/>
      <c r="VND91" s="338"/>
      <c r="VNE91" s="338"/>
      <c r="VNF91" s="338"/>
      <c r="VNG91" s="338"/>
      <c r="VNH91" s="338"/>
      <c r="VNI91" s="338"/>
      <c r="VNJ91" s="338"/>
      <c r="VNK91" s="338"/>
      <c r="VNL91" s="338"/>
      <c r="VNM91" s="338"/>
      <c r="VNN91" s="338"/>
      <c r="VNO91" s="338"/>
      <c r="VNP91" s="338"/>
      <c r="VNQ91" s="338"/>
      <c r="VNR91" s="338"/>
      <c r="VNS91" s="338"/>
      <c r="VNT91" s="338"/>
      <c r="VNU91" s="338"/>
      <c r="VNV91" s="338"/>
      <c r="VNW91" s="338"/>
      <c r="VNX91" s="338"/>
      <c r="VNY91" s="338"/>
      <c r="VNZ91" s="338"/>
      <c r="VOA91" s="338"/>
      <c r="VOB91" s="338"/>
      <c r="VOC91" s="338"/>
      <c r="VOD91" s="338"/>
      <c r="VOE91" s="338"/>
      <c r="VOF91" s="338"/>
      <c r="VOG91" s="338"/>
      <c r="VOH91" s="338"/>
      <c r="VOI91" s="338"/>
      <c r="VOJ91" s="338"/>
      <c r="VOK91" s="338"/>
      <c r="VOL91" s="338"/>
      <c r="VOM91" s="338"/>
      <c r="VON91" s="338"/>
      <c r="VOO91" s="338"/>
      <c r="VOP91" s="338"/>
      <c r="VOQ91" s="338"/>
      <c r="VOR91" s="338"/>
      <c r="VOS91" s="338"/>
      <c r="VOT91" s="338"/>
      <c r="VOU91" s="338"/>
      <c r="VOV91" s="338"/>
      <c r="VOW91" s="338"/>
      <c r="VOX91" s="338"/>
      <c r="VOY91" s="338"/>
      <c r="VOZ91" s="338"/>
      <c r="VPA91" s="338"/>
      <c r="VPB91" s="338"/>
      <c r="VPC91" s="338"/>
      <c r="VPD91" s="338"/>
      <c r="VPE91" s="338"/>
      <c r="VPF91" s="338"/>
      <c r="VPG91" s="338"/>
      <c r="VPH91" s="338"/>
      <c r="VPI91" s="338"/>
      <c r="VPJ91" s="338"/>
      <c r="VPK91" s="338"/>
      <c r="VPL91" s="338"/>
      <c r="VPM91" s="338"/>
      <c r="VPN91" s="338"/>
      <c r="VPO91" s="338"/>
      <c r="VPP91" s="338"/>
      <c r="VPQ91" s="338"/>
      <c r="VPR91" s="338"/>
      <c r="VPS91" s="338"/>
      <c r="VPT91" s="338"/>
      <c r="VPU91" s="338"/>
      <c r="VPV91" s="338"/>
      <c r="VPW91" s="338"/>
      <c r="VPX91" s="338"/>
      <c r="VPY91" s="338"/>
      <c r="VPZ91" s="338"/>
      <c r="VQA91" s="338"/>
      <c r="VQB91" s="338"/>
      <c r="VQC91" s="338"/>
      <c r="VQD91" s="338"/>
      <c r="VQE91" s="338"/>
      <c r="VQF91" s="338"/>
      <c r="VQG91" s="338"/>
      <c r="VQH91" s="338"/>
      <c r="VQI91" s="338"/>
      <c r="VQJ91" s="338"/>
      <c r="VQK91" s="338"/>
      <c r="VQL91" s="338"/>
      <c r="VQM91" s="338"/>
      <c r="VQN91" s="338"/>
      <c r="VQO91" s="338"/>
      <c r="VQP91" s="338"/>
      <c r="VQQ91" s="338"/>
      <c r="VQR91" s="338"/>
      <c r="VQS91" s="338"/>
      <c r="VQT91" s="338"/>
      <c r="VQU91" s="338"/>
      <c r="VQV91" s="338"/>
      <c r="VQW91" s="338"/>
      <c r="VQX91" s="338"/>
      <c r="VQY91" s="338"/>
      <c r="VQZ91" s="338"/>
      <c r="VRA91" s="338"/>
      <c r="VRB91" s="338"/>
      <c r="VRC91" s="338"/>
      <c r="VRD91" s="338"/>
      <c r="VRE91" s="338"/>
      <c r="VRF91" s="338"/>
      <c r="VRG91" s="338"/>
      <c r="VRH91" s="338"/>
      <c r="VRI91" s="338"/>
      <c r="VRJ91" s="338"/>
      <c r="VRK91" s="338"/>
      <c r="VRL91" s="338"/>
      <c r="VRM91" s="338"/>
      <c r="VRN91" s="338"/>
      <c r="VRO91" s="338"/>
      <c r="VRP91" s="338"/>
      <c r="VRQ91" s="338"/>
      <c r="VRR91" s="338"/>
      <c r="VRS91" s="338"/>
      <c r="VRT91" s="338"/>
      <c r="VRU91" s="338"/>
      <c r="VRV91" s="338"/>
      <c r="VRW91" s="338"/>
      <c r="VRX91" s="338"/>
      <c r="VRY91" s="338"/>
      <c r="VRZ91" s="338"/>
      <c r="VSA91" s="338"/>
      <c r="VSB91" s="338"/>
      <c r="VSC91" s="338"/>
      <c r="VSD91" s="338"/>
      <c r="VSE91" s="338"/>
      <c r="VSF91" s="338"/>
      <c r="VSG91" s="338"/>
      <c r="VSH91" s="338"/>
      <c r="VSI91" s="338"/>
      <c r="VSJ91" s="338"/>
      <c r="VSK91" s="338"/>
      <c r="VSL91" s="338"/>
      <c r="VSM91" s="338"/>
      <c r="VSN91" s="338"/>
      <c r="VSO91" s="338"/>
      <c r="VSP91" s="338"/>
      <c r="VSQ91" s="338"/>
      <c r="VSR91" s="338"/>
      <c r="VSS91" s="338"/>
      <c r="VST91" s="338"/>
      <c r="VSU91" s="338"/>
      <c r="VSV91" s="338"/>
      <c r="VSW91" s="338"/>
      <c r="VSX91" s="338"/>
      <c r="VSY91" s="338"/>
      <c r="VSZ91" s="338"/>
      <c r="VTA91" s="338"/>
      <c r="VTB91" s="338"/>
      <c r="VTC91" s="338"/>
      <c r="VTD91" s="338"/>
      <c r="VTE91" s="338"/>
      <c r="VTF91" s="338"/>
      <c r="VTG91" s="338"/>
      <c r="VTH91" s="338"/>
      <c r="VTI91" s="338"/>
      <c r="VTJ91" s="338"/>
      <c r="VTK91" s="338"/>
      <c r="VTL91" s="338"/>
      <c r="VTM91" s="338"/>
      <c r="VTN91" s="338"/>
      <c r="VTO91" s="338"/>
      <c r="VTP91" s="338"/>
      <c r="VTQ91" s="338"/>
      <c r="VTR91" s="338"/>
      <c r="VTS91" s="338"/>
      <c r="VTT91" s="338"/>
      <c r="VTU91" s="338"/>
      <c r="VTV91" s="338"/>
      <c r="VTW91" s="338"/>
      <c r="VTX91" s="338"/>
      <c r="VTY91" s="338"/>
      <c r="VTZ91" s="338"/>
      <c r="VUA91" s="338"/>
      <c r="VUB91" s="338"/>
      <c r="VUC91" s="338"/>
      <c r="VUD91" s="338"/>
      <c r="VUE91" s="338"/>
      <c r="VUF91" s="338"/>
      <c r="VUG91" s="338"/>
      <c r="VUH91" s="338"/>
      <c r="VUI91" s="338"/>
      <c r="VUJ91" s="338"/>
      <c r="VUK91" s="338"/>
      <c r="VUL91" s="338"/>
      <c r="VUM91" s="338"/>
      <c r="VUN91" s="338"/>
      <c r="VUO91" s="338"/>
      <c r="VUP91" s="338"/>
      <c r="VUQ91" s="338"/>
      <c r="VUR91" s="338"/>
      <c r="VUS91" s="338"/>
      <c r="VUT91" s="338"/>
      <c r="VUU91" s="338"/>
      <c r="VUV91" s="338"/>
      <c r="VUW91" s="338"/>
      <c r="VUX91" s="338"/>
      <c r="VUY91" s="338"/>
      <c r="VUZ91" s="338"/>
      <c r="VVA91" s="338"/>
      <c r="VVB91" s="338"/>
      <c r="VVC91" s="338"/>
      <c r="VVD91" s="338"/>
      <c r="VVE91" s="338"/>
      <c r="VVF91" s="338"/>
      <c r="VVG91" s="338"/>
      <c r="VVH91" s="338"/>
      <c r="VVI91" s="338"/>
      <c r="VVJ91" s="338"/>
      <c r="VVK91" s="338"/>
      <c r="VVL91" s="338"/>
      <c r="VVM91" s="338"/>
      <c r="VVN91" s="338"/>
      <c r="VVO91" s="338"/>
      <c r="VVP91" s="338"/>
      <c r="VVQ91" s="338"/>
      <c r="VVR91" s="338"/>
      <c r="VVS91" s="338"/>
      <c r="VVT91" s="338"/>
      <c r="VVU91" s="338"/>
      <c r="VVV91" s="338"/>
      <c r="VVW91" s="338"/>
      <c r="VVX91" s="338"/>
      <c r="VVY91" s="338"/>
      <c r="VVZ91" s="338"/>
      <c r="VWA91" s="338"/>
      <c r="VWB91" s="338"/>
      <c r="VWC91" s="338"/>
      <c r="VWD91" s="338"/>
      <c r="VWE91" s="338"/>
      <c r="VWF91" s="338"/>
      <c r="VWG91" s="338"/>
      <c r="VWH91" s="338"/>
      <c r="VWI91" s="338"/>
      <c r="VWJ91" s="338"/>
      <c r="VWK91" s="338"/>
      <c r="VWL91" s="338"/>
      <c r="VWM91" s="338"/>
      <c r="VWN91" s="338"/>
      <c r="VWO91" s="338"/>
      <c r="VWP91" s="338"/>
      <c r="VWQ91" s="338"/>
      <c r="VWR91" s="338"/>
      <c r="VWS91" s="338"/>
      <c r="VWT91" s="338"/>
      <c r="VWU91" s="338"/>
      <c r="VWV91" s="338"/>
      <c r="VWW91" s="338"/>
      <c r="VWX91" s="338"/>
      <c r="VWY91" s="338"/>
      <c r="VWZ91" s="338"/>
      <c r="VXA91" s="338"/>
      <c r="VXB91" s="338"/>
      <c r="VXC91" s="338"/>
      <c r="VXD91" s="338"/>
      <c r="VXE91" s="338"/>
      <c r="VXF91" s="338"/>
      <c r="VXG91" s="338"/>
      <c r="VXH91" s="338"/>
      <c r="VXI91" s="338"/>
      <c r="VXJ91" s="338"/>
      <c r="VXK91" s="338"/>
      <c r="VXL91" s="338"/>
      <c r="VXM91" s="338"/>
      <c r="VXN91" s="338"/>
      <c r="VXO91" s="338"/>
      <c r="VXP91" s="338"/>
      <c r="VXQ91" s="338"/>
      <c r="VXR91" s="338"/>
      <c r="VXS91" s="338"/>
      <c r="VXT91" s="338"/>
      <c r="VXU91" s="338"/>
      <c r="VXV91" s="338"/>
      <c r="VXW91" s="338"/>
      <c r="VXX91" s="338"/>
      <c r="VXY91" s="338"/>
      <c r="VXZ91" s="338"/>
      <c r="VYA91" s="338"/>
      <c r="VYB91" s="338"/>
      <c r="VYC91" s="338"/>
      <c r="VYD91" s="338"/>
      <c r="VYE91" s="338"/>
      <c r="VYF91" s="338"/>
      <c r="VYG91" s="338"/>
      <c r="VYH91" s="338"/>
      <c r="VYI91" s="338"/>
      <c r="VYJ91" s="338"/>
      <c r="VYK91" s="338"/>
      <c r="VYL91" s="338"/>
      <c r="VYM91" s="338"/>
      <c r="VYN91" s="338"/>
      <c r="VYO91" s="338"/>
      <c r="VYP91" s="338"/>
      <c r="VYQ91" s="338"/>
      <c r="VYR91" s="338"/>
      <c r="VYS91" s="338"/>
      <c r="VYT91" s="338"/>
      <c r="VYU91" s="338"/>
      <c r="VYV91" s="338"/>
      <c r="VYW91" s="338"/>
      <c r="VYX91" s="338"/>
      <c r="VYY91" s="338"/>
      <c r="VYZ91" s="338"/>
      <c r="VZA91" s="338"/>
      <c r="VZB91" s="338"/>
      <c r="VZC91" s="338"/>
      <c r="VZD91" s="338"/>
      <c r="VZE91" s="338"/>
      <c r="VZF91" s="338"/>
      <c r="VZG91" s="338"/>
      <c r="VZH91" s="338"/>
      <c r="VZI91" s="338"/>
      <c r="VZJ91" s="338"/>
      <c r="VZK91" s="338"/>
      <c r="VZL91" s="338"/>
      <c r="VZM91" s="338"/>
      <c r="VZN91" s="338"/>
      <c r="VZO91" s="338"/>
      <c r="VZP91" s="338"/>
      <c r="VZQ91" s="338"/>
      <c r="VZR91" s="338"/>
      <c r="VZS91" s="338"/>
      <c r="VZT91" s="338"/>
      <c r="VZU91" s="338"/>
      <c r="VZV91" s="338"/>
      <c r="VZW91" s="338"/>
      <c r="VZX91" s="338"/>
      <c r="VZY91" s="338"/>
      <c r="VZZ91" s="338"/>
      <c r="WAA91" s="338"/>
      <c r="WAB91" s="338"/>
      <c r="WAC91" s="338"/>
      <c r="WAD91" s="338"/>
      <c r="WAE91" s="338"/>
      <c r="WAF91" s="338"/>
      <c r="WAG91" s="338"/>
      <c r="WAH91" s="338"/>
      <c r="WAI91" s="338"/>
      <c r="WAJ91" s="338"/>
      <c r="WAK91" s="338"/>
      <c r="WAL91" s="338"/>
      <c r="WAM91" s="338"/>
      <c r="WAN91" s="338"/>
      <c r="WAO91" s="338"/>
      <c r="WAP91" s="338"/>
      <c r="WAQ91" s="338"/>
      <c r="WAR91" s="338"/>
      <c r="WAS91" s="338"/>
      <c r="WAT91" s="338"/>
      <c r="WAU91" s="338"/>
      <c r="WAV91" s="338"/>
      <c r="WAW91" s="338"/>
      <c r="WAX91" s="338"/>
      <c r="WAY91" s="338"/>
      <c r="WAZ91" s="338"/>
      <c r="WBA91" s="338"/>
      <c r="WBB91" s="338"/>
      <c r="WBC91" s="338"/>
      <c r="WBD91" s="338"/>
      <c r="WBE91" s="338"/>
      <c r="WBF91" s="338"/>
      <c r="WBG91" s="338"/>
      <c r="WBH91" s="338"/>
      <c r="WBI91" s="338"/>
      <c r="WBJ91" s="338"/>
      <c r="WBK91" s="338"/>
      <c r="WBL91" s="338"/>
      <c r="WBM91" s="338"/>
      <c r="WBN91" s="338"/>
      <c r="WBO91" s="338"/>
      <c r="WBP91" s="338"/>
      <c r="WBQ91" s="338"/>
      <c r="WBR91" s="338"/>
      <c r="WBS91" s="338"/>
      <c r="WBT91" s="338"/>
      <c r="WBU91" s="338"/>
      <c r="WBV91" s="338"/>
      <c r="WBW91" s="338"/>
      <c r="WBX91" s="338"/>
      <c r="WBY91" s="338"/>
      <c r="WBZ91" s="338"/>
      <c r="WCA91" s="338"/>
      <c r="WCB91" s="338"/>
      <c r="WCC91" s="338"/>
      <c r="WCD91" s="338"/>
      <c r="WCE91" s="338"/>
      <c r="WCF91" s="338"/>
      <c r="WCG91" s="338"/>
      <c r="WCH91" s="338"/>
      <c r="WCI91" s="338"/>
      <c r="WCJ91" s="338"/>
      <c r="WCK91" s="338"/>
      <c r="WCL91" s="338"/>
      <c r="WCM91" s="338"/>
      <c r="WCN91" s="338"/>
      <c r="WCO91" s="338"/>
      <c r="WCP91" s="338"/>
      <c r="WCQ91" s="338"/>
      <c r="WCR91" s="338"/>
      <c r="WCS91" s="338"/>
      <c r="WCT91" s="338"/>
      <c r="WCU91" s="338"/>
      <c r="WCV91" s="338"/>
      <c r="WCW91" s="338"/>
      <c r="WCX91" s="338"/>
      <c r="WCY91" s="338"/>
      <c r="WCZ91" s="338"/>
      <c r="WDA91" s="338"/>
      <c r="WDB91" s="338"/>
      <c r="WDC91" s="338"/>
      <c r="WDD91" s="338"/>
      <c r="WDE91" s="338"/>
      <c r="WDF91" s="338"/>
      <c r="WDG91" s="338"/>
      <c r="WDH91" s="338"/>
      <c r="WDI91" s="338"/>
      <c r="WDJ91" s="338"/>
      <c r="WDK91" s="338"/>
      <c r="WDL91" s="338"/>
      <c r="WDM91" s="338"/>
      <c r="WDN91" s="338"/>
      <c r="WDO91" s="338"/>
      <c r="WDP91" s="338"/>
      <c r="WDQ91" s="338"/>
      <c r="WDR91" s="338"/>
      <c r="WDS91" s="338"/>
      <c r="WDT91" s="338"/>
      <c r="WDU91" s="338"/>
      <c r="WDV91" s="338"/>
      <c r="WDW91" s="338"/>
      <c r="WDX91" s="338"/>
      <c r="WDY91" s="338"/>
      <c r="WDZ91" s="338"/>
      <c r="WEA91" s="338"/>
      <c r="WEB91" s="338"/>
      <c r="WEC91" s="338"/>
      <c r="WED91" s="338"/>
      <c r="WEE91" s="338"/>
      <c r="WEF91" s="338"/>
      <c r="WEG91" s="338"/>
      <c r="WEH91" s="338"/>
      <c r="WEI91" s="338"/>
      <c r="WEJ91" s="338"/>
      <c r="WEK91" s="338"/>
      <c r="WEL91" s="338"/>
      <c r="WEM91" s="338"/>
      <c r="WEN91" s="338"/>
      <c r="WEO91" s="338"/>
      <c r="WEP91" s="338"/>
      <c r="WEQ91" s="338"/>
      <c r="WER91" s="338"/>
      <c r="WES91" s="338"/>
      <c r="WET91" s="338"/>
      <c r="WEU91" s="338"/>
      <c r="WEV91" s="338"/>
      <c r="WEW91" s="338"/>
      <c r="WEX91" s="338"/>
      <c r="WEY91" s="338"/>
      <c r="WEZ91" s="338"/>
      <c r="WFA91" s="338"/>
      <c r="WFB91" s="338"/>
      <c r="WFC91" s="338"/>
      <c r="WFD91" s="338"/>
      <c r="WFE91" s="338"/>
      <c r="WFF91" s="338"/>
      <c r="WFG91" s="338"/>
      <c r="WFH91" s="338"/>
      <c r="WFI91" s="338"/>
      <c r="WFJ91" s="338"/>
      <c r="WFK91" s="338"/>
      <c r="WFL91" s="338"/>
      <c r="WFM91" s="338"/>
      <c r="WFN91" s="338"/>
      <c r="WFO91" s="338"/>
      <c r="WFP91" s="338"/>
      <c r="WFQ91" s="338"/>
      <c r="WFR91" s="338"/>
      <c r="WFS91" s="338"/>
      <c r="WFT91" s="338"/>
      <c r="WFU91" s="338"/>
      <c r="WFV91" s="338"/>
      <c r="WFW91" s="338"/>
      <c r="WFX91" s="338"/>
      <c r="WFY91" s="338"/>
      <c r="WFZ91" s="338"/>
      <c r="WGA91" s="338"/>
      <c r="WGB91" s="338"/>
      <c r="WGC91" s="338"/>
      <c r="WGD91" s="338"/>
      <c r="WGE91" s="338"/>
      <c r="WGF91" s="338"/>
      <c r="WGG91" s="338"/>
      <c r="WGH91" s="338"/>
      <c r="WGI91" s="338"/>
      <c r="WGJ91" s="338"/>
      <c r="WGK91" s="338"/>
      <c r="WGL91" s="338"/>
      <c r="WGM91" s="338"/>
      <c r="WGN91" s="338"/>
      <c r="WGO91" s="338"/>
      <c r="WGP91" s="338"/>
      <c r="WGQ91" s="338"/>
      <c r="WGR91" s="338"/>
      <c r="WGS91" s="338"/>
      <c r="WGT91" s="338"/>
      <c r="WGU91" s="338"/>
      <c r="WGV91" s="338"/>
      <c r="WGW91" s="338"/>
      <c r="WGX91" s="338"/>
      <c r="WGY91" s="338"/>
      <c r="WGZ91" s="338"/>
      <c r="WHA91" s="338"/>
      <c r="WHB91" s="338"/>
      <c r="WHC91" s="338"/>
      <c r="WHD91" s="338"/>
      <c r="WHE91" s="338"/>
      <c r="WHF91" s="338"/>
      <c r="WHG91" s="338"/>
      <c r="WHH91" s="338"/>
      <c r="WHI91" s="338"/>
      <c r="WHJ91" s="338"/>
      <c r="WHK91" s="338"/>
      <c r="WHL91" s="338"/>
      <c r="WHM91" s="338"/>
      <c r="WHN91" s="338"/>
      <c r="WHO91" s="338"/>
      <c r="WHP91" s="338"/>
      <c r="WHQ91" s="338"/>
      <c r="WHR91" s="338"/>
      <c r="WHS91" s="338"/>
      <c r="WHT91" s="338"/>
      <c r="WHU91" s="338"/>
      <c r="WHV91" s="338"/>
      <c r="WHW91" s="338"/>
      <c r="WHX91" s="338"/>
      <c r="WHY91" s="338"/>
      <c r="WHZ91" s="338"/>
      <c r="WIA91" s="338"/>
      <c r="WIB91" s="338"/>
      <c r="WIC91" s="338"/>
      <c r="WID91" s="338"/>
      <c r="WIE91" s="338"/>
      <c r="WIF91" s="338"/>
      <c r="WIG91" s="338"/>
      <c r="WIH91" s="338"/>
      <c r="WII91" s="338"/>
      <c r="WIJ91" s="338"/>
      <c r="WIK91" s="338"/>
      <c r="WIL91" s="338"/>
      <c r="WIM91" s="338"/>
      <c r="WIN91" s="338"/>
      <c r="WIO91" s="338"/>
      <c r="WIP91" s="338"/>
      <c r="WIQ91" s="338"/>
      <c r="WIR91" s="338"/>
      <c r="WIS91" s="338"/>
      <c r="WIT91" s="338"/>
      <c r="WIU91" s="338"/>
      <c r="WIV91" s="338"/>
      <c r="WIW91" s="338"/>
      <c r="WIX91" s="338"/>
      <c r="WIY91" s="338"/>
      <c r="WIZ91" s="338"/>
      <c r="WJA91" s="338"/>
      <c r="WJB91" s="338"/>
      <c r="WJC91" s="338"/>
      <c r="WJD91" s="338"/>
      <c r="WJE91" s="338"/>
      <c r="WJF91" s="338"/>
      <c r="WJG91" s="338"/>
      <c r="WJH91" s="338"/>
      <c r="WJI91" s="338"/>
      <c r="WJJ91" s="338"/>
      <c r="WJK91" s="338"/>
      <c r="WJL91" s="338"/>
      <c r="WJM91" s="338"/>
      <c r="WJN91" s="338"/>
      <c r="WJO91" s="338"/>
      <c r="WJP91" s="338"/>
      <c r="WJQ91" s="338"/>
      <c r="WJR91" s="338"/>
      <c r="WJS91" s="338"/>
      <c r="WJT91" s="338"/>
      <c r="WJU91" s="338"/>
      <c r="WJV91" s="338"/>
      <c r="WJW91" s="338"/>
      <c r="WJX91" s="338"/>
      <c r="WJY91" s="338"/>
      <c r="WJZ91" s="338"/>
      <c r="WKA91" s="338"/>
      <c r="WKB91" s="338"/>
      <c r="WKC91" s="338"/>
      <c r="WKD91" s="338"/>
      <c r="WKE91" s="338"/>
      <c r="WKF91" s="338"/>
      <c r="WKG91" s="338"/>
      <c r="WKH91" s="338"/>
      <c r="WKI91" s="338"/>
      <c r="WKJ91" s="338"/>
      <c r="WKK91" s="338"/>
      <c r="WKL91" s="338"/>
      <c r="WKM91" s="338"/>
      <c r="WKN91" s="338"/>
      <c r="WKO91" s="338"/>
      <c r="WKP91" s="338"/>
      <c r="WKQ91" s="338"/>
      <c r="WKR91" s="338"/>
      <c r="WKS91" s="338"/>
      <c r="WKT91" s="338"/>
      <c r="WKU91" s="338"/>
      <c r="WKV91" s="338"/>
      <c r="WKW91" s="338"/>
      <c r="WKX91" s="338"/>
      <c r="WKY91" s="338"/>
      <c r="WKZ91" s="338"/>
      <c r="WLA91" s="338"/>
      <c r="WLB91" s="338"/>
      <c r="WLC91" s="338"/>
      <c r="WLD91" s="338"/>
      <c r="WLE91" s="338"/>
      <c r="WLF91" s="338"/>
      <c r="WLG91" s="338"/>
      <c r="WLH91" s="338"/>
      <c r="WLI91" s="338"/>
      <c r="WLJ91" s="338"/>
      <c r="WLK91" s="338"/>
      <c r="WLL91" s="338"/>
      <c r="WLM91" s="338"/>
      <c r="WLN91" s="338"/>
      <c r="WLO91" s="338"/>
      <c r="WLP91" s="338"/>
      <c r="WLQ91" s="338"/>
      <c r="WLR91" s="338"/>
      <c r="WLS91" s="338"/>
      <c r="WLT91" s="338"/>
      <c r="WLU91" s="338"/>
      <c r="WLV91" s="338"/>
      <c r="WLW91" s="338"/>
      <c r="WLX91" s="338"/>
      <c r="WLY91" s="338"/>
      <c r="WLZ91" s="338"/>
      <c r="WMA91" s="338"/>
      <c r="WMB91" s="338"/>
      <c r="WMC91" s="338"/>
      <c r="WMD91" s="338"/>
      <c r="WME91" s="338"/>
      <c r="WMF91" s="338"/>
      <c r="WMG91" s="338"/>
      <c r="WMH91" s="338"/>
      <c r="WMI91" s="338"/>
      <c r="WMJ91" s="338"/>
      <c r="WMK91" s="338"/>
      <c r="WML91" s="338"/>
      <c r="WMM91" s="338"/>
      <c r="WMN91" s="338"/>
      <c r="WMO91" s="338"/>
      <c r="WMP91" s="338"/>
      <c r="WMQ91" s="338"/>
      <c r="WMR91" s="338"/>
      <c r="WMS91" s="338"/>
      <c r="WMT91" s="338"/>
      <c r="WMU91" s="338"/>
      <c r="WMV91" s="338"/>
      <c r="WMW91" s="338"/>
      <c r="WMX91" s="338"/>
      <c r="WMY91" s="338"/>
      <c r="WMZ91" s="338"/>
      <c r="WNA91" s="338"/>
      <c r="WNB91" s="338"/>
      <c r="WNC91" s="338"/>
      <c r="WND91" s="338"/>
      <c r="WNE91" s="338"/>
      <c r="WNF91" s="338"/>
      <c r="WNG91" s="338"/>
      <c r="WNH91" s="338"/>
      <c r="WNI91" s="338"/>
      <c r="WNJ91" s="338"/>
      <c r="WNK91" s="338"/>
      <c r="WNL91" s="338"/>
      <c r="WNM91" s="338"/>
      <c r="WNN91" s="338"/>
      <c r="WNO91" s="338"/>
      <c r="WNP91" s="338"/>
      <c r="WNQ91" s="338"/>
      <c r="WNR91" s="338"/>
      <c r="WNS91" s="338"/>
      <c r="WNT91" s="338"/>
      <c r="WNU91" s="338"/>
      <c r="WNV91" s="338"/>
      <c r="WNW91" s="338"/>
      <c r="WNX91" s="338"/>
      <c r="WNY91" s="338"/>
      <c r="WNZ91" s="338"/>
      <c r="WOA91" s="338"/>
      <c r="WOB91" s="338"/>
      <c r="WOC91" s="338"/>
      <c r="WOD91" s="338"/>
      <c r="WOE91" s="338"/>
      <c r="WOF91" s="338"/>
      <c r="WOG91" s="338"/>
      <c r="WOH91" s="338"/>
      <c r="WOI91" s="338"/>
      <c r="WOJ91" s="338"/>
      <c r="WOK91" s="338"/>
      <c r="WOL91" s="338"/>
      <c r="WOM91" s="338"/>
      <c r="WON91" s="338"/>
      <c r="WOO91" s="338"/>
      <c r="WOP91" s="338"/>
      <c r="WOQ91" s="338"/>
      <c r="WOR91" s="338"/>
      <c r="WOS91" s="338"/>
      <c r="WOT91" s="338"/>
      <c r="WOU91" s="338"/>
      <c r="WOV91" s="338"/>
      <c r="WOW91" s="338"/>
      <c r="WOX91" s="338"/>
      <c r="WOY91" s="338"/>
      <c r="WOZ91" s="338"/>
      <c r="WPA91" s="338"/>
      <c r="WPB91" s="338"/>
      <c r="WPC91" s="338"/>
      <c r="WPD91" s="338"/>
      <c r="WPE91" s="338"/>
      <c r="WPF91" s="338"/>
      <c r="WPG91" s="338"/>
      <c r="WPH91" s="338"/>
      <c r="WPI91" s="338"/>
      <c r="WPJ91" s="338"/>
      <c r="WPK91" s="338"/>
      <c r="WPL91" s="338"/>
      <c r="WPM91" s="338"/>
      <c r="WPN91" s="338"/>
      <c r="WPO91" s="338"/>
      <c r="WPP91" s="338"/>
      <c r="WPQ91" s="338"/>
      <c r="WPR91" s="338"/>
      <c r="WPS91" s="338"/>
      <c r="WPT91" s="338"/>
      <c r="WPU91" s="338"/>
      <c r="WPV91" s="338"/>
      <c r="WPW91" s="338"/>
      <c r="WPX91" s="338"/>
      <c r="WPY91" s="338"/>
      <c r="WPZ91" s="338"/>
      <c r="WQA91" s="338"/>
      <c r="WQB91" s="338"/>
      <c r="WQC91" s="338"/>
      <c r="WQD91" s="338"/>
      <c r="WQE91" s="338"/>
      <c r="WQF91" s="338"/>
      <c r="WQG91" s="338"/>
      <c r="WQH91" s="338"/>
      <c r="WQI91" s="338"/>
      <c r="WQJ91" s="338"/>
      <c r="WQK91" s="338"/>
      <c r="WQL91" s="338"/>
      <c r="WQM91" s="338"/>
      <c r="WQN91" s="338"/>
      <c r="WQO91" s="338"/>
      <c r="WQP91" s="338"/>
      <c r="WQQ91" s="338"/>
      <c r="WQR91" s="338"/>
      <c r="WQS91" s="338"/>
      <c r="WQT91" s="338"/>
      <c r="WQU91" s="338"/>
      <c r="WQV91" s="338"/>
      <c r="WQW91" s="338"/>
      <c r="WQX91" s="338"/>
      <c r="WQY91" s="338"/>
      <c r="WQZ91" s="338"/>
      <c r="WRA91" s="338"/>
      <c r="WRB91" s="338"/>
      <c r="WRC91" s="338"/>
      <c r="WRD91" s="338"/>
      <c r="WRE91" s="338"/>
      <c r="WRF91" s="338"/>
      <c r="WRG91" s="338"/>
      <c r="WRH91" s="338"/>
      <c r="WRI91" s="338"/>
      <c r="WRJ91" s="338"/>
      <c r="WRK91" s="338"/>
      <c r="WRL91" s="338"/>
      <c r="WRM91" s="338"/>
      <c r="WRN91" s="338"/>
      <c r="WRO91" s="338"/>
      <c r="WRP91" s="338"/>
      <c r="WRQ91" s="338"/>
      <c r="WRR91" s="338"/>
      <c r="WRS91" s="338"/>
      <c r="WRT91" s="338"/>
      <c r="WRU91" s="338"/>
      <c r="WRV91" s="338"/>
      <c r="WRW91" s="338"/>
      <c r="WRX91" s="338"/>
      <c r="WRY91" s="338"/>
      <c r="WRZ91" s="338"/>
      <c r="WSA91" s="338"/>
      <c r="WSB91" s="338"/>
      <c r="WSC91" s="338"/>
      <c r="WSD91" s="338"/>
      <c r="WSE91" s="338"/>
      <c r="WSF91" s="338"/>
      <c r="WSG91" s="338"/>
      <c r="WSH91" s="338"/>
      <c r="WSI91" s="338"/>
      <c r="WSJ91" s="338"/>
      <c r="WSK91" s="338"/>
      <c r="WSL91" s="338"/>
      <c r="WSM91" s="338"/>
      <c r="WSN91" s="338"/>
      <c r="WSO91" s="338"/>
      <c r="WSP91" s="338"/>
      <c r="WSQ91" s="338"/>
      <c r="WSR91" s="338"/>
      <c r="WSS91" s="338"/>
      <c r="WST91" s="338"/>
      <c r="WSU91" s="338"/>
      <c r="WSV91" s="338"/>
      <c r="WSW91" s="338"/>
      <c r="WSX91" s="338"/>
      <c r="WSY91" s="338"/>
      <c r="WSZ91" s="338"/>
      <c r="WTA91" s="338"/>
      <c r="WTB91" s="338"/>
      <c r="WTC91" s="338"/>
      <c r="WTD91" s="338"/>
      <c r="WTE91" s="338"/>
      <c r="WTF91" s="338"/>
      <c r="WTG91" s="338"/>
      <c r="WTH91" s="338"/>
      <c r="WTI91" s="338"/>
      <c r="WTJ91" s="338"/>
      <c r="WTK91" s="338"/>
      <c r="WTL91" s="338"/>
      <c r="WTM91" s="338"/>
      <c r="WTN91" s="338"/>
      <c r="WTO91" s="338"/>
      <c r="WTP91" s="338"/>
      <c r="WTQ91" s="338"/>
      <c r="WTR91" s="338"/>
      <c r="WTS91" s="338"/>
      <c r="WTT91" s="338"/>
      <c r="WTU91" s="338"/>
      <c r="WTV91" s="338"/>
      <c r="WTW91" s="338"/>
      <c r="WTX91" s="338"/>
      <c r="WTY91" s="338"/>
      <c r="WTZ91" s="338"/>
      <c r="WUA91" s="338"/>
      <c r="WUB91" s="338"/>
      <c r="WUC91" s="338"/>
      <c r="WUD91" s="338"/>
      <c r="WUE91" s="338"/>
      <c r="WUF91" s="338"/>
      <c r="WUG91" s="338"/>
      <c r="WUH91" s="338"/>
      <c r="WUI91" s="338"/>
      <c r="WUJ91" s="338"/>
      <c r="WUK91" s="338"/>
      <c r="WUL91" s="338"/>
      <c r="WUM91" s="338"/>
      <c r="WUN91" s="338"/>
      <c r="WUO91" s="338"/>
      <c r="WUP91" s="338"/>
      <c r="WUQ91" s="338"/>
      <c r="WUR91" s="338"/>
      <c r="WUS91" s="338"/>
      <c r="WUT91" s="338"/>
      <c r="WUU91" s="338"/>
      <c r="WUV91" s="338"/>
      <c r="WUW91" s="338"/>
      <c r="WUX91" s="338"/>
      <c r="WUY91" s="338"/>
      <c r="WUZ91" s="338"/>
      <c r="WVA91" s="338"/>
      <c r="WVB91" s="338"/>
      <c r="WVC91" s="338"/>
      <c r="WVD91" s="338"/>
      <c r="WVE91" s="338"/>
      <c r="WVF91" s="338"/>
      <c r="WVG91" s="338"/>
      <c r="WVH91" s="338"/>
      <c r="WVI91" s="338"/>
      <c r="WVJ91" s="338"/>
      <c r="WVK91" s="338"/>
      <c r="WVL91" s="338"/>
      <c r="WVM91" s="338"/>
      <c r="WVN91" s="338"/>
      <c r="WVO91" s="338"/>
      <c r="WVP91" s="338"/>
      <c r="WVQ91" s="338"/>
      <c r="WVR91" s="338"/>
      <c r="WVS91" s="338"/>
      <c r="WVT91" s="338"/>
      <c r="WVU91" s="338"/>
      <c r="WVV91" s="338"/>
      <c r="WVW91" s="338"/>
      <c r="WVX91" s="338"/>
      <c r="WVY91" s="338"/>
      <c r="WVZ91" s="338"/>
      <c r="WWA91" s="338"/>
      <c r="WWB91" s="338"/>
      <c r="WWC91" s="338"/>
      <c r="WWD91" s="338"/>
      <c r="WWE91" s="338"/>
      <c r="WWF91" s="338"/>
      <c r="WWG91" s="338"/>
      <c r="WWH91" s="338"/>
      <c r="WWI91" s="338"/>
      <c r="WWJ91" s="338"/>
      <c r="WWK91" s="338"/>
      <c r="WWL91" s="338"/>
      <c r="WWM91" s="338"/>
      <c r="WWN91" s="338"/>
      <c r="WWO91" s="338"/>
      <c r="WWP91" s="338"/>
      <c r="WWQ91" s="338"/>
      <c r="WWR91" s="338"/>
      <c r="WWS91" s="338"/>
      <c r="WWT91" s="338"/>
      <c r="WWU91" s="338"/>
      <c r="WWV91" s="338"/>
      <c r="WWW91" s="338"/>
      <c r="WWX91" s="338"/>
      <c r="WWY91" s="338"/>
      <c r="WWZ91" s="338"/>
      <c r="WXA91" s="338"/>
      <c r="WXB91" s="338"/>
      <c r="WXC91" s="338"/>
      <c r="WXD91" s="338"/>
      <c r="WXE91" s="338"/>
      <c r="WXF91" s="338"/>
      <c r="WXG91" s="338"/>
      <c r="WXH91" s="338"/>
      <c r="WXI91" s="338"/>
      <c r="WXJ91" s="338"/>
      <c r="WXK91" s="338"/>
      <c r="WXL91" s="338"/>
      <c r="WXM91" s="338"/>
      <c r="WXN91" s="338"/>
      <c r="WXO91" s="338"/>
      <c r="WXP91" s="338"/>
      <c r="WXQ91" s="338"/>
      <c r="WXR91" s="338"/>
      <c r="WXS91" s="338"/>
      <c r="WXT91" s="338"/>
      <c r="WXU91" s="338"/>
      <c r="WXV91" s="338"/>
      <c r="WXW91" s="338"/>
      <c r="WXX91" s="338"/>
      <c r="WXY91" s="338"/>
      <c r="WXZ91" s="338"/>
      <c r="WYA91" s="338"/>
      <c r="WYB91" s="338"/>
      <c r="WYC91" s="338"/>
      <c r="WYD91" s="338"/>
      <c r="WYE91" s="338"/>
      <c r="WYF91" s="338"/>
      <c r="WYG91" s="338"/>
      <c r="WYH91" s="338"/>
      <c r="WYI91" s="338"/>
      <c r="WYJ91" s="338"/>
      <c r="WYK91" s="338"/>
      <c r="WYL91" s="338"/>
      <c r="WYM91" s="338"/>
      <c r="WYN91" s="338"/>
      <c r="WYO91" s="338"/>
      <c r="WYP91" s="338"/>
      <c r="WYQ91" s="338"/>
      <c r="WYR91" s="338"/>
      <c r="WYS91" s="338"/>
      <c r="WYT91" s="338"/>
      <c r="WYU91" s="338"/>
      <c r="WYV91" s="338"/>
      <c r="WYW91" s="338"/>
      <c r="WYX91" s="338"/>
      <c r="WYY91" s="338"/>
      <c r="WYZ91" s="338"/>
      <c r="WZA91" s="338"/>
      <c r="WZB91" s="338"/>
      <c r="WZC91" s="338"/>
      <c r="WZD91" s="338"/>
      <c r="WZE91" s="338"/>
      <c r="WZF91" s="338"/>
      <c r="WZG91" s="338"/>
      <c r="WZH91" s="338"/>
      <c r="WZI91" s="338"/>
      <c r="WZJ91" s="338"/>
      <c r="WZK91" s="338"/>
      <c r="WZL91" s="338"/>
      <c r="WZM91" s="338"/>
      <c r="WZN91" s="338"/>
      <c r="WZO91" s="338"/>
      <c r="WZP91" s="338"/>
      <c r="WZQ91" s="338"/>
      <c r="WZR91" s="338"/>
      <c r="WZS91" s="338"/>
      <c r="WZT91" s="338"/>
      <c r="WZU91" s="338"/>
      <c r="WZV91" s="338"/>
      <c r="WZW91" s="338"/>
      <c r="WZX91" s="338"/>
      <c r="WZY91" s="338"/>
      <c r="WZZ91" s="338"/>
      <c r="XAA91" s="338"/>
      <c r="XAB91" s="338"/>
      <c r="XAC91" s="338"/>
      <c r="XAD91" s="338"/>
      <c r="XAE91" s="338"/>
      <c r="XAF91" s="338"/>
      <c r="XAG91" s="338"/>
      <c r="XAH91" s="338"/>
      <c r="XAI91" s="338"/>
      <c r="XAJ91" s="338"/>
      <c r="XAK91" s="338"/>
      <c r="XAL91" s="338"/>
      <c r="XAM91" s="338"/>
      <c r="XAN91" s="338"/>
      <c r="XAO91" s="338"/>
      <c r="XAP91" s="338"/>
      <c r="XAQ91" s="338"/>
      <c r="XAR91" s="338"/>
      <c r="XAS91" s="338"/>
      <c r="XAT91" s="338"/>
      <c r="XAU91" s="338"/>
      <c r="XAV91" s="338"/>
      <c r="XAW91" s="338"/>
      <c r="XAX91" s="338"/>
      <c r="XAY91" s="338"/>
      <c r="XAZ91" s="338"/>
      <c r="XBA91" s="338"/>
      <c r="XBB91" s="338"/>
      <c r="XBC91" s="338"/>
      <c r="XBD91" s="338"/>
      <c r="XBE91" s="338"/>
      <c r="XBF91" s="338"/>
      <c r="XBG91" s="338"/>
      <c r="XBH91" s="338"/>
      <c r="XBI91" s="338"/>
      <c r="XBJ91" s="338"/>
      <c r="XBK91" s="338"/>
      <c r="XBL91" s="338"/>
      <c r="XBM91" s="338"/>
      <c r="XBN91" s="338"/>
      <c r="XBO91" s="338"/>
      <c r="XBP91" s="338"/>
      <c r="XBQ91" s="338"/>
      <c r="XBR91" s="338"/>
      <c r="XBS91" s="338"/>
      <c r="XBT91" s="338"/>
      <c r="XBU91" s="338"/>
      <c r="XBV91" s="338"/>
      <c r="XBW91" s="338"/>
      <c r="XBX91" s="338"/>
      <c r="XBY91" s="338"/>
      <c r="XBZ91" s="338"/>
      <c r="XCA91" s="338"/>
      <c r="XCB91" s="338"/>
      <c r="XCC91" s="338"/>
      <c r="XCD91" s="338"/>
      <c r="XCE91" s="338"/>
      <c r="XCF91" s="338"/>
      <c r="XCG91" s="338"/>
      <c r="XCH91" s="338"/>
      <c r="XCI91" s="338"/>
      <c r="XCJ91" s="338"/>
      <c r="XCK91" s="338"/>
      <c r="XCL91" s="338"/>
      <c r="XCM91" s="338"/>
      <c r="XCN91" s="338"/>
      <c r="XCO91" s="338"/>
      <c r="XCP91" s="338"/>
      <c r="XCQ91" s="338"/>
      <c r="XCR91" s="338"/>
      <c r="XCS91" s="338"/>
      <c r="XCT91" s="338"/>
      <c r="XCU91" s="338"/>
      <c r="XCV91" s="338"/>
      <c r="XCW91" s="338"/>
      <c r="XCX91" s="338"/>
      <c r="XCY91" s="338"/>
      <c r="XCZ91" s="338"/>
      <c r="XDA91" s="338"/>
      <c r="XDB91" s="338"/>
      <c r="XDC91" s="338"/>
      <c r="XDD91" s="338"/>
      <c r="XDE91" s="338"/>
      <c r="XDF91" s="338"/>
      <c r="XDG91" s="338"/>
      <c r="XDH91" s="338"/>
      <c r="XDI91" s="338"/>
      <c r="XDJ91" s="338"/>
      <c r="XDK91" s="338"/>
      <c r="XDL91" s="338"/>
      <c r="XDM91" s="338"/>
      <c r="XDN91" s="338"/>
      <c r="XDO91" s="338"/>
      <c r="XDP91" s="338"/>
      <c r="XDQ91" s="338"/>
      <c r="XDR91" s="338"/>
      <c r="XDS91" s="338"/>
      <c r="XDT91" s="338"/>
      <c r="XDU91" s="338"/>
      <c r="XDV91" s="338"/>
      <c r="XDW91" s="338"/>
      <c r="XDX91" s="338"/>
      <c r="XDY91" s="338"/>
      <c r="XDZ91" s="338"/>
      <c r="XEA91" s="338"/>
      <c r="XEB91" s="338"/>
      <c r="XEC91" s="338"/>
      <c r="XED91" s="338"/>
      <c r="XEE91" s="338"/>
      <c r="XEF91" s="338"/>
      <c r="XEG91" s="338"/>
      <c r="XEH91" s="338"/>
      <c r="XEI91" s="338"/>
      <c r="XEJ91" s="338"/>
      <c r="XEK91" s="338"/>
      <c r="XEL91" s="338"/>
      <c r="XEM91" s="338"/>
      <c r="XEN91" s="338"/>
      <c r="XEO91" s="338"/>
      <c r="XEP91" s="338"/>
      <c r="XEQ91" s="338"/>
      <c r="XER91" s="338"/>
      <c r="XES91" s="338"/>
      <c r="XET91" s="338"/>
      <c r="XEU91" s="338"/>
      <c r="XEV91" s="338"/>
      <c r="XEW91" s="338"/>
      <c r="XEX91" s="338"/>
      <c r="XEY91" s="338"/>
      <c r="XEZ91" s="338"/>
      <c r="XFA91" s="338"/>
      <c r="XFB91" s="338"/>
      <c r="XFC91" s="338"/>
      <c r="XFD91" s="338"/>
    </row>
    <row r="92" spans="1:16384" s="338" customFormat="1" ht="18.75" customHeight="1">
      <c r="A92" s="337"/>
      <c r="B92" s="337"/>
      <c r="C92" s="337"/>
      <c r="D92" s="337"/>
      <c r="E92" s="337"/>
      <c r="F92" s="337"/>
      <c r="G92" s="337"/>
      <c r="H92" s="337"/>
      <c r="I92" s="337"/>
      <c r="J92" s="337"/>
      <c r="K92" s="337"/>
      <c r="L92" s="337"/>
      <c r="M92" s="337"/>
      <c r="N92" s="337"/>
      <c r="O92" s="337"/>
      <c r="P92" s="337"/>
      <c r="Q92" s="337"/>
      <c r="R92" s="337"/>
      <c r="S92" s="337"/>
      <c r="T92" s="337"/>
      <c r="U92" s="337"/>
      <c r="V92" s="337"/>
      <c r="W92" s="337"/>
      <c r="X92" s="337"/>
      <c r="Y92" s="337"/>
      <c r="Z92" s="337"/>
      <c r="AA92" s="337"/>
      <c r="AB92" s="337"/>
      <c r="AC92" s="337"/>
      <c r="AD92" s="337"/>
      <c r="AE92" s="337"/>
      <c r="AF92" s="337"/>
      <c r="AG92" s="337"/>
      <c r="AH92" s="337"/>
      <c r="AI92" s="337"/>
      <c r="AJ92" s="337"/>
      <c r="AK92" s="337"/>
      <c r="AL92" s="337"/>
      <c r="AM92" s="337"/>
      <c r="AN92" s="337"/>
      <c r="AO92" s="337"/>
      <c r="AP92" s="337"/>
      <c r="AQ92" s="337"/>
      <c r="AR92" s="337"/>
      <c r="AS92" s="337"/>
      <c r="AT92" s="337"/>
      <c r="AU92" s="337"/>
      <c r="AV92" s="337"/>
      <c r="AW92" s="337"/>
      <c r="AX92" s="337"/>
      <c r="AY92" s="337"/>
      <c r="AZ92" s="337"/>
      <c r="BA92" s="337"/>
      <c r="BB92" s="337"/>
      <c r="BC92" s="337"/>
      <c r="BD92" s="337"/>
      <c r="BE92" s="337"/>
      <c r="BF92" s="337"/>
      <c r="BG92" s="337"/>
      <c r="BH92" s="337"/>
      <c r="BI92" s="337"/>
      <c r="BJ92" s="337"/>
      <c r="BK92" s="337"/>
      <c r="BL92" s="337"/>
      <c r="BM92" s="337"/>
      <c r="BN92" s="337"/>
      <c r="BO92" s="337"/>
      <c r="BP92" s="337"/>
      <c r="BQ92" s="337"/>
      <c r="BR92" s="337"/>
      <c r="BS92" s="337"/>
      <c r="BT92" s="337"/>
      <c r="BU92" s="337"/>
      <c r="BV92" s="337"/>
      <c r="BW92" s="337"/>
      <c r="BX92" s="337"/>
      <c r="BY92" s="337"/>
      <c r="BZ92" s="337"/>
      <c r="CA92" s="337"/>
      <c r="CB92" s="337"/>
      <c r="CC92" s="337"/>
      <c r="CD92" s="337"/>
      <c r="CE92" s="337"/>
      <c r="CF92" s="337"/>
      <c r="CG92" s="337"/>
      <c r="CH92" s="337"/>
      <c r="CI92" s="337"/>
      <c r="CJ92" s="337"/>
      <c r="CK92" s="337"/>
      <c r="CL92" s="337"/>
      <c r="CM92" s="337"/>
      <c r="CN92" s="337"/>
      <c r="CO92" s="337"/>
      <c r="CP92" s="337"/>
      <c r="CQ92" s="337"/>
      <c r="CR92" s="337"/>
      <c r="CS92" s="337"/>
      <c r="CT92" s="337"/>
      <c r="CU92" s="337"/>
      <c r="CV92" s="337"/>
      <c r="CW92" s="337"/>
      <c r="CX92" s="337"/>
      <c r="CY92" s="337"/>
      <c r="CZ92" s="337"/>
      <c r="DA92" s="337"/>
      <c r="DB92" s="337"/>
      <c r="DC92" s="337"/>
      <c r="DD92" s="337"/>
      <c r="DE92" s="337"/>
      <c r="DF92" s="337"/>
      <c r="DG92" s="337"/>
      <c r="DH92" s="337"/>
      <c r="DI92" s="337"/>
      <c r="DJ92" s="337"/>
      <c r="DK92" s="337"/>
      <c r="DL92" s="337"/>
      <c r="DM92" s="337"/>
      <c r="DN92" s="337"/>
      <c r="DO92" s="337"/>
      <c r="DP92" s="337"/>
      <c r="DQ92" s="337"/>
      <c r="DR92" s="337"/>
      <c r="DS92" s="337"/>
      <c r="DT92" s="337"/>
      <c r="DU92" s="337"/>
      <c r="DV92" s="337"/>
      <c r="DW92" s="337"/>
      <c r="DX92" s="337"/>
      <c r="DY92" s="337"/>
      <c r="DZ92" s="337"/>
      <c r="EA92" s="337"/>
      <c r="EB92" s="337"/>
      <c r="EC92" s="337"/>
      <c r="ED92" s="337"/>
      <c r="EE92" s="337"/>
      <c r="EF92" s="337"/>
      <c r="EG92" s="337"/>
      <c r="EH92" s="337"/>
      <c r="EI92" s="337"/>
      <c r="EJ92" s="337"/>
      <c r="EK92" s="337"/>
      <c r="EL92" s="337"/>
      <c r="EM92" s="337"/>
      <c r="EN92" s="337"/>
      <c r="EO92" s="337"/>
      <c r="EP92" s="337"/>
      <c r="EQ92" s="337"/>
      <c r="ER92" s="337"/>
      <c r="ES92" s="337"/>
      <c r="ET92" s="337"/>
      <c r="EU92" s="337"/>
      <c r="EV92" s="337"/>
      <c r="EW92" s="337"/>
      <c r="EX92" s="337"/>
      <c r="EY92" s="337"/>
      <c r="EZ92" s="337"/>
      <c r="FA92" s="337"/>
      <c r="FB92" s="337"/>
      <c r="FC92" s="337"/>
      <c r="FD92" s="337"/>
      <c r="FE92" s="337"/>
      <c r="FF92" s="337"/>
      <c r="FG92" s="337"/>
      <c r="FH92" s="337"/>
      <c r="FI92" s="337"/>
      <c r="FJ92" s="337"/>
      <c r="FK92" s="337"/>
      <c r="FL92" s="337"/>
      <c r="FM92" s="337"/>
      <c r="FN92" s="337"/>
      <c r="FO92" s="337"/>
      <c r="FP92" s="337"/>
      <c r="FQ92" s="337"/>
      <c r="FR92" s="337"/>
      <c r="FS92" s="337"/>
      <c r="FT92" s="337"/>
      <c r="FU92" s="337"/>
      <c r="FV92" s="337"/>
      <c r="FW92" s="337"/>
      <c r="FX92" s="337"/>
      <c r="FY92" s="337"/>
      <c r="FZ92" s="337"/>
      <c r="GA92" s="337"/>
      <c r="GB92" s="337"/>
      <c r="GC92" s="337"/>
      <c r="GD92" s="337"/>
      <c r="GE92" s="337"/>
      <c r="GF92" s="337"/>
      <c r="GG92" s="337"/>
      <c r="GH92" s="337"/>
      <c r="GI92" s="337"/>
      <c r="GJ92" s="337"/>
      <c r="GK92" s="337"/>
      <c r="GL92" s="337"/>
      <c r="GM92" s="337"/>
      <c r="GN92" s="337"/>
      <c r="GO92" s="337"/>
      <c r="GP92" s="337"/>
      <c r="GQ92" s="337"/>
      <c r="GR92" s="337"/>
      <c r="GS92" s="337"/>
      <c r="GT92" s="337"/>
      <c r="GU92" s="337"/>
      <c r="GV92" s="337"/>
      <c r="GW92" s="337"/>
      <c r="GX92" s="337"/>
      <c r="GY92" s="337"/>
      <c r="GZ92" s="337"/>
      <c r="HA92" s="337"/>
      <c r="HB92" s="337"/>
      <c r="HC92" s="337"/>
      <c r="HD92" s="337"/>
      <c r="HE92" s="337"/>
      <c r="HF92" s="337"/>
      <c r="HG92" s="337"/>
      <c r="HH92" s="337"/>
      <c r="HI92" s="337"/>
      <c r="HJ92" s="337"/>
      <c r="HK92" s="337"/>
      <c r="HL92" s="337"/>
      <c r="HM92" s="337"/>
      <c r="HN92" s="337"/>
      <c r="HO92" s="337"/>
      <c r="HP92" s="337"/>
      <c r="HQ92" s="337"/>
      <c r="HR92" s="337"/>
      <c r="HS92" s="337"/>
      <c r="HT92" s="337"/>
      <c r="HU92" s="337"/>
      <c r="HV92" s="337"/>
      <c r="HW92" s="337"/>
      <c r="HX92" s="337"/>
      <c r="HY92" s="337"/>
      <c r="HZ92" s="337"/>
      <c r="IA92" s="337"/>
      <c r="IB92" s="337"/>
      <c r="IC92" s="337"/>
      <c r="ID92" s="337"/>
      <c r="IE92" s="337"/>
      <c r="IF92" s="337"/>
      <c r="IG92" s="337"/>
      <c r="IH92" s="337"/>
      <c r="II92" s="337"/>
      <c r="IJ92" s="337"/>
      <c r="IK92" s="337"/>
      <c r="IL92" s="337"/>
      <c r="IM92" s="337"/>
      <c r="IN92" s="337"/>
      <c r="IO92" s="337"/>
      <c r="IP92" s="337"/>
      <c r="IQ92" s="337"/>
      <c r="IR92" s="337"/>
      <c r="IS92" s="337"/>
      <c r="IT92" s="337"/>
      <c r="IU92" s="337"/>
      <c r="IV92" s="337"/>
      <c r="IW92" s="337"/>
      <c r="IX92" s="337"/>
      <c r="IY92" s="337"/>
      <c r="IZ92" s="337"/>
      <c r="JA92" s="337"/>
      <c r="JB92" s="337"/>
      <c r="JC92" s="337"/>
      <c r="JD92" s="337"/>
      <c r="JE92" s="337"/>
      <c r="JF92" s="337"/>
      <c r="JG92" s="337"/>
      <c r="JH92" s="337"/>
      <c r="JI92" s="337"/>
      <c r="JJ92" s="337"/>
      <c r="JK92" s="337"/>
      <c r="JL92" s="337"/>
      <c r="JM92" s="337"/>
      <c r="JN92" s="337"/>
      <c r="JO92" s="337"/>
      <c r="JP92" s="337"/>
      <c r="JQ92" s="337"/>
      <c r="JR92" s="337"/>
      <c r="JS92" s="337"/>
      <c r="JT92" s="337"/>
      <c r="JU92" s="337"/>
      <c r="JV92" s="337"/>
      <c r="JW92" s="337"/>
      <c r="JX92" s="337"/>
      <c r="JY92" s="337"/>
      <c r="JZ92" s="337"/>
      <c r="KA92" s="337"/>
      <c r="KB92" s="337"/>
      <c r="KC92" s="337"/>
      <c r="KD92" s="337"/>
      <c r="KE92" s="337"/>
      <c r="KF92" s="337"/>
      <c r="KG92" s="337"/>
      <c r="KH92" s="337"/>
      <c r="KI92" s="337"/>
      <c r="KJ92" s="337"/>
      <c r="KK92" s="337"/>
      <c r="KL92" s="337"/>
      <c r="KM92" s="337"/>
      <c r="KN92" s="337"/>
      <c r="KO92" s="337"/>
      <c r="KP92" s="337"/>
      <c r="KQ92" s="337"/>
      <c r="KR92" s="337"/>
      <c r="KS92" s="337"/>
      <c r="KT92" s="337"/>
      <c r="KU92" s="337"/>
      <c r="KV92" s="337"/>
      <c r="KW92" s="337"/>
      <c r="KX92" s="337"/>
      <c r="KY92" s="337"/>
      <c r="KZ92" s="337"/>
      <c r="LA92" s="337"/>
      <c r="LB92" s="337"/>
      <c r="LC92" s="337"/>
      <c r="LD92" s="337"/>
      <c r="LE92" s="337"/>
      <c r="LF92" s="337"/>
      <c r="LG92" s="337"/>
      <c r="LH92" s="337"/>
      <c r="LI92" s="337"/>
      <c r="LJ92" s="337"/>
      <c r="LK92" s="337"/>
      <c r="LL92" s="337"/>
      <c r="LM92" s="337"/>
      <c r="LN92" s="337"/>
      <c r="LO92" s="337"/>
      <c r="LP92" s="337"/>
      <c r="LQ92" s="337"/>
      <c r="LR92" s="337"/>
      <c r="LS92" s="337"/>
      <c r="LT92" s="337"/>
      <c r="LU92" s="337"/>
      <c r="LV92" s="337"/>
      <c r="LW92" s="337"/>
      <c r="LX92" s="337"/>
      <c r="LY92" s="337"/>
      <c r="LZ92" s="337"/>
      <c r="MA92" s="337"/>
      <c r="MB92" s="337"/>
      <c r="MC92" s="337"/>
      <c r="MD92" s="337"/>
      <c r="ME92" s="337"/>
      <c r="MF92" s="337"/>
      <c r="MG92" s="337"/>
      <c r="MH92" s="337"/>
      <c r="MI92" s="337"/>
      <c r="MJ92" s="337"/>
      <c r="MK92" s="337"/>
      <c r="ML92" s="337"/>
      <c r="MM92" s="337"/>
      <c r="MN92" s="337"/>
      <c r="MO92" s="337"/>
      <c r="MP92" s="337"/>
      <c r="MQ92" s="337"/>
      <c r="MR92" s="337"/>
      <c r="MS92" s="337"/>
      <c r="MT92" s="337"/>
      <c r="MU92" s="337"/>
      <c r="MV92" s="337"/>
      <c r="MW92" s="337"/>
      <c r="MX92" s="337"/>
      <c r="MY92" s="337"/>
      <c r="MZ92" s="337"/>
      <c r="NA92" s="337"/>
      <c r="NB92" s="337"/>
      <c r="NC92" s="337"/>
      <c r="ND92" s="337"/>
      <c r="NE92" s="337"/>
      <c r="NF92" s="337"/>
      <c r="NG92" s="337"/>
      <c r="NH92" s="337"/>
      <c r="NI92" s="337"/>
      <c r="NJ92" s="337"/>
      <c r="NK92" s="337"/>
      <c r="NL92" s="337"/>
      <c r="NM92" s="337"/>
      <c r="NN92" s="337"/>
      <c r="NO92" s="337"/>
      <c r="NP92" s="337"/>
      <c r="NQ92" s="337"/>
      <c r="NR92" s="337"/>
      <c r="NS92" s="337"/>
      <c r="NT92" s="337"/>
      <c r="NU92" s="337"/>
      <c r="NV92" s="337"/>
      <c r="NW92" s="337"/>
      <c r="NX92" s="337"/>
      <c r="NY92" s="337"/>
      <c r="NZ92" s="337"/>
      <c r="OA92" s="337"/>
      <c r="OB92" s="337"/>
      <c r="OC92" s="337"/>
      <c r="OD92" s="337"/>
      <c r="OE92" s="337"/>
      <c r="OF92" s="337"/>
      <c r="OG92" s="337"/>
      <c r="OH92" s="337"/>
      <c r="OI92" s="337"/>
      <c r="OJ92" s="337"/>
      <c r="OK92" s="337"/>
      <c r="OL92" s="337"/>
      <c r="OM92" s="337"/>
      <c r="ON92" s="337"/>
      <c r="OO92" s="337"/>
      <c r="OP92" s="337"/>
      <c r="OQ92" s="337"/>
      <c r="OR92" s="337"/>
      <c r="OS92" s="337"/>
      <c r="OT92" s="337"/>
      <c r="OU92" s="337"/>
      <c r="OV92" s="337"/>
      <c r="OW92" s="337"/>
      <c r="OX92" s="337"/>
      <c r="OY92" s="337"/>
      <c r="OZ92" s="337"/>
      <c r="PA92" s="337"/>
      <c r="PB92" s="337"/>
      <c r="PC92" s="337"/>
      <c r="PD92" s="337"/>
      <c r="PE92" s="337"/>
      <c r="PF92" s="337"/>
      <c r="PG92" s="337"/>
      <c r="PH92" s="337"/>
      <c r="PI92" s="337"/>
      <c r="PJ92" s="337"/>
      <c r="PK92" s="337"/>
      <c r="PL92" s="337"/>
      <c r="PM92" s="337"/>
      <c r="PN92" s="337"/>
      <c r="PO92" s="337"/>
      <c r="PP92" s="337"/>
      <c r="PQ92" s="337"/>
      <c r="PR92" s="337"/>
      <c r="PS92" s="337"/>
      <c r="PT92" s="337"/>
      <c r="PU92" s="337"/>
      <c r="PV92" s="337"/>
      <c r="PW92" s="337"/>
      <c r="PX92" s="337"/>
      <c r="PY92" s="337"/>
      <c r="PZ92" s="337"/>
      <c r="QA92" s="337"/>
      <c r="QB92" s="337"/>
      <c r="QC92" s="337"/>
      <c r="QD92" s="337"/>
      <c r="QE92" s="337"/>
      <c r="QF92" s="337"/>
      <c r="QG92" s="337"/>
      <c r="QH92" s="337"/>
      <c r="QI92" s="337"/>
      <c r="QJ92" s="337"/>
      <c r="QK92" s="337"/>
      <c r="QL92" s="337"/>
      <c r="QM92" s="337"/>
      <c r="QN92" s="337"/>
      <c r="QO92" s="337"/>
      <c r="QP92" s="337"/>
      <c r="QQ92" s="337"/>
      <c r="QR92" s="337"/>
      <c r="QS92" s="337"/>
      <c r="QT92" s="337"/>
      <c r="QU92" s="337"/>
      <c r="QV92" s="337"/>
      <c r="QW92" s="337"/>
      <c r="QX92" s="337"/>
      <c r="QY92" s="337"/>
      <c r="QZ92" s="337"/>
      <c r="RA92" s="337"/>
      <c r="RB92" s="337"/>
      <c r="RC92" s="337"/>
      <c r="RD92" s="337"/>
      <c r="RE92" s="337"/>
      <c r="RF92" s="337"/>
      <c r="RG92" s="337"/>
      <c r="RH92" s="337"/>
      <c r="RI92" s="337"/>
      <c r="RJ92" s="337"/>
      <c r="RK92" s="337"/>
      <c r="RL92" s="337"/>
      <c r="RM92" s="337"/>
      <c r="RN92" s="337"/>
      <c r="RO92" s="337"/>
      <c r="RP92" s="337"/>
      <c r="RQ92" s="337"/>
      <c r="RR92" s="337"/>
      <c r="RS92" s="337"/>
      <c r="RT92" s="337"/>
      <c r="RU92" s="337"/>
      <c r="RV92" s="337"/>
      <c r="RW92" s="337"/>
      <c r="RX92" s="337"/>
      <c r="RY92" s="337"/>
      <c r="RZ92" s="337"/>
      <c r="SA92" s="337"/>
      <c r="SB92" s="337"/>
      <c r="SC92" s="337"/>
      <c r="SD92" s="337"/>
      <c r="SE92" s="337"/>
      <c r="SF92" s="337"/>
      <c r="SG92" s="337"/>
      <c r="SH92" s="337"/>
      <c r="SI92" s="337"/>
      <c r="SJ92" s="337"/>
      <c r="SK92" s="337"/>
      <c r="SL92" s="337"/>
      <c r="SM92" s="337"/>
      <c r="SN92" s="337"/>
      <c r="SO92" s="337"/>
      <c r="SP92" s="337"/>
      <c r="SQ92" s="337"/>
      <c r="SR92" s="337"/>
      <c r="SS92" s="337"/>
      <c r="ST92" s="337"/>
      <c r="SU92" s="337"/>
      <c r="SV92" s="337"/>
      <c r="SW92" s="337"/>
      <c r="SX92" s="337"/>
      <c r="SY92" s="337"/>
      <c r="SZ92" s="337"/>
      <c r="TA92" s="337"/>
      <c r="TB92" s="337"/>
      <c r="TC92" s="337"/>
      <c r="TD92" s="337"/>
      <c r="TE92" s="337"/>
      <c r="TF92" s="337"/>
      <c r="TG92" s="337"/>
      <c r="TH92" s="337"/>
      <c r="TI92" s="337"/>
      <c r="TJ92" s="337"/>
      <c r="TK92" s="337"/>
      <c r="TL92" s="337"/>
      <c r="TM92" s="337"/>
      <c r="TN92" s="337"/>
      <c r="TO92" s="337"/>
      <c r="TP92" s="337"/>
      <c r="TQ92" s="337"/>
      <c r="TR92" s="337"/>
      <c r="TS92" s="337"/>
      <c r="TT92" s="337"/>
      <c r="TU92" s="337"/>
      <c r="TV92" s="337"/>
      <c r="TW92" s="337"/>
      <c r="TX92" s="337"/>
      <c r="TY92" s="337"/>
      <c r="TZ92" s="337"/>
      <c r="UA92" s="337"/>
      <c r="UB92" s="337"/>
      <c r="UC92" s="337"/>
      <c r="UD92" s="337"/>
      <c r="UE92" s="337"/>
      <c r="UF92" s="337"/>
      <c r="UG92" s="337"/>
      <c r="UH92" s="337"/>
      <c r="UI92" s="337"/>
      <c r="UJ92" s="337"/>
      <c r="UK92" s="337"/>
      <c r="UL92" s="337"/>
      <c r="UM92" s="337"/>
      <c r="UN92" s="337"/>
      <c r="UO92" s="337"/>
      <c r="UP92" s="337"/>
      <c r="UQ92" s="337"/>
      <c r="UR92" s="337"/>
      <c r="US92" s="337"/>
      <c r="UT92" s="337"/>
      <c r="UU92" s="337"/>
      <c r="UV92" s="337"/>
      <c r="UW92" s="337"/>
      <c r="UX92" s="337"/>
      <c r="UY92" s="337"/>
      <c r="UZ92" s="337"/>
      <c r="VA92" s="337"/>
      <c r="VB92" s="337"/>
      <c r="VC92" s="337"/>
      <c r="VD92" s="337"/>
      <c r="VE92" s="337"/>
      <c r="VF92" s="337"/>
      <c r="VG92" s="337"/>
      <c r="VH92" s="337"/>
      <c r="VI92" s="337"/>
      <c r="VJ92" s="337"/>
      <c r="VK92" s="337"/>
      <c r="VL92" s="337"/>
      <c r="VM92" s="337"/>
      <c r="VN92" s="337"/>
      <c r="VO92" s="337"/>
      <c r="VP92" s="337"/>
      <c r="VQ92" s="337"/>
      <c r="VR92" s="337"/>
      <c r="VS92" s="337"/>
      <c r="VT92" s="337"/>
      <c r="VU92" s="337"/>
      <c r="VV92" s="337"/>
      <c r="VW92" s="337"/>
      <c r="VX92" s="337"/>
      <c r="VY92" s="337"/>
      <c r="VZ92" s="337"/>
      <c r="WA92" s="337"/>
      <c r="WB92" s="337"/>
      <c r="WC92" s="337"/>
      <c r="WD92" s="337"/>
      <c r="WE92" s="337"/>
      <c r="WF92" s="337"/>
      <c r="WG92" s="337"/>
      <c r="WH92" s="337"/>
      <c r="WI92" s="337"/>
      <c r="WJ92" s="337"/>
      <c r="WK92" s="337"/>
      <c r="WL92" s="337"/>
      <c r="WM92" s="337"/>
      <c r="WN92" s="337"/>
      <c r="WO92" s="337"/>
      <c r="WP92" s="337"/>
      <c r="WQ92" s="337"/>
      <c r="WR92" s="337"/>
      <c r="WS92" s="337"/>
      <c r="WT92" s="337"/>
      <c r="WU92" s="337"/>
      <c r="WV92" s="337"/>
      <c r="WW92" s="337"/>
      <c r="WX92" s="337"/>
      <c r="WY92" s="337"/>
      <c r="WZ92" s="337"/>
      <c r="XA92" s="337"/>
      <c r="XB92" s="337"/>
      <c r="XC92" s="337"/>
      <c r="XD92" s="337"/>
      <c r="XE92" s="337"/>
      <c r="XF92" s="337"/>
      <c r="XG92" s="337"/>
      <c r="XH92" s="337"/>
      <c r="XI92" s="337"/>
      <c r="XJ92" s="337"/>
      <c r="XK92" s="337"/>
      <c r="XL92" s="337"/>
      <c r="XM92" s="337"/>
      <c r="XN92" s="337"/>
      <c r="XO92" s="337"/>
      <c r="XP92" s="337"/>
      <c r="XQ92" s="337"/>
      <c r="XR92" s="337"/>
      <c r="XS92" s="337"/>
      <c r="XT92" s="337"/>
      <c r="XU92" s="337"/>
      <c r="XV92" s="337"/>
      <c r="XW92" s="337"/>
      <c r="XX92" s="337"/>
      <c r="XY92" s="337"/>
      <c r="XZ92" s="337"/>
      <c r="YA92" s="337"/>
      <c r="YB92" s="337"/>
      <c r="YC92" s="337"/>
      <c r="YD92" s="337"/>
      <c r="YE92" s="337"/>
      <c r="YF92" s="337"/>
      <c r="YG92" s="337"/>
      <c r="YH92" s="337"/>
      <c r="YI92" s="337"/>
      <c r="YJ92" s="337"/>
      <c r="YK92" s="337"/>
      <c r="YL92" s="337"/>
      <c r="YM92" s="337"/>
      <c r="YN92" s="337"/>
      <c r="YO92" s="337"/>
      <c r="YP92" s="337"/>
      <c r="YQ92" s="337"/>
      <c r="YR92" s="337"/>
      <c r="YS92" s="337"/>
      <c r="YT92" s="337"/>
      <c r="YU92" s="337"/>
      <c r="YV92" s="337"/>
      <c r="YW92" s="337"/>
      <c r="YX92" s="337"/>
      <c r="YY92" s="337"/>
      <c r="YZ92" s="337"/>
      <c r="ZA92" s="337"/>
      <c r="ZB92" s="337"/>
      <c r="ZC92" s="337"/>
      <c r="ZD92" s="337"/>
      <c r="ZE92" s="337"/>
      <c r="ZF92" s="337"/>
      <c r="ZG92" s="337"/>
      <c r="ZH92" s="337"/>
      <c r="ZI92" s="337"/>
      <c r="ZJ92" s="337"/>
      <c r="ZK92" s="337"/>
      <c r="ZL92" s="337"/>
      <c r="ZM92" s="337"/>
      <c r="ZN92" s="337"/>
      <c r="ZO92" s="337"/>
      <c r="ZP92" s="337"/>
      <c r="ZQ92" s="337"/>
      <c r="ZR92" s="337"/>
      <c r="ZS92" s="337"/>
      <c r="ZT92" s="337"/>
      <c r="ZU92" s="337"/>
      <c r="ZV92" s="337"/>
      <c r="ZW92" s="337"/>
      <c r="ZX92" s="337"/>
      <c r="ZY92" s="337"/>
      <c r="ZZ92" s="337"/>
      <c r="AAA92" s="337"/>
      <c r="AAB92" s="337"/>
      <c r="AAC92" s="337"/>
      <c r="AAD92" s="337"/>
      <c r="AAE92" s="337"/>
      <c r="AAF92" s="337"/>
      <c r="AAG92" s="337"/>
      <c r="AAH92" s="337"/>
      <c r="AAI92" s="337"/>
      <c r="AAJ92" s="337"/>
      <c r="AAK92" s="337"/>
      <c r="AAL92" s="337"/>
      <c r="AAM92" s="337"/>
      <c r="AAN92" s="337"/>
      <c r="AAO92" s="337"/>
      <c r="AAP92" s="337"/>
      <c r="AAQ92" s="337"/>
      <c r="AAR92" s="337"/>
      <c r="AAS92" s="337"/>
      <c r="AAT92" s="337"/>
      <c r="AAU92" s="337"/>
      <c r="AAV92" s="337"/>
      <c r="AAW92" s="337"/>
      <c r="AAX92" s="337"/>
      <c r="AAY92" s="337"/>
      <c r="AAZ92" s="337"/>
      <c r="ABA92" s="337"/>
      <c r="ABB92" s="337"/>
      <c r="ABC92" s="337"/>
      <c r="ABD92" s="337"/>
      <c r="ABE92" s="337"/>
      <c r="ABF92" s="337"/>
      <c r="ABG92" s="337"/>
      <c r="ABH92" s="337"/>
      <c r="ABI92" s="337"/>
      <c r="ABJ92" s="337"/>
      <c r="ABK92" s="337"/>
      <c r="ABL92" s="337"/>
      <c r="ABM92" s="337"/>
      <c r="ABN92" s="337"/>
      <c r="ABO92" s="337"/>
      <c r="ABP92" s="337"/>
      <c r="ABQ92" s="337"/>
      <c r="ABR92" s="337"/>
      <c r="ABS92" s="337"/>
      <c r="ABT92" s="337"/>
      <c r="ABU92" s="337"/>
      <c r="ABV92" s="337"/>
      <c r="ABW92" s="337"/>
      <c r="ABX92" s="337"/>
      <c r="ABY92" s="337"/>
      <c r="ABZ92" s="337"/>
      <c r="ACA92" s="337"/>
      <c r="ACB92" s="337"/>
      <c r="ACC92" s="337"/>
      <c r="ACD92" s="337"/>
      <c r="ACE92" s="337"/>
      <c r="ACF92" s="337"/>
      <c r="ACG92" s="337"/>
      <c r="ACH92" s="337"/>
      <c r="ACI92" s="337"/>
      <c r="ACJ92" s="337"/>
      <c r="ACK92" s="337"/>
      <c r="ACL92" s="337"/>
      <c r="ACM92" s="337"/>
      <c r="ACN92" s="337"/>
      <c r="ACO92" s="337"/>
      <c r="ACP92" s="337"/>
      <c r="ACQ92" s="337"/>
      <c r="ACR92" s="337"/>
      <c r="ACS92" s="337"/>
      <c r="ACT92" s="337"/>
      <c r="ACU92" s="337"/>
      <c r="ACV92" s="337"/>
      <c r="ACW92" s="337"/>
      <c r="ACX92" s="337"/>
      <c r="ACY92" s="337"/>
      <c r="ACZ92" s="337"/>
      <c r="ADA92" s="337"/>
      <c r="ADB92" s="337"/>
      <c r="ADC92" s="337"/>
      <c r="ADD92" s="337"/>
      <c r="ADE92" s="337"/>
      <c r="ADF92" s="337"/>
      <c r="ADG92" s="337"/>
      <c r="ADH92" s="337"/>
      <c r="ADI92" s="337"/>
      <c r="ADJ92" s="337"/>
      <c r="ADK92" s="337"/>
      <c r="ADL92" s="337"/>
      <c r="ADM92" s="337"/>
      <c r="ADN92" s="337"/>
      <c r="ADO92" s="337"/>
      <c r="ADP92" s="337"/>
      <c r="ADQ92" s="337"/>
      <c r="ADR92" s="337"/>
      <c r="ADS92" s="337"/>
      <c r="ADT92" s="337"/>
      <c r="ADU92" s="337"/>
      <c r="ADV92" s="337"/>
      <c r="ADW92" s="337"/>
      <c r="ADX92" s="337"/>
      <c r="ADY92" s="337"/>
      <c r="ADZ92" s="337"/>
      <c r="AEA92" s="337"/>
      <c r="AEB92" s="337"/>
      <c r="AEC92" s="337"/>
      <c r="AED92" s="337"/>
      <c r="AEE92" s="337"/>
      <c r="AEF92" s="337"/>
      <c r="AEG92" s="337"/>
      <c r="AEH92" s="337"/>
      <c r="AEI92" s="337"/>
      <c r="AEJ92" s="337"/>
      <c r="AEK92" s="337"/>
      <c r="AEL92" s="337"/>
      <c r="AEM92" s="337"/>
      <c r="AEN92" s="337"/>
      <c r="AEO92" s="337"/>
      <c r="AEP92" s="337"/>
      <c r="AEQ92" s="337"/>
      <c r="AER92" s="337"/>
      <c r="AES92" s="337"/>
      <c r="AET92" s="337"/>
      <c r="AEU92" s="337"/>
      <c r="AEV92" s="337"/>
      <c r="AEW92" s="337"/>
      <c r="AEX92" s="337"/>
      <c r="AEY92" s="337"/>
      <c r="AEZ92" s="337"/>
      <c r="AFA92" s="337"/>
      <c r="AFB92" s="337"/>
      <c r="AFC92" s="337"/>
      <c r="AFD92" s="337"/>
      <c r="AFE92" s="337"/>
      <c r="AFF92" s="337"/>
      <c r="AFG92" s="337"/>
      <c r="AFH92" s="337"/>
      <c r="AFI92" s="337"/>
      <c r="AFJ92" s="337"/>
      <c r="AFK92" s="337"/>
      <c r="AFL92" s="337"/>
      <c r="AFM92" s="337"/>
      <c r="AFN92" s="337"/>
      <c r="AFO92" s="337"/>
      <c r="AFP92" s="337"/>
      <c r="AFQ92" s="337"/>
      <c r="AFR92" s="337"/>
      <c r="AFS92" s="337"/>
      <c r="AFT92" s="337"/>
      <c r="AFU92" s="337"/>
      <c r="AFV92" s="337"/>
      <c r="AFW92" s="337"/>
      <c r="AFX92" s="337"/>
      <c r="AFY92" s="337"/>
      <c r="AFZ92" s="337"/>
      <c r="AGA92" s="337"/>
      <c r="AGB92" s="337"/>
      <c r="AGC92" s="337"/>
      <c r="AGD92" s="337"/>
      <c r="AGE92" s="337"/>
      <c r="AGF92" s="337"/>
      <c r="AGG92" s="337"/>
      <c r="AGH92" s="337"/>
      <c r="AGI92" s="337"/>
      <c r="AGJ92" s="337"/>
      <c r="AGK92" s="337"/>
      <c r="AGL92" s="337"/>
      <c r="AGM92" s="337"/>
      <c r="AGN92" s="337"/>
      <c r="AGO92" s="337"/>
      <c r="AGP92" s="337"/>
      <c r="AGQ92" s="337"/>
      <c r="AGR92" s="337"/>
      <c r="AGS92" s="337"/>
      <c r="AGT92" s="337"/>
      <c r="AGU92" s="337"/>
      <c r="AGV92" s="337"/>
      <c r="AGW92" s="337"/>
      <c r="AGX92" s="337"/>
      <c r="AGY92" s="337"/>
      <c r="AGZ92" s="337"/>
      <c r="AHA92" s="337"/>
      <c r="AHB92" s="337"/>
      <c r="AHC92" s="337"/>
      <c r="AHD92" s="337"/>
      <c r="AHE92" s="337"/>
      <c r="AHF92" s="337"/>
      <c r="AHG92" s="337"/>
      <c r="AHH92" s="337"/>
      <c r="AHI92" s="337"/>
      <c r="AHJ92" s="337"/>
      <c r="AHK92" s="337"/>
      <c r="AHL92" s="337"/>
      <c r="AHM92" s="337"/>
      <c r="AHN92" s="337"/>
      <c r="AHO92" s="337"/>
      <c r="AHP92" s="337"/>
      <c r="AHQ92" s="337"/>
      <c r="AHR92" s="337"/>
      <c r="AHS92" s="337"/>
      <c r="AHT92" s="337"/>
      <c r="AHU92" s="337"/>
      <c r="AHV92" s="337"/>
      <c r="AHW92" s="337"/>
      <c r="AHX92" s="337"/>
      <c r="AHY92" s="337"/>
      <c r="AHZ92" s="337"/>
      <c r="AIA92" s="337"/>
      <c r="AIB92" s="337"/>
      <c r="AIC92" s="337"/>
      <c r="AID92" s="337"/>
      <c r="AIE92" s="337"/>
      <c r="AIF92" s="337"/>
      <c r="AIG92" s="337"/>
      <c r="AIH92" s="337"/>
      <c r="AII92" s="337"/>
      <c r="AIJ92" s="337"/>
      <c r="AIK92" s="337"/>
      <c r="AIL92" s="337"/>
      <c r="AIM92" s="337"/>
      <c r="AIN92" s="337"/>
      <c r="AIO92" s="337"/>
      <c r="AIP92" s="337"/>
      <c r="AIQ92" s="337"/>
      <c r="AIR92" s="337"/>
      <c r="AIS92" s="337"/>
      <c r="AIT92" s="337"/>
      <c r="AIU92" s="337"/>
      <c r="AIV92" s="337"/>
      <c r="AIW92" s="337"/>
      <c r="AIX92" s="337"/>
      <c r="AIY92" s="337"/>
      <c r="AIZ92" s="337"/>
      <c r="AJA92" s="337"/>
      <c r="AJB92" s="337"/>
      <c r="AJC92" s="337"/>
      <c r="AJD92" s="337"/>
      <c r="AJE92" s="337"/>
      <c r="AJF92" s="337"/>
      <c r="AJG92" s="337"/>
      <c r="AJH92" s="337"/>
      <c r="AJI92" s="337"/>
      <c r="AJJ92" s="337"/>
      <c r="AJK92" s="337"/>
      <c r="AJL92" s="337"/>
      <c r="AJM92" s="337"/>
      <c r="AJN92" s="337"/>
      <c r="AJO92" s="337"/>
      <c r="AJP92" s="337"/>
      <c r="AJQ92" s="337"/>
      <c r="AJR92" s="337"/>
      <c r="AJS92" s="337"/>
      <c r="AJT92" s="337"/>
      <c r="AJU92" s="337"/>
      <c r="AJV92" s="337"/>
      <c r="AJW92" s="337"/>
      <c r="AJX92" s="337"/>
      <c r="AJY92" s="337"/>
      <c r="AJZ92" s="337"/>
      <c r="AKA92" s="337"/>
      <c r="AKB92" s="337"/>
      <c r="AKC92" s="337"/>
      <c r="AKD92" s="337"/>
      <c r="AKE92" s="337"/>
      <c r="AKF92" s="337"/>
      <c r="AKG92" s="337"/>
      <c r="AKH92" s="337"/>
      <c r="AKI92" s="337"/>
      <c r="AKJ92" s="337"/>
      <c r="AKK92" s="337"/>
      <c r="AKL92" s="337"/>
      <c r="AKM92" s="337"/>
      <c r="AKN92" s="337"/>
      <c r="AKO92" s="337"/>
      <c r="AKP92" s="337"/>
      <c r="AKQ92" s="337"/>
      <c r="AKR92" s="337"/>
      <c r="AKS92" s="337"/>
      <c r="AKT92" s="337"/>
      <c r="AKU92" s="337"/>
      <c r="AKV92" s="337"/>
      <c r="AKW92" s="337"/>
      <c r="AKX92" s="337"/>
      <c r="AKY92" s="337"/>
      <c r="AKZ92" s="337"/>
      <c r="ALA92" s="337"/>
      <c r="ALB92" s="337"/>
      <c r="ALC92" s="337"/>
      <c r="ALD92" s="337"/>
      <c r="ALE92" s="337"/>
      <c r="ALF92" s="337"/>
      <c r="ALG92" s="337"/>
      <c r="ALH92" s="337"/>
      <c r="ALI92" s="337"/>
      <c r="ALJ92" s="337"/>
      <c r="ALK92" s="337"/>
      <c r="ALL92" s="337"/>
      <c r="ALM92" s="337"/>
      <c r="ALN92" s="337"/>
      <c r="ALO92" s="337"/>
      <c r="ALP92" s="337"/>
      <c r="ALQ92" s="337"/>
      <c r="ALR92" s="337"/>
      <c r="ALS92" s="337"/>
      <c r="ALT92" s="337"/>
      <c r="ALU92" s="337"/>
      <c r="ALV92" s="337"/>
      <c r="ALW92" s="337"/>
      <c r="ALX92" s="337"/>
      <c r="ALY92" s="337"/>
      <c r="ALZ92" s="337"/>
      <c r="AMA92" s="337"/>
      <c r="AMB92" s="337"/>
      <c r="AMC92" s="337"/>
      <c r="AMD92" s="337"/>
      <c r="AME92" s="337"/>
      <c r="AMF92" s="337"/>
      <c r="AMG92" s="337"/>
      <c r="AMH92" s="337"/>
      <c r="AMI92" s="337"/>
      <c r="AMJ92" s="337"/>
      <c r="AMK92" s="337"/>
      <c r="AML92" s="337"/>
      <c r="AMM92" s="337"/>
      <c r="AMN92" s="337"/>
      <c r="AMO92" s="337"/>
      <c r="AMP92" s="337"/>
      <c r="AMQ92" s="337"/>
      <c r="AMR92" s="337"/>
      <c r="AMS92" s="337"/>
      <c r="AMT92" s="337"/>
      <c r="AMU92" s="337"/>
      <c r="AMV92" s="337"/>
      <c r="AMW92" s="337"/>
      <c r="AMX92" s="337"/>
      <c r="AMY92" s="337"/>
      <c r="AMZ92" s="337"/>
      <c r="ANA92" s="337"/>
      <c r="ANB92" s="337"/>
      <c r="ANC92" s="337"/>
      <c r="AND92" s="337"/>
      <c r="ANE92" s="337"/>
      <c r="ANF92" s="337"/>
      <c r="ANG92" s="337"/>
      <c r="ANH92" s="337"/>
      <c r="ANI92" s="337"/>
      <c r="ANJ92" s="337"/>
      <c r="ANK92" s="337"/>
      <c r="ANL92" s="337"/>
      <c r="ANM92" s="337"/>
      <c r="ANN92" s="337"/>
      <c r="ANO92" s="337"/>
      <c r="ANP92" s="337"/>
      <c r="ANQ92" s="337"/>
      <c r="ANR92" s="337"/>
      <c r="ANS92" s="337"/>
      <c r="ANT92" s="337"/>
      <c r="ANU92" s="337"/>
      <c r="ANV92" s="337"/>
      <c r="ANW92" s="337"/>
      <c r="ANX92" s="337"/>
      <c r="ANY92" s="337"/>
      <c r="ANZ92" s="337"/>
      <c r="AOA92" s="337"/>
      <c r="AOB92" s="337"/>
      <c r="AOC92" s="337"/>
      <c r="AOD92" s="337"/>
      <c r="AOE92" s="337"/>
      <c r="AOF92" s="337"/>
      <c r="AOG92" s="337"/>
      <c r="AOH92" s="337"/>
      <c r="AOI92" s="337"/>
      <c r="AOJ92" s="337"/>
      <c r="AOK92" s="337"/>
      <c r="AOL92" s="337"/>
      <c r="AOM92" s="337"/>
      <c r="AON92" s="337"/>
      <c r="AOO92" s="337"/>
      <c r="AOP92" s="337"/>
      <c r="AOQ92" s="337"/>
      <c r="AOR92" s="337"/>
      <c r="AOS92" s="337"/>
      <c r="AOT92" s="337"/>
      <c r="AOU92" s="337"/>
      <c r="AOV92" s="337"/>
      <c r="AOW92" s="337"/>
      <c r="AOX92" s="337"/>
      <c r="AOY92" s="337"/>
      <c r="AOZ92" s="337"/>
      <c r="APA92" s="337"/>
      <c r="APB92" s="337"/>
      <c r="APC92" s="337"/>
      <c r="APD92" s="337"/>
      <c r="APE92" s="337"/>
      <c r="APF92" s="337"/>
      <c r="APG92" s="337"/>
      <c r="APH92" s="337"/>
      <c r="API92" s="337"/>
      <c r="APJ92" s="337"/>
      <c r="APK92" s="337"/>
      <c r="APL92" s="337"/>
      <c r="APM92" s="337"/>
      <c r="APN92" s="337"/>
      <c r="APO92" s="337"/>
      <c r="APP92" s="337"/>
      <c r="APQ92" s="337"/>
      <c r="APR92" s="337"/>
      <c r="APS92" s="337"/>
      <c r="APT92" s="337"/>
      <c r="APU92" s="337"/>
      <c r="APV92" s="337"/>
      <c r="APW92" s="337"/>
      <c r="APX92" s="337"/>
      <c r="APY92" s="337"/>
      <c r="APZ92" s="337"/>
      <c r="AQA92" s="337"/>
      <c r="AQB92" s="337"/>
      <c r="AQC92" s="337"/>
      <c r="AQD92" s="337"/>
      <c r="AQE92" s="337"/>
      <c r="AQF92" s="337"/>
      <c r="AQG92" s="337"/>
      <c r="AQH92" s="337"/>
      <c r="AQI92" s="337"/>
      <c r="AQJ92" s="337"/>
      <c r="AQK92" s="337"/>
      <c r="AQL92" s="337"/>
      <c r="AQM92" s="337"/>
      <c r="AQN92" s="337"/>
      <c r="AQO92" s="337"/>
      <c r="AQP92" s="337"/>
      <c r="AQQ92" s="337"/>
      <c r="AQR92" s="337"/>
      <c r="AQS92" s="337"/>
      <c r="AQT92" s="337"/>
      <c r="AQU92" s="337"/>
      <c r="AQV92" s="337"/>
      <c r="AQW92" s="337"/>
      <c r="AQX92" s="337"/>
      <c r="AQY92" s="337"/>
      <c r="AQZ92" s="337"/>
      <c r="ARA92" s="337"/>
      <c r="ARB92" s="337"/>
      <c r="ARC92" s="337"/>
      <c r="ARD92" s="337"/>
      <c r="ARE92" s="337"/>
      <c r="ARF92" s="337"/>
      <c r="ARG92" s="337"/>
      <c r="ARH92" s="337"/>
      <c r="ARI92" s="337"/>
      <c r="ARJ92" s="337"/>
      <c r="ARK92" s="337"/>
      <c r="ARL92" s="337"/>
      <c r="ARM92" s="337"/>
      <c r="ARN92" s="337"/>
      <c r="ARO92" s="337"/>
      <c r="ARP92" s="337"/>
      <c r="ARQ92" s="337"/>
      <c r="ARR92" s="337"/>
      <c r="ARS92" s="337"/>
      <c r="ART92" s="337"/>
      <c r="ARU92" s="337"/>
      <c r="ARV92" s="337"/>
      <c r="ARW92" s="337"/>
      <c r="ARX92" s="337"/>
      <c r="ARY92" s="337"/>
      <c r="ARZ92" s="337"/>
      <c r="ASA92" s="337"/>
      <c r="ASB92" s="337"/>
      <c r="ASC92" s="337"/>
      <c r="ASD92" s="337"/>
      <c r="ASE92" s="337"/>
      <c r="ASF92" s="337"/>
      <c r="ASG92" s="337"/>
      <c r="ASH92" s="337"/>
      <c r="ASI92" s="337"/>
      <c r="ASJ92" s="337"/>
      <c r="ASK92" s="337"/>
      <c r="ASL92" s="337"/>
      <c r="ASM92" s="337"/>
      <c r="ASN92" s="337"/>
      <c r="ASO92" s="337"/>
      <c r="ASP92" s="337"/>
      <c r="ASQ92" s="337"/>
      <c r="ASR92" s="337"/>
      <c r="ASS92" s="337"/>
      <c r="AST92" s="337"/>
      <c r="ASU92" s="337"/>
      <c r="ASV92" s="337"/>
      <c r="ASW92" s="337"/>
      <c r="ASX92" s="337"/>
      <c r="ASY92" s="337"/>
      <c r="ASZ92" s="337"/>
      <c r="ATA92" s="337"/>
      <c r="ATB92" s="337"/>
      <c r="ATC92" s="337"/>
      <c r="ATD92" s="337"/>
      <c r="ATE92" s="337"/>
      <c r="ATF92" s="337"/>
      <c r="ATG92" s="337"/>
      <c r="ATH92" s="337"/>
      <c r="ATI92" s="337"/>
      <c r="ATJ92" s="337"/>
      <c r="ATK92" s="337"/>
      <c r="ATL92" s="337"/>
      <c r="ATM92" s="337"/>
      <c r="ATN92" s="337"/>
      <c r="ATO92" s="337"/>
      <c r="ATP92" s="337"/>
      <c r="ATQ92" s="337"/>
      <c r="ATR92" s="337"/>
      <c r="ATS92" s="337"/>
      <c r="ATT92" s="337"/>
      <c r="ATU92" s="337"/>
      <c r="ATV92" s="337"/>
      <c r="ATW92" s="337"/>
      <c r="ATX92" s="337"/>
      <c r="ATY92" s="337"/>
      <c r="ATZ92" s="337"/>
      <c r="AUA92" s="337"/>
      <c r="AUB92" s="337"/>
      <c r="AUC92" s="337"/>
      <c r="AUD92" s="337"/>
      <c r="AUE92" s="337"/>
      <c r="AUF92" s="337"/>
      <c r="AUG92" s="337"/>
      <c r="AUH92" s="337"/>
      <c r="AUI92" s="337"/>
      <c r="AUJ92" s="337"/>
      <c r="AUK92" s="337"/>
      <c r="AUL92" s="337"/>
      <c r="AUM92" s="337"/>
      <c r="AUN92" s="337"/>
      <c r="AUO92" s="337"/>
      <c r="AUP92" s="337"/>
      <c r="AUQ92" s="337"/>
      <c r="AUR92" s="337"/>
      <c r="AUS92" s="337"/>
      <c r="AUT92" s="337"/>
      <c r="AUU92" s="337"/>
      <c r="AUV92" s="337"/>
      <c r="AUW92" s="337"/>
      <c r="AUX92" s="337"/>
      <c r="AUY92" s="337"/>
      <c r="AUZ92" s="337"/>
      <c r="AVA92" s="337"/>
      <c r="AVB92" s="337"/>
      <c r="AVC92" s="337"/>
      <c r="AVD92" s="337"/>
      <c r="AVE92" s="337"/>
      <c r="AVF92" s="337"/>
      <c r="AVG92" s="337"/>
      <c r="AVH92" s="337"/>
      <c r="AVI92" s="337"/>
      <c r="AVJ92" s="337"/>
      <c r="AVK92" s="337"/>
      <c r="AVL92" s="337"/>
      <c r="AVM92" s="337"/>
      <c r="AVN92" s="337"/>
      <c r="AVO92" s="337"/>
      <c r="AVP92" s="337"/>
      <c r="AVQ92" s="337"/>
      <c r="AVR92" s="337"/>
      <c r="AVS92" s="337"/>
      <c r="AVT92" s="337"/>
      <c r="AVU92" s="337"/>
      <c r="AVV92" s="337"/>
      <c r="AVW92" s="337"/>
      <c r="AVX92" s="337"/>
      <c r="AVY92" s="337"/>
      <c r="AVZ92" s="337"/>
      <c r="AWA92" s="337"/>
      <c r="AWB92" s="337"/>
      <c r="AWC92" s="337"/>
      <c r="AWD92" s="337"/>
      <c r="AWE92" s="337"/>
      <c r="AWF92" s="337"/>
      <c r="AWG92" s="337"/>
      <c r="AWH92" s="337"/>
      <c r="AWI92" s="337"/>
      <c r="AWJ92" s="337"/>
      <c r="AWK92" s="337"/>
      <c r="AWL92" s="337"/>
      <c r="AWM92" s="337"/>
      <c r="AWN92" s="337"/>
      <c r="AWO92" s="337"/>
      <c r="AWP92" s="337"/>
      <c r="AWQ92" s="337"/>
      <c r="AWR92" s="337"/>
      <c r="AWS92" s="337"/>
      <c r="AWT92" s="337"/>
      <c r="AWU92" s="337"/>
      <c r="AWV92" s="337"/>
      <c r="AWW92" s="337"/>
      <c r="AWX92" s="337"/>
      <c r="AWY92" s="337"/>
      <c r="AWZ92" s="337"/>
      <c r="AXA92" s="337"/>
      <c r="AXB92" s="337"/>
      <c r="AXC92" s="337"/>
      <c r="AXD92" s="337"/>
      <c r="AXE92" s="337"/>
      <c r="AXF92" s="337"/>
      <c r="AXG92" s="337"/>
      <c r="AXH92" s="337"/>
      <c r="AXI92" s="337"/>
      <c r="AXJ92" s="337"/>
      <c r="AXK92" s="337"/>
      <c r="AXL92" s="337"/>
      <c r="AXM92" s="337"/>
      <c r="AXN92" s="337"/>
      <c r="AXO92" s="337"/>
      <c r="AXP92" s="337"/>
      <c r="AXQ92" s="337"/>
      <c r="AXR92" s="337"/>
      <c r="AXS92" s="337"/>
      <c r="AXT92" s="337"/>
      <c r="AXU92" s="337"/>
      <c r="AXV92" s="337"/>
      <c r="AXW92" s="337"/>
      <c r="AXX92" s="337"/>
      <c r="AXY92" s="337"/>
      <c r="AXZ92" s="337"/>
      <c r="AYA92" s="337"/>
      <c r="AYB92" s="337"/>
      <c r="AYC92" s="337"/>
      <c r="AYD92" s="337"/>
      <c r="AYE92" s="337"/>
      <c r="AYF92" s="337"/>
      <c r="AYG92" s="337"/>
      <c r="AYH92" s="337"/>
      <c r="AYI92" s="337"/>
      <c r="AYJ92" s="337"/>
      <c r="AYK92" s="337"/>
      <c r="AYL92" s="337"/>
      <c r="AYM92" s="337"/>
      <c r="AYN92" s="337"/>
      <c r="AYO92" s="337"/>
      <c r="AYP92" s="337"/>
      <c r="AYQ92" s="337"/>
      <c r="AYR92" s="337"/>
      <c r="AYS92" s="337"/>
      <c r="AYT92" s="337"/>
      <c r="AYU92" s="337"/>
      <c r="AYV92" s="337"/>
      <c r="AYW92" s="337"/>
      <c r="AYX92" s="337"/>
      <c r="AYY92" s="337"/>
      <c r="AYZ92" s="337"/>
      <c r="AZA92" s="337"/>
      <c r="AZB92" s="337"/>
      <c r="AZC92" s="337"/>
      <c r="AZD92" s="337"/>
      <c r="AZE92" s="337"/>
      <c r="AZF92" s="337"/>
      <c r="AZG92" s="337"/>
      <c r="AZH92" s="337"/>
      <c r="AZI92" s="337"/>
      <c r="AZJ92" s="337"/>
      <c r="AZK92" s="337"/>
      <c r="AZL92" s="337"/>
      <c r="AZM92" s="337"/>
      <c r="AZN92" s="337"/>
      <c r="AZO92" s="337"/>
      <c r="AZP92" s="337"/>
      <c r="AZQ92" s="337"/>
      <c r="AZR92" s="337"/>
      <c r="AZS92" s="337"/>
      <c r="AZT92" s="337"/>
      <c r="AZU92" s="337"/>
      <c r="AZV92" s="337"/>
      <c r="AZW92" s="337"/>
      <c r="AZX92" s="337"/>
      <c r="AZY92" s="337"/>
      <c r="AZZ92" s="337"/>
      <c r="BAA92" s="337"/>
      <c r="BAB92" s="337"/>
      <c r="BAC92" s="337"/>
      <c r="BAD92" s="337"/>
      <c r="BAE92" s="337"/>
      <c r="BAF92" s="337"/>
      <c r="BAG92" s="337"/>
      <c r="BAH92" s="337"/>
      <c r="BAI92" s="337"/>
      <c r="BAJ92" s="337"/>
      <c r="BAK92" s="337"/>
      <c r="BAL92" s="337"/>
      <c r="BAM92" s="337"/>
      <c r="BAN92" s="337"/>
      <c r="BAO92" s="337"/>
      <c r="BAP92" s="337"/>
      <c r="BAQ92" s="337"/>
      <c r="BAR92" s="337"/>
      <c r="BAS92" s="337"/>
      <c r="BAT92" s="337"/>
      <c r="BAU92" s="337"/>
      <c r="BAV92" s="337"/>
      <c r="BAW92" s="337"/>
      <c r="BAX92" s="337"/>
      <c r="BAY92" s="337"/>
      <c r="BAZ92" s="337"/>
      <c r="BBA92" s="337"/>
      <c r="BBB92" s="337"/>
      <c r="BBC92" s="337"/>
      <c r="BBD92" s="337"/>
      <c r="BBE92" s="337"/>
      <c r="BBF92" s="337"/>
      <c r="BBG92" s="337"/>
      <c r="BBH92" s="337"/>
      <c r="BBI92" s="337"/>
      <c r="BBJ92" s="337"/>
      <c r="BBK92" s="337"/>
      <c r="BBL92" s="337"/>
      <c r="BBM92" s="337"/>
      <c r="BBN92" s="337"/>
      <c r="BBO92" s="337"/>
      <c r="BBP92" s="337"/>
      <c r="BBQ92" s="337"/>
      <c r="BBR92" s="337"/>
      <c r="BBS92" s="337"/>
      <c r="BBT92" s="337"/>
      <c r="BBU92" s="337"/>
      <c r="BBV92" s="337"/>
      <c r="BBW92" s="337"/>
      <c r="BBX92" s="337"/>
      <c r="BBY92" s="337"/>
      <c r="BBZ92" s="337"/>
      <c r="BCA92" s="337"/>
      <c r="BCB92" s="337"/>
      <c r="BCC92" s="337"/>
      <c r="BCD92" s="337"/>
      <c r="BCE92" s="337"/>
      <c r="BCF92" s="337"/>
      <c r="BCG92" s="337"/>
      <c r="BCH92" s="337"/>
      <c r="BCI92" s="337"/>
      <c r="BCJ92" s="337"/>
      <c r="BCK92" s="337"/>
      <c r="BCL92" s="337"/>
      <c r="BCM92" s="337"/>
      <c r="BCN92" s="337"/>
      <c r="BCO92" s="337"/>
      <c r="BCP92" s="337"/>
      <c r="BCQ92" s="337"/>
      <c r="BCR92" s="337"/>
      <c r="BCS92" s="337"/>
      <c r="BCT92" s="337"/>
      <c r="BCU92" s="337"/>
      <c r="BCV92" s="337"/>
      <c r="BCW92" s="337"/>
      <c r="BCX92" s="337"/>
      <c r="BCY92" s="337"/>
      <c r="BCZ92" s="337"/>
      <c r="BDA92" s="337"/>
      <c r="BDB92" s="337"/>
      <c r="BDC92" s="337"/>
      <c r="BDD92" s="337"/>
      <c r="BDE92" s="337"/>
      <c r="BDF92" s="337"/>
      <c r="BDG92" s="337"/>
      <c r="BDH92" s="337"/>
      <c r="BDI92" s="337"/>
      <c r="BDJ92" s="337"/>
      <c r="BDK92" s="337"/>
      <c r="BDL92" s="337"/>
      <c r="BDM92" s="337"/>
      <c r="BDN92" s="337"/>
      <c r="BDO92" s="337"/>
      <c r="BDP92" s="337"/>
      <c r="BDQ92" s="337"/>
      <c r="BDR92" s="337"/>
      <c r="BDS92" s="337"/>
      <c r="BDT92" s="337"/>
      <c r="BDU92" s="337"/>
      <c r="BDV92" s="337"/>
      <c r="BDW92" s="337"/>
      <c r="BDX92" s="337"/>
      <c r="BDY92" s="337"/>
      <c r="BDZ92" s="337"/>
      <c r="BEA92" s="337"/>
      <c r="BEB92" s="337"/>
      <c r="BEC92" s="337"/>
      <c r="BED92" s="337"/>
      <c r="BEE92" s="337"/>
      <c r="BEF92" s="337"/>
      <c r="BEG92" s="337"/>
      <c r="BEH92" s="337"/>
      <c r="BEI92" s="337"/>
      <c r="BEJ92" s="337"/>
      <c r="BEK92" s="337"/>
      <c r="BEL92" s="337"/>
      <c r="BEM92" s="337"/>
      <c r="BEN92" s="337"/>
      <c r="BEO92" s="337"/>
      <c r="BEP92" s="337"/>
      <c r="BEQ92" s="337"/>
      <c r="BER92" s="337"/>
      <c r="BES92" s="337"/>
      <c r="BET92" s="337"/>
      <c r="BEU92" s="337"/>
      <c r="BEV92" s="337"/>
      <c r="BEW92" s="337"/>
      <c r="BEX92" s="337"/>
      <c r="BEY92" s="337"/>
      <c r="BEZ92" s="337"/>
      <c r="BFA92" s="337"/>
      <c r="BFB92" s="337"/>
      <c r="BFC92" s="337"/>
      <c r="BFD92" s="337"/>
      <c r="BFE92" s="337"/>
      <c r="BFF92" s="337"/>
      <c r="BFG92" s="337"/>
      <c r="BFH92" s="337"/>
      <c r="BFI92" s="337"/>
      <c r="BFJ92" s="337"/>
      <c r="BFK92" s="337"/>
      <c r="BFL92" s="337"/>
      <c r="BFM92" s="337"/>
      <c r="BFN92" s="337"/>
      <c r="BFO92" s="337"/>
      <c r="BFP92" s="337"/>
      <c r="BFQ92" s="337"/>
      <c r="BFR92" s="337"/>
      <c r="BFS92" s="337"/>
      <c r="BFT92" s="337"/>
      <c r="BFU92" s="337"/>
      <c r="BFV92" s="337"/>
      <c r="BFW92" s="337"/>
      <c r="BFX92" s="337"/>
      <c r="BFY92" s="337"/>
      <c r="BFZ92" s="337"/>
      <c r="BGA92" s="337"/>
      <c r="BGB92" s="337"/>
      <c r="BGC92" s="337"/>
      <c r="BGD92" s="337"/>
      <c r="BGE92" s="337"/>
      <c r="BGF92" s="337"/>
      <c r="BGG92" s="337"/>
      <c r="BGH92" s="337"/>
      <c r="BGI92" s="337"/>
      <c r="BGJ92" s="337"/>
      <c r="BGK92" s="337"/>
      <c r="BGL92" s="337"/>
      <c r="BGM92" s="337"/>
      <c r="BGN92" s="337"/>
      <c r="BGO92" s="337"/>
      <c r="BGP92" s="337"/>
      <c r="BGQ92" s="337"/>
      <c r="BGR92" s="337"/>
      <c r="BGS92" s="337"/>
      <c r="BGT92" s="337"/>
      <c r="BGU92" s="337"/>
      <c r="BGV92" s="337"/>
      <c r="BGW92" s="337"/>
      <c r="BGX92" s="337"/>
      <c r="BGY92" s="337"/>
      <c r="BGZ92" s="337"/>
      <c r="BHA92" s="337"/>
      <c r="BHB92" s="337"/>
      <c r="BHC92" s="337"/>
      <c r="BHD92" s="337"/>
      <c r="BHE92" s="337"/>
      <c r="BHF92" s="337"/>
      <c r="BHG92" s="337"/>
      <c r="BHH92" s="337"/>
      <c r="BHI92" s="337"/>
      <c r="BHJ92" s="337"/>
      <c r="BHK92" s="337"/>
      <c r="BHL92" s="337"/>
      <c r="BHM92" s="337"/>
      <c r="BHN92" s="337"/>
      <c r="BHO92" s="337"/>
      <c r="BHP92" s="337"/>
      <c r="BHQ92" s="337"/>
      <c r="BHR92" s="337"/>
      <c r="BHS92" s="337"/>
      <c r="BHT92" s="337"/>
      <c r="BHU92" s="337"/>
      <c r="BHV92" s="337"/>
      <c r="BHW92" s="337"/>
      <c r="BHX92" s="337"/>
      <c r="BHY92" s="337"/>
      <c r="BHZ92" s="337"/>
      <c r="BIA92" s="337"/>
      <c r="BIB92" s="337"/>
      <c r="BIC92" s="337"/>
      <c r="BID92" s="337"/>
      <c r="BIE92" s="337"/>
      <c r="BIF92" s="337"/>
      <c r="BIG92" s="337"/>
      <c r="BIH92" s="337"/>
      <c r="BII92" s="337"/>
      <c r="BIJ92" s="337"/>
      <c r="BIK92" s="337"/>
      <c r="BIL92" s="337"/>
      <c r="BIM92" s="337"/>
      <c r="BIN92" s="337"/>
      <c r="BIO92" s="337"/>
      <c r="BIP92" s="337"/>
      <c r="BIQ92" s="337"/>
      <c r="BIR92" s="337"/>
      <c r="BIS92" s="337"/>
      <c r="BIT92" s="337"/>
      <c r="BIU92" s="337"/>
      <c r="BIV92" s="337"/>
      <c r="BIW92" s="337"/>
      <c r="BIX92" s="337"/>
      <c r="BIY92" s="337"/>
      <c r="BIZ92" s="337"/>
      <c r="BJA92" s="337"/>
      <c r="BJB92" s="337"/>
      <c r="BJC92" s="337"/>
      <c r="BJD92" s="337"/>
      <c r="BJE92" s="337"/>
      <c r="BJF92" s="337"/>
      <c r="BJG92" s="337"/>
      <c r="BJH92" s="337"/>
      <c r="BJI92" s="337"/>
      <c r="BJJ92" s="337"/>
      <c r="BJK92" s="337"/>
      <c r="BJL92" s="337"/>
      <c r="BJM92" s="337"/>
      <c r="BJN92" s="337"/>
      <c r="BJO92" s="337"/>
      <c r="BJP92" s="337"/>
      <c r="BJQ92" s="337"/>
      <c r="BJR92" s="337"/>
      <c r="BJS92" s="337"/>
      <c r="BJT92" s="337"/>
      <c r="BJU92" s="337"/>
      <c r="BJV92" s="337"/>
      <c r="BJW92" s="337"/>
      <c r="BJX92" s="337"/>
      <c r="BJY92" s="337"/>
      <c r="BJZ92" s="337"/>
      <c r="BKA92" s="337"/>
      <c r="BKB92" s="337"/>
      <c r="BKC92" s="337"/>
      <c r="BKD92" s="337"/>
      <c r="BKE92" s="337"/>
      <c r="BKF92" s="337"/>
      <c r="BKG92" s="337"/>
      <c r="BKH92" s="337"/>
      <c r="BKI92" s="337"/>
      <c r="BKJ92" s="337"/>
      <c r="BKK92" s="337"/>
      <c r="BKL92" s="337"/>
      <c r="BKM92" s="337"/>
      <c r="BKN92" s="337"/>
      <c r="BKO92" s="337"/>
      <c r="BKP92" s="337"/>
      <c r="BKQ92" s="337"/>
      <c r="BKR92" s="337"/>
      <c r="BKS92" s="337"/>
      <c r="BKT92" s="337"/>
      <c r="BKU92" s="337"/>
      <c r="BKV92" s="337"/>
      <c r="BKW92" s="337"/>
      <c r="BKX92" s="337"/>
      <c r="BKY92" s="337"/>
      <c r="BKZ92" s="337"/>
      <c r="BLA92" s="337"/>
      <c r="BLB92" s="337"/>
      <c r="BLC92" s="337"/>
      <c r="BLD92" s="337"/>
      <c r="BLE92" s="337"/>
      <c r="BLF92" s="337"/>
      <c r="BLG92" s="337"/>
      <c r="BLH92" s="337"/>
      <c r="BLI92" s="337"/>
      <c r="BLJ92" s="337"/>
      <c r="BLK92" s="337"/>
      <c r="BLL92" s="337"/>
      <c r="BLM92" s="337"/>
      <c r="BLN92" s="337"/>
      <c r="BLO92" s="337"/>
      <c r="BLP92" s="337"/>
      <c r="BLQ92" s="337"/>
      <c r="BLR92" s="337"/>
      <c r="BLS92" s="337"/>
      <c r="BLT92" s="337"/>
      <c r="BLU92" s="337"/>
      <c r="BLV92" s="337"/>
      <c r="BLW92" s="337"/>
      <c r="BLX92" s="337"/>
      <c r="BLY92" s="337"/>
      <c r="BLZ92" s="337"/>
      <c r="BMA92" s="337"/>
      <c r="BMB92" s="337"/>
      <c r="BMC92" s="337"/>
      <c r="BMD92" s="337"/>
      <c r="BME92" s="337"/>
      <c r="BMF92" s="337"/>
      <c r="BMG92" s="337"/>
      <c r="BMH92" s="337"/>
      <c r="BMI92" s="337"/>
      <c r="BMJ92" s="337"/>
      <c r="BMK92" s="337"/>
      <c r="BML92" s="337"/>
      <c r="BMM92" s="337"/>
      <c r="BMN92" s="337"/>
      <c r="BMO92" s="337"/>
      <c r="BMP92" s="337"/>
      <c r="BMQ92" s="337"/>
      <c r="BMR92" s="337"/>
      <c r="BMS92" s="337"/>
      <c r="BMT92" s="337"/>
      <c r="BMU92" s="337"/>
      <c r="BMV92" s="337"/>
      <c r="BMW92" s="337"/>
      <c r="BMX92" s="337"/>
      <c r="BMY92" s="337"/>
      <c r="BMZ92" s="337"/>
      <c r="BNA92" s="337"/>
      <c r="BNB92" s="337"/>
      <c r="BNC92" s="337"/>
      <c r="BND92" s="337"/>
      <c r="BNE92" s="337"/>
      <c r="BNF92" s="337"/>
      <c r="BNG92" s="337"/>
      <c r="BNH92" s="337"/>
      <c r="BNI92" s="337"/>
      <c r="BNJ92" s="337"/>
      <c r="BNK92" s="337"/>
      <c r="BNL92" s="337"/>
      <c r="BNM92" s="337"/>
      <c r="BNN92" s="337"/>
      <c r="BNO92" s="337"/>
      <c r="BNP92" s="337"/>
      <c r="BNQ92" s="337"/>
      <c r="BNR92" s="337"/>
      <c r="BNS92" s="337"/>
      <c r="BNT92" s="337"/>
      <c r="BNU92" s="337"/>
      <c r="BNV92" s="337"/>
      <c r="BNW92" s="337"/>
      <c r="BNX92" s="337"/>
      <c r="BNY92" s="337"/>
      <c r="BNZ92" s="337"/>
      <c r="BOA92" s="337"/>
      <c r="BOB92" s="337"/>
      <c r="BOC92" s="337"/>
      <c r="BOD92" s="337"/>
      <c r="BOE92" s="337"/>
      <c r="BOF92" s="337"/>
      <c r="BOG92" s="337"/>
      <c r="BOH92" s="337"/>
      <c r="BOI92" s="337"/>
      <c r="BOJ92" s="337"/>
      <c r="BOK92" s="337"/>
      <c r="BOL92" s="337"/>
      <c r="BOM92" s="337"/>
      <c r="BON92" s="337"/>
      <c r="BOO92" s="337"/>
      <c r="BOP92" s="337"/>
      <c r="BOQ92" s="337"/>
      <c r="BOR92" s="337"/>
      <c r="BOS92" s="337"/>
      <c r="BOT92" s="337"/>
      <c r="BOU92" s="337"/>
      <c r="BOV92" s="337"/>
      <c r="BOW92" s="337"/>
      <c r="BOX92" s="337"/>
      <c r="BOY92" s="337"/>
      <c r="BOZ92" s="337"/>
      <c r="BPA92" s="337"/>
      <c r="BPB92" s="337"/>
      <c r="BPC92" s="337"/>
      <c r="BPD92" s="337"/>
      <c r="BPE92" s="337"/>
      <c r="BPF92" s="337"/>
      <c r="BPG92" s="337"/>
      <c r="BPH92" s="337"/>
      <c r="BPI92" s="337"/>
      <c r="BPJ92" s="337"/>
      <c r="BPK92" s="337"/>
      <c r="BPL92" s="337"/>
      <c r="BPM92" s="337"/>
      <c r="BPN92" s="337"/>
      <c r="BPO92" s="337"/>
      <c r="BPP92" s="337"/>
      <c r="BPQ92" s="337"/>
      <c r="BPR92" s="337"/>
      <c r="BPS92" s="337"/>
      <c r="BPT92" s="337"/>
      <c r="BPU92" s="337"/>
      <c r="BPV92" s="337"/>
      <c r="BPW92" s="337"/>
      <c r="BPX92" s="337"/>
      <c r="BPY92" s="337"/>
      <c r="BPZ92" s="337"/>
      <c r="BQA92" s="337"/>
      <c r="BQB92" s="337"/>
      <c r="BQC92" s="337"/>
      <c r="BQD92" s="337"/>
      <c r="BQE92" s="337"/>
      <c r="BQF92" s="337"/>
      <c r="BQG92" s="337"/>
      <c r="BQH92" s="337"/>
      <c r="BQI92" s="337"/>
      <c r="BQJ92" s="337"/>
      <c r="BQK92" s="337"/>
      <c r="BQL92" s="337"/>
      <c r="BQM92" s="337"/>
      <c r="BQN92" s="337"/>
      <c r="BQO92" s="337"/>
      <c r="BQP92" s="337"/>
      <c r="BQQ92" s="337"/>
      <c r="BQR92" s="337"/>
      <c r="BQS92" s="337"/>
      <c r="BQT92" s="337"/>
      <c r="BQU92" s="337"/>
      <c r="BQV92" s="337"/>
      <c r="BQW92" s="337"/>
      <c r="BQX92" s="337"/>
      <c r="BQY92" s="337"/>
      <c r="BQZ92" s="337"/>
      <c r="BRA92" s="337"/>
      <c r="BRB92" s="337"/>
      <c r="BRC92" s="337"/>
      <c r="BRD92" s="337"/>
      <c r="BRE92" s="337"/>
      <c r="BRF92" s="337"/>
      <c r="BRG92" s="337"/>
      <c r="BRH92" s="337"/>
      <c r="BRI92" s="337"/>
      <c r="BRJ92" s="337"/>
      <c r="BRK92" s="337"/>
      <c r="BRL92" s="337"/>
      <c r="BRM92" s="337"/>
      <c r="BRN92" s="337"/>
      <c r="BRO92" s="337"/>
      <c r="BRP92" s="337"/>
      <c r="BRQ92" s="337"/>
      <c r="BRR92" s="337"/>
      <c r="BRS92" s="337"/>
      <c r="BRT92" s="337"/>
      <c r="BRU92" s="337"/>
      <c r="BRV92" s="337"/>
      <c r="BRW92" s="337"/>
      <c r="BRX92" s="337"/>
      <c r="BRY92" s="337"/>
      <c r="BRZ92" s="337"/>
      <c r="BSA92" s="337"/>
      <c r="BSB92" s="337"/>
      <c r="BSC92" s="337"/>
      <c r="BSD92" s="337"/>
      <c r="BSE92" s="337"/>
      <c r="BSF92" s="337"/>
      <c r="BSG92" s="337"/>
      <c r="BSH92" s="337"/>
      <c r="BSI92" s="337"/>
      <c r="BSJ92" s="337"/>
      <c r="BSK92" s="337"/>
      <c r="BSL92" s="337"/>
      <c r="BSM92" s="337"/>
      <c r="BSN92" s="337"/>
      <c r="BSO92" s="337"/>
      <c r="BSP92" s="337"/>
      <c r="BSQ92" s="337"/>
      <c r="BSR92" s="337"/>
      <c r="BSS92" s="337"/>
      <c r="BST92" s="337"/>
      <c r="BSU92" s="337"/>
      <c r="BSV92" s="337"/>
      <c r="BSW92" s="337"/>
      <c r="BSX92" s="337"/>
      <c r="BSY92" s="337"/>
      <c r="BSZ92" s="337"/>
      <c r="BTA92" s="337"/>
      <c r="BTB92" s="337"/>
      <c r="BTC92" s="337"/>
      <c r="BTD92" s="337"/>
      <c r="BTE92" s="337"/>
      <c r="BTF92" s="337"/>
      <c r="BTG92" s="337"/>
      <c r="BTH92" s="337"/>
      <c r="BTI92" s="337"/>
      <c r="BTJ92" s="337"/>
      <c r="BTK92" s="337"/>
      <c r="BTL92" s="337"/>
      <c r="BTM92" s="337"/>
      <c r="BTN92" s="337"/>
      <c r="BTO92" s="337"/>
      <c r="BTP92" s="337"/>
      <c r="BTQ92" s="337"/>
      <c r="BTR92" s="337"/>
      <c r="BTS92" s="337"/>
      <c r="BTT92" s="337"/>
      <c r="BTU92" s="337"/>
      <c r="BTV92" s="337"/>
      <c r="BTW92" s="337"/>
      <c r="BTX92" s="337"/>
      <c r="BTY92" s="337"/>
      <c r="BTZ92" s="337"/>
      <c r="BUA92" s="337"/>
      <c r="BUB92" s="337"/>
      <c r="BUC92" s="337"/>
      <c r="BUD92" s="337"/>
      <c r="BUE92" s="337"/>
      <c r="BUF92" s="337"/>
      <c r="BUG92" s="337"/>
      <c r="BUH92" s="337"/>
      <c r="BUI92" s="337"/>
      <c r="BUJ92" s="337"/>
      <c r="BUK92" s="337"/>
      <c r="BUL92" s="337"/>
      <c r="BUM92" s="337"/>
      <c r="BUN92" s="337"/>
      <c r="BUO92" s="337"/>
      <c r="BUP92" s="337"/>
      <c r="BUQ92" s="337"/>
      <c r="BUR92" s="337"/>
      <c r="BUS92" s="337"/>
      <c r="BUT92" s="337"/>
      <c r="BUU92" s="337"/>
      <c r="BUV92" s="337"/>
      <c r="BUW92" s="337"/>
      <c r="BUX92" s="337"/>
      <c r="BUY92" s="337"/>
      <c r="BUZ92" s="337"/>
      <c r="BVA92" s="337"/>
      <c r="BVB92" s="337"/>
      <c r="BVC92" s="337"/>
      <c r="BVD92" s="337"/>
      <c r="BVE92" s="337"/>
      <c r="BVF92" s="337"/>
      <c r="BVG92" s="337"/>
      <c r="BVH92" s="337"/>
      <c r="BVI92" s="337"/>
      <c r="BVJ92" s="337"/>
      <c r="BVK92" s="337"/>
      <c r="BVL92" s="337"/>
      <c r="BVM92" s="337"/>
      <c r="BVN92" s="337"/>
      <c r="BVO92" s="337"/>
      <c r="BVP92" s="337"/>
      <c r="BVQ92" s="337"/>
      <c r="BVR92" s="337"/>
      <c r="BVS92" s="337"/>
      <c r="BVT92" s="337"/>
      <c r="BVU92" s="337"/>
      <c r="BVV92" s="337"/>
      <c r="BVW92" s="337"/>
      <c r="BVX92" s="337"/>
      <c r="BVY92" s="337"/>
      <c r="BVZ92" s="337"/>
      <c r="BWA92" s="337"/>
      <c r="BWB92" s="337"/>
      <c r="BWC92" s="337"/>
      <c r="BWD92" s="337"/>
      <c r="BWE92" s="337"/>
      <c r="BWF92" s="337"/>
      <c r="BWG92" s="337"/>
      <c r="BWH92" s="337"/>
      <c r="BWI92" s="337"/>
      <c r="BWJ92" s="337"/>
      <c r="BWK92" s="337"/>
      <c r="BWL92" s="337"/>
      <c r="BWM92" s="337"/>
      <c r="BWN92" s="337"/>
      <c r="BWO92" s="337"/>
      <c r="BWP92" s="337"/>
      <c r="BWQ92" s="337"/>
      <c r="BWR92" s="337"/>
      <c r="BWS92" s="337"/>
      <c r="BWT92" s="337"/>
      <c r="BWU92" s="337"/>
      <c r="BWV92" s="337"/>
      <c r="BWW92" s="337"/>
      <c r="BWX92" s="337"/>
      <c r="BWY92" s="337"/>
      <c r="BWZ92" s="337"/>
      <c r="BXA92" s="337"/>
      <c r="BXB92" s="337"/>
      <c r="BXC92" s="337"/>
      <c r="BXD92" s="337"/>
      <c r="BXE92" s="337"/>
      <c r="BXF92" s="337"/>
      <c r="BXG92" s="337"/>
      <c r="BXH92" s="337"/>
      <c r="BXI92" s="337"/>
      <c r="BXJ92" s="337"/>
      <c r="BXK92" s="337"/>
      <c r="BXL92" s="337"/>
      <c r="BXM92" s="337"/>
      <c r="BXN92" s="337"/>
      <c r="BXO92" s="337"/>
      <c r="BXP92" s="337"/>
      <c r="BXQ92" s="337"/>
      <c r="BXR92" s="337"/>
      <c r="BXS92" s="337"/>
      <c r="BXT92" s="337"/>
      <c r="BXU92" s="337"/>
      <c r="BXV92" s="337"/>
      <c r="BXW92" s="337"/>
      <c r="BXX92" s="337"/>
      <c r="BXY92" s="337"/>
      <c r="BXZ92" s="337"/>
      <c r="BYA92" s="337"/>
      <c r="BYB92" s="337"/>
      <c r="BYC92" s="337"/>
      <c r="BYD92" s="337"/>
      <c r="BYE92" s="337"/>
      <c r="BYF92" s="337"/>
      <c r="BYG92" s="337"/>
      <c r="BYH92" s="337"/>
      <c r="BYI92" s="337"/>
      <c r="BYJ92" s="337"/>
      <c r="BYK92" s="337"/>
      <c r="BYL92" s="337"/>
      <c r="BYM92" s="337"/>
      <c r="BYN92" s="337"/>
      <c r="BYO92" s="337"/>
      <c r="BYP92" s="337"/>
      <c r="BYQ92" s="337"/>
      <c r="BYR92" s="337"/>
      <c r="BYS92" s="337"/>
      <c r="BYT92" s="337"/>
      <c r="BYU92" s="337"/>
      <c r="BYV92" s="337"/>
      <c r="BYW92" s="337"/>
      <c r="BYX92" s="337"/>
      <c r="BYY92" s="337"/>
      <c r="BYZ92" s="337"/>
      <c r="BZA92" s="337"/>
      <c r="BZB92" s="337"/>
      <c r="BZC92" s="337"/>
      <c r="BZD92" s="337"/>
      <c r="BZE92" s="337"/>
      <c r="BZF92" s="337"/>
      <c r="BZG92" s="337"/>
      <c r="BZH92" s="337"/>
      <c r="BZI92" s="337"/>
      <c r="BZJ92" s="337"/>
      <c r="BZK92" s="337"/>
      <c r="BZL92" s="337"/>
      <c r="BZM92" s="337"/>
      <c r="BZN92" s="337"/>
      <c r="BZO92" s="337"/>
      <c r="BZP92" s="337"/>
      <c r="BZQ92" s="337"/>
      <c r="BZR92" s="337"/>
      <c r="BZS92" s="337"/>
      <c r="BZT92" s="337"/>
      <c r="BZU92" s="337"/>
      <c r="BZV92" s="337"/>
      <c r="BZW92" s="337"/>
      <c r="BZX92" s="337"/>
      <c r="BZY92" s="337"/>
      <c r="BZZ92" s="337"/>
      <c r="CAA92" s="337"/>
      <c r="CAB92" s="337"/>
      <c r="CAC92" s="337"/>
      <c r="CAD92" s="337"/>
      <c r="CAE92" s="337"/>
      <c r="CAF92" s="337"/>
      <c r="CAG92" s="337"/>
      <c r="CAH92" s="337"/>
      <c r="CAI92" s="337"/>
      <c r="CAJ92" s="337"/>
      <c r="CAK92" s="337"/>
      <c r="CAL92" s="337"/>
      <c r="CAM92" s="337"/>
      <c r="CAN92" s="337"/>
      <c r="CAO92" s="337"/>
      <c r="CAP92" s="337"/>
      <c r="CAQ92" s="337"/>
      <c r="CAR92" s="337"/>
      <c r="CAS92" s="337"/>
      <c r="CAT92" s="337"/>
      <c r="CAU92" s="337"/>
      <c r="CAV92" s="337"/>
      <c r="CAW92" s="337"/>
      <c r="CAX92" s="337"/>
      <c r="CAY92" s="337"/>
      <c r="CAZ92" s="337"/>
      <c r="CBA92" s="337"/>
      <c r="CBB92" s="337"/>
      <c r="CBC92" s="337"/>
      <c r="CBD92" s="337"/>
      <c r="CBE92" s="337"/>
      <c r="CBF92" s="337"/>
      <c r="CBG92" s="337"/>
      <c r="CBH92" s="337"/>
      <c r="CBI92" s="337"/>
      <c r="CBJ92" s="337"/>
      <c r="CBK92" s="337"/>
      <c r="CBL92" s="337"/>
      <c r="CBM92" s="337"/>
      <c r="CBN92" s="337"/>
      <c r="CBO92" s="337"/>
      <c r="CBP92" s="337"/>
      <c r="CBQ92" s="337"/>
      <c r="CBR92" s="337"/>
      <c r="CBS92" s="337"/>
      <c r="CBT92" s="337"/>
      <c r="CBU92" s="337"/>
      <c r="CBV92" s="337"/>
      <c r="CBW92" s="337"/>
      <c r="CBX92" s="337"/>
      <c r="CBY92" s="337"/>
      <c r="CBZ92" s="337"/>
      <c r="CCA92" s="337"/>
      <c r="CCB92" s="337"/>
      <c r="CCC92" s="337"/>
      <c r="CCD92" s="337"/>
      <c r="CCE92" s="337"/>
      <c r="CCF92" s="337"/>
      <c r="CCG92" s="337"/>
      <c r="CCH92" s="337"/>
      <c r="CCI92" s="337"/>
      <c r="CCJ92" s="337"/>
      <c r="CCK92" s="337"/>
      <c r="CCL92" s="337"/>
      <c r="CCM92" s="337"/>
      <c r="CCN92" s="337"/>
      <c r="CCO92" s="337"/>
      <c r="CCP92" s="337"/>
      <c r="CCQ92" s="337"/>
      <c r="CCR92" s="337"/>
      <c r="CCS92" s="337"/>
      <c r="CCT92" s="337"/>
      <c r="CCU92" s="337"/>
      <c r="CCV92" s="337"/>
      <c r="CCW92" s="337"/>
      <c r="CCX92" s="337"/>
      <c r="CCY92" s="337"/>
      <c r="CCZ92" s="337"/>
      <c r="CDA92" s="337"/>
      <c r="CDB92" s="337"/>
      <c r="CDC92" s="337"/>
      <c r="CDD92" s="337"/>
      <c r="CDE92" s="337"/>
      <c r="CDF92" s="337"/>
      <c r="CDG92" s="337"/>
      <c r="CDH92" s="337"/>
      <c r="CDI92" s="337"/>
      <c r="CDJ92" s="337"/>
      <c r="CDK92" s="337"/>
      <c r="CDL92" s="337"/>
      <c r="CDM92" s="337"/>
      <c r="CDN92" s="337"/>
      <c r="CDO92" s="337"/>
      <c r="CDP92" s="337"/>
      <c r="CDQ92" s="337"/>
      <c r="CDR92" s="337"/>
      <c r="CDS92" s="337"/>
      <c r="CDT92" s="337"/>
      <c r="CDU92" s="337"/>
      <c r="CDV92" s="337"/>
      <c r="CDW92" s="337"/>
      <c r="CDX92" s="337"/>
      <c r="CDY92" s="337"/>
      <c r="CDZ92" s="337"/>
      <c r="CEA92" s="337"/>
      <c r="CEB92" s="337"/>
      <c r="CEC92" s="337"/>
      <c r="CED92" s="337"/>
      <c r="CEE92" s="337"/>
      <c r="CEF92" s="337"/>
      <c r="CEG92" s="337"/>
      <c r="CEH92" s="337"/>
      <c r="CEI92" s="337"/>
      <c r="CEJ92" s="337"/>
      <c r="CEK92" s="337"/>
      <c r="CEL92" s="337"/>
      <c r="CEM92" s="337"/>
      <c r="CEN92" s="337"/>
      <c r="CEO92" s="337"/>
      <c r="CEP92" s="337"/>
      <c r="CEQ92" s="337"/>
      <c r="CER92" s="337"/>
      <c r="CES92" s="337"/>
      <c r="CET92" s="337"/>
      <c r="CEU92" s="337"/>
      <c r="CEV92" s="337"/>
      <c r="CEW92" s="337"/>
      <c r="CEX92" s="337"/>
      <c r="CEY92" s="337"/>
      <c r="CEZ92" s="337"/>
      <c r="CFA92" s="337"/>
      <c r="CFB92" s="337"/>
      <c r="CFC92" s="337"/>
      <c r="CFD92" s="337"/>
      <c r="CFE92" s="337"/>
      <c r="CFF92" s="337"/>
      <c r="CFG92" s="337"/>
      <c r="CFH92" s="337"/>
      <c r="CFI92" s="337"/>
      <c r="CFJ92" s="337"/>
      <c r="CFK92" s="337"/>
      <c r="CFL92" s="337"/>
      <c r="CFM92" s="337"/>
      <c r="CFN92" s="337"/>
      <c r="CFO92" s="337"/>
      <c r="CFP92" s="337"/>
      <c r="CFQ92" s="337"/>
      <c r="CFR92" s="337"/>
      <c r="CFS92" s="337"/>
      <c r="CFT92" s="337"/>
      <c r="CFU92" s="337"/>
      <c r="CFV92" s="337"/>
      <c r="CFW92" s="337"/>
      <c r="CFX92" s="337"/>
      <c r="CFY92" s="337"/>
      <c r="CFZ92" s="337"/>
      <c r="CGA92" s="337"/>
      <c r="CGB92" s="337"/>
      <c r="CGC92" s="337"/>
      <c r="CGD92" s="337"/>
      <c r="CGE92" s="337"/>
      <c r="CGF92" s="337"/>
      <c r="CGG92" s="337"/>
      <c r="CGH92" s="337"/>
      <c r="CGI92" s="337"/>
      <c r="CGJ92" s="337"/>
      <c r="CGK92" s="337"/>
      <c r="CGL92" s="337"/>
      <c r="CGM92" s="337"/>
      <c r="CGN92" s="337"/>
      <c r="CGO92" s="337"/>
      <c r="CGP92" s="337"/>
      <c r="CGQ92" s="337"/>
      <c r="CGR92" s="337"/>
      <c r="CGS92" s="337"/>
      <c r="CGT92" s="337"/>
      <c r="CGU92" s="337"/>
      <c r="CGV92" s="337"/>
      <c r="CGW92" s="337"/>
      <c r="CGX92" s="337"/>
      <c r="CGY92" s="337"/>
      <c r="CGZ92" s="337"/>
      <c r="CHA92" s="337"/>
      <c r="CHB92" s="337"/>
      <c r="CHC92" s="337"/>
      <c r="CHD92" s="337"/>
      <c r="CHE92" s="337"/>
      <c r="CHF92" s="337"/>
      <c r="CHG92" s="337"/>
      <c r="CHH92" s="337"/>
      <c r="CHI92" s="337"/>
      <c r="CHJ92" s="337"/>
      <c r="CHK92" s="337"/>
      <c r="CHL92" s="337"/>
      <c r="CHM92" s="337"/>
      <c r="CHN92" s="337"/>
      <c r="CHO92" s="337"/>
      <c r="CHP92" s="337"/>
      <c r="CHQ92" s="337"/>
      <c r="CHR92" s="337"/>
      <c r="CHS92" s="337"/>
      <c r="CHT92" s="337"/>
      <c r="CHU92" s="337"/>
      <c r="CHV92" s="337"/>
      <c r="CHW92" s="337"/>
      <c r="CHX92" s="337"/>
      <c r="CHY92" s="337"/>
      <c r="CHZ92" s="337"/>
      <c r="CIA92" s="337"/>
      <c r="CIB92" s="337"/>
      <c r="CIC92" s="337"/>
      <c r="CID92" s="337"/>
      <c r="CIE92" s="337"/>
      <c r="CIF92" s="337"/>
      <c r="CIG92" s="337"/>
      <c r="CIH92" s="337"/>
      <c r="CII92" s="337"/>
      <c r="CIJ92" s="337"/>
      <c r="CIK92" s="337"/>
      <c r="CIL92" s="337"/>
      <c r="CIM92" s="337"/>
      <c r="CIN92" s="337"/>
      <c r="CIO92" s="337"/>
      <c r="CIP92" s="337"/>
      <c r="CIQ92" s="337"/>
      <c r="CIR92" s="337"/>
      <c r="CIS92" s="337"/>
      <c r="CIT92" s="337"/>
      <c r="CIU92" s="337"/>
      <c r="CIV92" s="337"/>
      <c r="CIW92" s="337"/>
      <c r="CIX92" s="337"/>
      <c r="CIY92" s="337"/>
      <c r="CIZ92" s="337"/>
      <c r="CJA92" s="337"/>
      <c r="CJB92" s="337"/>
      <c r="CJC92" s="337"/>
      <c r="CJD92" s="337"/>
      <c r="CJE92" s="337"/>
      <c r="CJF92" s="337"/>
      <c r="CJG92" s="337"/>
      <c r="CJH92" s="337"/>
      <c r="CJI92" s="337"/>
      <c r="CJJ92" s="337"/>
      <c r="CJK92" s="337"/>
      <c r="CJL92" s="337"/>
      <c r="CJM92" s="337"/>
      <c r="CJN92" s="337"/>
      <c r="CJO92" s="337"/>
      <c r="CJP92" s="337"/>
      <c r="CJQ92" s="337"/>
      <c r="CJR92" s="337"/>
      <c r="CJS92" s="337"/>
      <c r="CJT92" s="337"/>
      <c r="CJU92" s="337"/>
      <c r="CJV92" s="337"/>
      <c r="CJW92" s="337"/>
      <c r="CJX92" s="337"/>
      <c r="CJY92" s="337"/>
      <c r="CJZ92" s="337"/>
      <c r="CKA92" s="337"/>
      <c r="CKB92" s="337"/>
      <c r="CKC92" s="337"/>
      <c r="CKD92" s="337"/>
      <c r="CKE92" s="337"/>
      <c r="CKF92" s="337"/>
      <c r="CKG92" s="337"/>
      <c r="CKH92" s="337"/>
      <c r="CKI92" s="337"/>
      <c r="CKJ92" s="337"/>
      <c r="CKK92" s="337"/>
      <c r="CKL92" s="337"/>
      <c r="CKM92" s="337"/>
      <c r="CKN92" s="337"/>
      <c r="CKO92" s="337"/>
      <c r="CKP92" s="337"/>
      <c r="CKQ92" s="337"/>
      <c r="CKR92" s="337"/>
      <c r="CKS92" s="337"/>
      <c r="CKT92" s="337"/>
      <c r="CKU92" s="337"/>
      <c r="CKV92" s="337"/>
      <c r="CKW92" s="337"/>
      <c r="CKX92" s="337"/>
      <c r="CKY92" s="337"/>
      <c r="CKZ92" s="337"/>
      <c r="CLA92" s="337"/>
      <c r="CLB92" s="337"/>
      <c r="CLC92" s="337"/>
      <c r="CLD92" s="337"/>
      <c r="CLE92" s="337"/>
      <c r="CLF92" s="337"/>
      <c r="CLG92" s="337"/>
      <c r="CLH92" s="337"/>
      <c r="CLI92" s="337"/>
      <c r="CLJ92" s="337"/>
      <c r="CLK92" s="337"/>
      <c r="CLL92" s="337"/>
      <c r="CLM92" s="337"/>
      <c r="CLN92" s="337"/>
      <c r="CLO92" s="337"/>
      <c r="CLP92" s="337"/>
      <c r="CLQ92" s="337"/>
      <c r="CLR92" s="337"/>
      <c r="CLS92" s="337"/>
      <c r="CLT92" s="337"/>
      <c r="CLU92" s="337"/>
      <c r="CLV92" s="337"/>
      <c r="CLW92" s="337"/>
      <c r="CLX92" s="337"/>
      <c r="CLY92" s="337"/>
      <c r="CLZ92" s="337"/>
      <c r="CMA92" s="337"/>
      <c r="CMB92" s="337"/>
      <c r="CMC92" s="337"/>
      <c r="CMD92" s="337"/>
      <c r="CME92" s="337"/>
      <c r="CMF92" s="337"/>
      <c r="CMG92" s="337"/>
      <c r="CMH92" s="337"/>
      <c r="CMI92" s="337"/>
      <c r="CMJ92" s="337"/>
      <c r="CMK92" s="337"/>
      <c r="CML92" s="337"/>
      <c r="CMM92" s="337"/>
      <c r="CMN92" s="337"/>
      <c r="CMO92" s="337"/>
      <c r="CMP92" s="337"/>
      <c r="CMQ92" s="337"/>
      <c r="CMR92" s="337"/>
      <c r="CMS92" s="337"/>
      <c r="CMT92" s="337"/>
      <c r="CMU92" s="337"/>
      <c r="CMV92" s="337"/>
      <c r="CMW92" s="337"/>
      <c r="CMX92" s="337"/>
      <c r="CMY92" s="337"/>
      <c r="CMZ92" s="337"/>
      <c r="CNA92" s="337"/>
      <c r="CNB92" s="337"/>
      <c r="CNC92" s="337"/>
      <c r="CND92" s="337"/>
      <c r="CNE92" s="337"/>
      <c r="CNF92" s="337"/>
      <c r="CNG92" s="337"/>
      <c r="CNH92" s="337"/>
      <c r="CNI92" s="337"/>
      <c r="CNJ92" s="337"/>
      <c r="CNK92" s="337"/>
      <c r="CNL92" s="337"/>
      <c r="CNM92" s="337"/>
      <c r="CNN92" s="337"/>
      <c r="CNO92" s="337"/>
      <c r="CNP92" s="337"/>
      <c r="CNQ92" s="337"/>
      <c r="CNR92" s="337"/>
      <c r="CNS92" s="337"/>
      <c r="CNT92" s="337"/>
      <c r="CNU92" s="337"/>
      <c r="CNV92" s="337"/>
      <c r="CNW92" s="337"/>
      <c r="CNX92" s="337"/>
      <c r="CNY92" s="337"/>
      <c r="CNZ92" s="337"/>
      <c r="COA92" s="337"/>
      <c r="COB92" s="337"/>
      <c r="COC92" s="337"/>
      <c r="COD92" s="337"/>
      <c r="COE92" s="337"/>
      <c r="COF92" s="337"/>
      <c r="COG92" s="337"/>
      <c r="COH92" s="337"/>
      <c r="COI92" s="337"/>
      <c r="COJ92" s="337"/>
      <c r="COK92" s="337"/>
      <c r="COL92" s="337"/>
      <c r="COM92" s="337"/>
      <c r="CON92" s="337"/>
      <c r="COO92" s="337"/>
      <c r="COP92" s="337"/>
      <c r="COQ92" s="337"/>
      <c r="COR92" s="337"/>
      <c r="COS92" s="337"/>
      <c r="COT92" s="337"/>
      <c r="COU92" s="337"/>
      <c r="COV92" s="337"/>
      <c r="COW92" s="337"/>
      <c r="COX92" s="337"/>
      <c r="COY92" s="337"/>
      <c r="COZ92" s="337"/>
      <c r="CPA92" s="337"/>
      <c r="CPB92" s="337"/>
      <c r="CPC92" s="337"/>
      <c r="CPD92" s="337"/>
      <c r="CPE92" s="337"/>
      <c r="CPF92" s="337"/>
      <c r="CPG92" s="337"/>
      <c r="CPH92" s="337"/>
      <c r="CPI92" s="337"/>
      <c r="CPJ92" s="337"/>
      <c r="CPK92" s="337"/>
      <c r="CPL92" s="337"/>
      <c r="CPM92" s="337"/>
      <c r="CPN92" s="337"/>
      <c r="CPO92" s="337"/>
      <c r="CPP92" s="337"/>
      <c r="CPQ92" s="337"/>
      <c r="CPR92" s="337"/>
      <c r="CPS92" s="337"/>
      <c r="CPT92" s="337"/>
      <c r="CPU92" s="337"/>
      <c r="CPV92" s="337"/>
      <c r="CPW92" s="337"/>
      <c r="CPX92" s="337"/>
      <c r="CPY92" s="337"/>
      <c r="CPZ92" s="337"/>
      <c r="CQA92" s="337"/>
      <c r="CQB92" s="337"/>
      <c r="CQC92" s="337"/>
      <c r="CQD92" s="337"/>
      <c r="CQE92" s="337"/>
      <c r="CQF92" s="337"/>
      <c r="CQG92" s="337"/>
      <c r="CQH92" s="337"/>
      <c r="CQI92" s="337"/>
      <c r="CQJ92" s="337"/>
      <c r="CQK92" s="337"/>
      <c r="CQL92" s="337"/>
      <c r="CQM92" s="337"/>
      <c r="CQN92" s="337"/>
      <c r="CQO92" s="337"/>
      <c r="CQP92" s="337"/>
      <c r="CQQ92" s="337"/>
      <c r="CQR92" s="337"/>
      <c r="CQS92" s="337"/>
      <c r="CQT92" s="337"/>
      <c r="CQU92" s="337"/>
      <c r="CQV92" s="337"/>
      <c r="CQW92" s="337"/>
      <c r="CQX92" s="337"/>
      <c r="CQY92" s="337"/>
      <c r="CQZ92" s="337"/>
      <c r="CRA92" s="337"/>
      <c r="CRB92" s="337"/>
      <c r="CRC92" s="337"/>
      <c r="CRD92" s="337"/>
      <c r="CRE92" s="337"/>
      <c r="CRF92" s="337"/>
      <c r="CRG92" s="337"/>
      <c r="CRH92" s="337"/>
      <c r="CRI92" s="337"/>
      <c r="CRJ92" s="337"/>
      <c r="CRK92" s="337"/>
      <c r="CRL92" s="337"/>
      <c r="CRM92" s="337"/>
      <c r="CRN92" s="337"/>
      <c r="CRO92" s="337"/>
      <c r="CRP92" s="337"/>
      <c r="CRQ92" s="337"/>
      <c r="CRR92" s="337"/>
      <c r="CRS92" s="337"/>
      <c r="CRT92" s="337"/>
      <c r="CRU92" s="337"/>
      <c r="CRV92" s="337"/>
      <c r="CRW92" s="337"/>
      <c r="CRX92" s="337"/>
      <c r="CRY92" s="337"/>
      <c r="CRZ92" s="337"/>
      <c r="CSA92" s="337"/>
      <c r="CSB92" s="337"/>
      <c r="CSC92" s="337"/>
      <c r="CSD92" s="337"/>
      <c r="CSE92" s="337"/>
      <c r="CSF92" s="337"/>
      <c r="CSG92" s="337"/>
      <c r="CSH92" s="337"/>
      <c r="CSI92" s="337"/>
      <c r="CSJ92" s="337"/>
      <c r="CSK92" s="337"/>
      <c r="CSL92" s="337"/>
      <c r="CSM92" s="337"/>
      <c r="CSN92" s="337"/>
      <c r="CSO92" s="337"/>
      <c r="CSP92" s="337"/>
      <c r="CSQ92" s="337"/>
      <c r="CSR92" s="337"/>
      <c r="CSS92" s="337"/>
      <c r="CST92" s="337"/>
      <c r="CSU92" s="337"/>
      <c r="CSV92" s="337"/>
      <c r="CSW92" s="337"/>
      <c r="CSX92" s="337"/>
      <c r="CSY92" s="337"/>
      <c r="CSZ92" s="337"/>
      <c r="CTA92" s="337"/>
      <c r="CTB92" s="337"/>
      <c r="CTC92" s="337"/>
      <c r="CTD92" s="337"/>
      <c r="CTE92" s="337"/>
      <c r="CTF92" s="337"/>
      <c r="CTG92" s="337"/>
      <c r="CTH92" s="337"/>
      <c r="CTI92" s="337"/>
      <c r="CTJ92" s="337"/>
      <c r="CTK92" s="337"/>
      <c r="CTL92" s="337"/>
      <c r="CTM92" s="337"/>
      <c r="CTN92" s="337"/>
      <c r="CTO92" s="337"/>
      <c r="CTP92" s="337"/>
      <c r="CTQ92" s="337"/>
      <c r="CTR92" s="337"/>
      <c r="CTS92" s="337"/>
      <c r="CTT92" s="337"/>
      <c r="CTU92" s="337"/>
      <c r="CTV92" s="337"/>
      <c r="CTW92" s="337"/>
      <c r="CTX92" s="337"/>
      <c r="CTY92" s="337"/>
      <c r="CTZ92" s="337"/>
      <c r="CUA92" s="337"/>
      <c r="CUB92" s="337"/>
      <c r="CUC92" s="337"/>
      <c r="CUD92" s="337"/>
      <c r="CUE92" s="337"/>
      <c r="CUF92" s="337"/>
      <c r="CUG92" s="337"/>
      <c r="CUH92" s="337"/>
      <c r="CUI92" s="337"/>
      <c r="CUJ92" s="337"/>
      <c r="CUK92" s="337"/>
      <c r="CUL92" s="337"/>
      <c r="CUM92" s="337"/>
      <c r="CUN92" s="337"/>
      <c r="CUO92" s="337"/>
      <c r="CUP92" s="337"/>
      <c r="CUQ92" s="337"/>
      <c r="CUR92" s="337"/>
      <c r="CUS92" s="337"/>
      <c r="CUT92" s="337"/>
      <c r="CUU92" s="337"/>
      <c r="CUV92" s="337"/>
      <c r="CUW92" s="337"/>
      <c r="CUX92" s="337"/>
      <c r="CUY92" s="337"/>
      <c r="CUZ92" s="337"/>
      <c r="CVA92" s="337"/>
      <c r="CVB92" s="337"/>
      <c r="CVC92" s="337"/>
      <c r="CVD92" s="337"/>
      <c r="CVE92" s="337"/>
      <c r="CVF92" s="337"/>
      <c r="CVG92" s="337"/>
      <c r="CVH92" s="337"/>
      <c r="CVI92" s="337"/>
      <c r="CVJ92" s="337"/>
      <c r="CVK92" s="337"/>
      <c r="CVL92" s="337"/>
      <c r="CVM92" s="337"/>
      <c r="CVN92" s="337"/>
      <c r="CVO92" s="337"/>
      <c r="CVP92" s="337"/>
      <c r="CVQ92" s="337"/>
      <c r="CVR92" s="337"/>
      <c r="CVS92" s="337"/>
      <c r="CVT92" s="337"/>
      <c r="CVU92" s="337"/>
      <c r="CVV92" s="337"/>
      <c r="CVW92" s="337"/>
      <c r="CVX92" s="337"/>
      <c r="CVY92" s="337"/>
      <c r="CVZ92" s="337"/>
      <c r="CWA92" s="337"/>
      <c r="CWB92" s="337"/>
      <c r="CWC92" s="337"/>
      <c r="CWD92" s="337"/>
      <c r="CWE92" s="337"/>
      <c r="CWF92" s="337"/>
      <c r="CWG92" s="337"/>
      <c r="CWH92" s="337"/>
      <c r="CWI92" s="337"/>
      <c r="CWJ92" s="337"/>
      <c r="CWK92" s="337"/>
      <c r="CWL92" s="337"/>
      <c r="CWM92" s="337"/>
      <c r="CWN92" s="337"/>
      <c r="CWO92" s="337"/>
      <c r="CWP92" s="337"/>
      <c r="CWQ92" s="337"/>
      <c r="CWR92" s="337"/>
      <c r="CWS92" s="337"/>
      <c r="CWT92" s="337"/>
      <c r="CWU92" s="337"/>
      <c r="CWV92" s="337"/>
      <c r="CWW92" s="337"/>
      <c r="CWX92" s="337"/>
      <c r="CWY92" s="337"/>
      <c r="CWZ92" s="337"/>
      <c r="CXA92" s="337"/>
      <c r="CXB92" s="337"/>
      <c r="CXC92" s="337"/>
      <c r="CXD92" s="337"/>
      <c r="CXE92" s="337"/>
      <c r="CXF92" s="337"/>
      <c r="CXG92" s="337"/>
      <c r="CXH92" s="337"/>
      <c r="CXI92" s="337"/>
      <c r="CXJ92" s="337"/>
      <c r="CXK92" s="337"/>
      <c r="CXL92" s="337"/>
      <c r="CXM92" s="337"/>
      <c r="CXN92" s="337"/>
      <c r="CXO92" s="337"/>
      <c r="CXP92" s="337"/>
      <c r="CXQ92" s="337"/>
      <c r="CXR92" s="337"/>
      <c r="CXS92" s="337"/>
      <c r="CXT92" s="337"/>
      <c r="CXU92" s="337"/>
      <c r="CXV92" s="337"/>
      <c r="CXW92" s="337"/>
      <c r="CXX92" s="337"/>
      <c r="CXY92" s="337"/>
      <c r="CXZ92" s="337"/>
      <c r="CYA92" s="337"/>
      <c r="CYB92" s="337"/>
      <c r="CYC92" s="337"/>
      <c r="CYD92" s="337"/>
      <c r="CYE92" s="337"/>
      <c r="CYF92" s="337"/>
      <c r="CYG92" s="337"/>
      <c r="CYH92" s="337"/>
      <c r="CYI92" s="337"/>
      <c r="CYJ92" s="337"/>
      <c r="CYK92" s="337"/>
      <c r="CYL92" s="337"/>
      <c r="CYM92" s="337"/>
      <c r="CYN92" s="337"/>
      <c r="CYO92" s="337"/>
      <c r="CYP92" s="337"/>
      <c r="CYQ92" s="337"/>
      <c r="CYR92" s="337"/>
      <c r="CYS92" s="337"/>
      <c r="CYT92" s="337"/>
      <c r="CYU92" s="337"/>
      <c r="CYV92" s="337"/>
      <c r="CYW92" s="337"/>
      <c r="CYX92" s="337"/>
      <c r="CYY92" s="337"/>
      <c r="CYZ92" s="337"/>
      <c r="CZA92" s="337"/>
      <c r="CZB92" s="337"/>
      <c r="CZC92" s="337"/>
      <c r="CZD92" s="337"/>
      <c r="CZE92" s="337"/>
      <c r="CZF92" s="337"/>
      <c r="CZG92" s="337"/>
      <c r="CZH92" s="337"/>
      <c r="CZI92" s="337"/>
      <c r="CZJ92" s="337"/>
      <c r="CZK92" s="337"/>
      <c r="CZL92" s="337"/>
      <c r="CZM92" s="337"/>
      <c r="CZN92" s="337"/>
      <c r="CZO92" s="337"/>
      <c r="CZP92" s="337"/>
      <c r="CZQ92" s="337"/>
      <c r="CZR92" s="337"/>
      <c r="CZS92" s="337"/>
      <c r="CZT92" s="337"/>
      <c r="CZU92" s="337"/>
      <c r="CZV92" s="337"/>
      <c r="CZW92" s="337"/>
      <c r="CZX92" s="337"/>
      <c r="CZY92" s="337"/>
      <c r="CZZ92" s="337"/>
      <c r="DAA92" s="337"/>
      <c r="DAB92" s="337"/>
      <c r="DAC92" s="337"/>
      <c r="DAD92" s="337"/>
      <c r="DAE92" s="337"/>
      <c r="DAF92" s="337"/>
      <c r="DAG92" s="337"/>
      <c r="DAH92" s="337"/>
      <c r="DAI92" s="337"/>
      <c r="DAJ92" s="337"/>
      <c r="DAK92" s="337"/>
      <c r="DAL92" s="337"/>
      <c r="DAM92" s="337"/>
      <c r="DAN92" s="337"/>
      <c r="DAO92" s="337"/>
      <c r="DAP92" s="337"/>
      <c r="DAQ92" s="337"/>
      <c r="DAR92" s="337"/>
      <c r="DAS92" s="337"/>
      <c r="DAT92" s="337"/>
      <c r="DAU92" s="337"/>
      <c r="DAV92" s="337"/>
      <c r="DAW92" s="337"/>
      <c r="DAX92" s="337"/>
      <c r="DAY92" s="337"/>
      <c r="DAZ92" s="337"/>
      <c r="DBA92" s="337"/>
      <c r="DBB92" s="337"/>
      <c r="DBC92" s="337"/>
      <c r="DBD92" s="337"/>
      <c r="DBE92" s="337"/>
      <c r="DBF92" s="337"/>
      <c r="DBG92" s="337"/>
      <c r="DBH92" s="337"/>
      <c r="DBI92" s="337"/>
      <c r="DBJ92" s="337"/>
      <c r="DBK92" s="337"/>
      <c r="DBL92" s="337"/>
      <c r="DBM92" s="337"/>
      <c r="DBN92" s="337"/>
      <c r="DBO92" s="337"/>
      <c r="DBP92" s="337"/>
      <c r="DBQ92" s="337"/>
      <c r="DBR92" s="337"/>
      <c r="DBS92" s="337"/>
      <c r="DBT92" s="337"/>
      <c r="DBU92" s="337"/>
      <c r="DBV92" s="337"/>
      <c r="DBW92" s="337"/>
      <c r="DBX92" s="337"/>
      <c r="DBY92" s="337"/>
      <c r="DBZ92" s="337"/>
      <c r="DCA92" s="337"/>
      <c r="DCB92" s="337"/>
      <c r="DCC92" s="337"/>
      <c r="DCD92" s="337"/>
      <c r="DCE92" s="337"/>
      <c r="DCF92" s="337"/>
      <c r="DCG92" s="337"/>
      <c r="DCH92" s="337"/>
      <c r="DCI92" s="337"/>
      <c r="DCJ92" s="337"/>
      <c r="DCK92" s="337"/>
      <c r="DCL92" s="337"/>
      <c r="DCM92" s="337"/>
      <c r="DCN92" s="337"/>
      <c r="DCO92" s="337"/>
      <c r="DCP92" s="337"/>
      <c r="DCQ92" s="337"/>
      <c r="DCR92" s="337"/>
      <c r="DCS92" s="337"/>
      <c r="DCT92" s="337"/>
      <c r="DCU92" s="337"/>
      <c r="DCV92" s="337"/>
      <c r="DCW92" s="337"/>
      <c r="DCX92" s="337"/>
      <c r="DCY92" s="337"/>
      <c r="DCZ92" s="337"/>
      <c r="DDA92" s="337"/>
      <c r="DDB92" s="337"/>
      <c r="DDC92" s="337"/>
      <c r="DDD92" s="337"/>
      <c r="DDE92" s="337"/>
      <c r="DDF92" s="337"/>
      <c r="DDG92" s="337"/>
      <c r="DDH92" s="337"/>
      <c r="DDI92" s="337"/>
      <c r="DDJ92" s="337"/>
      <c r="DDK92" s="337"/>
      <c r="DDL92" s="337"/>
      <c r="DDM92" s="337"/>
      <c r="DDN92" s="337"/>
      <c r="DDO92" s="337"/>
      <c r="DDP92" s="337"/>
      <c r="DDQ92" s="337"/>
      <c r="DDR92" s="337"/>
      <c r="DDS92" s="337"/>
      <c r="DDT92" s="337"/>
      <c r="DDU92" s="337"/>
      <c r="DDV92" s="337"/>
      <c r="DDW92" s="337"/>
      <c r="DDX92" s="337"/>
      <c r="DDY92" s="337"/>
      <c r="DDZ92" s="337"/>
      <c r="DEA92" s="337"/>
      <c r="DEB92" s="337"/>
      <c r="DEC92" s="337"/>
      <c r="DED92" s="337"/>
      <c r="DEE92" s="337"/>
      <c r="DEF92" s="337"/>
      <c r="DEG92" s="337"/>
      <c r="DEH92" s="337"/>
      <c r="DEI92" s="337"/>
      <c r="DEJ92" s="337"/>
      <c r="DEK92" s="337"/>
      <c r="DEL92" s="337"/>
      <c r="DEM92" s="337"/>
      <c r="DEN92" s="337"/>
      <c r="DEO92" s="337"/>
      <c r="DEP92" s="337"/>
      <c r="DEQ92" s="337"/>
      <c r="DER92" s="337"/>
      <c r="DES92" s="337"/>
      <c r="DET92" s="337"/>
      <c r="DEU92" s="337"/>
      <c r="DEV92" s="337"/>
      <c r="DEW92" s="337"/>
      <c r="DEX92" s="337"/>
      <c r="DEY92" s="337"/>
      <c r="DEZ92" s="337"/>
      <c r="DFA92" s="337"/>
      <c r="DFB92" s="337"/>
      <c r="DFC92" s="337"/>
      <c r="DFD92" s="337"/>
      <c r="DFE92" s="337"/>
      <c r="DFF92" s="337"/>
      <c r="DFG92" s="337"/>
      <c r="DFH92" s="337"/>
      <c r="DFI92" s="337"/>
      <c r="DFJ92" s="337"/>
      <c r="DFK92" s="337"/>
      <c r="DFL92" s="337"/>
      <c r="DFM92" s="337"/>
      <c r="DFN92" s="337"/>
      <c r="DFO92" s="337"/>
      <c r="DFP92" s="337"/>
      <c r="DFQ92" s="337"/>
      <c r="DFR92" s="337"/>
      <c r="DFS92" s="337"/>
      <c r="DFT92" s="337"/>
      <c r="DFU92" s="337"/>
      <c r="DFV92" s="337"/>
      <c r="DFW92" s="337"/>
      <c r="DFX92" s="337"/>
      <c r="DFY92" s="337"/>
      <c r="DFZ92" s="337"/>
      <c r="DGA92" s="337"/>
      <c r="DGB92" s="337"/>
      <c r="DGC92" s="337"/>
      <c r="DGD92" s="337"/>
      <c r="DGE92" s="337"/>
      <c r="DGF92" s="337"/>
      <c r="DGG92" s="337"/>
      <c r="DGH92" s="337"/>
      <c r="DGI92" s="337"/>
      <c r="DGJ92" s="337"/>
      <c r="DGK92" s="337"/>
      <c r="DGL92" s="337"/>
      <c r="DGM92" s="337"/>
      <c r="DGN92" s="337"/>
      <c r="DGO92" s="337"/>
      <c r="DGP92" s="337"/>
      <c r="DGQ92" s="337"/>
      <c r="DGR92" s="337"/>
      <c r="DGS92" s="337"/>
      <c r="DGT92" s="337"/>
      <c r="DGU92" s="337"/>
      <c r="DGV92" s="337"/>
      <c r="DGW92" s="337"/>
      <c r="DGX92" s="337"/>
      <c r="DGY92" s="337"/>
      <c r="DGZ92" s="337"/>
      <c r="DHA92" s="337"/>
      <c r="DHB92" s="337"/>
      <c r="DHC92" s="337"/>
      <c r="DHD92" s="337"/>
      <c r="DHE92" s="337"/>
      <c r="DHF92" s="337"/>
      <c r="DHG92" s="337"/>
      <c r="DHH92" s="337"/>
      <c r="DHI92" s="337"/>
      <c r="DHJ92" s="337"/>
      <c r="DHK92" s="337"/>
      <c r="DHL92" s="337"/>
      <c r="DHM92" s="337"/>
      <c r="DHN92" s="337"/>
      <c r="DHO92" s="337"/>
      <c r="DHP92" s="337"/>
      <c r="DHQ92" s="337"/>
      <c r="DHR92" s="337"/>
      <c r="DHS92" s="337"/>
      <c r="DHT92" s="337"/>
      <c r="DHU92" s="337"/>
      <c r="DHV92" s="337"/>
      <c r="DHW92" s="337"/>
      <c r="DHX92" s="337"/>
      <c r="DHY92" s="337"/>
      <c r="DHZ92" s="337"/>
      <c r="DIA92" s="337"/>
      <c r="DIB92" s="337"/>
      <c r="DIC92" s="337"/>
      <c r="DID92" s="337"/>
      <c r="DIE92" s="337"/>
      <c r="DIF92" s="337"/>
      <c r="DIG92" s="337"/>
      <c r="DIH92" s="337"/>
      <c r="DII92" s="337"/>
      <c r="DIJ92" s="337"/>
      <c r="DIK92" s="337"/>
      <c r="DIL92" s="337"/>
      <c r="DIM92" s="337"/>
      <c r="DIN92" s="337"/>
      <c r="DIO92" s="337"/>
      <c r="DIP92" s="337"/>
      <c r="DIQ92" s="337"/>
      <c r="DIR92" s="337"/>
      <c r="DIS92" s="337"/>
      <c r="DIT92" s="337"/>
      <c r="DIU92" s="337"/>
      <c r="DIV92" s="337"/>
      <c r="DIW92" s="337"/>
      <c r="DIX92" s="337"/>
      <c r="DIY92" s="337"/>
      <c r="DIZ92" s="337"/>
      <c r="DJA92" s="337"/>
      <c r="DJB92" s="337"/>
      <c r="DJC92" s="337"/>
      <c r="DJD92" s="337"/>
      <c r="DJE92" s="337"/>
      <c r="DJF92" s="337"/>
      <c r="DJG92" s="337"/>
      <c r="DJH92" s="337"/>
      <c r="DJI92" s="337"/>
      <c r="DJJ92" s="337"/>
      <c r="DJK92" s="337"/>
      <c r="DJL92" s="337"/>
      <c r="DJM92" s="337"/>
      <c r="DJN92" s="337"/>
      <c r="DJO92" s="337"/>
      <c r="DJP92" s="337"/>
      <c r="DJQ92" s="337"/>
      <c r="DJR92" s="337"/>
      <c r="DJS92" s="337"/>
      <c r="DJT92" s="337"/>
      <c r="DJU92" s="337"/>
      <c r="DJV92" s="337"/>
      <c r="DJW92" s="337"/>
      <c r="DJX92" s="337"/>
      <c r="DJY92" s="337"/>
      <c r="DJZ92" s="337"/>
      <c r="DKA92" s="337"/>
      <c r="DKB92" s="337"/>
      <c r="DKC92" s="337"/>
      <c r="DKD92" s="337"/>
      <c r="DKE92" s="337"/>
      <c r="DKF92" s="337"/>
      <c r="DKG92" s="337"/>
      <c r="DKH92" s="337"/>
      <c r="DKI92" s="337"/>
      <c r="DKJ92" s="337"/>
      <c r="DKK92" s="337"/>
      <c r="DKL92" s="337"/>
      <c r="DKM92" s="337"/>
      <c r="DKN92" s="337"/>
      <c r="DKO92" s="337"/>
      <c r="DKP92" s="337"/>
      <c r="DKQ92" s="337"/>
      <c r="DKR92" s="337"/>
      <c r="DKS92" s="337"/>
      <c r="DKT92" s="337"/>
      <c r="DKU92" s="337"/>
      <c r="DKV92" s="337"/>
      <c r="DKW92" s="337"/>
      <c r="DKX92" s="337"/>
      <c r="DKY92" s="337"/>
      <c r="DKZ92" s="337"/>
      <c r="DLA92" s="337"/>
      <c r="DLB92" s="337"/>
      <c r="DLC92" s="337"/>
      <c r="DLD92" s="337"/>
      <c r="DLE92" s="337"/>
      <c r="DLF92" s="337"/>
      <c r="DLG92" s="337"/>
      <c r="DLH92" s="337"/>
      <c r="DLI92" s="337"/>
      <c r="DLJ92" s="337"/>
      <c r="DLK92" s="337"/>
      <c r="DLL92" s="337"/>
      <c r="DLM92" s="337"/>
      <c r="DLN92" s="337"/>
      <c r="DLO92" s="337"/>
      <c r="DLP92" s="337"/>
      <c r="DLQ92" s="337"/>
      <c r="DLR92" s="337"/>
      <c r="DLS92" s="337"/>
      <c r="DLT92" s="337"/>
      <c r="DLU92" s="337"/>
      <c r="DLV92" s="337"/>
      <c r="DLW92" s="337"/>
      <c r="DLX92" s="337"/>
      <c r="DLY92" s="337"/>
      <c r="DLZ92" s="337"/>
      <c r="DMA92" s="337"/>
      <c r="DMB92" s="337"/>
      <c r="DMC92" s="337"/>
      <c r="DMD92" s="337"/>
      <c r="DME92" s="337"/>
      <c r="DMF92" s="337"/>
      <c r="DMG92" s="337"/>
      <c r="DMH92" s="337"/>
      <c r="DMI92" s="337"/>
      <c r="DMJ92" s="337"/>
      <c r="DMK92" s="337"/>
      <c r="DML92" s="337"/>
      <c r="DMM92" s="337"/>
      <c r="DMN92" s="337"/>
      <c r="DMO92" s="337"/>
      <c r="DMP92" s="337"/>
      <c r="DMQ92" s="337"/>
      <c r="DMR92" s="337"/>
      <c r="DMS92" s="337"/>
      <c r="DMT92" s="337"/>
      <c r="DMU92" s="337"/>
      <c r="DMV92" s="337"/>
      <c r="DMW92" s="337"/>
      <c r="DMX92" s="337"/>
      <c r="DMY92" s="337"/>
      <c r="DMZ92" s="337"/>
      <c r="DNA92" s="337"/>
      <c r="DNB92" s="337"/>
      <c r="DNC92" s="337"/>
      <c r="DND92" s="337"/>
      <c r="DNE92" s="337"/>
      <c r="DNF92" s="337"/>
      <c r="DNG92" s="337"/>
      <c r="DNH92" s="337"/>
      <c r="DNI92" s="337"/>
      <c r="DNJ92" s="337"/>
      <c r="DNK92" s="337"/>
      <c r="DNL92" s="337"/>
      <c r="DNM92" s="337"/>
      <c r="DNN92" s="337"/>
      <c r="DNO92" s="337"/>
      <c r="DNP92" s="337"/>
      <c r="DNQ92" s="337"/>
      <c r="DNR92" s="337"/>
      <c r="DNS92" s="337"/>
      <c r="DNT92" s="337"/>
      <c r="DNU92" s="337"/>
      <c r="DNV92" s="337"/>
      <c r="DNW92" s="337"/>
      <c r="DNX92" s="337"/>
      <c r="DNY92" s="337"/>
      <c r="DNZ92" s="337"/>
      <c r="DOA92" s="337"/>
      <c r="DOB92" s="337"/>
      <c r="DOC92" s="337"/>
      <c r="DOD92" s="337"/>
      <c r="DOE92" s="337"/>
      <c r="DOF92" s="337"/>
      <c r="DOG92" s="337"/>
      <c r="DOH92" s="337"/>
      <c r="DOI92" s="337"/>
      <c r="DOJ92" s="337"/>
      <c r="DOK92" s="337"/>
      <c r="DOL92" s="337"/>
      <c r="DOM92" s="337"/>
      <c r="DON92" s="337"/>
      <c r="DOO92" s="337"/>
      <c r="DOP92" s="337"/>
      <c r="DOQ92" s="337"/>
      <c r="DOR92" s="337"/>
      <c r="DOS92" s="337"/>
      <c r="DOT92" s="337"/>
      <c r="DOU92" s="337"/>
      <c r="DOV92" s="337"/>
      <c r="DOW92" s="337"/>
      <c r="DOX92" s="337"/>
      <c r="DOY92" s="337"/>
      <c r="DOZ92" s="337"/>
      <c r="DPA92" s="337"/>
      <c r="DPB92" s="337"/>
      <c r="DPC92" s="337"/>
      <c r="DPD92" s="337"/>
      <c r="DPE92" s="337"/>
      <c r="DPF92" s="337"/>
      <c r="DPG92" s="337"/>
      <c r="DPH92" s="337"/>
      <c r="DPI92" s="337"/>
      <c r="DPJ92" s="337"/>
      <c r="DPK92" s="337"/>
      <c r="DPL92" s="337"/>
      <c r="DPM92" s="337"/>
      <c r="DPN92" s="337"/>
      <c r="DPO92" s="337"/>
      <c r="DPP92" s="337"/>
      <c r="DPQ92" s="337"/>
      <c r="DPR92" s="337"/>
      <c r="DPS92" s="337"/>
      <c r="DPT92" s="337"/>
      <c r="DPU92" s="337"/>
      <c r="DPV92" s="337"/>
      <c r="DPW92" s="337"/>
      <c r="DPX92" s="337"/>
      <c r="DPY92" s="337"/>
      <c r="DPZ92" s="337"/>
      <c r="DQA92" s="337"/>
      <c r="DQB92" s="337"/>
      <c r="DQC92" s="337"/>
      <c r="DQD92" s="337"/>
      <c r="DQE92" s="337"/>
      <c r="DQF92" s="337"/>
      <c r="DQG92" s="337"/>
      <c r="DQH92" s="337"/>
      <c r="DQI92" s="337"/>
      <c r="DQJ92" s="337"/>
      <c r="DQK92" s="337"/>
      <c r="DQL92" s="337"/>
      <c r="DQM92" s="337"/>
      <c r="DQN92" s="337"/>
      <c r="DQO92" s="337"/>
      <c r="DQP92" s="337"/>
      <c r="DQQ92" s="337"/>
      <c r="DQR92" s="337"/>
      <c r="DQS92" s="337"/>
      <c r="DQT92" s="337"/>
      <c r="DQU92" s="337"/>
      <c r="DQV92" s="337"/>
      <c r="DQW92" s="337"/>
      <c r="DQX92" s="337"/>
      <c r="DQY92" s="337"/>
      <c r="DQZ92" s="337"/>
      <c r="DRA92" s="337"/>
      <c r="DRB92" s="337"/>
      <c r="DRC92" s="337"/>
      <c r="DRD92" s="337"/>
      <c r="DRE92" s="337"/>
      <c r="DRF92" s="337"/>
      <c r="DRG92" s="337"/>
      <c r="DRH92" s="337"/>
      <c r="DRI92" s="337"/>
      <c r="DRJ92" s="337"/>
      <c r="DRK92" s="337"/>
      <c r="DRL92" s="337"/>
      <c r="DRM92" s="337"/>
      <c r="DRN92" s="337"/>
      <c r="DRO92" s="337"/>
      <c r="DRP92" s="337"/>
      <c r="DRQ92" s="337"/>
      <c r="DRR92" s="337"/>
      <c r="DRS92" s="337"/>
      <c r="DRT92" s="337"/>
      <c r="DRU92" s="337"/>
      <c r="DRV92" s="337"/>
      <c r="DRW92" s="337"/>
      <c r="DRX92" s="337"/>
      <c r="DRY92" s="337"/>
      <c r="DRZ92" s="337"/>
      <c r="DSA92" s="337"/>
      <c r="DSB92" s="337"/>
      <c r="DSC92" s="337"/>
      <c r="DSD92" s="337"/>
      <c r="DSE92" s="337"/>
      <c r="DSF92" s="337"/>
      <c r="DSG92" s="337"/>
      <c r="DSH92" s="337"/>
      <c r="DSI92" s="337"/>
      <c r="DSJ92" s="337"/>
      <c r="DSK92" s="337"/>
      <c r="DSL92" s="337"/>
      <c r="DSM92" s="337"/>
      <c r="DSN92" s="337"/>
      <c r="DSO92" s="337"/>
      <c r="DSP92" s="337"/>
      <c r="DSQ92" s="337"/>
      <c r="DSR92" s="337"/>
      <c r="DSS92" s="337"/>
      <c r="DST92" s="337"/>
      <c r="DSU92" s="337"/>
      <c r="DSV92" s="337"/>
      <c r="DSW92" s="337"/>
      <c r="DSX92" s="337"/>
      <c r="DSY92" s="337"/>
      <c r="DSZ92" s="337"/>
      <c r="DTA92" s="337"/>
      <c r="DTB92" s="337"/>
      <c r="DTC92" s="337"/>
      <c r="DTD92" s="337"/>
      <c r="DTE92" s="337"/>
      <c r="DTF92" s="337"/>
      <c r="DTG92" s="337"/>
      <c r="DTH92" s="337"/>
      <c r="DTI92" s="337"/>
      <c r="DTJ92" s="337"/>
      <c r="DTK92" s="337"/>
      <c r="DTL92" s="337"/>
      <c r="DTM92" s="337"/>
      <c r="DTN92" s="337"/>
      <c r="DTO92" s="337"/>
      <c r="DTP92" s="337"/>
      <c r="DTQ92" s="337"/>
      <c r="DTR92" s="337"/>
      <c r="DTS92" s="337"/>
      <c r="DTT92" s="337"/>
      <c r="DTU92" s="337"/>
      <c r="DTV92" s="337"/>
      <c r="DTW92" s="337"/>
      <c r="DTX92" s="337"/>
      <c r="DTY92" s="337"/>
      <c r="DTZ92" s="337"/>
      <c r="DUA92" s="337"/>
      <c r="DUB92" s="337"/>
      <c r="DUC92" s="337"/>
      <c r="DUD92" s="337"/>
      <c r="DUE92" s="337"/>
      <c r="DUF92" s="337"/>
      <c r="DUG92" s="337"/>
      <c r="DUH92" s="337"/>
      <c r="DUI92" s="337"/>
      <c r="DUJ92" s="337"/>
      <c r="DUK92" s="337"/>
      <c r="DUL92" s="337"/>
      <c r="DUM92" s="337"/>
      <c r="DUN92" s="337"/>
      <c r="DUO92" s="337"/>
      <c r="DUP92" s="337"/>
      <c r="DUQ92" s="337"/>
      <c r="DUR92" s="337"/>
      <c r="DUS92" s="337"/>
      <c r="DUT92" s="337"/>
      <c r="DUU92" s="337"/>
      <c r="DUV92" s="337"/>
      <c r="DUW92" s="337"/>
      <c r="DUX92" s="337"/>
      <c r="DUY92" s="337"/>
      <c r="DUZ92" s="337"/>
      <c r="DVA92" s="337"/>
      <c r="DVB92" s="337"/>
      <c r="DVC92" s="337"/>
      <c r="DVD92" s="337"/>
      <c r="DVE92" s="337"/>
      <c r="DVF92" s="337"/>
      <c r="DVG92" s="337"/>
      <c r="DVH92" s="337"/>
      <c r="DVI92" s="337"/>
      <c r="DVJ92" s="337"/>
      <c r="DVK92" s="337"/>
      <c r="DVL92" s="337"/>
      <c r="DVM92" s="337"/>
      <c r="DVN92" s="337"/>
      <c r="DVO92" s="337"/>
      <c r="DVP92" s="337"/>
      <c r="DVQ92" s="337"/>
      <c r="DVR92" s="337"/>
      <c r="DVS92" s="337"/>
      <c r="DVT92" s="337"/>
      <c r="DVU92" s="337"/>
      <c r="DVV92" s="337"/>
      <c r="DVW92" s="337"/>
      <c r="DVX92" s="337"/>
      <c r="DVY92" s="337"/>
      <c r="DVZ92" s="337"/>
      <c r="DWA92" s="337"/>
      <c r="DWB92" s="337"/>
      <c r="DWC92" s="337"/>
      <c r="DWD92" s="337"/>
      <c r="DWE92" s="337"/>
      <c r="DWF92" s="337"/>
      <c r="DWG92" s="337"/>
      <c r="DWH92" s="337"/>
      <c r="DWI92" s="337"/>
      <c r="DWJ92" s="337"/>
      <c r="DWK92" s="337"/>
      <c r="DWL92" s="337"/>
      <c r="DWM92" s="337"/>
      <c r="DWN92" s="337"/>
      <c r="DWO92" s="337"/>
      <c r="DWP92" s="337"/>
      <c r="DWQ92" s="337"/>
      <c r="DWR92" s="337"/>
      <c r="DWS92" s="337"/>
      <c r="DWT92" s="337"/>
      <c r="DWU92" s="337"/>
      <c r="DWV92" s="337"/>
      <c r="DWW92" s="337"/>
      <c r="DWX92" s="337"/>
      <c r="DWY92" s="337"/>
      <c r="DWZ92" s="337"/>
      <c r="DXA92" s="337"/>
      <c r="DXB92" s="337"/>
      <c r="DXC92" s="337"/>
      <c r="DXD92" s="337"/>
      <c r="DXE92" s="337"/>
      <c r="DXF92" s="337"/>
      <c r="DXG92" s="337"/>
      <c r="DXH92" s="337"/>
      <c r="DXI92" s="337"/>
      <c r="DXJ92" s="337"/>
      <c r="DXK92" s="337"/>
      <c r="DXL92" s="337"/>
      <c r="DXM92" s="337"/>
      <c r="DXN92" s="337"/>
      <c r="DXO92" s="337"/>
      <c r="DXP92" s="337"/>
      <c r="DXQ92" s="337"/>
      <c r="DXR92" s="337"/>
      <c r="DXS92" s="337"/>
      <c r="DXT92" s="337"/>
      <c r="DXU92" s="337"/>
      <c r="DXV92" s="337"/>
      <c r="DXW92" s="337"/>
      <c r="DXX92" s="337"/>
      <c r="DXY92" s="337"/>
      <c r="DXZ92" s="337"/>
      <c r="DYA92" s="337"/>
      <c r="DYB92" s="337"/>
      <c r="DYC92" s="337"/>
      <c r="DYD92" s="337"/>
      <c r="DYE92" s="337"/>
      <c r="DYF92" s="337"/>
      <c r="DYG92" s="337"/>
      <c r="DYH92" s="337"/>
      <c r="DYI92" s="337"/>
      <c r="DYJ92" s="337"/>
      <c r="DYK92" s="337"/>
      <c r="DYL92" s="337"/>
      <c r="DYM92" s="337"/>
      <c r="DYN92" s="337"/>
      <c r="DYO92" s="337"/>
      <c r="DYP92" s="337"/>
      <c r="DYQ92" s="337"/>
      <c r="DYR92" s="337"/>
      <c r="DYS92" s="337"/>
      <c r="DYT92" s="337"/>
      <c r="DYU92" s="337"/>
      <c r="DYV92" s="337"/>
      <c r="DYW92" s="337"/>
      <c r="DYX92" s="337"/>
      <c r="DYY92" s="337"/>
      <c r="DYZ92" s="337"/>
      <c r="DZA92" s="337"/>
      <c r="DZB92" s="337"/>
      <c r="DZC92" s="337"/>
      <c r="DZD92" s="337"/>
      <c r="DZE92" s="337"/>
      <c r="DZF92" s="337"/>
      <c r="DZG92" s="337"/>
      <c r="DZH92" s="337"/>
      <c r="DZI92" s="337"/>
      <c r="DZJ92" s="337"/>
      <c r="DZK92" s="337"/>
      <c r="DZL92" s="337"/>
      <c r="DZM92" s="337"/>
      <c r="DZN92" s="337"/>
      <c r="DZO92" s="337"/>
      <c r="DZP92" s="337"/>
      <c r="DZQ92" s="337"/>
      <c r="DZR92" s="337"/>
      <c r="DZS92" s="337"/>
      <c r="DZT92" s="337"/>
      <c r="DZU92" s="337"/>
      <c r="DZV92" s="337"/>
      <c r="DZW92" s="337"/>
      <c r="DZX92" s="337"/>
      <c r="DZY92" s="337"/>
      <c r="DZZ92" s="337"/>
      <c r="EAA92" s="337"/>
      <c r="EAB92" s="337"/>
      <c r="EAC92" s="337"/>
      <c r="EAD92" s="337"/>
      <c r="EAE92" s="337"/>
      <c r="EAF92" s="337"/>
      <c r="EAG92" s="337"/>
      <c r="EAH92" s="337"/>
      <c r="EAI92" s="337"/>
      <c r="EAJ92" s="337"/>
      <c r="EAK92" s="337"/>
      <c r="EAL92" s="337"/>
      <c r="EAM92" s="337"/>
      <c r="EAN92" s="337"/>
      <c r="EAO92" s="337"/>
      <c r="EAP92" s="337"/>
      <c r="EAQ92" s="337"/>
      <c r="EAR92" s="337"/>
      <c r="EAS92" s="337"/>
      <c r="EAT92" s="337"/>
      <c r="EAU92" s="337"/>
      <c r="EAV92" s="337"/>
      <c r="EAW92" s="337"/>
      <c r="EAX92" s="337"/>
      <c r="EAY92" s="337"/>
      <c r="EAZ92" s="337"/>
      <c r="EBA92" s="337"/>
      <c r="EBB92" s="337"/>
      <c r="EBC92" s="337"/>
      <c r="EBD92" s="337"/>
      <c r="EBE92" s="337"/>
      <c r="EBF92" s="337"/>
      <c r="EBG92" s="337"/>
      <c r="EBH92" s="337"/>
      <c r="EBI92" s="337"/>
      <c r="EBJ92" s="337"/>
      <c r="EBK92" s="337"/>
      <c r="EBL92" s="337"/>
      <c r="EBM92" s="337"/>
      <c r="EBN92" s="337"/>
      <c r="EBO92" s="337"/>
      <c r="EBP92" s="337"/>
      <c r="EBQ92" s="337"/>
      <c r="EBR92" s="337"/>
      <c r="EBS92" s="337"/>
      <c r="EBT92" s="337"/>
      <c r="EBU92" s="337"/>
      <c r="EBV92" s="337"/>
      <c r="EBW92" s="337"/>
      <c r="EBX92" s="337"/>
      <c r="EBY92" s="337"/>
      <c r="EBZ92" s="337"/>
      <c r="ECA92" s="337"/>
      <c r="ECB92" s="337"/>
      <c r="ECC92" s="337"/>
      <c r="ECD92" s="337"/>
      <c r="ECE92" s="337"/>
      <c r="ECF92" s="337"/>
      <c r="ECG92" s="337"/>
      <c r="ECH92" s="337"/>
      <c r="ECI92" s="337"/>
      <c r="ECJ92" s="337"/>
      <c r="ECK92" s="337"/>
      <c r="ECL92" s="337"/>
      <c r="ECM92" s="337"/>
      <c r="ECN92" s="337"/>
      <c r="ECO92" s="337"/>
      <c r="ECP92" s="337"/>
      <c r="ECQ92" s="337"/>
      <c r="ECR92" s="337"/>
      <c r="ECS92" s="337"/>
      <c r="ECT92" s="337"/>
      <c r="ECU92" s="337"/>
      <c r="ECV92" s="337"/>
      <c r="ECW92" s="337"/>
      <c r="ECX92" s="337"/>
      <c r="ECY92" s="337"/>
      <c r="ECZ92" s="337"/>
      <c r="EDA92" s="337"/>
      <c r="EDB92" s="337"/>
      <c r="EDC92" s="337"/>
      <c r="EDD92" s="337"/>
      <c r="EDE92" s="337"/>
      <c r="EDF92" s="337"/>
      <c r="EDG92" s="337"/>
      <c r="EDH92" s="337"/>
      <c r="EDI92" s="337"/>
      <c r="EDJ92" s="337"/>
      <c r="EDK92" s="337"/>
      <c r="EDL92" s="337"/>
      <c r="EDM92" s="337"/>
      <c r="EDN92" s="337"/>
      <c r="EDO92" s="337"/>
      <c r="EDP92" s="337"/>
      <c r="EDQ92" s="337"/>
      <c r="EDR92" s="337"/>
      <c r="EDS92" s="337"/>
      <c r="EDT92" s="337"/>
      <c r="EDU92" s="337"/>
      <c r="EDV92" s="337"/>
      <c r="EDW92" s="337"/>
      <c r="EDX92" s="337"/>
      <c r="EDY92" s="337"/>
      <c r="EDZ92" s="337"/>
      <c r="EEA92" s="337"/>
      <c r="EEB92" s="337"/>
      <c r="EEC92" s="337"/>
      <c r="EED92" s="337"/>
      <c r="EEE92" s="337"/>
      <c r="EEF92" s="337"/>
      <c r="EEG92" s="337"/>
      <c r="EEH92" s="337"/>
      <c r="EEI92" s="337"/>
      <c r="EEJ92" s="337"/>
      <c r="EEK92" s="337"/>
      <c r="EEL92" s="337"/>
      <c r="EEM92" s="337"/>
      <c r="EEN92" s="337"/>
      <c r="EEO92" s="337"/>
      <c r="EEP92" s="337"/>
      <c r="EEQ92" s="337"/>
      <c r="EER92" s="337"/>
      <c r="EES92" s="337"/>
      <c r="EET92" s="337"/>
      <c r="EEU92" s="337"/>
      <c r="EEV92" s="337"/>
      <c r="EEW92" s="337"/>
      <c r="EEX92" s="337"/>
      <c r="EEY92" s="337"/>
      <c r="EEZ92" s="337"/>
      <c r="EFA92" s="337"/>
      <c r="EFB92" s="337"/>
      <c r="EFC92" s="337"/>
      <c r="EFD92" s="337"/>
      <c r="EFE92" s="337"/>
      <c r="EFF92" s="337"/>
      <c r="EFG92" s="337"/>
      <c r="EFH92" s="337"/>
      <c r="EFI92" s="337"/>
      <c r="EFJ92" s="337"/>
      <c r="EFK92" s="337"/>
      <c r="EFL92" s="337"/>
      <c r="EFM92" s="337"/>
      <c r="EFN92" s="337"/>
      <c r="EFO92" s="337"/>
      <c r="EFP92" s="337"/>
      <c r="EFQ92" s="337"/>
      <c r="EFR92" s="337"/>
      <c r="EFS92" s="337"/>
      <c r="EFT92" s="337"/>
      <c r="EFU92" s="337"/>
      <c r="EFV92" s="337"/>
      <c r="EFW92" s="337"/>
      <c r="EFX92" s="337"/>
      <c r="EFY92" s="337"/>
      <c r="EFZ92" s="337"/>
      <c r="EGA92" s="337"/>
      <c r="EGB92" s="337"/>
      <c r="EGC92" s="337"/>
      <c r="EGD92" s="337"/>
      <c r="EGE92" s="337"/>
      <c r="EGF92" s="337"/>
      <c r="EGG92" s="337"/>
      <c r="EGH92" s="337"/>
      <c r="EGI92" s="337"/>
      <c r="EGJ92" s="337"/>
      <c r="EGK92" s="337"/>
      <c r="EGL92" s="337"/>
      <c r="EGM92" s="337"/>
      <c r="EGN92" s="337"/>
      <c r="EGO92" s="337"/>
      <c r="EGP92" s="337"/>
      <c r="EGQ92" s="337"/>
      <c r="EGR92" s="337"/>
      <c r="EGS92" s="337"/>
      <c r="EGT92" s="337"/>
      <c r="EGU92" s="337"/>
      <c r="EGV92" s="337"/>
      <c r="EGW92" s="337"/>
      <c r="EGX92" s="337"/>
      <c r="EGY92" s="337"/>
      <c r="EGZ92" s="337"/>
      <c r="EHA92" s="337"/>
      <c r="EHB92" s="337"/>
      <c r="EHC92" s="337"/>
      <c r="EHD92" s="337"/>
      <c r="EHE92" s="337"/>
      <c r="EHF92" s="337"/>
      <c r="EHG92" s="337"/>
      <c r="EHH92" s="337"/>
      <c r="EHI92" s="337"/>
      <c r="EHJ92" s="337"/>
      <c r="EHK92" s="337"/>
      <c r="EHL92" s="337"/>
      <c r="EHM92" s="337"/>
      <c r="EHN92" s="337"/>
      <c r="EHO92" s="337"/>
      <c r="EHP92" s="337"/>
      <c r="EHQ92" s="337"/>
      <c r="EHR92" s="337"/>
      <c r="EHS92" s="337"/>
      <c r="EHT92" s="337"/>
      <c r="EHU92" s="337"/>
      <c r="EHV92" s="337"/>
      <c r="EHW92" s="337"/>
      <c r="EHX92" s="337"/>
      <c r="EHY92" s="337"/>
      <c r="EHZ92" s="337"/>
      <c r="EIA92" s="337"/>
      <c r="EIB92" s="337"/>
      <c r="EIC92" s="337"/>
      <c r="EID92" s="337"/>
      <c r="EIE92" s="337"/>
      <c r="EIF92" s="337"/>
      <c r="EIG92" s="337"/>
      <c r="EIH92" s="337"/>
      <c r="EII92" s="337"/>
      <c r="EIJ92" s="337"/>
      <c r="EIK92" s="337"/>
      <c r="EIL92" s="337"/>
      <c r="EIM92" s="337"/>
      <c r="EIN92" s="337"/>
      <c r="EIO92" s="337"/>
      <c r="EIP92" s="337"/>
      <c r="EIQ92" s="337"/>
      <c r="EIR92" s="337"/>
      <c r="EIS92" s="337"/>
      <c r="EIT92" s="337"/>
      <c r="EIU92" s="337"/>
      <c r="EIV92" s="337"/>
      <c r="EIW92" s="337"/>
      <c r="EIX92" s="337"/>
      <c r="EIY92" s="337"/>
      <c r="EIZ92" s="337"/>
      <c r="EJA92" s="337"/>
      <c r="EJB92" s="337"/>
      <c r="EJC92" s="337"/>
      <c r="EJD92" s="337"/>
      <c r="EJE92" s="337"/>
      <c r="EJF92" s="337"/>
      <c r="EJG92" s="337"/>
      <c r="EJH92" s="337"/>
      <c r="EJI92" s="337"/>
      <c r="EJJ92" s="337"/>
      <c r="EJK92" s="337"/>
      <c r="EJL92" s="337"/>
      <c r="EJM92" s="337"/>
      <c r="EJN92" s="337"/>
      <c r="EJO92" s="337"/>
      <c r="EJP92" s="337"/>
      <c r="EJQ92" s="337"/>
      <c r="EJR92" s="337"/>
      <c r="EJS92" s="337"/>
      <c r="EJT92" s="337"/>
      <c r="EJU92" s="337"/>
      <c r="EJV92" s="337"/>
      <c r="EJW92" s="337"/>
      <c r="EJX92" s="337"/>
      <c r="EJY92" s="337"/>
      <c r="EJZ92" s="337"/>
      <c r="EKA92" s="337"/>
      <c r="EKB92" s="337"/>
      <c r="EKC92" s="337"/>
      <c r="EKD92" s="337"/>
      <c r="EKE92" s="337"/>
      <c r="EKF92" s="337"/>
      <c r="EKG92" s="337"/>
      <c r="EKH92" s="337"/>
      <c r="EKI92" s="337"/>
      <c r="EKJ92" s="337"/>
      <c r="EKK92" s="337"/>
      <c r="EKL92" s="337"/>
      <c r="EKM92" s="337"/>
      <c r="EKN92" s="337"/>
      <c r="EKO92" s="337"/>
      <c r="EKP92" s="337"/>
      <c r="EKQ92" s="337"/>
      <c r="EKR92" s="337"/>
      <c r="EKS92" s="337"/>
      <c r="EKT92" s="337"/>
      <c r="EKU92" s="337"/>
      <c r="EKV92" s="337"/>
      <c r="EKW92" s="337"/>
      <c r="EKX92" s="337"/>
      <c r="EKY92" s="337"/>
      <c r="EKZ92" s="337"/>
      <c r="ELA92" s="337"/>
      <c r="ELB92" s="337"/>
      <c r="ELC92" s="337"/>
      <c r="ELD92" s="337"/>
      <c r="ELE92" s="337"/>
      <c r="ELF92" s="337"/>
      <c r="ELG92" s="337"/>
      <c r="ELH92" s="337"/>
      <c r="ELI92" s="337"/>
      <c r="ELJ92" s="337"/>
      <c r="ELK92" s="337"/>
      <c r="ELL92" s="337"/>
      <c r="ELM92" s="337"/>
      <c r="ELN92" s="337"/>
      <c r="ELO92" s="337"/>
      <c r="ELP92" s="337"/>
      <c r="ELQ92" s="337"/>
      <c r="ELR92" s="337"/>
      <c r="ELS92" s="337"/>
      <c r="ELT92" s="337"/>
      <c r="ELU92" s="337"/>
      <c r="ELV92" s="337"/>
      <c r="ELW92" s="337"/>
      <c r="ELX92" s="337"/>
      <c r="ELY92" s="337"/>
      <c r="ELZ92" s="337"/>
      <c r="EMA92" s="337"/>
      <c r="EMB92" s="337"/>
      <c r="EMC92" s="337"/>
      <c r="EMD92" s="337"/>
      <c r="EME92" s="337"/>
      <c r="EMF92" s="337"/>
      <c r="EMG92" s="337"/>
      <c r="EMH92" s="337"/>
      <c r="EMI92" s="337"/>
      <c r="EMJ92" s="337"/>
      <c r="EMK92" s="337"/>
      <c r="EML92" s="337"/>
      <c r="EMM92" s="337"/>
      <c r="EMN92" s="337"/>
      <c r="EMO92" s="337"/>
      <c r="EMP92" s="337"/>
      <c r="EMQ92" s="337"/>
      <c r="EMR92" s="337"/>
      <c r="EMS92" s="337"/>
      <c r="EMT92" s="337"/>
      <c r="EMU92" s="337"/>
      <c r="EMV92" s="337"/>
      <c r="EMW92" s="337"/>
      <c r="EMX92" s="337"/>
      <c r="EMY92" s="337"/>
      <c r="EMZ92" s="337"/>
      <c r="ENA92" s="337"/>
      <c r="ENB92" s="337"/>
      <c r="ENC92" s="337"/>
      <c r="END92" s="337"/>
      <c r="ENE92" s="337"/>
      <c r="ENF92" s="337"/>
      <c r="ENG92" s="337"/>
      <c r="ENH92" s="337"/>
      <c r="ENI92" s="337"/>
      <c r="ENJ92" s="337"/>
      <c r="ENK92" s="337"/>
      <c r="ENL92" s="337"/>
      <c r="ENM92" s="337"/>
      <c r="ENN92" s="337"/>
      <c r="ENO92" s="337"/>
      <c r="ENP92" s="337"/>
      <c r="ENQ92" s="337"/>
      <c r="ENR92" s="337"/>
      <c r="ENS92" s="337"/>
      <c r="ENT92" s="337"/>
      <c r="ENU92" s="337"/>
      <c r="ENV92" s="337"/>
      <c r="ENW92" s="337"/>
      <c r="ENX92" s="337"/>
      <c r="ENY92" s="337"/>
      <c r="ENZ92" s="337"/>
      <c r="EOA92" s="337"/>
      <c r="EOB92" s="337"/>
      <c r="EOC92" s="337"/>
      <c r="EOD92" s="337"/>
      <c r="EOE92" s="337"/>
      <c r="EOF92" s="337"/>
      <c r="EOG92" s="337"/>
      <c r="EOH92" s="337"/>
      <c r="EOI92" s="337"/>
      <c r="EOJ92" s="337"/>
      <c r="EOK92" s="337"/>
      <c r="EOL92" s="337"/>
      <c r="EOM92" s="337"/>
      <c r="EON92" s="337"/>
      <c r="EOO92" s="337"/>
      <c r="EOP92" s="337"/>
      <c r="EOQ92" s="337"/>
      <c r="EOR92" s="337"/>
      <c r="EOS92" s="337"/>
      <c r="EOT92" s="337"/>
      <c r="EOU92" s="337"/>
      <c r="EOV92" s="337"/>
      <c r="EOW92" s="337"/>
      <c r="EOX92" s="337"/>
      <c r="EOY92" s="337"/>
      <c r="EOZ92" s="337"/>
      <c r="EPA92" s="337"/>
      <c r="EPB92" s="337"/>
      <c r="EPC92" s="337"/>
      <c r="EPD92" s="337"/>
      <c r="EPE92" s="337"/>
      <c r="EPF92" s="337"/>
      <c r="EPG92" s="337"/>
      <c r="EPH92" s="337"/>
      <c r="EPI92" s="337"/>
      <c r="EPJ92" s="337"/>
      <c r="EPK92" s="337"/>
      <c r="EPL92" s="337"/>
      <c r="EPM92" s="337"/>
      <c r="EPN92" s="337"/>
      <c r="EPO92" s="337"/>
      <c r="EPP92" s="337"/>
      <c r="EPQ92" s="337"/>
      <c r="EPR92" s="337"/>
      <c r="EPS92" s="337"/>
      <c r="EPT92" s="337"/>
      <c r="EPU92" s="337"/>
      <c r="EPV92" s="337"/>
      <c r="EPW92" s="337"/>
      <c r="EPX92" s="337"/>
      <c r="EPY92" s="337"/>
      <c r="EPZ92" s="337"/>
      <c r="EQA92" s="337"/>
      <c r="EQB92" s="337"/>
      <c r="EQC92" s="337"/>
      <c r="EQD92" s="337"/>
      <c r="EQE92" s="337"/>
      <c r="EQF92" s="337"/>
      <c r="EQG92" s="337"/>
      <c r="EQH92" s="337"/>
      <c r="EQI92" s="337"/>
      <c r="EQJ92" s="337"/>
      <c r="EQK92" s="337"/>
      <c r="EQL92" s="337"/>
      <c r="EQM92" s="337"/>
      <c r="EQN92" s="337"/>
      <c r="EQO92" s="337"/>
      <c r="EQP92" s="337"/>
      <c r="EQQ92" s="337"/>
      <c r="EQR92" s="337"/>
      <c r="EQS92" s="337"/>
      <c r="EQT92" s="337"/>
      <c r="EQU92" s="337"/>
      <c r="EQV92" s="337"/>
      <c r="EQW92" s="337"/>
      <c r="EQX92" s="337"/>
      <c r="EQY92" s="337"/>
      <c r="EQZ92" s="337"/>
      <c r="ERA92" s="337"/>
      <c r="ERB92" s="337"/>
      <c r="ERC92" s="337"/>
      <c r="ERD92" s="337"/>
      <c r="ERE92" s="337"/>
      <c r="ERF92" s="337"/>
      <c r="ERG92" s="337"/>
      <c r="ERH92" s="337"/>
      <c r="ERI92" s="337"/>
      <c r="ERJ92" s="337"/>
      <c r="ERK92" s="337"/>
      <c r="ERL92" s="337"/>
      <c r="ERM92" s="337"/>
      <c r="ERN92" s="337"/>
      <c r="ERO92" s="337"/>
      <c r="ERP92" s="337"/>
      <c r="ERQ92" s="337"/>
      <c r="ERR92" s="337"/>
      <c r="ERS92" s="337"/>
      <c r="ERT92" s="337"/>
      <c r="ERU92" s="337"/>
      <c r="ERV92" s="337"/>
      <c r="ERW92" s="337"/>
      <c r="ERX92" s="337"/>
      <c r="ERY92" s="337"/>
      <c r="ERZ92" s="337"/>
      <c r="ESA92" s="337"/>
      <c r="ESB92" s="337"/>
      <c r="ESC92" s="337"/>
      <c r="ESD92" s="337"/>
      <c r="ESE92" s="337"/>
      <c r="ESF92" s="337"/>
      <c r="ESG92" s="337"/>
      <c r="ESH92" s="337"/>
      <c r="ESI92" s="337"/>
      <c r="ESJ92" s="337"/>
      <c r="ESK92" s="337"/>
      <c r="ESL92" s="337"/>
      <c r="ESM92" s="337"/>
      <c r="ESN92" s="337"/>
      <c r="ESO92" s="337"/>
      <c r="ESP92" s="337"/>
      <c r="ESQ92" s="337"/>
      <c r="ESR92" s="337"/>
      <c r="ESS92" s="337"/>
      <c r="EST92" s="337"/>
      <c r="ESU92" s="337"/>
      <c r="ESV92" s="337"/>
      <c r="ESW92" s="337"/>
      <c r="ESX92" s="337"/>
      <c r="ESY92" s="337"/>
      <c r="ESZ92" s="337"/>
      <c r="ETA92" s="337"/>
      <c r="ETB92" s="337"/>
      <c r="ETC92" s="337"/>
      <c r="ETD92" s="337"/>
      <c r="ETE92" s="337"/>
      <c r="ETF92" s="337"/>
      <c r="ETG92" s="337"/>
      <c r="ETH92" s="337"/>
      <c r="ETI92" s="337"/>
      <c r="ETJ92" s="337"/>
      <c r="ETK92" s="337"/>
      <c r="ETL92" s="337"/>
      <c r="ETM92" s="337"/>
      <c r="ETN92" s="337"/>
      <c r="ETO92" s="337"/>
      <c r="ETP92" s="337"/>
      <c r="ETQ92" s="337"/>
      <c r="ETR92" s="337"/>
      <c r="ETS92" s="337"/>
      <c r="ETT92" s="337"/>
      <c r="ETU92" s="337"/>
      <c r="ETV92" s="337"/>
      <c r="ETW92" s="337"/>
      <c r="ETX92" s="337"/>
      <c r="ETY92" s="337"/>
      <c r="ETZ92" s="337"/>
      <c r="EUA92" s="337"/>
      <c r="EUB92" s="337"/>
      <c r="EUC92" s="337"/>
      <c r="EUD92" s="337"/>
      <c r="EUE92" s="337"/>
      <c r="EUF92" s="337"/>
      <c r="EUG92" s="337"/>
      <c r="EUH92" s="337"/>
      <c r="EUI92" s="337"/>
      <c r="EUJ92" s="337"/>
      <c r="EUK92" s="337"/>
      <c r="EUL92" s="337"/>
      <c r="EUM92" s="337"/>
      <c r="EUN92" s="337"/>
      <c r="EUO92" s="337"/>
      <c r="EUP92" s="337"/>
      <c r="EUQ92" s="337"/>
      <c r="EUR92" s="337"/>
      <c r="EUS92" s="337"/>
      <c r="EUT92" s="337"/>
      <c r="EUU92" s="337"/>
      <c r="EUV92" s="337"/>
      <c r="EUW92" s="337"/>
      <c r="EUX92" s="337"/>
      <c r="EUY92" s="337"/>
      <c r="EUZ92" s="337"/>
      <c r="EVA92" s="337"/>
      <c r="EVB92" s="337"/>
      <c r="EVC92" s="337"/>
      <c r="EVD92" s="337"/>
      <c r="EVE92" s="337"/>
      <c r="EVF92" s="337"/>
      <c r="EVG92" s="337"/>
      <c r="EVH92" s="337"/>
      <c r="EVI92" s="337"/>
      <c r="EVJ92" s="337"/>
      <c r="EVK92" s="337"/>
      <c r="EVL92" s="337"/>
      <c r="EVM92" s="337"/>
      <c r="EVN92" s="337"/>
      <c r="EVO92" s="337"/>
      <c r="EVP92" s="337"/>
      <c r="EVQ92" s="337"/>
      <c r="EVR92" s="337"/>
      <c r="EVS92" s="337"/>
      <c r="EVT92" s="337"/>
      <c r="EVU92" s="337"/>
      <c r="EVV92" s="337"/>
      <c r="EVW92" s="337"/>
      <c r="EVX92" s="337"/>
      <c r="EVY92" s="337"/>
      <c r="EVZ92" s="337"/>
      <c r="EWA92" s="337"/>
      <c r="EWB92" s="337"/>
      <c r="EWC92" s="337"/>
      <c r="EWD92" s="337"/>
      <c r="EWE92" s="337"/>
      <c r="EWF92" s="337"/>
      <c r="EWG92" s="337"/>
      <c r="EWH92" s="337"/>
      <c r="EWI92" s="337"/>
      <c r="EWJ92" s="337"/>
      <c r="EWK92" s="337"/>
      <c r="EWL92" s="337"/>
      <c r="EWM92" s="337"/>
      <c r="EWN92" s="337"/>
      <c r="EWO92" s="337"/>
      <c r="EWP92" s="337"/>
      <c r="EWQ92" s="337"/>
      <c r="EWR92" s="337"/>
      <c r="EWS92" s="337"/>
      <c r="EWT92" s="337"/>
      <c r="EWU92" s="337"/>
      <c r="EWV92" s="337"/>
      <c r="EWW92" s="337"/>
      <c r="EWX92" s="337"/>
      <c r="EWY92" s="337"/>
      <c r="EWZ92" s="337"/>
      <c r="EXA92" s="337"/>
      <c r="EXB92" s="337"/>
      <c r="EXC92" s="337"/>
      <c r="EXD92" s="337"/>
      <c r="EXE92" s="337"/>
      <c r="EXF92" s="337"/>
      <c r="EXG92" s="337"/>
      <c r="EXH92" s="337"/>
      <c r="EXI92" s="337"/>
      <c r="EXJ92" s="337"/>
      <c r="EXK92" s="337"/>
      <c r="EXL92" s="337"/>
      <c r="EXM92" s="337"/>
      <c r="EXN92" s="337"/>
      <c r="EXO92" s="337"/>
      <c r="EXP92" s="337"/>
      <c r="EXQ92" s="337"/>
      <c r="EXR92" s="337"/>
      <c r="EXS92" s="337"/>
      <c r="EXT92" s="337"/>
      <c r="EXU92" s="337"/>
      <c r="EXV92" s="337"/>
      <c r="EXW92" s="337"/>
      <c r="EXX92" s="337"/>
      <c r="EXY92" s="337"/>
      <c r="EXZ92" s="337"/>
      <c r="EYA92" s="337"/>
      <c r="EYB92" s="337"/>
      <c r="EYC92" s="337"/>
      <c r="EYD92" s="337"/>
      <c r="EYE92" s="337"/>
      <c r="EYF92" s="337"/>
      <c r="EYG92" s="337"/>
      <c r="EYH92" s="337"/>
      <c r="EYI92" s="337"/>
      <c r="EYJ92" s="337"/>
      <c r="EYK92" s="337"/>
      <c r="EYL92" s="337"/>
      <c r="EYM92" s="337"/>
      <c r="EYN92" s="337"/>
      <c r="EYO92" s="337"/>
      <c r="EYP92" s="337"/>
      <c r="EYQ92" s="337"/>
      <c r="EYR92" s="337"/>
      <c r="EYS92" s="337"/>
      <c r="EYT92" s="337"/>
      <c r="EYU92" s="337"/>
      <c r="EYV92" s="337"/>
      <c r="EYW92" s="337"/>
      <c r="EYX92" s="337"/>
      <c r="EYY92" s="337"/>
      <c r="EYZ92" s="337"/>
      <c r="EZA92" s="337"/>
      <c r="EZB92" s="337"/>
      <c r="EZC92" s="337"/>
      <c r="EZD92" s="337"/>
      <c r="EZE92" s="337"/>
      <c r="EZF92" s="337"/>
      <c r="EZG92" s="337"/>
      <c r="EZH92" s="337"/>
      <c r="EZI92" s="337"/>
      <c r="EZJ92" s="337"/>
      <c r="EZK92" s="337"/>
      <c r="EZL92" s="337"/>
      <c r="EZM92" s="337"/>
      <c r="EZN92" s="337"/>
      <c r="EZO92" s="337"/>
      <c r="EZP92" s="337"/>
      <c r="EZQ92" s="337"/>
      <c r="EZR92" s="337"/>
      <c r="EZS92" s="337"/>
      <c r="EZT92" s="337"/>
      <c r="EZU92" s="337"/>
      <c r="EZV92" s="337"/>
      <c r="EZW92" s="337"/>
      <c r="EZX92" s="337"/>
      <c r="EZY92" s="337"/>
      <c r="EZZ92" s="337"/>
      <c r="FAA92" s="337"/>
      <c r="FAB92" s="337"/>
      <c r="FAC92" s="337"/>
      <c r="FAD92" s="337"/>
      <c r="FAE92" s="337"/>
      <c r="FAF92" s="337"/>
      <c r="FAG92" s="337"/>
      <c r="FAH92" s="337"/>
      <c r="FAI92" s="337"/>
      <c r="FAJ92" s="337"/>
      <c r="FAK92" s="337"/>
      <c r="FAL92" s="337"/>
      <c r="FAM92" s="337"/>
      <c r="FAN92" s="337"/>
      <c r="FAO92" s="337"/>
      <c r="FAP92" s="337"/>
      <c r="FAQ92" s="337"/>
      <c r="FAR92" s="337"/>
      <c r="FAS92" s="337"/>
      <c r="FAT92" s="337"/>
      <c r="FAU92" s="337"/>
      <c r="FAV92" s="337"/>
      <c r="FAW92" s="337"/>
      <c r="FAX92" s="337"/>
      <c r="FAY92" s="337"/>
      <c r="FAZ92" s="337"/>
      <c r="FBA92" s="337"/>
      <c r="FBB92" s="337"/>
      <c r="FBC92" s="337"/>
      <c r="FBD92" s="337"/>
      <c r="FBE92" s="337"/>
      <c r="FBF92" s="337"/>
      <c r="FBG92" s="337"/>
      <c r="FBH92" s="337"/>
      <c r="FBI92" s="337"/>
      <c r="FBJ92" s="337"/>
      <c r="FBK92" s="337"/>
      <c r="FBL92" s="337"/>
      <c r="FBM92" s="337"/>
      <c r="FBN92" s="337"/>
      <c r="FBO92" s="337"/>
      <c r="FBP92" s="337"/>
      <c r="FBQ92" s="337"/>
      <c r="FBR92" s="337"/>
      <c r="FBS92" s="337"/>
      <c r="FBT92" s="337"/>
      <c r="FBU92" s="337"/>
      <c r="FBV92" s="337"/>
      <c r="FBW92" s="337"/>
      <c r="FBX92" s="337"/>
      <c r="FBY92" s="337"/>
      <c r="FBZ92" s="337"/>
      <c r="FCA92" s="337"/>
      <c r="FCB92" s="337"/>
      <c r="FCC92" s="337"/>
      <c r="FCD92" s="337"/>
      <c r="FCE92" s="337"/>
      <c r="FCF92" s="337"/>
      <c r="FCG92" s="337"/>
      <c r="FCH92" s="337"/>
      <c r="FCI92" s="337"/>
      <c r="FCJ92" s="337"/>
      <c r="FCK92" s="337"/>
      <c r="FCL92" s="337"/>
      <c r="FCM92" s="337"/>
      <c r="FCN92" s="337"/>
      <c r="FCO92" s="337"/>
      <c r="FCP92" s="337"/>
      <c r="FCQ92" s="337"/>
      <c r="FCR92" s="337"/>
      <c r="FCS92" s="337"/>
      <c r="FCT92" s="337"/>
      <c r="FCU92" s="337"/>
      <c r="FCV92" s="337"/>
      <c r="FCW92" s="337"/>
      <c r="FCX92" s="337"/>
      <c r="FCY92" s="337"/>
      <c r="FCZ92" s="337"/>
      <c r="FDA92" s="337"/>
      <c r="FDB92" s="337"/>
      <c r="FDC92" s="337"/>
      <c r="FDD92" s="337"/>
      <c r="FDE92" s="337"/>
      <c r="FDF92" s="337"/>
      <c r="FDG92" s="337"/>
      <c r="FDH92" s="337"/>
      <c r="FDI92" s="337"/>
      <c r="FDJ92" s="337"/>
      <c r="FDK92" s="337"/>
      <c r="FDL92" s="337"/>
      <c r="FDM92" s="337"/>
      <c r="FDN92" s="337"/>
      <c r="FDO92" s="337"/>
      <c r="FDP92" s="337"/>
      <c r="FDQ92" s="337"/>
      <c r="FDR92" s="337"/>
      <c r="FDS92" s="337"/>
      <c r="FDT92" s="337"/>
      <c r="FDU92" s="337"/>
      <c r="FDV92" s="337"/>
      <c r="FDW92" s="337"/>
      <c r="FDX92" s="337"/>
      <c r="FDY92" s="337"/>
      <c r="FDZ92" s="337"/>
      <c r="FEA92" s="337"/>
      <c r="FEB92" s="337"/>
      <c r="FEC92" s="337"/>
      <c r="FED92" s="337"/>
      <c r="FEE92" s="337"/>
      <c r="FEF92" s="337"/>
      <c r="FEG92" s="337"/>
      <c r="FEH92" s="337"/>
      <c r="FEI92" s="337"/>
      <c r="FEJ92" s="337"/>
      <c r="FEK92" s="337"/>
      <c r="FEL92" s="337"/>
      <c r="FEM92" s="337"/>
      <c r="FEN92" s="337"/>
      <c r="FEO92" s="337"/>
      <c r="FEP92" s="337"/>
      <c r="FEQ92" s="337"/>
      <c r="FER92" s="337"/>
      <c r="FES92" s="337"/>
      <c r="FET92" s="337"/>
      <c r="FEU92" s="337"/>
      <c r="FEV92" s="337"/>
      <c r="FEW92" s="337"/>
      <c r="FEX92" s="337"/>
      <c r="FEY92" s="337"/>
      <c r="FEZ92" s="337"/>
      <c r="FFA92" s="337"/>
      <c r="FFB92" s="337"/>
      <c r="FFC92" s="337"/>
      <c r="FFD92" s="337"/>
      <c r="FFE92" s="337"/>
      <c r="FFF92" s="337"/>
      <c r="FFG92" s="337"/>
      <c r="FFH92" s="337"/>
      <c r="FFI92" s="337"/>
      <c r="FFJ92" s="337"/>
      <c r="FFK92" s="337"/>
      <c r="FFL92" s="337"/>
      <c r="FFM92" s="337"/>
      <c r="FFN92" s="337"/>
      <c r="FFO92" s="337"/>
      <c r="FFP92" s="337"/>
      <c r="FFQ92" s="337"/>
      <c r="FFR92" s="337"/>
      <c r="FFS92" s="337"/>
      <c r="FFT92" s="337"/>
      <c r="FFU92" s="337"/>
      <c r="FFV92" s="337"/>
      <c r="FFW92" s="337"/>
      <c r="FFX92" s="337"/>
      <c r="FFY92" s="337"/>
      <c r="FFZ92" s="337"/>
      <c r="FGA92" s="337"/>
      <c r="FGB92" s="337"/>
      <c r="FGC92" s="337"/>
      <c r="FGD92" s="337"/>
      <c r="FGE92" s="337"/>
      <c r="FGF92" s="337"/>
      <c r="FGG92" s="337"/>
      <c r="FGH92" s="337"/>
      <c r="FGI92" s="337"/>
      <c r="FGJ92" s="337"/>
      <c r="FGK92" s="337"/>
      <c r="FGL92" s="337"/>
      <c r="FGM92" s="337"/>
      <c r="FGN92" s="337"/>
      <c r="FGO92" s="337"/>
      <c r="FGP92" s="337"/>
      <c r="FGQ92" s="337"/>
      <c r="FGR92" s="337"/>
      <c r="FGS92" s="337"/>
      <c r="FGT92" s="337"/>
      <c r="FGU92" s="337"/>
      <c r="FGV92" s="337"/>
      <c r="FGW92" s="337"/>
      <c r="FGX92" s="337"/>
      <c r="FGY92" s="337"/>
      <c r="FGZ92" s="337"/>
      <c r="FHA92" s="337"/>
      <c r="FHB92" s="337"/>
      <c r="FHC92" s="337"/>
      <c r="FHD92" s="337"/>
      <c r="FHE92" s="337"/>
      <c r="FHF92" s="337"/>
      <c r="FHG92" s="337"/>
      <c r="FHH92" s="337"/>
      <c r="FHI92" s="337"/>
      <c r="FHJ92" s="337"/>
      <c r="FHK92" s="337"/>
      <c r="FHL92" s="337"/>
      <c r="FHM92" s="337"/>
      <c r="FHN92" s="337"/>
      <c r="FHO92" s="337"/>
      <c r="FHP92" s="337"/>
      <c r="FHQ92" s="337"/>
      <c r="FHR92" s="337"/>
      <c r="FHS92" s="337"/>
      <c r="FHT92" s="337"/>
      <c r="FHU92" s="337"/>
      <c r="FHV92" s="337"/>
      <c r="FHW92" s="337"/>
      <c r="FHX92" s="337"/>
      <c r="FHY92" s="337"/>
      <c r="FHZ92" s="337"/>
      <c r="FIA92" s="337"/>
      <c r="FIB92" s="337"/>
      <c r="FIC92" s="337"/>
      <c r="FID92" s="337"/>
      <c r="FIE92" s="337"/>
      <c r="FIF92" s="337"/>
      <c r="FIG92" s="337"/>
      <c r="FIH92" s="337"/>
      <c r="FII92" s="337"/>
      <c r="FIJ92" s="337"/>
      <c r="FIK92" s="337"/>
      <c r="FIL92" s="337"/>
      <c r="FIM92" s="337"/>
      <c r="FIN92" s="337"/>
      <c r="FIO92" s="337"/>
      <c r="FIP92" s="337"/>
      <c r="FIQ92" s="337"/>
      <c r="FIR92" s="337"/>
      <c r="FIS92" s="337"/>
      <c r="FIT92" s="337"/>
      <c r="FIU92" s="337"/>
      <c r="FIV92" s="337"/>
      <c r="FIW92" s="337"/>
      <c r="FIX92" s="337"/>
      <c r="FIY92" s="337"/>
      <c r="FIZ92" s="337"/>
      <c r="FJA92" s="337"/>
      <c r="FJB92" s="337"/>
      <c r="FJC92" s="337"/>
      <c r="FJD92" s="337"/>
      <c r="FJE92" s="337"/>
      <c r="FJF92" s="337"/>
      <c r="FJG92" s="337"/>
      <c r="FJH92" s="337"/>
      <c r="FJI92" s="337"/>
      <c r="FJJ92" s="337"/>
      <c r="FJK92" s="337"/>
      <c r="FJL92" s="337"/>
      <c r="FJM92" s="337"/>
      <c r="FJN92" s="337"/>
      <c r="FJO92" s="337"/>
      <c r="FJP92" s="337"/>
      <c r="FJQ92" s="337"/>
      <c r="FJR92" s="337"/>
      <c r="FJS92" s="337"/>
      <c r="FJT92" s="337"/>
      <c r="FJU92" s="337"/>
      <c r="FJV92" s="337"/>
      <c r="FJW92" s="337"/>
      <c r="FJX92" s="337"/>
      <c r="FJY92" s="337"/>
      <c r="FJZ92" s="337"/>
      <c r="FKA92" s="337"/>
      <c r="FKB92" s="337"/>
      <c r="FKC92" s="337"/>
      <c r="FKD92" s="337"/>
      <c r="FKE92" s="337"/>
      <c r="FKF92" s="337"/>
      <c r="FKG92" s="337"/>
      <c r="FKH92" s="337"/>
      <c r="FKI92" s="337"/>
      <c r="FKJ92" s="337"/>
      <c r="FKK92" s="337"/>
      <c r="FKL92" s="337"/>
      <c r="FKM92" s="337"/>
      <c r="FKN92" s="337"/>
      <c r="FKO92" s="337"/>
      <c r="FKP92" s="337"/>
      <c r="FKQ92" s="337"/>
      <c r="FKR92" s="337"/>
      <c r="FKS92" s="337"/>
      <c r="FKT92" s="337"/>
      <c r="FKU92" s="337"/>
      <c r="FKV92" s="337"/>
      <c r="FKW92" s="337"/>
      <c r="FKX92" s="337"/>
      <c r="FKY92" s="337"/>
      <c r="FKZ92" s="337"/>
      <c r="FLA92" s="337"/>
      <c r="FLB92" s="337"/>
      <c r="FLC92" s="337"/>
      <c r="FLD92" s="337"/>
      <c r="FLE92" s="337"/>
      <c r="FLF92" s="337"/>
      <c r="FLG92" s="337"/>
      <c r="FLH92" s="337"/>
      <c r="FLI92" s="337"/>
      <c r="FLJ92" s="337"/>
      <c r="FLK92" s="337"/>
      <c r="FLL92" s="337"/>
      <c r="FLM92" s="337"/>
      <c r="FLN92" s="337"/>
      <c r="FLO92" s="337"/>
      <c r="FLP92" s="337"/>
      <c r="FLQ92" s="337"/>
      <c r="FLR92" s="337"/>
      <c r="FLS92" s="337"/>
      <c r="FLT92" s="337"/>
      <c r="FLU92" s="337"/>
      <c r="FLV92" s="337"/>
      <c r="FLW92" s="337"/>
      <c r="FLX92" s="337"/>
      <c r="FLY92" s="337"/>
      <c r="FLZ92" s="337"/>
      <c r="FMA92" s="337"/>
      <c r="FMB92" s="337"/>
      <c r="FMC92" s="337"/>
      <c r="FMD92" s="337"/>
      <c r="FME92" s="337"/>
      <c r="FMF92" s="337"/>
      <c r="FMG92" s="337"/>
      <c r="FMH92" s="337"/>
      <c r="FMI92" s="337"/>
      <c r="FMJ92" s="337"/>
      <c r="FMK92" s="337"/>
      <c r="FML92" s="337"/>
      <c r="FMM92" s="337"/>
      <c r="FMN92" s="337"/>
      <c r="FMO92" s="337"/>
      <c r="FMP92" s="337"/>
      <c r="FMQ92" s="337"/>
      <c r="FMR92" s="337"/>
      <c r="FMS92" s="337"/>
      <c r="FMT92" s="337"/>
      <c r="FMU92" s="337"/>
      <c r="FMV92" s="337"/>
      <c r="FMW92" s="337"/>
      <c r="FMX92" s="337"/>
      <c r="FMY92" s="337"/>
      <c r="FMZ92" s="337"/>
      <c r="FNA92" s="337"/>
      <c r="FNB92" s="337"/>
      <c r="FNC92" s="337"/>
      <c r="FND92" s="337"/>
      <c r="FNE92" s="337"/>
      <c r="FNF92" s="337"/>
      <c r="FNG92" s="337"/>
      <c r="FNH92" s="337"/>
      <c r="FNI92" s="337"/>
      <c r="FNJ92" s="337"/>
      <c r="FNK92" s="337"/>
      <c r="FNL92" s="337"/>
      <c r="FNM92" s="337"/>
      <c r="FNN92" s="337"/>
      <c r="FNO92" s="337"/>
      <c r="FNP92" s="337"/>
      <c r="FNQ92" s="337"/>
      <c r="FNR92" s="337"/>
      <c r="FNS92" s="337"/>
      <c r="FNT92" s="337"/>
      <c r="FNU92" s="337"/>
      <c r="FNV92" s="337"/>
      <c r="FNW92" s="337"/>
      <c r="FNX92" s="337"/>
      <c r="FNY92" s="337"/>
      <c r="FNZ92" s="337"/>
      <c r="FOA92" s="337"/>
      <c r="FOB92" s="337"/>
      <c r="FOC92" s="337"/>
      <c r="FOD92" s="337"/>
      <c r="FOE92" s="337"/>
      <c r="FOF92" s="337"/>
      <c r="FOG92" s="337"/>
      <c r="FOH92" s="337"/>
      <c r="FOI92" s="337"/>
      <c r="FOJ92" s="337"/>
      <c r="FOK92" s="337"/>
      <c r="FOL92" s="337"/>
      <c r="FOM92" s="337"/>
      <c r="FON92" s="337"/>
      <c r="FOO92" s="337"/>
      <c r="FOP92" s="337"/>
      <c r="FOQ92" s="337"/>
      <c r="FOR92" s="337"/>
      <c r="FOS92" s="337"/>
      <c r="FOT92" s="337"/>
      <c r="FOU92" s="337"/>
      <c r="FOV92" s="337"/>
      <c r="FOW92" s="337"/>
      <c r="FOX92" s="337"/>
      <c r="FOY92" s="337"/>
      <c r="FOZ92" s="337"/>
      <c r="FPA92" s="337"/>
      <c r="FPB92" s="337"/>
      <c r="FPC92" s="337"/>
      <c r="FPD92" s="337"/>
      <c r="FPE92" s="337"/>
      <c r="FPF92" s="337"/>
      <c r="FPG92" s="337"/>
      <c r="FPH92" s="337"/>
      <c r="FPI92" s="337"/>
      <c r="FPJ92" s="337"/>
      <c r="FPK92" s="337"/>
      <c r="FPL92" s="337"/>
      <c r="FPM92" s="337"/>
      <c r="FPN92" s="337"/>
      <c r="FPO92" s="337"/>
      <c r="FPP92" s="337"/>
      <c r="FPQ92" s="337"/>
      <c r="FPR92" s="337"/>
      <c r="FPS92" s="337"/>
      <c r="FPT92" s="337"/>
      <c r="FPU92" s="337"/>
      <c r="FPV92" s="337"/>
      <c r="FPW92" s="337"/>
      <c r="FPX92" s="337"/>
      <c r="FPY92" s="337"/>
      <c r="FPZ92" s="337"/>
      <c r="FQA92" s="337"/>
      <c r="FQB92" s="337"/>
      <c r="FQC92" s="337"/>
      <c r="FQD92" s="337"/>
      <c r="FQE92" s="337"/>
      <c r="FQF92" s="337"/>
      <c r="FQG92" s="337"/>
      <c r="FQH92" s="337"/>
      <c r="FQI92" s="337"/>
      <c r="FQJ92" s="337"/>
      <c r="FQK92" s="337"/>
      <c r="FQL92" s="337"/>
      <c r="FQM92" s="337"/>
      <c r="FQN92" s="337"/>
      <c r="FQO92" s="337"/>
      <c r="FQP92" s="337"/>
      <c r="FQQ92" s="337"/>
      <c r="FQR92" s="337"/>
      <c r="FQS92" s="337"/>
      <c r="FQT92" s="337"/>
      <c r="FQU92" s="337"/>
      <c r="FQV92" s="337"/>
      <c r="FQW92" s="337"/>
      <c r="FQX92" s="337"/>
      <c r="FQY92" s="337"/>
      <c r="FQZ92" s="337"/>
      <c r="FRA92" s="337"/>
      <c r="FRB92" s="337"/>
      <c r="FRC92" s="337"/>
      <c r="FRD92" s="337"/>
      <c r="FRE92" s="337"/>
      <c r="FRF92" s="337"/>
      <c r="FRG92" s="337"/>
      <c r="FRH92" s="337"/>
      <c r="FRI92" s="337"/>
      <c r="FRJ92" s="337"/>
      <c r="FRK92" s="337"/>
      <c r="FRL92" s="337"/>
      <c r="FRM92" s="337"/>
      <c r="FRN92" s="337"/>
      <c r="FRO92" s="337"/>
      <c r="FRP92" s="337"/>
      <c r="FRQ92" s="337"/>
      <c r="FRR92" s="337"/>
      <c r="FRS92" s="337"/>
      <c r="FRT92" s="337"/>
      <c r="FRU92" s="337"/>
      <c r="FRV92" s="337"/>
      <c r="FRW92" s="337"/>
      <c r="FRX92" s="337"/>
      <c r="FRY92" s="337"/>
      <c r="FRZ92" s="337"/>
      <c r="FSA92" s="337"/>
      <c r="FSB92" s="337"/>
      <c r="FSC92" s="337"/>
      <c r="FSD92" s="337"/>
      <c r="FSE92" s="337"/>
      <c r="FSF92" s="337"/>
      <c r="FSG92" s="337"/>
      <c r="FSH92" s="337"/>
      <c r="FSI92" s="337"/>
      <c r="FSJ92" s="337"/>
      <c r="FSK92" s="337"/>
      <c r="FSL92" s="337"/>
      <c r="FSM92" s="337"/>
      <c r="FSN92" s="337"/>
      <c r="FSO92" s="337"/>
      <c r="FSP92" s="337"/>
      <c r="FSQ92" s="337"/>
      <c r="FSR92" s="337"/>
      <c r="FSS92" s="337"/>
      <c r="FST92" s="337"/>
      <c r="FSU92" s="337"/>
      <c r="FSV92" s="337"/>
      <c r="FSW92" s="337"/>
      <c r="FSX92" s="337"/>
      <c r="FSY92" s="337"/>
      <c r="FSZ92" s="337"/>
      <c r="FTA92" s="337"/>
      <c r="FTB92" s="337"/>
      <c r="FTC92" s="337"/>
      <c r="FTD92" s="337"/>
      <c r="FTE92" s="337"/>
      <c r="FTF92" s="337"/>
      <c r="FTG92" s="337"/>
      <c r="FTH92" s="337"/>
      <c r="FTI92" s="337"/>
      <c r="FTJ92" s="337"/>
      <c r="FTK92" s="337"/>
      <c r="FTL92" s="337"/>
      <c r="FTM92" s="337"/>
      <c r="FTN92" s="337"/>
      <c r="FTO92" s="337"/>
      <c r="FTP92" s="337"/>
      <c r="FTQ92" s="337"/>
      <c r="FTR92" s="337"/>
      <c r="FTS92" s="337"/>
      <c r="FTT92" s="337"/>
      <c r="FTU92" s="337"/>
      <c r="FTV92" s="337"/>
      <c r="FTW92" s="337"/>
      <c r="FTX92" s="337"/>
      <c r="FTY92" s="337"/>
      <c r="FTZ92" s="337"/>
      <c r="FUA92" s="337"/>
      <c r="FUB92" s="337"/>
      <c r="FUC92" s="337"/>
      <c r="FUD92" s="337"/>
      <c r="FUE92" s="337"/>
      <c r="FUF92" s="337"/>
      <c r="FUG92" s="337"/>
      <c r="FUH92" s="337"/>
      <c r="FUI92" s="337"/>
      <c r="FUJ92" s="337"/>
      <c r="FUK92" s="337"/>
      <c r="FUL92" s="337"/>
      <c r="FUM92" s="337"/>
      <c r="FUN92" s="337"/>
      <c r="FUO92" s="337"/>
      <c r="FUP92" s="337"/>
      <c r="FUQ92" s="337"/>
      <c r="FUR92" s="337"/>
      <c r="FUS92" s="337"/>
      <c r="FUT92" s="337"/>
      <c r="FUU92" s="337"/>
      <c r="FUV92" s="337"/>
      <c r="FUW92" s="337"/>
      <c r="FUX92" s="337"/>
      <c r="FUY92" s="337"/>
      <c r="FUZ92" s="337"/>
      <c r="FVA92" s="337"/>
      <c r="FVB92" s="337"/>
      <c r="FVC92" s="337"/>
      <c r="FVD92" s="337"/>
      <c r="FVE92" s="337"/>
      <c r="FVF92" s="337"/>
      <c r="FVG92" s="337"/>
      <c r="FVH92" s="337"/>
      <c r="FVI92" s="337"/>
      <c r="FVJ92" s="337"/>
      <c r="FVK92" s="337"/>
      <c r="FVL92" s="337"/>
      <c r="FVM92" s="337"/>
      <c r="FVN92" s="337"/>
      <c r="FVO92" s="337"/>
      <c r="FVP92" s="337"/>
      <c r="FVQ92" s="337"/>
      <c r="FVR92" s="337"/>
      <c r="FVS92" s="337"/>
      <c r="FVT92" s="337"/>
      <c r="FVU92" s="337"/>
      <c r="FVV92" s="337"/>
      <c r="FVW92" s="337"/>
      <c r="FVX92" s="337"/>
      <c r="FVY92" s="337"/>
      <c r="FVZ92" s="337"/>
      <c r="FWA92" s="337"/>
      <c r="FWB92" s="337"/>
      <c r="FWC92" s="337"/>
      <c r="FWD92" s="337"/>
      <c r="FWE92" s="337"/>
      <c r="FWF92" s="337"/>
      <c r="FWG92" s="337"/>
      <c r="FWH92" s="337"/>
      <c r="FWI92" s="337"/>
      <c r="FWJ92" s="337"/>
      <c r="FWK92" s="337"/>
      <c r="FWL92" s="337"/>
      <c r="FWM92" s="337"/>
      <c r="FWN92" s="337"/>
      <c r="FWO92" s="337"/>
      <c r="FWP92" s="337"/>
      <c r="FWQ92" s="337"/>
      <c r="FWR92" s="337"/>
      <c r="FWS92" s="337"/>
      <c r="FWT92" s="337"/>
      <c r="FWU92" s="337"/>
      <c r="FWV92" s="337"/>
      <c r="FWW92" s="337"/>
      <c r="FWX92" s="337"/>
      <c r="FWY92" s="337"/>
      <c r="FWZ92" s="337"/>
      <c r="FXA92" s="337"/>
      <c r="FXB92" s="337"/>
      <c r="FXC92" s="337"/>
      <c r="FXD92" s="337"/>
      <c r="FXE92" s="337"/>
      <c r="FXF92" s="337"/>
      <c r="FXG92" s="337"/>
      <c r="FXH92" s="337"/>
      <c r="FXI92" s="337"/>
      <c r="FXJ92" s="337"/>
      <c r="FXK92" s="337"/>
      <c r="FXL92" s="337"/>
      <c r="FXM92" s="337"/>
      <c r="FXN92" s="337"/>
      <c r="FXO92" s="337"/>
      <c r="FXP92" s="337"/>
      <c r="FXQ92" s="337"/>
      <c r="FXR92" s="337"/>
      <c r="FXS92" s="337"/>
      <c r="FXT92" s="337"/>
      <c r="FXU92" s="337"/>
      <c r="FXV92" s="337"/>
      <c r="FXW92" s="337"/>
      <c r="FXX92" s="337"/>
      <c r="FXY92" s="337"/>
      <c r="FXZ92" s="337"/>
      <c r="FYA92" s="337"/>
      <c r="FYB92" s="337"/>
      <c r="FYC92" s="337"/>
      <c r="FYD92" s="337"/>
      <c r="FYE92" s="337"/>
      <c r="FYF92" s="337"/>
      <c r="FYG92" s="337"/>
      <c r="FYH92" s="337"/>
      <c r="FYI92" s="337"/>
      <c r="FYJ92" s="337"/>
      <c r="FYK92" s="337"/>
      <c r="FYL92" s="337"/>
      <c r="FYM92" s="337"/>
      <c r="FYN92" s="337"/>
      <c r="FYO92" s="337"/>
      <c r="FYP92" s="337"/>
      <c r="FYQ92" s="337"/>
      <c r="FYR92" s="337"/>
      <c r="FYS92" s="337"/>
      <c r="FYT92" s="337"/>
      <c r="FYU92" s="337"/>
      <c r="FYV92" s="337"/>
      <c r="FYW92" s="337"/>
      <c r="FYX92" s="337"/>
      <c r="FYY92" s="337"/>
      <c r="FYZ92" s="337"/>
      <c r="FZA92" s="337"/>
      <c r="FZB92" s="337"/>
      <c r="FZC92" s="337"/>
      <c r="FZD92" s="337"/>
      <c r="FZE92" s="337"/>
      <c r="FZF92" s="337"/>
      <c r="FZG92" s="337"/>
      <c r="FZH92" s="337"/>
      <c r="FZI92" s="337"/>
      <c r="FZJ92" s="337"/>
      <c r="FZK92" s="337"/>
      <c r="FZL92" s="337"/>
      <c r="FZM92" s="337"/>
      <c r="FZN92" s="337"/>
      <c r="FZO92" s="337"/>
      <c r="FZP92" s="337"/>
      <c r="FZQ92" s="337"/>
      <c r="FZR92" s="337"/>
      <c r="FZS92" s="337"/>
      <c r="FZT92" s="337"/>
      <c r="FZU92" s="337"/>
      <c r="FZV92" s="337"/>
      <c r="FZW92" s="337"/>
      <c r="FZX92" s="337"/>
      <c r="FZY92" s="337"/>
      <c r="FZZ92" s="337"/>
      <c r="GAA92" s="337"/>
      <c r="GAB92" s="337"/>
      <c r="GAC92" s="337"/>
      <c r="GAD92" s="337"/>
      <c r="GAE92" s="337"/>
      <c r="GAF92" s="337"/>
      <c r="GAG92" s="337"/>
      <c r="GAH92" s="337"/>
      <c r="GAI92" s="337"/>
      <c r="GAJ92" s="337"/>
      <c r="GAK92" s="337"/>
      <c r="GAL92" s="337"/>
      <c r="GAM92" s="337"/>
      <c r="GAN92" s="337"/>
      <c r="GAO92" s="337"/>
      <c r="GAP92" s="337"/>
      <c r="GAQ92" s="337"/>
      <c r="GAR92" s="337"/>
      <c r="GAS92" s="337"/>
      <c r="GAT92" s="337"/>
      <c r="GAU92" s="337"/>
      <c r="GAV92" s="337"/>
      <c r="GAW92" s="337"/>
      <c r="GAX92" s="337"/>
      <c r="GAY92" s="337"/>
      <c r="GAZ92" s="337"/>
      <c r="GBA92" s="337"/>
      <c r="GBB92" s="337"/>
      <c r="GBC92" s="337"/>
      <c r="GBD92" s="337"/>
      <c r="GBE92" s="337"/>
      <c r="GBF92" s="337"/>
      <c r="GBG92" s="337"/>
      <c r="GBH92" s="337"/>
      <c r="GBI92" s="337"/>
      <c r="GBJ92" s="337"/>
      <c r="GBK92" s="337"/>
      <c r="GBL92" s="337"/>
      <c r="GBM92" s="337"/>
      <c r="GBN92" s="337"/>
      <c r="GBO92" s="337"/>
      <c r="GBP92" s="337"/>
      <c r="GBQ92" s="337"/>
      <c r="GBR92" s="337"/>
      <c r="GBS92" s="337"/>
      <c r="GBT92" s="337"/>
      <c r="GBU92" s="337"/>
      <c r="GBV92" s="337"/>
      <c r="GBW92" s="337"/>
      <c r="GBX92" s="337"/>
      <c r="GBY92" s="337"/>
      <c r="GBZ92" s="337"/>
      <c r="GCA92" s="337"/>
      <c r="GCB92" s="337"/>
      <c r="GCC92" s="337"/>
      <c r="GCD92" s="337"/>
      <c r="GCE92" s="337"/>
      <c r="GCF92" s="337"/>
      <c r="GCG92" s="337"/>
      <c r="GCH92" s="337"/>
      <c r="GCI92" s="337"/>
      <c r="GCJ92" s="337"/>
      <c r="GCK92" s="337"/>
      <c r="GCL92" s="337"/>
      <c r="GCM92" s="337"/>
      <c r="GCN92" s="337"/>
      <c r="GCO92" s="337"/>
      <c r="GCP92" s="337"/>
      <c r="GCQ92" s="337"/>
      <c r="GCR92" s="337"/>
      <c r="GCS92" s="337"/>
      <c r="GCT92" s="337"/>
      <c r="GCU92" s="337"/>
      <c r="GCV92" s="337"/>
      <c r="GCW92" s="337"/>
      <c r="GCX92" s="337"/>
      <c r="GCY92" s="337"/>
      <c r="GCZ92" s="337"/>
      <c r="GDA92" s="337"/>
      <c r="GDB92" s="337"/>
      <c r="GDC92" s="337"/>
      <c r="GDD92" s="337"/>
      <c r="GDE92" s="337"/>
      <c r="GDF92" s="337"/>
      <c r="GDG92" s="337"/>
      <c r="GDH92" s="337"/>
      <c r="GDI92" s="337"/>
      <c r="GDJ92" s="337"/>
      <c r="GDK92" s="337"/>
      <c r="GDL92" s="337"/>
      <c r="GDM92" s="337"/>
      <c r="GDN92" s="337"/>
      <c r="GDO92" s="337"/>
      <c r="GDP92" s="337"/>
      <c r="GDQ92" s="337"/>
      <c r="GDR92" s="337"/>
      <c r="GDS92" s="337"/>
      <c r="GDT92" s="337"/>
      <c r="GDU92" s="337"/>
      <c r="GDV92" s="337"/>
      <c r="GDW92" s="337"/>
      <c r="GDX92" s="337"/>
      <c r="GDY92" s="337"/>
      <c r="GDZ92" s="337"/>
      <c r="GEA92" s="337"/>
      <c r="GEB92" s="337"/>
      <c r="GEC92" s="337"/>
      <c r="GED92" s="337"/>
      <c r="GEE92" s="337"/>
      <c r="GEF92" s="337"/>
      <c r="GEG92" s="337"/>
      <c r="GEH92" s="337"/>
      <c r="GEI92" s="337"/>
      <c r="GEJ92" s="337"/>
      <c r="GEK92" s="337"/>
      <c r="GEL92" s="337"/>
      <c r="GEM92" s="337"/>
      <c r="GEN92" s="337"/>
      <c r="GEO92" s="337"/>
      <c r="GEP92" s="337"/>
      <c r="GEQ92" s="337"/>
      <c r="GER92" s="337"/>
      <c r="GES92" s="337"/>
      <c r="GET92" s="337"/>
      <c r="GEU92" s="337"/>
      <c r="GEV92" s="337"/>
      <c r="GEW92" s="337"/>
      <c r="GEX92" s="337"/>
      <c r="GEY92" s="337"/>
      <c r="GEZ92" s="337"/>
      <c r="GFA92" s="337"/>
      <c r="GFB92" s="337"/>
      <c r="GFC92" s="337"/>
      <c r="GFD92" s="337"/>
      <c r="GFE92" s="337"/>
      <c r="GFF92" s="337"/>
      <c r="GFG92" s="337"/>
      <c r="GFH92" s="337"/>
      <c r="GFI92" s="337"/>
      <c r="GFJ92" s="337"/>
      <c r="GFK92" s="337"/>
      <c r="GFL92" s="337"/>
      <c r="GFM92" s="337"/>
      <c r="GFN92" s="337"/>
      <c r="GFO92" s="337"/>
      <c r="GFP92" s="337"/>
      <c r="GFQ92" s="337"/>
      <c r="GFR92" s="337"/>
      <c r="GFS92" s="337"/>
      <c r="GFT92" s="337"/>
      <c r="GFU92" s="337"/>
      <c r="GFV92" s="337"/>
      <c r="GFW92" s="337"/>
      <c r="GFX92" s="337"/>
      <c r="GFY92" s="337"/>
      <c r="GFZ92" s="337"/>
      <c r="GGA92" s="337"/>
      <c r="GGB92" s="337"/>
      <c r="GGC92" s="337"/>
      <c r="GGD92" s="337"/>
      <c r="GGE92" s="337"/>
      <c r="GGF92" s="337"/>
      <c r="GGG92" s="337"/>
      <c r="GGH92" s="337"/>
      <c r="GGI92" s="337"/>
      <c r="GGJ92" s="337"/>
      <c r="GGK92" s="337"/>
      <c r="GGL92" s="337"/>
      <c r="GGM92" s="337"/>
      <c r="GGN92" s="337"/>
      <c r="GGO92" s="337"/>
      <c r="GGP92" s="337"/>
      <c r="GGQ92" s="337"/>
      <c r="GGR92" s="337"/>
      <c r="GGS92" s="337"/>
      <c r="GGT92" s="337"/>
      <c r="GGU92" s="337"/>
      <c r="GGV92" s="337"/>
      <c r="GGW92" s="337"/>
      <c r="GGX92" s="337"/>
      <c r="GGY92" s="337"/>
      <c r="GGZ92" s="337"/>
      <c r="GHA92" s="337"/>
      <c r="GHB92" s="337"/>
      <c r="GHC92" s="337"/>
      <c r="GHD92" s="337"/>
      <c r="GHE92" s="337"/>
      <c r="GHF92" s="337"/>
      <c r="GHG92" s="337"/>
      <c r="GHH92" s="337"/>
      <c r="GHI92" s="337"/>
      <c r="GHJ92" s="337"/>
      <c r="GHK92" s="337"/>
      <c r="GHL92" s="337"/>
      <c r="GHM92" s="337"/>
      <c r="GHN92" s="337"/>
      <c r="GHO92" s="337"/>
      <c r="GHP92" s="337"/>
      <c r="GHQ92" s="337"/>
      <c r="GHR92" s="337"/>
      <c r="GHS92" s="337"/>
      <c r="GHT92" s="337"/>
      <c r="GHU92" s="337"/>
      <c r="GHV92" s="337"/>
      <c r="GHW92" s="337"/>
      <c r="GHX92" s="337"/>
      <c r="GHY92" s="337"/>
      <c r="GHZ92" s="337"/>
      <c r="GIA92" s="337"/>
      <c r="GIB92" s="337"/>
      <c r="GIC92" s="337"/>
      <c r="GID92" s="337"/>
      <c r="GIE92" s="337"/>
      <c r="GIF92" s="337"/>
      <c r="GIG92" s="337"/>
      <c r="GIH92" s="337"/>
      <c r="GII92" s="337"/>
      <c r="GIJ92" s="337"/>
      <c r="GIK92" s="337"/>
      <c r="GIL92" s="337"/>
      <c r="GIM92" s="337"/>
      <c r="GIN92" s="337"/>
      <c r="GIO92" s="337"/>
      <c r="GIP92" s="337"/>
      <c r="GIQ92" s="337"/>
      <c r="GIR92" s="337"/>
      <c r="GIS92" s="337"/>
      <c r="GIT92" s="337"/>
      <c r="GIU92" s="337"/>
      <c r="GIV92" s="337"/>
      <c r="GIW92" s="337"/>
      <c r="GIX92" s="337"/>
      <c r="GIY92" s="337"/>
      <c r="GIZ92" s="337"/>
      <c r="GJA92" s="337"/>
      <c r="GJB92" s="337"/>
      <c r="GJC92" s="337"/>
      <c r="GJD92" s="337"/>
      <c r="GJE92" s="337"/>
      <c r="GJF92" s="337"/>
      <c r="GJG92" s="337"/>
      <c r="GJH92" s="337"/>
      <c r="GJI92" s="337"/>
      <c r="GJJ92" s="337"/>
      <c r="GJK92" s="337"/>
      <c r="GJL92" s="337"/>
      <c r="GJM92" s="337"/>
      <c r="GJN92" s="337"/>
      <c r="GJO92" s="337"/>
      <c r="GJP92" s="337"/>
      <c r="GJQ92" s="337"/>
      <c r="GJR92" s="337"/>
      <c r="GJS92" s="337"/>
      <c r="GJT92" s="337"/>
      <c r="GJU92" s="337"/>
      <c r="GJV92" s="337"/>
      <c r="GJW92" s="337"/>
      <c r="GJX92" s="337"/>
      <c r="GJY92" s="337"/>
      <c r="GJZ92" s="337"/>
      <c r="GKA92" s="337"/>
      <c r="GKB92" s="337"/>
      <c r="GKC92" s="337"/>
      <c r="GKD92" s="337"/>
      <c r="GKE92" s="337"/>
      <c r="GKF92" s="337"/>
      <c r="GKG92" s="337"/>
      <c r="GKH92" s="337"/>
      <c r="GKI92" s="337"/>
      <c r="GKJ92" s="337"/>
      <c r="GKK92" s="337"/>
      <c r="GKL92" s="337"/>
      <c r="GKM92" s="337"/>
      <c r="GKN92" s="337"/>
      <c r="GKO92" s="337"/>
      <c r="GKP92" s="337"/>
      <c r="GKQ92" s="337"/>
      <c r="GKR92" s="337"/>
      <c r="GKS92" s="337"/>
      <c r="GKT92" s="337"/>
      <c r="GKU92" s="337"/>
      <c r="GKV92" s="337"/>
      <c r="GKW92" s="337"/>
      <c r="GKX92" s="337"/>
      <c r="GKY92" s="337"/>
      <c r="GKZ92" s="337"/>
      <c r="GLA92" s="337"/>
      <c r="GLB92" s="337"/>
      <c r="GLC92" s="337"/>
      <c r="GLD92" s="337"/>
      <c r="GLE92" s="337"/>
      <c r="GLF92" s="337"/>
      <c r="GLG92" s="337"/>
      <c r="GLH92" s="337"/>
      <c r="GLI92" s="337"/>
      <c r="GLJ92" s="337"/>
      <c r="GLK92" s="337"/>
      <c r="GLL92" s="337"/>
      <c r="GLM92" s="337"/>
      <c r="GLN92" s="337"/>
      <c r="GLO92" s="337"/>
      <c r="GLP92" s="337"/>
      <c r="GLQ92" s="337"/>
      <c r="GLR92" s="337"/>
      <c r="GLS92" s="337"/>
      <c r="GLT92" s="337"/>
      <c r="GLU92" s="337"/>
      <c r="GLV92" s="337"/>
      <c r="GLW92" s="337"/>
      <c r="GLX92" s="337"/>
      <c r="GLY92" s="337"/>
      <c r="GLZ92" s="337"/>
      <c r="GMA92" s="337"/>
      <c r="GMB92" s="337"/>
      <c r="GMC92" s="337"/>
      <c r="GMD92" s="337"/>
      <c r="GME92" s="337"/>
      <c r="GMF92" s="337"/>
      <c r="GMG92" s="337"/>
      <c r="GMH92" s="337"/>
      <c r="GMI92" s="337"/>
      <c r="GMJ92" s="337"/>
      <c r="GMK92" s="337"/>
      <c r="GML92" s="337"/>
      <c r="GMM92" s="337"/>
      <c r="GMN92" s="337"/>
      <c r="GMO92" s="337"/>
      <c r="GMP92" s="337"/>
      <c r="GMQ92" s="337"/>
      <c r="GMR92" s="337"/>
      <c r="GMS92" s="337"/>
      <c r="GMT92" s="337"/>
      <c r="GMU92" s="337"/>
      <c r="GMV92" s="337"/>
      <c r="GMW92" s="337"/>
      <c r="GMX92" s="337"/>
      <c r="GMY92" s="337"/>
      <c r="GMZ92" s="337"/>
      <c r="GNA92" s="337"/>
      <c r="GNB92" s="337"/>
      <c r="GNC92" s="337"/>
      <c r="GND92" s="337"/>
      <c r="GNE92" s="337"/>
      <c r="GNF92" s="337"/>
      <c r="GNG92" s="337"/>
      <c r="GNH92" s="337"/>
      <c r="GNI92" s="337"/>
      <c r="GNJ92" s="337"/>
      <c r="GNK92" s="337"/>
      <c r="GNL92" s="337"/>
      <c r="GNM92" s="337"/>
      <c r="GNN92" s="337"/>
      <c r="GNO92" s="337"/>
      <c r="GNP92" s="337"/>
      <c r="GNQ92" s="337"/>
      <c r="GNR92" s="337"/>
      <c r="GNS92" s="337"/>
      <c r="GNT92" s="337"/>
      <c r="GNU92" s="337"/>
      <c r="GNV92" s="337"/>
      <c r="GNW92" s="337"/>
      <c r="GNX92" s="337"/>
      <c r="GNY92" s="337"/>
      <c r="GNZ92" s="337"/>
      <c r="GOA92" s="337"/>
      <c r="GOB92" s="337"/>
      <c r="GOC92" s="337"/>
      <c r="GOD92" s="337"/>
      <c r="GOE92" s="337"/>
      <c r="GOF92" s="337"/>
      <c r="GOG92" s="337"/>
      <c r="GOH92" s="337"/>
      <c r="GOI92" s="337"/>
      <c r="GOJ92" s="337"/>
      <c r="GOK92" s="337"/>
      <c r="GOL92" s="337"/>
      <c r="GOM92" s="337"/>
      <c r="GON92" s="337"/>
      <c r="GOO92" s="337"/>
      <c r="GOP92" s="337"/>
      <c r="GOQ92" s="337"/>
      <c r="GOR92" s="337"/>
      <c r="GOS92" s="337"/>
      <c r="GOT92" s="337"/>
      <c r="GOU92" s="337"/>
      <c r="GOV92" s="337"/>
      <c r="GOW92" s="337"/>
      <c r="GOX92" s="337"/>
      <c r="GOY92" s="337"/>
      <c r="GOZ92" s="337"/>
      <c r="GPA92" s="337"/>
      <c r="GPB92" s="337"/>
      <c r="GPC92" s="337"/>
      <c r="GPD92" s="337"/>
      <c r="GPE92" s="337"/>
      <c r="GPF92" s="337"/>
      <c r="GPG92" s="337"/>
      <c r="GPH92" s="337"/>
      <c r="GPI92" s="337"/>
      <c r="GPJ92" s="337"/>
      <c r="GPK92" s="337"/>
      <c r="GPL92" s="337"/>
      <c r="GPM92" s="337"/>
      <c r="GPN92" s="337"/>
      <c r="GPO92" s="337"/>
      <c r="GPP92" s="337"/>
      <c r="GPQ92" s="337"/>
      <c r="GPR92" s="337"/>
      <c r="GPS92" s="337"/>
      <c r="GPT92" s="337"/>
      <c r="GPU92" s="337"/>
      <c r="GPV92" s="337"/>
      <c r="GPW92" s="337"/>
      <c r="GPX92" s="337"/>
      <c r="GPY92" s="337"/>
      <c r="GPZ92" s="337"/>
      <c r="GQA92" s="337"/>
      <c r="GQB92" s="337"/>
      <c r="GQC92" s="337"/>
      <c r="GQD92" s="337"/>
      <c r="GQE92" s="337"/>
      <c r="GQF92" s="337"/>
      <c r="GQG92" s="337"/>
      <c r="GQH92" s="337"/>
      <c r="GQI92" s="337"/>
      <c r="GQJ92" s="337"/>
      <c r="GQK92" s="337"/>
      <c r="GQL92" s="337"/>
      <c r="GQM92" s="337"/>
      <c r="GQN92" s="337"/>
      <c r="GQO92" s="337"/>
      <c r="GQP92" s="337"/>
      <c r="GQQ92" s="337"/>
      <c r="GQR92" s="337"/>
      <c r="GQS92" s="337"/>
      <c r="GQT92" s="337"/>
      <c r="GQU92" s="337"/>
      <c r="GQV92" s="337"/>
      <c r="GQW92" s="337"/>
      <c r="GQX92" s="337"/>
      <c r="GQY92" s="337"/>
      <c r="GQZ92" s="337"/>
      <c r="GRA92" s="337"/>
      <c r="GRB92" s="337"/>
      <c r="GRC92" s="337"/>
      <c r="GRD92" s="337"/>
      <c r="GRE92" s="337"/>
      <c r="GRF92" s="337"/>
      <c r="GRG92" s="337"/>
      <c r="GRH92" s="337"/>
      <c r="GRI92" s="337"/>
      <c r="GRJ92" s="337"/>
      <c r="GRK92" s="337"/>
      <c r="GRL92" s="337"/>
      <c r="GRM92" s="337"/>
      <c r="GRN92" s="337"/>
      <c r="GRO92" s="337"/>
      <c r="GRP92" s="337"/>
      <c r="GRQ92" s="337"/>
      <c r="GRR92" s="337"/>
      <c r="GRS92" s="337"/>
      <c r="GRT92" s="337"/>
      <c r="GRU92" s="337"/>
      <c r="GRV92" s="337"/>
      <c r="GRW92" s="337"/>
      <c r="GRX92" s="337"/>
      <c r="GRY92" s="337"/>
      <c r="GRZ92" s="337"/>
      <c r="GSA92" s="337"/>
      <c r="GSB92" s="337"/>
      <c r="GSC92" s="337"/>
      <c r="GSD92" s="337"/>
      <c r="GSE92" s="337"/>
      <c r="GSF92" s="337"/>
      <c r="GSG92" s="337"/>
      <c r="GSH92" s="337"/>
      <c r="GSI92" s="337"/>
      <c r="GSJ92" s="337"/>
      <c r="GSK92" s="337"/>
      <c r="GSL92" s="337"/>
      <c r="GSM92" s="337"/>
      <c r="GSN92" s="337"/>
      <c r="GSO92" s="337"/>
      <c r="GSP92" s="337"/>
      <c r="GSQ92" s="337"/>
      <c r="GSR92" s="337"/>
      <c r="GSS92" s="337"/>
      <c r="GST92" s="337"/>
      <c r="GSU92" s="337"/>
      <c r="GSV92" s="337"/>
      <c r="GSW92" s="337"/>
      <c r="GSX92" s="337"/>
      <c r="GSY92" s="337"/>
      <c r="GSZ92" s="337"/>
      <c r="GTA92" s="337"/>
      <c r="GTB92" s="337"/>
      <c r="GTC92" s="337"/>
      <c r="GTD92" s="337"/>
      <c r="GTE92" s="337"/>
      <c r="GTF92" s="337"/>
      <c r="GTG92" s="337"/>
      <c r="GTH92" s="337"/>
      <c r="GTI92" s="337"/>
      <c r="GTJ92" s="337"/>
      <c r="GTK92" s="337"/>
      <c r="GTL92" s="337"/>
      <c r="GTM92" s="337"/>
      <c r="GTN92" s="337"/>
      <c r="GTO92" s="337"/>
      <c r="GTP92" s="337"/>
      <c r="GTQ92" s="337"/>
      <c r="GTR92" s="337"/>
      <c r="GTS92" s="337"/>
      <c r="GTT92" s="337"/>
      <c r="GTU92" s="337"/>
      <c r="GTV92" s="337"/>
      <c r="GTW92" s="337"/>
      <c r="GTX92" s="337"/>
      <c r="GTY92" s="337"/>
      <c r="GTZ92" s="337"/>
      <c r="GUA92" s="337"/>
      <c r="GUB92" s="337"/>
      <c r="GUC92" s="337"/>
      <c r="GUD92" s="337"/>
      <c r="GUE92" s="337"/>
      <c r="GUF92" s="337"/>
      <c r="GUG92" s="337"/>
      <c r="GUH92" s="337"/>
      <c r="GUI92" s="337"/>
      <c r="GUJ92" s="337"/>
      <c r="GUK92" s="337"/>
      <c r="GUL92" s="337"/>
      <c r="GUM92" s="337"/>
      <c r="GUN92" s="337"/>
      <c r="GUO92" s="337"/>
      <c r="GUP92" s="337"/>
      <c r="GUQ92" s="337"/>
      <c r="GUR92" s="337"/>
      <c r="GUS92" s="337"/>
      <c r="GUT92" s="337"/>
      <c r="GUU92" s="337"/>
      <c r="GUV92" s="337"/>
      <c r="GUW92" s="337"/>
      <c r="GUX92" s="337"/>
      <c r="GUY92" s="337"/>
      <c r="GUZ92" s="337"/>
      <c r="GVA92" s="337"/>
      <c r="GVB92" s="337"/>
      <c r="GVC92" s="337"/>
      <c r="GVD92" s="337"/>
      <c r="GVE92" s="337"/>
      <c r="GVF92" s="337"/>
      <c r="GVG92" s="337"/>
      <c r="GVH92" s="337"/>
      <c r="GVI92" s="337"/>
      <c r="GVJ92" s="337"/>
      <c r="GVK92" s="337"/>
      <c r="GVL92" s="337"/>
      <c r="GVM92" s="337"/>
      <c r="GVN92" s="337"/>
      <c r="GVO92" s="337"/>
      <c r="GVP92" s="337"/>
      <c r="GVQ92" s="337"/>
      <c r="GVR92" s="337"/>
      <c r="GVS92" s="337"/>
      <c r="GVT92" s="337"/>
      <c r="GVU92" s="337"/>
      <c r="GVV92" s="337"/>
      <c r="GVW92" s="337"/>
      <c r="GVX92" s="337"/>
      <c r="GVY92" s="337"/>
      <c r="GVZ92" s="337"/>
      <c r="GWA92" s="337"/>
      <c r="GWB92" s="337"/>
      <c r="GWC92" s="337"/>
      <c r="GWD92" s="337"/>
      <c r="GWE92" s="337"/>
      <c r="GWF92" s="337"/>
      <c r="GWG92" s="337"/>
      <c r="GWH92" s="337"/>
      <c r="GWI92" s="337"/>
      <c r="GWJ92" s="337"/>
      <c r="GWK92" s="337"/>
      <c r="GWL92" s="337"/>
      <c r="GWM92" s="337"/>
      <c r="GWN92" s="337"/>
      <c r="GWO92" s="337"/>
      <c r="GWP92" s="337"/>
      <c r="GWQ92" s="337"/>
      <c r="GWR92" s="337"/>
      <c r="GWS92" s="337"/>
      <c r="GWT92" s="337"/>
      <c r="GWU92" s="337"/>
      <c r="GWV92" s="337"/>
      <c r="GWW92" s="337"/>
      <c r="GWX92" s="337"/>
      <c r="GWY92" s="337"/>
      <c r="GWZ92" s="337"/>
      <c r="GXA92" s="337"/>
      <c r="GXB92" s="337"/>
      <c r="GXC92" s="337"/>
      <c r="GXD92" s="337"/>
      <c r="GXE92" s="337"/>
      <c r="GXF92" s="337"/>
      <c r="GXG92" s="337"/>
      <c r="GXH92" s="337"/>
      <c r="GXI92" s="337"/>
      <c r="GXJ92" s="337"/>
      <c r="GXK92" s="337"/>
      <c r="GXL92" s="337"/>
      <c r="GXM92" s="337"/>
      <c r="GXN92" s="337"/>
      <c r="GXO92" s="337"/>
      <c r="GXP92" s="337"/>
      <c r="GXQ92" s="337"/>
      <c r="GXR92" s="337"/>
      <c r="GXS92" s="337"/>
      <c r="GXT92" s="337"/>
      <c r="GXU92" s="337"/>
      <c r="GXV92" s="337"/>
      <c r="GXW92" s="337"/>
      <c r="GXX92" s="337"/>
      <c r="GXY92" s="337"/>
      <c r="GXZ92" s="337"/>
      <c r="GYA92" s="337"/>
      <c r="GYB92" s="337"/>
      <c r="GYC92" s="337"/>
      <c r="GYD92" s="337"/>
      <c r="GYE92" s="337"/>
      <c r="GYF92" s="337"/>
      <c r="GYG92" s="337"/>
      <c r="GYH92" s="337"/>
      <c r="GYI92" s="337"/>
      <c r="GYJ92" s="337"/>
      <c r="GYK92" s="337"/>
      <c r="GYL92" s="337"/>
      <c r="GYM92" s="337"/>
      <c r="GYN92" s="337"/>
      <c r="GYO92" s="337"/>
      <c r="GYP92" s="337"/>
      <c r="GYQ92" s="337"/>
      <c r="GYR92" s="337"/>
      <c r="GYS92" s="337"/>
      <c r="GYT92" s="337"/>
      <c r="GYU92" s="337"/>
      <c r="GYV92" s="337"/>
      <c r="GYW92" s="337"/>
      <c r="GYX92" s="337"/>
      <c r="GYY92" s="337"/>
      <c r="GYZ92" s="337"/>
      <c r="GZA92" s="337"/>
      <c r="GZB92" s="337"/>
      <c r="GZC92" s="337"/>
      <c r="GZD92" s="337"/>
      <c r="GZE92" s="337"/>
      <c r="GZF92" s="337"/>
      <c r="GZG92" s="337"/>
      <c r="GZH92" s="337"/>
      <c r="GZI92" s="337"/>
      <c r="GZJ92" s="337"/>
      <c r="GZK92" s="337"/>
      <c r="GZL92" s="337"/>
      <c r="GZM92" s="337"/>
      <c r="GZN92" s="337"/>
      <c r="GZO92" s="337"/>
      <c r="GZP92" s="337"/>
      <c r="GZQ92" s="337"/>
      <c r="GZR92" s="337"/>
      <c r="GZS92" s="337"/>
      <c r="GZT92" s="337"/>
      <c r="GZU92" s="337"/>
      <c r="GZV92" s="337"/>
      <c r="GZW92" s="337"/>
      <c r="GZX92" s="337"/>
      <c r="GZY92" s="337"/>
      <c r="GZZ92" s="337"/>
      <c r="HAA92" s="337"/>
      <c r="HAB92" s="337"/>
      <c r="HAC92" s="337"/>
      <c r="HAD92" s="337"/>
      <c r="HAE92" s="337"/>
      <c r="HAF92" s="337"/>
      <c r="HAG92" s="337"/>
      <c r="HAH92" s="337"/>
      <c r="HAI92" s="337"/>
      <c r="HAJ92" s="337"/>
      <c r="HAK92" s="337"/>
      <c r="HAL92" s="337"/>
      <c r="HAM92" s="337"/>
      <c r="HAN92" s="337"/>
      <c r="HAO92" s="337"/>
      <c r="HAP92" s="337"/>
      <c r="HAQ92" s="337"/>
      <c r="HAR92" s="337"/>
      <c r="HAS92" s="337"/>
      <c r="HAT92" s="337"/>
      <c r="HAU92" s="337"/>
      <c r="HAV92" s="337"/>
      <c r="HAW92" s="337"/>
      <c r="HAX92" s="337"/>
      <c r="HAY92" s="337"/>
      <c r="HAZ92" s="337"/>
      <c r="HBA92" s="337"/>
      <c r="HBB92" s="337"/>
      <c r="HBC92" s="337"/>
      <c r="HBD92" s="337"/>
      <c r="HBE92" s="337"/>
      <c r="HBF92" s="337"/>
      <c r="HBG92" s="337"/>
      <c r="HBH92" s="337"/>
      <c r="HBI92" s="337"/>
      <c r="HBJ92" s="337"/>
      <c r="HBK92" s="337"/>
      <c r="HBL92" s="337"/>
      <c r="HBM92" s="337"/>
      <c r="HBN92" s="337"/>
      <c r="HBO92" s="337"/>
      <c r="HBP92" s="337"/>
      <c r="HBQ92" s="337"/>
      <c r="HBR92" s="337"/>
      <c r="HBS92" s="337"/>
      <c r="HBT92" s="337"/>
      <c r="HBU92" s="337"/>
      <c r="HBV92" s="337"/>
      <c r="HBW92" s="337"/>
      <c r="HBX92" s="337"/>
      <c r="HBY92" s="337"/>
      <c r="HBZ92" s="337"/>
      <c r="HCA92" s="337"/>
      <c r="HCB92" s="337"/>
      <c r="HCC92" s="337"/>
      <c r="HCD92" s="337"/>
      <c r="HCE92" s="337"/>
      <c r="HCF92" s="337"/>
      <c r="HCG92" s="337"/>
      <c r="HCH92" s="337"/>
      <c r="HCI92" s="337"/>
      <c r="HCJ92" s="337"/>
      <c r="HCK92" s="337"/>
      <c r="HCL92" s="337"/>
      <c r="HCM92" s="337"/>
      <c r="HCN92" s="337"/>
      <c r="HCO92" s="337"/>
      <c r="HCP92" s="337"/>
      <c r="HCQ92" s="337"/>
      <c r="HCR92" s="337"/>
      <c r="HCS92" s="337"/>
      <c r="HCT92" s="337"/>
      <c r="HCU92" s="337"/>
      <c r="HCV92" s="337"/>
      <c r="HCW92" s="337"/>
      <c r="HCX92" s="337"/>
      <c r="HCY92" s="337"/>
      <c r="HCZ92" s="337"/>
      <c r="HDA92" s="337"/>
      <c r="HDB92" s="337"/>
      <c r="HDC92" s="337"/>
      <c r="HDD92" s="337"/>
      <c r="HDE92" s="337"/>
      <c r="HDF92" s="337"/>
      <c r="HDG92" s="337"/>
      <c r="HDH92" s="337"/>
      <c r="HDI92" s="337"/>
      <c r="HDJ92" s="337"/>
      <c r="HDK92" s="337"/>
      <c r="HDL92" s="337"/>
      <c r="HDM92" s="337"/>
      <c r="HDN92" s="337"/>
      <c r="HDO92" s="337"/>
      <c r="HDP92" s="337"/>
      <c r="HDQ92" s="337"/>
      <c r="HDR92" s="337"/>
      <c r="HDS92" s="337"/>
      <c r="HDT92" s="337"/>
      <c r="HDU92" s="337"/>
      <c r="HDV92" s="337"/>
      <c r="HDW92" s="337"/>
      <c r="HDX92" s="337"/>
      <c r="HDY92" s="337"/>
      <c r="HDZ92" s="337"/>
      <c r="HEA92" s="337"/>
      <c r="HEB92" s="337"/>
      <c r="HEC92" s="337"/>
      <c r="HED92" s="337"/>
      <c r="HEE92" s="337"/>
      <c r="HEF92" s="337"/>
      <c r="HEG92" s="337"/>
      <c r="HEH92" s="337"/>
      <c r="HEI92" s="337"/>
      <c r="HEJ92" s="337"/>
      <c r="HEK92" s="337"/>
      <c r="HEL92" s="337"/>
      <c r="HEM92" s="337"/>
      <c r="HEN92" s="337"/>
      <c r="HEO92" s="337"/>
      <c r="HEP92" s="337"/>
      <c r="HEQ92" s="337"/>
      <c r="HER92" s="337"/>
      <c r="HES92" s="337"/>
      <c r="HET92" s="337"/>
      <c r="HEU92" s="337"/>
      <c r="HEV92" s="337"/>
      <c r="HEW92" s="337"/>
      <c r="HEX92" s="337"/>
      <c r="HEY92" s="337"/>
      <c r="HEZ92" s="337"/>
      <c r="HFA92" s="337"/>
      <c r="HFB92" s="337"/>
      <c r="HFC92" s="337"/>
      <c r="HFD92" s="337"/>
      <c r="HFE92" s="337"/>
      <c r="HFF92" s="337"/>
      <c r="HFG92" s="337"/>
      <c r="HFH92" s="337"/>
      <c r="HFI92" s="337"/>
      <c r="HFJ92" s="337"/>
      <c r="HFK92" s="337"/>
      <c r="HFL92" s="337"/>
      <c r="HFM92" s="337"/>
      <c r="HFN92" s="337"/>
      <c r="HFO92" s="337"/>
      <c r="HFP92" s="337"/>
      <c r="HFQ92" s="337"/>
      <c r="HFR92" s="337"/>
      <c r="HFS92" s="337"/>
      <c r="HFT92" s="337"/>
      <c r="HFU92" s="337"/>
      <c r="HFV92" s="337"/>
      <c r="HFW92" s="337"/>
      <c r="HFX92" s="337"/>
      <c r="HFY92" s="337"/>
      <c r="HFZ92" s="337"/>
      <c r="HGA92" s="337"/>
      <c r="HGB92" s="337"/>
      <c r="HGC92" s="337"/>
      <c r="HGD92" s="337"/>
      <c r="HGE92" s="337"/>
      <c r="HGF92" s="337"/>
      <c r="HGG92" s="337"/>
      <c r="HGH92" s="337"/>
      <c r="HGI92" s="337"/>
      <c r="HGJ92" s="337"/>
      <c r="HGK92" s="337"/>
      <c r="HGL92" s="337"/>
      <c r="HGM92" s="337"/>
      <c r="HGN92" s="337"/>
      <c r="HGO92" s="337"/>
      <c r="HGP92" s="337"/>
      <c r="HGQ92" s="337"/>
      <c r="HGR92" s="337"/>
      <c r="HGS92" s="337"/>
      <c r="HGT92" s="337"/>
      <c r="HGU92" s="337"/>
      <c r="HGV92" s="337"/>
      <c r="HGW92" s="337"/>
      <c r="HGX92" s="337"/>
      <c r="HGY92" s="337"/>
      <c r="HGZ92" s="337"/>
      <c r="HHA92" s="337"/>
      <c r="HHB92" s="337"/>
      <c r="HHC92" s="337"/>
      <c r="HHD92" s="337"/>
      <c r="HHE92" s="337"/>
      <c r="HHF92" s="337"/>
      <c r="HHG92" s="337"/>
      <c r="HHH92" s="337"/>
      <c r="HHI92" s="337"/>
      <c r="HHJ92" s="337"/>
      <c r="HHK92" s="337"/>
      <c r="HHL92" s="337"/>
      <c r="HHM92" s="337"/>
      <c r="HHN92" s="337"/>
      <c r="HHO92" s="337"/>
      <c r="HHP92" s="337"/>
      <c r="HHQ92" s="337"/>
      <c r="HHR92" s="337"/>
      <c r="HHS92" s="337"/>
      <c r="HHT92" s="337"/>
      <c r="HHU92" s="337"/>
      <c r="HHV92" s="337"/>
      <c r="HHW92" s="337"/>
      <c r="HHX92" s="337"/>
      <c r="HHY92" s="337"/>
      <c r="HHZ92" s="337"/>
      <c r="HIA92" s="337"/>
      <c r="HIB92" s="337"/>
      <c r="HIC92" s="337"/>
      <c r="HID92" s="337"/>
      <c r="HIE92" s="337"/>
      <c r="HIF92" s="337"/>
      <c r="HIG92" s="337"/>
      <c r="HIH92" s="337"/>
      <c r="HII92" s="337"/>
      <c r="HIJ92" s="337"/>
      <c r="HIK92" s="337"/>
      <c r="HIL92" s="337"/>
      <c r="HIM92" s="337"/>
      <c r="HIN92" s="337"/>
      <c r="HIO92" s="337"/>
      <c r="HIP92" s="337"/>
      <c r="HIQ92" s="337"/>
      <c r="HIR92" s="337"/>
      <c r="HIS92" s="337"/>
      <c r="HIT92" s="337"/>
      <c r="HIU92" s="337"/>
      <c r="HIV92" s="337"/>
      <c r="HIW92" s="337"/>
      <c r="HIX92" s="337"/>
      <c r="HIY92" s="337"/>
      <c r="HIZ92" s="337"/>
      <c r="HJA92" s="337"/>
      <c r="HJB92" s="337"/>
      <c r="HJC92" s="337"/>
      <c r="HJD92" s="337"/>
      <c r="HJE92" s="337"/>
      <c r="HJF92" s="337"/>
      <c r="HJG92" s="337"/>
      <c r="HJH92" s="337"/>
      <c r="HJI92" s="337"/>
      <c r="HJJ92" s="337"/>
      <c r="HJK92" s="337"/>
      <c r="HJL92" s="337"/>
      <c r="HJM92" s="337"/>
      <c r="HJN92" s="337"/>
      <c r="HJO92" s="337"/>
      <c r="HJP92" s="337"/>
      <c r="HJQ92" s="337"/>
      <c r="HJR92" s="337"/>
      <c r="HJS92" s="337"/>
      <c r="HJT92" s="337"/>
      <c r="HJU92" s="337"/>
      <c r="HJV92" s="337"/>
      <c r="HJW92" s="337"/>
      <c r="HJX92" s="337"/>
      <c r="HJY92" s="337"/>
      <c r="HJZ92" s="337"/>
      <c r="HKA92" s="337"/>
      <c r="HKB92" s="337"/>
      <c r="HKC92" s="337"/>
      <c r="HKD92" s="337"/>
      <c r="HKE92" s="337"/>
      <c r="HKF92" s="337"/>
      <c r="HKG92" s="337"/>
      <c r="HKH92" s="337"/>
      <c r="HKI92" s="337"/>
      <c r="HKJ92" s="337"/>
      <c r="HKK92" s="337"/>
      <c r="HKL92" s="337"/>
      <c r="HKM92" s="337"/>
      <c r="HKN92" s="337"/>
      <c r="HKO92" s="337"/>
      <c r="HKP92" s="337"/>
      <c r="HKQ92" s="337"/>
      <c r="HKR92" s="337"/>
      <c r="HKS92" s="337"/>
      <c r="HKT92" s="337"/>
      <c r="HKU92" s="337"/>
      <c r="HKV92" s="337"/>
      <c r="HKW92" s="337"/>
      <c r="HKX92" s="337"/>
      <c r="HKY92" s="337"/>
      <c r="HKZ92" s="337"/>
      <c r="HLA92" s="337"/>
      <c r="HLB92" s="337"/>
      <c r="HLC92" s="337"/>
      <c r="HLD92" s="337"/>
      <c r="HLE92" s="337"/>
      <c r="HLF92" s="337"/>
      <c r="HLG92" s="337"/>
      <c r="HLH92" s="337"/>
      <c r="HLI92" s="337"/>
      <c r="HLJ92" s="337"/>
      <c r="HLK92" s="337"/>
      <c r="HLL92" s="337"/>
      <c r="HLM92" s="337"/>
      <c r="HLN92" s="337"/>
      <c r="HLO92" s="337"/>
      <c r="HLP92" s="337"/>
      <c r="HLQ92" s="337"/>
      <c r="HLR92" s="337"/>
      <c r="HLS92" s="337"/>
      <c r="HLT92" s="337"/>
      <c r="HLU92" s="337"/>
      <c r="HLV92" s="337"/>
      <c r="HLW92" s="337"/>
      <c r="HLX92" s="337"/>
      <c r="HLY92" s="337"/>
      <c r="HLZ92" s="337"/>
      <c r="HMA92" s="337"/>
      <c r="HMB92" s="337"/>
      <c r="HMC92" s="337"/>
      <c r="HMD92" s="337"/>
      <c r="HME92" s="337"/>
      <c r="HMF92" s="337"/>
      <c r="HMG92" s="337"/>
      <c r="HMH92" s="337"/>
      <c r="HMI92" s="337"/>
      <c r="HMJ92" s="337"/>
      <c r="HMK92" s="337"/>
      <c r="HML92" s="337"/>
      <c r="HMM92" s="337"/>
      <c r="HMN92" s="337"/>
      <c r="HMO92" s="337"/>
      <c r="HMP92" s="337"/>
      <c r="HMQ92" s="337"/>
      <c r="HMR92" s="337"/>
      <c r="HMS92" s="337"/>
      <c r="HMT92" s="337"/>
      <c r="HMU92" s="337"/>
      <c r="HMV92" s="337"/>
      <c r="HMW92" s="337"/>
      <c r="HMX92" s="337"/>
      <c r="HMY92" s="337"/>
      <c r="HMZ92" s="337"/>
      <c r="HNA92" s="337"/>
      <c r="HNB92" s="337"/>
      <c r="HNC92" s="337"/>
      <c r="HND92" s="337"/>
      <c r="HNE92" s="337"/>
      <c r="HNF92" s="337"/>
      <c r="HNG92" s="337"/>
      <c r="HNH92" s="337"/>
      <c r="HNI92" s="337"/>
      <c r="HNJ92" s="337"/>
      <c r="HNK92" s="337"/>
      <c r="HNL92" s="337"/>
      <c r="HNM92" s="337"/>
      <c r="HNN92" s="337"/>
      <c r="HNO92" s="337"/>
      <c r="HNP92" s="337"/>
      <c r="HNQ92" s="337"/>
      <c r="HNR92" s="337"/>
      <c r="HNS92" s="337"/>
      <c r="HNT92" s="337"/>
      <c r="HNU92" s="337"/>
      <c r="HNV92" s="337"/>
      <c r="HNW92" s="337"/>
      <c r="HNX92" s="337"/>
      <c r="HNY92" s="337"/>
      <c r="HNZ92" s="337"/>
      <c r="HOA92" s="337"/>
      <c r="HOB92" s="337"/>
      <c r="HOC92" s="337"/>
      <c r="HOD92" s="337"/>
      <c r="HOE92" s="337"/>
      <c r="HOF92" s="337"/>
      <c r="HOG92" s="337"/>
      <c r="HOH92" s="337"/>
      <c r="HOI92" s="337"/>
      <c r="HOJ92" s="337"/>
      <c r="HOK92" s="337"/>
      <c r="HOL92" s="337"/>
      <c r="HOM92" s="337"/>
      <c r="HON92" s="337"/>
      <c r="HOO92" s="337"/>
      <c r="HOP92" s="337"/>
      <c r="HOQ92" s="337"/>
      <c r="HOR92" s="337"/>
      <c r="HOS92" s="337"/>
      <c r="HOT92" s="337"/>
      <c r="HOU92" s="337"/>
      <c r="HOV92" s="337"/>
      <c r="HOW92" s="337"/>
      <c r="HOX92" s="337"/>
      <c r="HOY92" s="337"/>
      <c r="HOZ92" s="337"/>
      <c r="HPA92" s="337"/>
      <c r="HPB92" s="337"/>
      <c r="HPC92" s="337"/>
      <c r="HPD92" s="337"/>
      <c r="HPE92" s="337"/>
      <c r="HPF92" s="337"/>
      <c r="HPG92" s="337"/>
      <c r="HPH92" s="337"/>
      <c r="HPI92" s="337"/>
      <c r="HPJ92" s="337"/>
      <c r="HPK92" s="337"/>
      <c r="HPL92" s="337"/>
      <c r="HPM92" s="337"/>
      <c r="HPN92" s="337"/>
      <c r="HPO92" s="337"/>
      <c r="HPP92" s="337"/>
      <c r="HPQ92" s="337"/>
      <c r="HPR92" s="337"/>
      <c r="HPS92" s="337"/>
      <c r="HPT92" s="337"/>
      <c r="HPU92" s="337"/>
      <c r="HPV92" s="337"/>
      <c r="HPW92" s="337"/>
      <c r="HPX92" s="337"/>
      <c r="HPY92" s="337"/>
      <c r="HPZ92" s="337"/>
      <c r="HQA92" s="337"/>
      <c r="HQB92" s="337"/>
      <c r="HQC92" s="337"/>
      <c r="HQD92" s="337"/>
      <c r="HQE92" s="337"/>
      <c r="HQF92" s="337"/>
      <c r="HQG92" s="337"/>
      <c r="HQH92" s="337"/>
      <c r="HQI92" s="337"/>
      <c r="HQJ92" s="337"/>
      <c r="HQK92" s="337"/>
      <c r="HQL92" s="337"/>
      <c r="HQM92" s="337"/>
      <c r="HQN92" s="337"/>
      <c r="HQO92" s="337"/>
      <c r="HQP92" s="337"/>
      <c r="HQQ92" s="337"/>
      <c r="HQR92" s="337"/>
      <c r="HQS92" s="337"/>
      <c r="HQT92" s="337"/>
      <c r="HQU92" s="337"/>
      <c r="HQV92" s="337"/>
      <c r="HQW92" s="337"/>
      <c r="HQX92" s="337"/>
      <c r="HQY92" s="337"/>
      <c r="HQZ92" s="337"/>
      <c r="HRA92" s="337"/>
      <c r="HRB92" s="337"/>
      <c r="HRC92" s="337"/>
      <c r="HRD92" s="337"/>
      <c r="HRE92" s="337"/>
      <c r="HRF92" s="337"/>
      <c r="HRG92" s="337"/>
      <c r="HRH92" s="337"/>
      <c r="HRI92" s="337"/>
      <c r="HRJ92" s="337"/>
      <c r="HRK92" s="337"/>
      <c r="HRL92" s="337"/>
      <c r="HRM92" s="337"/>
      <c r="HRN92" s="337"/>
      <c r="HRO92" s="337"/>
      <c r="HRP92" s="337"/>
      <c r="HRQ92" s="337"/>
      <c r="HRR92" s="337"/>
      <c r="HRS92" s="337"/>
      <c r="HRT92" s="337"/>
      <c r="HRU92" s="337"/>
      <c r="HRV92" s="337"/>
      <c r="HRW92" s="337"/>
      <c r="HRX92" s="337"/>
      <c r="HRY92" s="337"/>
      <c r="HRZ92" s="337"/>
      <c r="HSA92" s="337"/>
      <c r="HSB92" s="337"/>
      <c r="HSC92" s="337"/>
      <c r="HSD92" s="337"/>
      <c r="HSE92" s="337"/>
      <c r="HSF92" s="337"/>
      <c r="HSG92" s="337"/>
      <c r="HSH92" s="337"/>
      <c r="HSI92" s="337"/>
      <c r="HSJ92" s="337"/>
      <c r="HSK92" s="337"/>
      <c r="HSL92" s="337"/>
      <c r="HSM92" s="337"/>
      <c r="HSN92" s="337"/>
      <c r="HSO92" s="337"/>
      <c r="HSP92" s="337"/>
      <c r="HSQ92" s="337"/>
      <c r="HSR92" s="337"/>
      <c r="HSS92" s="337"/>
      <c r="HST92" s="337"/>
      <c r="HSU92" s="337"/>
      <c r="HSV92" s="337"/>
      <c r="HSW92" s="337"/>
      <c r="HSX92" s="337"/>
      <c r="HSY92" s="337"/>
      <c r="HSZ92" s="337"/>
      <c r="HTA92" s="337"/>
      <c r="HTB92" s="337"/>
      <c r="HTC92" s="337"/>
      <c r="HTD92" s="337"/>
      <c r="HTE92" s="337"/>
      <c r="HTF92" s="337"/>
      <c r="HTG92" s="337"/>
      <c r="HTH92" s="337"/>
      <c r="HTI92" s="337"/>
      <c r="HTJ92" s="337"/>
      <c r="HTK92" s="337"/>
      <c r="HTL92" s="337"/>
      <c r="HTM92" s="337"/>
      <c r="HTN92" s="337"/>
      <c r="HTO92" s="337"/>
      <c r="HTP92" s="337"/>
      <c r="HTQ92" s="337"/>
      <c r="HTR92" s="337"/>
      <c r="HTS92" s="337"/>
      <c r="HTT92" s="337"/>
      <c r="HTU92" s="337"/>
      <c r="HTV92" s="337"/>
      <c r="HTW92" s="337"/>
      <c r="HTX92" s="337"/>
      <c r="HTY92" s="337"/>
      <c r="HTZ92" s="337"/>
      <c r="HUA92" s="337"/>
      <c r="HUB92" s="337"/>
      <c r="HUC92" s="337"/>
      <c r="HUD92" s="337"/>
      <c r="HUE92" s="337"/>
      <c r="HUF92" s="337"/>
      <c r="HUG92" s="337"/>
      <c r="HUH92" s="337"/>
      <c r="HUI92" s="337"/>
      <c r="HUJ92" s="337"/>
      <c r="HUK92" s="337"/>
      <c r="HUL92" s="337"/>
      <c r="HUM92" s="337"/>
      <c r="HUN92" s="337"/>
      <c r="HUO92" s="337"/>
      <c r="HUP92" s="337"/>
      <c r="HUQ92" s="337"/>
      <c r="HUR92" s="337"/>
      <c r="HUS92" s="337"/>
      <c r="HUT92" s="337"/>
      <c r="HUU92" s="337"/>
      <c r="HUV92" s="337"/>
      <c r="HUW92" s="337"/>
      <c r="HUX92" s="337"/>
      <c r="HUY92" s="337"/>
      <c r="HUZ92" s="337"/>
      <c r="HVA92" s="337"/>
      <c r="HVB92" s="337"/>
      <c r="HVC92" s="337"/>
      <c r="HVD92" s="337"/>
      <c r="HVE92" s="337"/>
      <c r="HVF92" s="337"/>
      <c r="HVG92" s="337"/>
      <c r="HVH92" s="337"/>
      <c r="HVI92" s="337"/>
      <c r="HVJ92" s="337"/>
      <c r="HVK92" s="337"/>
      <c r="HVL92" s="337"/>
      <c r="HVM92" s="337"/>
      <c r="HVN92" s="337"/>
      <c r="HVO92" s="337"/>
      <c r="HVP92" s="337"/>
      <c r="HVQ92" s="337"/>
      <c r="HVR92" s="337"/>
      <c r="HVS92" s="337"/>
      <c r="HVT92" s="337"/>
      <c r="HVU92" s="337"/>
      <c r="HVV92" s="337"/>
      <c r="HVW92" s="337"/>
      <c r="HVX92" s="337"/>
      <c r="HVY92" s="337"/>
      <c r="HVZ92" s="337"/>
      <c r="HWA92" s="337"/>
      <c r="HWB92" s="337"/>
      <c r="HWC92" s="337"/>
      <c r="HWD92" s="337"/>
      <c r="HWE92" s="337"/>
      <c r="HWF92" s="337"/>
      <c r="HWG92" s="337"/>
      <c r="HWH92" s="337"/>
      <c r="HWI92" s="337"/>
      <c r="HWJ92" s="337"/>
      <c r="HWK92" s="337"/>
      <c r="HWL92" s="337"/>
      <c r="HWM92" s="337"/>
      <c r="HWN92" s="337"/>
      <c r="HWO92" s="337"/>
      <c r="HWP92" s="337"/>
      <c r="HWQ92" s="337"/>
      <c r="HWR92" s="337"/>
      <c r="HWS92" s="337"/>
      <c r="HWT92" s="337"/>
      <c r="HWU92" s="337"/>
      <c r="HWV92" s="337"/>
      <c r="HWW92" s="337"/>
      <c r="HWX92" s="337"/>
      <c r="HWY92" s="337"/>
      <c r="HWZ92" s="337"/>
      <c r="HXA92" s="337"/>
      <c r="HXB92" s="337"/>
      <c r="HXC92" s="337"/>
      <c r="HXD92" s="337"/>
      <c r="HXE92" s="337"/>
      <c r="HXF92" s="337"/>
      <c r="HXG92" s="337"/>
      <c r="HXH92" s="337"/>
      <c r="HXI92" s="337"/>
      <c r="HXJ92" s="337"/>
      <c r="HXK92" s="337"/>
      <c r="HXL92" s="337"/>
      <c r="HXM92" s="337"/>
      <c r="HXN92" s="337"/>
      <c r="HXO92" s="337"/>
      <c r="HXP92" s="337"/>
      <c r="HXQ92" s="337"/>
      <c r="HXR92" s="337"/>
      <c r="HXS92" s="337"/>
      <c r="HXT92" s="337"/>
      <c r="HXU92" s="337"/>
      <c r="HXV92" s="337"/>
      <c r="HXW92" s="337"/>
      <c r="HXX92" s="337"/>
      <c r="HXY92" s="337"/>
      <c r="HXZ92" s="337"/>
      <c r="HYA92" s="337"/>
      <c r="HYB92" s="337"/>
      <c r="HYC92" s="337"/>
      <c r="HYD92" s="337"/>
      <c r="HYE92" s="337"/>
      <c r="HYF92" s="337"/>
      <c r="HYG92" s="337"/>
      <c r="HYH92" s="337"/>
      <c r="HYI92" s="337"/>
      <c r="HYJ92" s="337"/>
      <c r="HYK92" s="337"/>
      <c r="HYL92" s="337"/>
      <c r="HYM92" s="337"/>
      <c r="HYN92" s="337"/>
      <c r="HYO92" s="337"/>
      <c r="HYP92" s="337"/>
      <c r="HYQ92" s="337"/>
      <c r="HYR92" s="337"/>
      <c r="HYS92" s="337"/>
      <c r="HYT92" s="337"/>
      <c r="HYU92" s="337"/>
      <c r="HYV92" s="337"/>
      <c r="HYW92" s="337"/>
      <c r="HYX92" s="337"/>
      <c r="HYY92" s="337"/>
      <c r="HYZ92" s="337"/>
      <c r="HZA92" s="337"/>
      <c r="HZB92" s="337"/>
      <c r="HZC92" s="337"/>
      <c r="HZD92" s="337"/>
      <c r="HZE92" s="337"/>
      <c r="HZF92" s="337"/>
      <c r="HZG92" s="337"/>
      <c r="HZH92" s="337"/>
      <c r="HZI92" s="337"/>
      <c r="HZJ92" s="337"/>
      <c r="HZK92" s="337"/>
      <c r="HZL92" s="337"/>
      <c r="HZM92" s="337"/>
      <c r="HZN92" s="337"/>
      <c r="HZO92" s="337"/>
      <c r="HZP92" s="337"/>
      <c r="HZQ92" s="337"/>
      <c r="HZR92" s="337"/>
      <c r="HZS92" s="337"/>
      <c r="HZT92" s="337"/>
      <c r="HZU92" s="337"/>
      <c r="HZV92" s="337"/>
      <c r="HZW92" s="337"/>
      <c r="HZX92" s="337"/>
      <c r="HZY92" s="337"/>
      <c r="HZZ92" s="337"/>
      <c r="IAA92" s="337"/>
      <c r="IAB92" s="337"/>
      <c r="IAC92" s="337"/>
      <c r="IAD92" s="337"/>
      <c r="IAE92" s="337"/>
      <c r="IAF92" s="337"/>
      <c r="IAG92" s="337"/>
      <c r="IAH92" s="337"/>
      <c r="IAI92" s="337"/>
      <c r="IAJ92" s="337"/>
      <c r="IAK92" s="337"/>
      <c r="IAL92" s="337"/>
      <c r="IAM92" s="337"/>
      <c r="IAN92" s="337"/>
      <c r="IAO92" s="337"/>
      <c r="IAP92" s="337"/>
      <c r="IAQ92" s="337"/>
      <c r="IAR92" s="337"/>
      <c r="IAS92" s="337"/>
      <c r="IAT92" s="337"/>
      <c r="IAU92" s="337"/>
      <c r="IAV92" s="337"/>
      <c r="IAW92" s="337"/>
      <c r="IAX92" s="337"/>
      <c r="IAY92" s="337"/>
      <c r="IAZ92" s="337"/>
      <c r="IBA92" s="337"/>
      <c r="IBB92" s="337"/>
      <c r="IBC92" s="337"/>
      <c r="IBD92" s="337"/>
      <c r="IBE92" s="337"/>
      <c r="IBF92" s="337"/>
      <c r="IBG92" s="337"/>
      <c r="IBH92" s="337"/>
      <c r="IBI92" s="337"/>
      <c r="IBJ92" s="337"/>
      <c r="IBK92" s="337"/>
      <c r="IBL92" s="337"/>
      <c r="IBM92" s="337"/>
      <c r="IBN92" s="337"/>
      <c r="IBO92" s="337"/>
      <c r="IBP92" s="337"/>
      <c r="IBQ92" s="337"/>
      <c r="IBR92" s="337"/>
      <c r="IBS92" s="337"/>
      <c r="IBT92" s="337"/>
      <c r="IBU92" s="337"/>
      <c r="IBV92" s="337"/>
      <c r="IBW92" s="337"/>
      <c r="IBX92" s="337"/>
      <c r="IBY92" s="337"/>
      <c r="IBZ92" s="337"/>
      <c r="ICA92" s="337"/>
      <c r="ICB92" s="337"/>
      <c r="ICC92" s="337"/>
      <c r="ICD92" s="337"/>
      <c r="ICE92" s="337"/>
      <c r="ICF92" s="337"/>
      <c r="ICG92" s="337"/>
      <c r="ICH92" s="337"/>
      <c r="ICI92" s="337"/>
      <c r="ICJ92" s="337"/>
      <c r="ICK92" s="337"/>
      <c r="ICL92" s="337"/>
      <c r="ICM92" s="337"/>
      <c r="ICN92" s="337"/>
      <c r="ICO92" s="337"/>
      <c r="ICP92" s="337"/>
      <c r="ICQ92" s="337"/>
      <c r="ICR92" s="337"/>
      <c r="ICS92" s="337"/>
      <c r="ICT92" s="337"/>
      <c r="ICU92" s="337"/>
      <c r="ICV92" s="337"/>
      <c r="ICW92" s="337"/>
      <c r="ICX92" s="337"/>
      <c r="ICY92" s="337"/>
      <c r="ICZ92" s="337"/>
      <c r="IDA92" s="337"/>
      <c r="IDB92" s="337"/>
      <c r="IDC92" s="337"/>
      <c r="IDD92" s="337"/>
      <c r="IDE92" s="337"/>
      <c r="IDF92" s="337"/>
      <c r="IDG92" s="337"/>
      <c r="IDH92" s="337"/>
      <c r="IDI92" s="337"/>
      <c r="IDJ92" s="337"/>
      <c r="IDK92" s="337"/>
      <c r="IDL92" s="337"/>
      <c r="IDM92" s="337"/>
      <c r="IDN92" s="337"/>
      <c r="IDO92" s="337"/>
      <c r="IDP92" s="337"/>
      <c r="IDQ92" s="337"/>
      <c r="IDR92" s="337"/>
      <c r="IDS92" s="337"/>
      <c r="IDT92" s="337"/>
      <c r="IDU92" s="337"/>
      <c r="IDV92" s="337"/>
      <c r="IDW92" s="337"/>
      <c r="IDX92" s="337"/>
      <c r="IDY92" s="337"/>
      <c r="IDZ92" s="337"/>
      <c r="IEA92" s="337"/>
      <c r="IEB92" s="337"/>
      <c r="IEC92" s="337"/>
      <c r="IED92" s="337"/>
      <c r="IEE92" s="337"/>
      <c r="IEF92" s="337"/>
      <c r="IEG92" s="337"/>
      <c r="IEH92" s="337"/>
      <c r="IEI92" s="337"/>
      <c r="IEJ92" s="337"/>
      <c r="IEK92" s="337"/>
      <c r="IEL92" s="337"/>
      <c r="IEM92" s="337"/>
      <c r="IEN92" s="337"/>
      <c r="IEO92" s="337"/>
      <c r="IEP92" s="337"/>
      <c r="IEQ92" s="337"/>
      <c r="IER92" s="337"/>
      <c r="IES92" s="337"/>
      <c r="IET92" s="337"/>
      <c r="IEU92" s="337"/>
      <c r="IEV92" s="337"/>
      <c r="IEW92" s="337"/>
      <c r="IEX92" s="337"/>
      <c r="IEY92" s="337"/>
      <c r="IEZ92" s="337"/>
      <c r="IFA92" s="337"/>
      <c r="IFB92" s="337"/>
      <c r="IFC92" s="337"/>
      <c r="IFD92" s="337"/>
      <c r="IFE92" s="337"/>
      <c r="IFF92" s="337"/>
      <c r="IFG92" s="337"/>
      <c r="IFH92" s="337"/>
      <c r="IFI92" s="337"/>
      <c r="IFJ92" s="337"/>
      <c r="IFK92" s="337"/>
      <c r="IFL92" s="337"/>
      <c r="IFM92" s="337"/>
      <c r="IFN92" s="337"/>
      <c r="IFO92" s="337"/>
      <c r="IFP92" s="337"/>
      <c r="IFQ92" s="337"/>
      <c r="IFR92" s="337"/>
      <c r="IFS92" s="337"/>
      <c r="IFT92" s="337"/>
      <c r="IFU92" s="337"/>
      <c r="IFV92" s="337"/>
      <c r="IFW92" s="337"/>
      <c r="IFX92" s="337"/>
      <c r="IFY92" s="337"/>
      <c r="IFZ92" s="337"/>
      <c r="IGA92" s="337"/>
      <c r="IGB92" s="337"/>
      <c r="IGC92" s="337"/>
      <c r="IGD92" s="337"/>
      <c r="IGE92" s="337"/>
      <c r="IGF92" s="337"/>
      <c r="IGG92" s="337"/>
      <c r="IGH92" s="337"/>
      <c r="IGI92" s="337"/>
      <c r="IGJ92" s="337"/>
      <c r="IGK92" s="337"/>
      <c r="IGL92" s="337"/>
      <c r="IGM92" s="337"/>
      <c r="IGN92" s="337"/>
      <c r="IGO92" s="337"/>
      <c r="IGP92" s="337"/>
      <c r="IGQ92" s="337"/>
      <c r="IGR92" s="337"/>
      <c r="IGS92" s="337"/>
      <c r="IGT92" s="337"/>
      <c r="IGU92" s="337"/>
      <c r="IGV92" s="337"/>
      <c r="IGW92" s="337"/>
      <c r="IGX92" s="337"/>
      <c r="IGY92" s="337"/>
      <c r="IGZ92" s="337"/>
      <c r="IHA92" s="337"/>
      <c r="IHB92" s="337"/>
      <c r="IHC92" s="337"/>
      <c r="IHD92" s="337"/>
      <c r="IHE92" s="337"/>
      <c r="IHF92" s="337"/>
      <c r="IHG92" s="337"/>
      <c r="IHH92" s="337"/>
      <c r="IHI92" s="337"/>
      <c r="IHJ92" s="337"/>
      <c r="IHK92" s="337"/>
      <c r="IHL92" s="337"/>
      <c r="IHM92" s="337"/>
      <c r="IHN92" s="337"/>
      <c r="IHO92" s="337"/>
      <c r="IHP92" s="337"/>
      <c r="IHQ92" s="337"/>
      <c r="IHR92" s="337"/>
      <c r="IHS92" s="337"/>
      <c r="IHT92" s="337"/>
      <c r="IHU92" s="337"/>
      <c r="IHV92" s="337"/>
      <c r="IHW92" s="337"/>
      <c r="IHX92" s="337"/>
      <c r="IHY92" s="337"/>
      <c r="IHZ92" s="337"/>
      <c r="IIA92" s="337"/>
      <c r="IIB92" s="337"/>
      <c r="IIC92" s="337"/>
      <c r="IID92" s="337"/>
      <c r="IIE92" s="337"/>
      <c r="IIF92" s="337"/>
      <c r="IIG92" s="337"/>
      <c r="IIH92" s="337"/>
      <c r="III92" s="337"/>
      <c r="IIJ92" s="337"/>
      <c r="IIK92" s="337"/>
      <c r="IIL92" s="337"/>
      <c r="IIM92" s="337"/>
      <c r="IIN92" s="337"/>
      <c r="IIO92" s="337"/>
      <c r="IIP92" s="337"/>
      <c r="IIQ92" s="337"/>
      <c r="IIR92" s="337"/>
      <c r="IIS92" s="337"/>
      <c r="IIT92" s="337"/>
      <c r="IIU92" s="337"/>
      <c r="IIV92" s="337"/>
      <c r="IIW92" s="337"/>
      <c r="IIX92" s="337"/>
      <c r="IIY92" s="337"/>
      <c r="IIZ92" s="337"/>
      <c r="IJA92" s="337"/>
      <c r="IJB92" s="337"/>
      <c r="IJC92" s="337"/>
      <c r="IJD92" s="337"/>
      <c r="IJE92" s="337"/>
      <c r="IJF92" s="337"/>
      <c r="IJG92" s="337"/>
      <c r="IJH92" s="337"/>
      <c r="IJI92" s="337"/>
      <c r="IJJ92" s="337"/>
      <c r="IJK92" s="337"/>
      <c r="IJL92" s="337"/>
      <c r="IJM92" s="337"/>
      <c r="IJN92" s="337"/>
      <c r="IJO92" s="337"/>
      <c r="IJP92" s="337"/>
      <c r="IJQ92" s="337"/>
      <c r="IJR92" s="337"/>
      <c r="IJS92" s="337"/>
      <c r="IJT92" s="337"/>
      <c r="IJU92" s="337"/>
      <c r="IJV92" s="337"/>
      <c r="IJW92" s="337"/>
      <c r="IJX92" s="337"/>
      <c r="IJY92" s="337"/>
      <c r="IJZ92" s="337"/>
      <c r="IKA92" s="337"/>
      <c r="IKB92" s="337"/>
      <c r="IKC92" s="337"/>
      <c r="IKD92" s="337"/>
      <c r="IKE92" s="337"/>
      <c r="IKF92" s="337"/>
      <c r="IKG92" s="337"/>
      <c r="IKH92" s="337"/>
      <c r="IKI92" s="337"/>
      <c r="IKJ92" s="337"/>
      <c r="IKK92" s="337"/>
      <c r="IKL92" s="337"/>
      <c r="IKM92" s="337"/>
      <c r="IKN92" s="337"/>
      <c r="IKO92" s="337"/>
      <c r="IKP92" s="337"/>
      <c r="IKQ92" s="337"/>
      <c r="IKR92" s="337"/>
      <c r="IKS92" s="337"/>
      <c r="IKT92" s="337"/>
      <c r="IKU92" s="337"/>
      <c r="IKV92" s="337"/>
      <c r="IKW92" s="337"/>
      <c r="IKX92" s="337"/>
      <c r="IKY92" s="337"/>
      <c r="IKZ92" s="337"/>
      <c r="ILA92" s="337"/>
      <c r="ILB92" s="337"/>
      <c r="ILC92" s="337"/>
      <c r="ILD92" s="337"/>
      <c r="ILE92" s="337"/>
      <c r="ILF92" s="337"/>
      <c r="ILG92" s="337"/>
      <c r="ILH92" s="337"/>
      <c r="ILI92" s="337"/>
      <c r="ILJ92" s="337"/>
      <c r="ILK92" s="337"/>
      <c r="ILL92" s="337"/>
      <c r="ILM92" s="337"/>
      <c r="ILN92" s="337"/>
      <c r="ILO92" s="337"/>
      <c r="ILP92" s="337"/>
      <c r="ILQ92" s="337"/>
      <c r="ILR92" s="337"/>
      <c r="ILS92" s="337"/>
      <c r="ILT92" s="337"/>
      <c r="ILU92" s="337"/>
      <c r="ILV92" s="337"/>
      <c r="ILW92" s="337"/>
      <c r="ILX92" s="337"/>
      <c r="ILY92" s="337"/>
      <c r="ILZ92" s="337"/>
      <c r="IMA92" s="337"/>
      <c r="IMB92" s="337"/>
      <c r="IMC92" s="337"/>
      <c r="IMD92" s="337"/>
      <c r="IME92" s="337"/>
      <c r="IMF92" s="337"/>
      <c r="IMG92" s="337"/>
      <c r="IMH92" s="337"/>
      <c r="IMI92" s="337"/>
      <c r="IMJ92" s="337"/>
      <c r="IMK92" s="337"/>
      <c r="IML92" s="337"/>
      <c r="IMM92" s="337"/>
      <c r="IMN92" s="337"/>
      <c r="IMO92" s="337"/>
      <c r="IMP92" s="337"/>
      <c r="IMQ92" s="337"/>
      <c r="IMR92" s="337"/>
      <c r="IMS92" s="337"/>
      <c r="IMT92" s="337"/>
      <c r="IMU92" s="337"/>
      <c r="IMV92" s="337"/>
      <c r="IMW92" s="337"/>
      <c r="IMX92" s="337"/>
      <c r="IMY92" s="337"/>
      <c r="IMZ92" s="337"/>
      <c r="INA92" s="337"/>
      <c r="INB92" s="337"/>
      <c r="INC92" s="337"/>
      <c r="IND92" s="337"/>
      <c r="INE92" s="337"/>
      <c r="INF92" s="337"/>
      <c r="ING92" s="337"/>
      <c r="INH92" s="337"/>
      <c r="INI92" s="337"/>
      <c r="INJ92" s="337"/>
      <c r="INK92" s="337"/>
      <c r="INL92" s="337"/>
      <c r="INM92" s="337"/>
      <c r="INN92" s="337"/>
      <c r="INO92" s="337"/>
      <c r="INP92" s="337"/>
      <c r="INQ92" s="337"/>
      <c r="INR92" s="337"/>
      <c r="INS92" s="337"/>
      <c r="INT92" s="337"/>
      <c r="INU92" s="337"/>
      <c r="INV92" s="337"/>
      <c r="INW92" s="337"/>
      <c r="INX92" s="337"/>
      <c r="INY92" s="337"/>
      <c r="INZ92" s="337"/>
      <c r="IOA92" s="337"/>
      <c r="IOB92" s="337"/>
      <c r="IOC92" s="337"/>
      <c r="IOD92" s="337"/>
      <c r="IOE92" s="337"/>
      <c r="IOF92" s="337"/>
      <c r="IOG92" s="337"/>
      <c r="IOH92" s="337"/>
      <c r="IOI92" s="337"/>
      <c r="IOJ92" s="337"/>
      <c r="IOK92" s="337"/>
      <c r="IOL92" s="337"/>
      <c r="IOM92" s="337"/>
      <c r="ION92" s="337"/>
      <c r="IOO92" s="337"/>
      <c r="IOP92" s="337"/>
      <c r="IOQ92" s="337"/>
      <c r="IOR92" s="337"/>
      <c r="IOS92" s="337"/>
      <c r="IOT92" s="337"/>
      <c r="IOU92" s="337"/>
      <c r="IOV92" s="337"/>
      <c r="IOW92" s="337"/>
      <c r="IOX92" s="337"/>
      <c r="IOY92" s="337"/>
      <c r="IOZ92" s="337"/>
      <c r="IPA92" s="337"/>
      <c r="IPB92" s="337"/>
      <c r="IPC92" s="337"/>
      <c r="IPD92" s="337"/>
      <c r="IPE92" s="337"/>
      <c r="IPF92" s="337"/>
      <c r="IPG92" s="337"/>
      <c r="IPH92" s="337"/>
      <c r="IPI92" s="337"/>
      <c r="IPJ92" s="337"/>
      <c r="IPK92" s="337"/>
      <c r="IPL92" s="337"/>
      <c r="IPM92" s="337"/>
      <c r="IPN92" s="337"/>
      <c r="IPO92" s="337"/>
      <c r="IPP92" s="337"/>
      <c r="IPQ92" s="337"/>
      <c r="IPR92" s="337"/>
      <c r="IPS92" s="337"/>
      <c r="IPT92" s="337"/>
      <c r="IPU92" s="337"/>
      <c r="IPV92" s="337"/>
      <c r="IPW92" s="337"/>
      <c r="IPX92" s="337"/>
      <c r="IPY92" s="337"/>
      <c r="IPZ92" s="337"/>
      <c r="IQA92" s="337"/>
      <c r="IQB92" s="337"/>
      <c r="IQC92" s="337"/>
      <c r="IQD92" s="337"/>
      <c r="IQE92" s="337"/>
      <c r="IQF92" s="337"/>
      <c r="IQG92" s="337"/>
      <c r="IQH92" s="337"/>
      <c r="IQI92" s="337"/>
      <c r="IQJ92" s="337"/>
      <c r="IQK92" s="337"/>
      <c r="IQL92" s="337"/>
      <c r="IQM92" s="337"/>
      <c r="IQN92" s="337"/>
      <c r="IQO92" s="337"/>
      <c r="IQP92" s="337"/>
      <c r="IQQ92" s="337"/>
      <c r="IQR92" s="337"/>
      <c r="IQS92" s="337"/>
      <c r="IQT92" s="337"/>
      <c r="IQU92" s="337"/>
      <c r="IQV92" s="337"/>
      <c r="IQW92" s="337"/>
      <c r="IQX92" s="337"/>
      <c r="IQY92" s="337"/>
      <c r="IQZ92" s="337"/>
      <c r="IRA92" s="337"/>
      <c r="IRB92" s="337"/>
      <c r="IRC92" s="337"/>
      <c r="IRD92" s="337"/>
      <c r="IRE92" s="337"/>
      <c r="IRF92" s="337"/>
      <c r="IRG92" s="337"/>
      <c r="IRH92" s="337"/>
      <c r="IRI92" s="337"/>
      <c r="IRJ92" s="337"/>
      <c r="IRK92" s="337"/>
      <c r="IRL92" s="337"/>
      <c r="IRM92" s="337"/>
      <c r="IRN92" s="337"/>
      <c r="IRO92" s="337"/>
      <c r="IRP92" s="337"/>
      <c r="IRQ92" s="337"/>
      <c r="IRR92" s="337"/>
      <c r="IRS92" s="337"/>
      <c r="IRT92" s="337"/>
      <c r="IRU92" s="337"/>
      <c r="IRV92" s="337"/>
      <c r="IRW92" s="337"/>
      <c r="IRX92" s="337"/>
      <c r="IRY92" s="337"/>
      <c r="IRZ92" s="337"/>
      <c r="ISA92" s="337"/>
      <c r="ISB92" s="337"/>
      <c r="ISC92" s="337"/>
      <c r="ISD92" s="337"/>
      <c r="ISE92" s="337"/>
      <c r="ISF92" s="337"/>
      <c r="ISG92" s="337"/>
      <c r="ISH92" s="337"/>
      <c r="ISI92" s="337"/>
      <c r="ISJ92" s="337"/>
      <c r="ISK92" s="337"/>
      <c r="ISL92" s="337"/>
      <c r="ISM92" s="337"/>
      <c r="ISN92" s="337"/>
      <c r="ISO92" s="337"/>
      <c r="ISP92" s="337"/>
      <c r="ISQ92" s="337"/>
      <c r="ISR92" s="337"/>
      <c r="ISS92" s="337"/>
      <c r="IST92" s="337"/>
      <c r="ISU92" s="337"/>
      <c r="ISV92" s="337"/>
      <c r="ISW92" s="337"/>
      <c r="ISX92" s="337"/>
      <c r="ISY92" s="337"/>
      <c r="ISZ92" s="337"/>
      <c r="ITA92" s="337"/>
      <c r="ITB92" s="337"/>
      <c r="ITC92" s="337"/>
      <c r="ITD92" s="337"/>
      <c r="ITE92" s="337"/>
      <c r="ITF92" s="337"/>
      <c r="ITG92" s="337"/>
      <c r="ITH92" s="337"/>
      <c r="ITI92" s="337"/>
      <c r="ITJ92" s="337"/>
      <c r="ITK92" s="337"/>
      <c r="ITL92" s="337"/>
      <c r="ITM92" s="337"/>
      <c r="ITN92" s="337"/>
      <c r="ITO92" s="337"/>
      <c r="ITP92" s="337"/>
      <c r="ITQ92" s="337"/>
      <c r="ITR92" s="337"/>
      <c r="ITS92" s="337"/>
      <c r="ITT92" s="337"/>
      <c r="ITU92" s="337"/>
      <c r="ITV92" s="337"/>
      <c r="ITW92" s="337"/>
      <c r="ITX92" s="337"/>
      <c r="ITY92" s="337"/>
      <c r="ITZ92" s="337"/>
      <c r="IUA92" s="337"/>
      <c r="IUB92" s="337"/>
      <c r="IUC92" s="337"/>
      <c r="IUD92" s="337"/>
      <c r="IUE92" s="337"/>
      <c r="IUF92" s="337"/>
      <c r="IUG92" s="337"/>
      <c r="IUH92" s="337"/>
      <c r="IUI92" s="337"/>
      <c r="IUJ92" s="337"/>
      <c r="IUK92" s="337"/>
      <c r="IUL92" s="337"/>
      <c r="IUM92" s="337"/>
      <c r="IUN92" s="337"/>
      <c r="IUO92" s="337"/>
      <c r="IUP92" s="337"/>
      <c r="IUQ92" s="337"/>
      <c r="IUR92" s="337"/>
      <c r="IUS92" s="337"/>
      <c r="IUT92" s="337"/>
      <c r="IUU92" s="337"/>
      <c r="IUV92" s="337"/>
      <c r="IUW92" s="337"/>
      <c r="IUX92" s="337"/>
      <c r="IUY92" s="337"/>
      <c r="IUZ92" s="337"/>
      <c r="IVA92" s="337"/>
      <c r="IVB92" s="337"/>
      <c r="IVC92" s="337"/>
      <c r="IVD92" s="337"/>
      <c r="IVE92" s="337"/>
      <c r="IVF92" s="337"/>
      <c r="IVG92" s="337"/>
      <c r="IVH92" s="337"/>
      <c r="IVI92" s="337"/>
      <c r="IVJ92" s="337"/>
      <c r="IVK92" s="337"/>
      <c r="IVL92" s="337"/>
      <c r="IVM92" s="337"/>
      <c r="IVN92" s="337"/>
      <c r="IVO92" s="337"/>
      <c r="IVP92" s="337"/>
      <c r="IVQ92" s="337"/>
      <c r="IVR92" s="337"/>
      <c r="IVS92" s="337"/>
      <c r="IVT92" s="337"/>
      <c r="IVU92" s="337"/>
      <c r="IVV92" s="337"/>
      <c r="IVW92" s="337"/>
      <c r="IVX92" s="337"/>
      <c r="IVY92" s="337"/>
      <c r="IVZ92" s="337"/>
      <c r="IWA92" s="337"/>
      <c r="IWB92" s="337"/>
      <c r="IWC92" s="337"/>
      <c r="IWD92" s="337"/>
      <c r="IWE92" s="337"/>
      <c r="IWF92" s="337"/>
      <c r="IWG92" s="337"/>
      <c r="IWH92" s="337"/>
      <c r="IWI92" s="337"/>
      <c r="IWJ92" s="337"/>
      <c r="IWK92" s="337"/>
      <c r="IWL92" s="337"/>
      <c r="IWM92" s="337"/>
      <c r="IWN92" s="337"/>
      <c r="IWO92" s="337"/>
      <c r="IWP92" s="337"/>
      <c r="IWQ92" s="337"/>
      <c r="IWR92" s="337"/>
      <c r="IWS92" s="337"/>
      <c r="IWT92" s="337"/>
      <c r="IWU92" s="337"/>
      <c r="IWV92" s="337"/>
      <c r="IWW92" s="337"/>
      <c r="IWX92" s="337"/>
      <c r="IWY92" s="337"/>
      <c r="IWZ92" s="337"/>
      <c r="IXA92" s="337"/>
      <c r="IXB92" s="337"/>
      <c r="IXC92" s="337"/>
      <c r="IXD92" s="337"/>
      <c r="IXE92" s="337"/>
      <c r="IXF92" s="337"/>
      <c r="IXG92" s="337"/>
      <c r="IXH92" s="337"/>
      <c r="IXI92" s="337"/>
      <c r="IXJ92" s="337"/>
      <c r="IXK92" s="337"/>
      <c r="IXL92" s="337"/>
      <c r="IXM92" s="337"/>
      <c r="IXN92" s="337"/>
      <c r="IXO92" s="337"/>
      <c r="IXP92" s="337"/>
      <c r="IXQ92" s="337"/>
      <c r="IXR92" s="337"/>
      <c r="IXS92" s="337"/>
      <c r="IXT92" s="337"/>
      <c r="IXU92" s="337"/>
      <c r="IXV92" s="337"/>
      <c r="IXW92" s="337"/>
      <c r="IXX92" s="337"/>
      <c r="IXY92" s="337"/>
      <c r="IXZ92" s="337"/>
      <c r="IYA92" s="337"/>
      <c r="IYB92" s="337"/>
      <c r="IYC92" s="337"/>
      <c r="IYD92" s="337"/>
      <c r="IYE92" s="337"/>
      <c r="IYF92" s="337"/>
      <c r="IYG92" s="337"/>
      <c r="IYH92" s="337"/>
      <c r="IYI92" s="337"/>
      <c r="IYJ92" s="337"/>
      <c r="IYK92" s="337"/>
      <c r="IYL92" s="337"/>
      <c r="IYM92" s="337"/>
      <c r="IYN92" s="337"/>
      <c r="IYO92" s="337"/>
      <c r="IYP92" s="337"/>
      <c r="IYQ92" s="337"/>
      <c r="IYR92" s="337"/>
      <c r="IYS92" s="337"/>
      <c r="IYT92" s="337"/>
      <c r="IYU92" s="337"/>
      <c r="IYV92" s="337"/>
      <c r="IYW92" s="337"/>
      <c r="IYX92" s="337"/>
      <c r="IYY92" s="337"/>
      <c r="IYZ92" s="337"/>
      <c r="IZA92" s="337"/>
      <c r="IZB92" s="337"/>
      <c r="IZC92" s="337"/>
      <c r="IZD92" s="337"/>
      <c r="IZE92" s="337"/>
      <c r="IZF92" s="337"/>
      <c r="IZG92" s="337"/>
      <c r="IZH92" s="337"/>
      <c r="IZI92" s="337"/>
      <c r="IZJ92" s="337"/>
      <c r="IZK92" s="337"/>
      <c r="IZL92" s="337"/>
      <c r="IZM92" s="337"/>
      <c r="IZN92" s="337"/>
      <c r="IZO92" s="337"/>
      <c r="IZP92" s="337"/>
      <c r="IZQ92" s="337"/>
      <c r="IZR92" s="337"/>
      <c r="IZS92" s="337"/>
      <c r="IZT92" s="337"/>
      <c r="IZU92" s="337"/>
      <c r="IZV92" s="337"/>
      <c r="IZW92" s="337"/>
      <c r="IZX92" s="337"/>
      <c r="IZY92" s="337"/>
      <c r="IZZ92" s="337"/>
      <c r="JAA92" s="337"/>
      <c r="JAB92" s="337"/>
      <c r="JAC92" s="337"/>
      <c r="JAD92" s="337"/>
      <c r="JAE92" s="337"/>
      <c r="JAF92" s="337"/>
      <c r="JAG92" s="337"/>
      <c r="JAH92" s="337"/>
      <c r="JAI92" s="337"/>
      <c r="JAJ92" s="337"/>
      <c r="JAK92" s="337"/>
      <c r="JAL92" s="337"/>
      <c r="JAM92" s="337"/>
      <c r="JAN92" s="337"/>
      <c r="JAO92" s="337"/>
      <c r="JAP92" s="337"/>
      <c r="JAQ92" s="337"/>
      <c r="JAR92" s="337"/>
      <c r="JAS92" s="337"/>
      <c r="JAT92" s="337"/>
      <c r="JAU92" s="337"/>
      <c r="JAV92" s="337"/>
      <c r="JAW92" s="337"/>
      <c r="JAX92" s="337"/>
      <c r="JAY92" s="337"/>
      <c r="JAZ92" s="337"/>
      <c r="JBA92" s="337"/>
      <c r="JBB92" s="337"/>
      <c r="JBC92" s="337"/>
      <c r="JBD92" s="337"/>
      <c r="JBE92" s="337"/>
      <c r="JBF92" s="337"/>
      <c r="JBG92" s="337"/>
      <c r="JBH92" s="337"/>
      <c r="JBI92" s="337"/>
      <c r="JBJ92" s="337"/>
      <c r="JBK92" s="337"/>
      <c r="JBL92" s="337"/>
      <c r="JBM92" s="337"/>
      <c r="JBN92" s="337"/>
      <c r="JBO92" s="337"/>
      <c r="JBP92" s="337"/>
      <c r="JBQ92" s="337"/>
      <c r="JBR92" s="337"/>
      <c r="JBS92" s="337"/>
      <c r="JBT92" s="337"/>
      <c r="JBU92" s="337"/>
      <c r="JBV92" s="337"/>
      <c r="JBW92" s="337"/>
      <c r="JBX92" s="337"/>
      <c r="JBY92" s="337"/>
      <c r="JBZ92" s="337"/>
      <c r="JCA92" s="337"/>
      <c r="JCB92" s="337"/>
      <c r="JCC92" s="337"/>
      <c r="JCD92" s="337"/>
      <c r="JCE92" s="337"/>
      <c r="JCF92" s="337"/>
      <c r="JCG92" s="337"/>
      <c r="JCH92" s="337"/>
      <c r="JCI92" s="337"/>
      <c r="JCJ92" s="337"/>
      <c r="JCK92" s="337"/>
      <c r="JCL92" s="337"/>
      <c r="JCM92" s="337"/>
      <c r="JCN92" s="337"/>
      <c r="JCO92" s="337"/>
      <c r="JCP92" s="337"/>
      <c r="JCQ92" s="337"/>
      <c r="JCR92" s="337"/>
      <c r="JCS92" s="337"/>
      <c r="JCT92" s="337"/>
      <c r="JCU92" s="337"/>
      <c r="JCV92" s="337"/>
      <c r="JCW92" s="337"/>
      <c r="JCX92" s="337"/>
      <c r="JCY92" s="337"/>
      <c r="JCZ92" s="337"/>
      <c r="JDA92" s="337"/>
      <c r="JDB92" s="337"/>
      <c r="JDC92" s="337"/>
      <c r="JDD92" s="337"/>
      <c r="JDE92" s="337"/>
      <c r="JDF92" s="337"/>
      <c r="JDG92" s="337"/>
      <c r="JDH92" s="337"/>
      <c r="JDI92" s="337"/>
      <c r="JDJ92" s="337"/>
      <c r="JDK92" s="337"/>
      <c r="JDL92" s="337"/>
      <c r="JDM92" s="337"/>
      <c r="JDN92" s="337"/>
      <c r="JDO92" s="337"/>
      <c r="JDP92" s="337"/>
      <c r="JDQ92" s="337"/>
      <c r="JDR92" s="337"/>
      <c r="JDS92" s="337"/>
      <c r="JDT92" s="337"/>
      <c r="JDU92" s="337"/>
      <c r="JDV92" s="337"/>
      <c r="JDW92" s="337"/>
      <c r="JDX92" s="337"/>
      <c r="JDY92" s="337"/>
      <c r="JDZ92" s="337"/>
      <c r="JEA92" s="337"/>
      <c r="JEB92" s="337"/>
      <c r="JEC92" s="337"/>
      <c r="JED92" s="337"/>
      <c r="JEE92" s="337"/>
      <c r="JEF92" s="337"/>
      <c r="JEG92" s="337"/>
      <c r="JEH92" s="337"/>
      <c r="JEI92" s="337"/>
      <c r="JEJ92" s="337"/>
      <c r="JEK92" s="337"/>
      <c r="JEL92" s="337"/>
      <c r="JEM92" s="337"/>
      <c r="JEN92" s="337"/>
      <c r="JEO92" s="337"/>
      <c r="JEP92" s="337"/>
      <c r="JEQ92" s="337"/>
      <c r="JER92" s="337"/>
      <c r="JES92" s="337"/>
      <c r="JET92" s="337"/>
      <c r="JEU92" s="337"/>
      <c r="JEV92" s="337"/>
      <c r="JEW92" s="337"/>
      <c r="JEX92" s="337"/>
      <c r="JEY92" s="337"/>
      <c r="JEZ92" s="337"/>
      <c r="JFA92" s="337"/>
      <c r="JFB92" s="337"/>
      <c r="JFC92" s="337"/>
      <c r="JFD92" s="337"/>
      <c r="JFE92" s="337"/>
      <c r="JFF92" s="337"/>
      <c r="JFG92" s="337"/>
      <c r="JFH92" s="337"/>
      <c r="JFI92" s="337"/>
      <c r="JFJ92" s="337"/>
      <c r="JFK92" s="337"/>
      <c r="JFL92" s="337"/>
      <c r="JFM92" s="337"/>
      <c r="JFN92" s="337"/>
      <c r="JFO92" s="337"/>
      <c r="JFP92" s="337"/>
      <c r="JFQ92" s="337"/>
      <c r="JFR92" s="337"/>
      <c r="JFS92" s="337"/>
      <c r="JFT92" s="337"/>
      <c r="JFU92" s="337"/>
      <c r="JFV92" s="337"/>
      <c r="JFW92" s="337"/>
      <c r="JFX92" s="337"/>
      <c r="JFY92" s="337"/>
      <c r="JFZ92" s="337"/>
      <c r="JGA92" s="337"/>
      <c r="JGB92" s="337"/>
      <c r="JGC92" s="337"/>
      <c r="JGD92" s="337"/>
      <c r="JGE92" s="337"/>
      <c r="JGF92" s="337"/>
      <c r="JGG92" s="337"/>
      <c r="JGH92" s="337"/>
      <c r="JGI92" s="337"/>
      <c r="JGJ92" s="337"/>
      <c r="JGK92" s="337"/>
      <c r="JGL92" s="337"/>
      <c r="JGM92" s="337"/>
      <c r="JGN92" s="337"/>
      <c r="JGO92" s="337"/>
      <c r="JGP92" s="337"/>
      <c r="JGQ92" s="337"/>
      <c r="JGR92" s="337"/>
      <c r="JGS92" s="337"/>
      <c r="JGT92" s="337"/>
      <c r="JGU92" s="337"/>
      <c r="JGV92" s="337"/>
      <c r="JGW92" s="337"/>
      <c r="JGX92" s="337"/>
      <c r="JGY92" s="337"/>
      <c r="JGZ92" s="337"/>
      <c r="JHA92" s="337"/>
      <c r="JHB92" s="337"/>
      <c r="JHC92" s="337"/>
      <c r="JHD92" s="337"/>
      <c r="JHE92" s="337"/>
      <c r="JHF92" s="337"/>
      <c r="JHG92" s="337"/>
      <c r="JHH92" s="337"/>
      <c r="JHI92" s="337"/>
      <c r="JHJ92" s="337"/>
      <c r="JHK92" s="337"/>
      <c r="JHL92" s="337"/>
      <c r="JHM92" s="337"/>
      <c r="JHN92" s="337"/>
      <c r="JHO92" s="337"/>
      <c r="JHP92" s="337"/>
      <c r="JHQ92" s="337"/>
      <c r="JHR92" s="337"/>
      <c r="JHS92" s="337"/>
      <c r="JHT92" s="337"/>
      <c r="JHU92" s="337"/>
      <c r="JHV92" s="337"/>
      <c r="JHW92" s="337"/>
      <c r="JHX92" s="337"/>
      <c r="JHY92" s="337"/>
      <c r="JHZ92" s="337"/>
      <c r="JIA92" s="337"/>
      <c r="JIB92" s="337"/>
      <c r="JIC92" s="337"/>
      <c r="JID92" s="337"/>
      <c r="JIE92" s="337"/>
      <c r="JIF92" s="337"/>
      <c r="JIG92" s="337"/>
      <c r="JIH92" s="337"/>
      <c r="JII92" s="337"/>
      <c r="JIJ92" s="337"/>
      <c r="JIK92" s="337"/>
      <c r="JIL92" s="337"/>
      <c r="JIM92" s="337"/>
      <c r="JIN92" s="337"/>
      <c r="JIO92" s="337"/>
      <c r="JIP92" s="337"/>
      <c r="JIQ92" s="337"/>
      <c r="JIR92" s="337"/>
      <c r="JIS92" s="337"/>
      <c r="JIT92" s="337"/>
      <c r="JIU92" s="337"/>
      <c r="JIV92" s="337"/>
      <c r="JIW92" s="337"/>
      <c r="JIX92" s="337"/>
      <c r="JIY92" s="337"/>
      <c r="JIZ92" s="337"/>
      <c r="JJA92" s="337"/>
      <c r="JJB92" s="337"/>
      <c r="JJC92" s="337"/>
      <c r="JJD92" s="337"/>
      <c r="JJE92" s="337"/>
      <c r="JJF92" s="337"/>
      <c r="JJG92" s="337"/>
      <c r="JJH92" s="337"/>
      <c r="JJI92" s="337"/>
      <c r="JJJ92" s="337"/>
      <c r="JJK92" s="337"/>
      <c r="JJL92" s="337"/>
      <c r="JJM92" s="337"/>
      <c r="JJN92" s="337"/>
      <c r="JJO92" s="337"/>
      <c r="JJP92" s="337"/>
      <c r="JJQ92" s="337"/>
      <c r="JJR92" s="337"/>
      <c r="JJS92" s="337"/>
      <c r="JJT92" s="337"/>
      <c r="JJU92" s="337"/>
      <c r="JJV92" s="337"/>
      <c r="JJW92" s="337"/>
      <c r="JJX92" s="337"/>
      <c r="JJY92" s="337"/>
      <c r="JJZ92" s="337"/>
      <c r="JKA92" s="337"/>
      <c r="JKB92" s="337"/>
      <c r="JKC92" s="337"/>
      <c r="JKD92" s="337"/>
      <c r="JKE92" s="337"/>
      <c r="JKF92" s="337"/>
      <c r="JKG92" s="337"/>
      <c r="JKH92" s="337"/>
      <c r="JKI92" s="337"/>
      <c r="JKJ92" s="337"/>
      <c r="JKK92" s="337"/>
      <c r="JKL92" s="337"/>
      <c r="JKM92" s="337"/>
      <c r="JKN92" s="337"/>
      <c r="JKO92" s="337"/>
      <c r="JKP92" s="337"/>
      <c r="JKQ92" s="337"/>
      <c r="JKR92" s="337"/>
      <c r="JKS92" s="337"/>
      <c r="JKT92" s="337"/>
      <c r="JKU92" s="337"/>
      <c r="JKV92" s="337"/>
      <c r="JKW92" s="337"/>
      <c r="JKX92" s="337"/>
      <c r="JKY92" s="337"/>
      <c r="JKZ92" s="337"/>
      <c r="JLA92" s="337"/>
      <c r="JLB92" s="337"/>
      <c r="JLC92" s="337"/>
      <c r="JLD92" s="337"/>
      <c r="JLE92" s="337"/>
      <c r="JLF92" s="337"/>
      <c r="JLG92" s="337"/>
      <c r="JLH92" s="337"/>
      <c r="JLI92" s="337"/>
      <c r="JLJ92" s="337"/>
      <c r="JLK92" s="337"/>
      <c r="JLL92" s="337"/>
      <c r="JLM92" s="337"/>
      <c r="JLN92" s="337"/>
      <c r="JLO92" s="337"/>
      <c r="JLP92" s="337"/>
      <c r="JLQ92" s="337"/>
      <c r="JLR92" s="337"/>
      <c r="JLS92" s="337"/>
      <c r="JLT92" s="337"/>
      <c r="JLU92" s="337"/>
      <c r="JLV92" s="337"/>
      <c r="JLW92" s="337"/>
      <c r="JLX92" s="337"/>
      <c r="JLY92" s="337"/>
      <c r="JLZ92" s="337"/>
      <c r="JMA92" s="337"/>
      <c r="JMB92" s="337"/>
      <c r="JMC92" s="337"/>
      <c r="JMD92" s="337"/>
      <c r="JME92" s="337"/>
      <c r="JMF92" s="337"/>
      <c r="JMG92" s="337"/>
      <c r="JMH92" s="337"/>
      <c r="JMI92" s="337"/>
      <c r="JMJ92" s="337"/>
      <c r="JMK92" s="337"/>
      <c r="JML92" s="337"/>
      <c r="JMM92" s="337"/>
      <c r="JMN92" s="337"/>
      <c r="JMO92" s="337"/>
      <c r="JMP92" s="337"/>
      <c r="JMQ92" s="337"/>
      <c r="JMR92" s="337"/>
      <c r="JMS92" s="337"/>
      <c r="JMT92" s="337"/>
      <c r="JMU92" s="337"/>
      <c r="JMV92" s="337"/>
      <c r="JMW92" s="337"/>
      <c r="JMX92" s="337"/>
      <c r="JMY92" s="337"/>
      <c r="JMZ92" s="337"/>
      <c r="JNA92" s="337"/>
      <c r="JNB92" s="337"/>
      <c r="JNC92" s="337"/>
      <c r="JND92" s="337"/>
      <c r="JNE92" s="337"/>
      <c r="JNF92" s="337"/>
      <c r="JNG92" s="337"/>
      <c r="JNH92" s="337"/>
      <c r="JNI92" s="337"/>
      <c r="JNJ92" s="337"/>
      <c r="JNK92" s="337"/>
      <c r="JNL92" s="337"/>
      <c r="JNM92" s="337"/>
      <c r="JNN92" s="337"/>
      <c r="JNO92" s="337"/>
      <c r="JNP92" s="337"/>
      <c r="JNQ92" s="337"/>
      <c r="JNR92" s="337"/>
      <c r="JNS92" s="337"/>
      <c r="JNT92" s="337"/>
      <c r="JNU92" s="337"/>
      <c r="JNV92" s="337"/>
      <c r="JNW92" s="337"/>
      <c r="JNX92" s="337"/>
      <c r="JNY92" s="337"/>
      <c r="JNZ92" s="337"/>
      <c r="JOA92" s="337"/>
      <c r="JOB92" s="337"/>
      <c r="JOC92" s="337"/>
      <c r="JOD92" s="337"/>
      <c r="JOE92" s="337"/>
      <c r="JOF92" s="337"/>
      <c r="JOG92" s="337"/>
      <c r="JOH92" s="337"/>
      <c r="JOI92" s="337"/>
      <c r="JOJ92" s="337"/>
      <c r="JOK92" s="337"/>
      <c r="JOL92" s="337"/>
      <c r="JOM92" s="337"/>
      <c r="JON92" s="337"/>
      <c r="JOO92" s="337"/>
      <c r="JOP92" s="337"/>
      <c r="JOQ92" s="337"/>
      <c r="JOR92" s="337"/>
      <c r="JOS92" s="337"/>
      <c r="JOT92" s="337"/>
      <c r="JOU92" s="337"/>
      <c r="JOV92" s="337"/>
      <c r="JOW92" s="337"/>
      <c r="JOX92" s="337"/>
      <c r="JOY92" s="337"/>
      <c r="JOZ92" s="337"/>
      <c r="JPA92" s="337"/>
      <c r="JPB92" s="337"/>
      <c r="JPC92" s="337"/>
      <c r="JPD92" s="337"/>
      <c r="JPE92" s="337"/>
      <c r="JPF92" s="337"/>
      <c r="JPG92" s="337"/>
      <c r="JPH92" s="337"/>
      <c r="JPI92" s="337"/>
      <c r="JPJ92" s="337"/>
      <c r="JPK92" s="337"/>
      <c r="JPL92" s="337"/>
      <c r="JPM92" s="337"/>
      <c r="JPN92" s="337"/>
      <c r="JPO92" s="337"/>
      <c r="JPP92" s="337"/>
      <c r="JPQ92" s="337"/>
      <c r="JPR92" s="337"/>
      <c r="JPS92" s="337"/>
      <c r="JPT92" s="337"/>
      <c r="JPU92" s="337"/>
      <c r="JPV92" s="337"/>
      <c r="JPW92" s="337"/>
      <c r="JPX92" s="337"/>
      <c r="JPY92" s="337"/>
      <c r="JPZ92" s="337"/>
      <c r="JQA92" s="337"/>
      <c r="JQB92" s="337"/>
      <c r="JQC92" s="337"/>
      <c r="JQD92" s="337"/>
      <c r="JQE92" s="337"/>
      <c r="JQF92" s="337"/>
      <c r="JQG92" s="337"/>
      <c r="JQH92" s="337"/>
      <c r="JQI92" s="337"/>
      <c r="JQJ92" s="337"/>
      <c r="JQK92" s="337"/>
      <c r="JQL92" s="337"/>
      <c r="JQM92" s="337"/>
      <c r="JQN92" s="337"/>
      <c r="JQO92" s="337"/>
      <c r="JQP92" s="337"/>
      <c r="JQQ92" s="337"/>
      <c r="JQR92" s="337"/>
      <c r="JQS92" s="337"/>
      <c r="JQT92" s="337"/>
      <c r="JQU92" s="337"/>
      <c r="JQV92" s="337"/>
      <c r="JQW92" s="337"/>
      <c r="JQX92" s="337"/>
      <c r="JQY92" s="337"/>
      <c r="JQZ92" s="337"/>
      <c r="JRA92" s="337"/>
      <c r="JRB92" s="337"/>
      <c r="JRC92" s="337"/>
      <c r="JRD92" s="337"/>
      <c r="JRE92" s="337"/>
      <c r="JRF92" s="337"/>
      <c r="JRG92" s="337"/>
      <c r="JRH92" s="337"/>
      <c r="JRI92" s="337"/>
      <c r="JRJ92" s="337"/>
      <c r="JRK92" s="337"/>
      <c r="JRL92" s="337"/>
      <c r="JRM92" s="337"/>
      <c r="JRN92" s="337"/>
      <c r="JRO92" s="337"/>
      <c r="JRP92" s="337"/>
      <c r="JRQ92" s="337"/>
      <c r="JRR92" s="337"/>
      <c r="JRS92" s="337"/>
      <c r="JRT92" s="337"/>
      <c r="JRU92" s="337"/>
      <c r="JRV92" s="337"/>
      <c r="JRW92" s="337"/>
      <c r="JRX92" s="337"/>
      <c r="JRY92" s="337"/>
      <c r="JRZ92" s="337"/>
      <c r="JSA92" s="337"/>
      <c r="JSB92" s="337"/>
      <c r="JSC92" s="337"/>
      <c r="JSD92" s="337"/>
      <c r="JSE92" s="337"/>
      <c r="JSF92" s="337"/>
      <c r="JSG92" s="337"/>
      <c r="JSH92" s="337"/>
      <c r="JSI92" s="337"/>
      <c r="JSJ92" s="337"/>
      <c r="JSK92" s="337"/>
      <c r="JSL92" s="337"/>
      <c r="JSM92" s="337"/>
      <c r="JSN92" s="337"/>
      <c r="JSO92" s="337"/>
      <c r="JSP92" s="337"/>
      <c r="JSQ92" s="337"/>
      <c r="JSR92" s="337"/>
      <c r="JSS92" s="337"/>
      <c r="JST92" s="337"/>
      <c r="JSU92" s="337"/>
      <c r="JSV92" s="337"/>
      <c r="JSW92" s="337"/>
      <c r="JSX92" s="337"/>
      <c r="JSY92" s="337"/>
      <c r="JSZ92" s="337"/>
      <c r="JTA92" s="337"/>
      <c r="JTB92" s="337"/>
      <c r="JTC92" s="337"/>
      <c r="JTD92" s="337"/>
      <c r="JTE92" s="337"/>
      <c r="JTF92" s="337"/>
      <c r="JTG92" s="337"/>
      <c r="JTH92" s="337"/>
      <c r="JTI92" s="337"/>
      <c r="JTJ92" s="337"/>
      <c r="JTK92" s="337"/>
      <c r="JTL92" s="337"/>
      <c r="JTM92" s="337"/>
      <c r="JTN92" s="337"/>
      <c r="JTO92" s="337"/>
      <c r="JTP92" s="337"/>
      <c r="JTQ92" s="337"/>
      <c r="JTR92" s="337"/>
      <c r="JTS92" s="337"/>
      <c r="JTT92" s="337"/>
      <c r="JTU92" s="337"/>
      <c r="JTV92" s="337"/>
      <c r="JTW92" s="337"/>
      <c r="JTX92" s="337"/>
      <c r="JTY92" s="337"/>
      <c r="JTZ92" s="337"/>
      <c r="JUA92" s="337"/>
      <c r="JUB92" s="337"/>
      <c r="JUC92" s="337"/>
      <c r="JUD92" s="337"/>
      <c r="JUE92" s="337"/>
      <c r="JUF92" s="337"/>
      <c r="JUG92" s="337"/>
      <c r="JUH92" s="337"/>
      <c r="JUI92" s="337"/>
      <c r="JUJ92" s="337"/>
      <c r="JUK92" s="337"/>
      <c r="JUL92" s="337"/>
      <c r="JUM92" s="337"/>
      <c r="JUN92" s="337"/>
      <c r="JUO92" s="337"/>
      <c r="JUP92" s="337"/>
      <c r="JUQ92" s="337"/>
      <c r="JUR92" s="337"/>
      <c r="JUS92" s="337"/>
      <c r="JUT92" s="337"/>
      <c r="JUU92" s="337"/>
      <c r="JUV92" s="337"/>
      <c r="JUW92" s="337"/>
      <c r="JUX92" s="337"/>
      <c r="JUY92" s="337"/>
      <c r="JUZ92" s="337"/>
      <c r="JVA92" s="337"/>
      <c r="JVB92" s="337"/>
      <c r="JVC92" s="337"/>
      <c r="JVD92" s="337"/>
      <c r="JVE92" s="337"/>
      <c r="JVF92" s="337"/>
      <c r="JVG92" s="337"/>
      <c r="JVH92" s="337"/>
      <c r="JVI92" s="337"/>
      <c r="JVJ92" s="337"/>
      <c r="JVK92" s="337"/>
      <c r="JVL92" s="337"/>
      <c r="JVM92" s="337"/>
      <c r="JVN92" s="337"/>
      <c r="JVO92" s="337"/>
      <c r="JVP92" s="337"/>
      <c r="JVQ92" s="337"/>
      <c r="JVR92" s="337"/>
      <c r="JVS92" s="337"/>
      <c r="JVT92" s="337"/>
      <c r="JVU92" s="337"/>
      <c r="JVV92" s="337"/>
      <c r="JVW92" s="337"/>
      <c r="JVX92" s="337"/>
      <c r="JVY92" s="337"/>
      <c r="JVZ92" s="337"/>
      <c r="JWA92" s="337"/>
      <c r="JWB92" s="337"/>
      <c r="JWC92" s="337"/>
      <c r="JWD92" s="337"/>
      <c r="JWE92" s="337"/>
      <c r="JWF92" s="337"/>
      <c r="JWG92" s="337"/>
      <c r="JWH92" s="337"/>
      <c r="JWI92" s="337"/>
      <c r="JWJ92" s="337"/>
      <c r="JWK92" s="337"/>
      <c r="JWL92" s="337"/>
      <c r="JWM92" s="337"/>
      <c r="JWN92" s="337"/>
      <c r="JWO92" s="337"/>
      <c r="JWP92" s="337"/>
      <c r="JWQ92" s="337"/>
      <c r="JWR92" s="337"/>
      <c r="JWS92" s="337"/>
      <c r="JWT92" s="337"/>
      <c r="JWU92" s="337"/>
      <c r="JWV92" s="337"/>
      <c r="JWW92" s="337"/>
      <c r="JWX92" s="337"/>
      <c r="JWY92" s="337"/>
      <c r="JWZ92" s="337"/>
      <c r="JXA92" s="337"/>
      <c r="JXB92" s="337"/>
      <c r="JXC92" s="337"/>
      <c r="JXD92" s="337"/>
      <c r="JXE92" s="337"/>
      <c r="JXF92" s="337"/>
      <c r="JXG92" s="337"/>
      <c r="JXH92" s="337"/>
      <c r="JXI92" s="337"/>
      <c r="JXJ92" s="337"/>
      <c r="JXK92" s="337"/>
      <c r="JXL92" s="337"/>
      <c r="JXM92" s="337"/>
      <c r="JXN92" s="337"/>
      <c r="JXO92" s="337"/>
      <c r="JXP92" s="337"/>
      <c r="JXQ92" s="337"/>
      <c r="JXR92" s="337"/>
      <c r="JXS92" s="337"/>
      <c r="JXT92" s="337"/>
      <c r="JXU92" s="337"/>
      <c r="JXV92" s="337"/>
      <c r="JXW92" s="337"/>
      <c r="JXX92" s="337"/>
      <c r="JXY92" s="337"/>
      <c r="JXZ92" s="337"/>
      <c r="JYA92" s="337"/>
      <c r="JYB92" s="337"/>
      <c r="JYC92" s="337"/>
      <c r="JYD92" s="337"/>
      <c r="JYE92" s="337"/>
      <c r="JYF92" s="337"/>
      <c r="JYG92" s="337"/>
      <c r="JYH92" s="337"/>
      <c r="JYI92" s="337"/>
      <c r="JYJ92" s="337"/>
      <c r="JYK92" s="337"/>
      <c r="JYL92" s="337"/>
      <c r="JYM92" s="337"/>
      <c r="JYN92" s="337"/>
      <c r="JYO92" s="337"/>
      <c r="JYP92" s="337"/>
      <c r="JYQ92" s="337"/>
      <c r="JYR92" s="337"/>
      <c r="JYS92" s="337"/>
      <c r="JYT92" s="337"/>
      <c r="JYU92" s="337"/>
      <c r="JYV92" s="337"/>
      <c r="JYW92" s="337"/>
      <c r="JYX92" s="337"/>
      <c r="JYY92" s="337"/>
      <c r="JYZ92" s="337"/>
      <c r="JZA92" s="337"/>
      <c r="JZB92" s="337"/>
      <c r="JZC92" s="337"/>
      <c r="JZD92" s="337"/>
      <c r="JZE92" s="337"/>
      <c r="JZF92" s="337"/>
      <c r="JZG92" s="337"/>
      <c r="JZH92" s="337"/>
      <c r="JZI92" s="337"/>
      <c r="JZJ92" s="337"/>
      <c r="JZK92" s="337"/>
      <c r="JZL92" s="337"/>
      <c r="JZM92" s="337"/>
      <c r="JZN92" s="337"/>
      <c r="JZO92" s="337"/>
      <c r="JZP92" s="337"/>
      <c r="JZQ92" s="337"/>
      <c r="JZR92" s="337"/>
      <c r="JZS92" s="337"/>
      <c r="JZT92" s="337"/>
      <c r="JZU92" s="337"/>
      <c r="JZV92" s="337"/>
      <c r="JZW92" s="337"/>
      <c r="JZX92" s="337"/>
      <c r="JZY92" s="337"/>
      <c r="JZZ92" s="337"/>
      <c r="KAA92" s="337"/>
      <c r="KAB92" s="337"/>
      <c r="KAC92" s="337"/>
      <c r="KAD92" s="337"/>
      <c r="KAE92" s="337"/>
      <c r="KAF92" s="337"/>
      <c r="KAG92" s="337"/>
      <c r="KAH92" s="337"/>
      <c r="KAI92" s="337"/>
      <c r="KAJ92" s="337"/>
      <c r="KAK92" s="337"/>
      <c r="KAL92" s="337"/>
      <c r="KAM92" s="337"/>
      <c r="KAN92" s="337"/>
      <c r="KAO92" s="337"/>
      <c r="KAP92" s="337"/>
      <c r="KAQ92" s="337"/>
      <c r="KAR92" s="337"/>
      <c r="KAS92" s="337"/>
      <c r="KAT92" s="337"/>
      <c r="KAU92" s="337"/>
      <c r="KAV92" s="337"/>
      <c r="KAW92" s="337"/>
      <c r="KAX92" s="337"/>
      <c r="KAY92" s="337"/>
      <c r="KAZ92" s="337"/>
      <c r="KBA92" s="337"/>
      <c r="KBB92" s="337"/>
      <c r="KBC92" s="337"/>
      <c r="KBD92" s="337"/>
      <c r="KBE92" s="337"/>
      <c r="KBF92" s="337"/>
      <c r="KBG92" s="337"/>
      <c r="KBH92" s="337"/>
      <c r="KBI92" s="337"/>
      <c r="KBJ92" s="337"/>
      <c r="KBK92" s="337"/>
      <c r="KBL92" s="337"/>
      <c r="KBM92" s="337"/>
      <c r="KBN92" s="337"/>
      <c r="KBO92" s="337"/>
      <c r="KBP92" s="337"/>
      <c r="KBQ92" s="337"/>
      <c r="KBR92" s="337"/>
      <c r="KBS92" s="337"/>
      <c r="KBT92" s="337"/>
      <c r="KBU92" s="337"/>
      <c r="KBV92" s="337"/>
      <c r="KBW92" s="337"/>
      <c r="KBX92" s="337"/>
      <c r="KBY92" s="337"/>
      <c r="KBZ92" s="337"/>
      <c r="KCA92" s="337"/>
      <c r="KCB92" s="337"/>
      <c r="KCC92" s="337"/>
      <c r="KCD92" s="337"/>
      <c r="KCE92" s="337"/>
      <c r="KCF92" s="337"/>
      <c r="KCG92" s="337"/>
      <c r="KCH92" s="337"/>
      <c r="KCI92" s="337"/>
      <c r="KCJ92" s="337"/>
      <c r="KCK92" s="337"/>
      <c r="KCL92" s="337"/>
      <c r="KCM92" s="337"/>
      <c r="KCN92" s="337"/>
      <c r="KCO92" s="337"/>
      <c r="KCP92" s="337"/>
      <c r="KCQ92" s="337"/>
      <c r="KCR92" s="337"/>
      <c r="KCS92" s="337"/>
      <c r="KCT92" s="337"/>
      <c r="KCU92" s="337"/>
      <c r="KCV92" s="337"/>
      <c r="KCW92" s="337"/>
      <c r="KCX92" s="337"/>
      <c r="KCY92" s="337"/>
      <c r="KCZ92" s="337"/>
      <c r="KDA92" s="337"/>
      <c r="KDB92" s="337"/>
      <c r="KDC92" s="337"/>
      <c r="KDD92" s="337"/>
      <c r="KDE92" s="337"/>
      <c r="KDF92" s="337"/>
      <c r="KDG92" s="337"/>
      <c r="KDH92" s="337"/>
      <c r="KDI92" s="337"/>
      <c r="KDJ92" s="337"/>
      <c r="KDK92" s="337"/>
      <c r="KDL92" s="337"/>
      <c r="KDM92" s="337"/>
      <c r="KDN92" s="337"/>
      <c r="KDO92" s="337"/>
      <c r="KDP92" s="337"/>
      <c r="KDQ92" s="337"/>
      <c r="KDR92" s="337"/>
      <c r="KDS92" s="337"/>
      <c r="KDT92" s="337"/>
      <c r="KDU92" s="337"/>
      <c r="KDV92" s="337"/>
      <c r="KDW92" s="337"/>
      <c r="KDX92" s="337"/>
      <c r="KDY92" s="337"/>
      <c r="KDZ92" s="337"/>
      <c r="KEA92" s="337"/>
      <c r="KEB92" s="337"/>
      <c r="KEC92" s="337"/>
      <c r="KED92" s="337"/>
      <c r="KEE92" s="337"/>
      <c r="KEF92" s="337"/>
      <c r="KEG92" s="337"/>
      <c r="KEH92" s="337"/>
      <c r="KEI92" s="337"/>
      <c r="KEJ92" s="337"/>
      <c r="KEK92" s="337"/>
      <c r="KEL92" s="337"/>
      <c r="KEM92" s="337"/>
      <c r="KEN92" s="337"/>
      <c r="KEO92" s="337"/>
      <c r="KEP92" s="337"/>
      <c r="KEQ92" s="337"/>
      <c r="KER92" s="337"/>
      <c r="KES92" s="337"/>
      <c r="KET92" s="337"/>
      <c r="KEU92" s="337"/>
      <c r="KEV92" s="337"/>
      <c r="KEW92" s="337"/>
      <c r="KEX92" s="337"/>
      <c r="KEY92" s="337"/>
      <c r="KEZ92" s="337"/>
      <c r="KFA92" s="337"/>
      <c r="KFB92" s="337"/>
      <c r="KFC92" s="337"/>
      <c r="KFD92" s="337"/>
      <c r="KFE92" s="337"/>
      <c r="KFF92" s="337"/>
      <c r="KFG92" s="337"/>
      <c r="KFH92" s="337"/>
      <c r="KFI92" s="337"/>
      <c r="KFJ92" s="337"/>
      <c r="KFK92" s="337"/>
      <c r="KFL92" s="337"/>
      <c r="KFM92" s="337"/>
      <c r="KFN92" s="337"/>
      <c r="KFO92" s="337"/>
      <c r="KFP92" s="337"/>
      <c r="KFQ92" s="337"/>
      <c r="KFR92" s="337"/>
      <c r="KFS92" s="337"/>
      <c r="KFT92" s="337"/>
      <c r="KFU92" s="337"/>
      <c r="KFV92" s="337"/>
      <c r="KFW92" s="337"/>
      <c r="KFX92" s="337"/>
      <c r="KFY92" s="337"/>
      <c r="KFZ92" s="337"/>
      <c r="KGA92" s="337"/>
      <c r="KGB92" s="337"/>
      <c r="KGC92" s="337"/>
      <c r="KGD92" s="337"/>
      <c r="KGE92" s="337"/>
      <c r="KGF92" s="337"/>
      <c r="KGG92" s="337"/>
      <c r="KGH92" s="337"/>
      <c r="KGI92" s="337"/>
      <c r="KGJ92" s="337"/>
      <c r="KGK92" s="337"/>
      <c r="KGL92" s="337"/>
      <c r="KGM92" s="337"/>
      <c r="KGN92" s="337"/>
      <c r="KGO92" s="337"/>
      <c r="KGP92" s="337"/>
      <c r="KGQ92" s="337"/>
      <c r="KGR92" s="337"/>
      <c r="KGS92" s="337"/>
      <c r="KGT92" s="337"/>
      <c r="KGU92" s="337"/>
      <c r="KGV92" s="337"/>
      <c r="KGW92" s="337"/>
      <c r="KGX92" s="337"/>
      <c r="KGY92" s="337"/>
      <c r="KGZ92" s="337"/>
      <c r="KHA92" s="337"/>
      <c r="KHB92" s="337"/>
      <c r="KHC92" s="337"/>
      <c r="KHD92" s="337"/>
      <c r="KHE92" s="337"/>
      <c r="KHF92" s="337"/>
      <c r="KHG92" s="337"/>
      <c r="KHH92" s="337"/>
      <c r="KHI92" s="337"/>
      <c r="KHJ92" s="337"/>
      <c r="KHK92" s="337"/>
      <c r="KHL92" s="337"/>
      <c r="KHM92" s="337"/>
      <c r="KHN92" s="337"/>
      <c r="KHO92" s="337"/>
      <c r="KHP92" s="337"/>
      <c r="KHQ92" s="337"/>
      <c r="KHR92" s="337"/>
      <c r="KHS92" s="337"/>
      <c r="KHT92" s="337"/>
      <c r="KHU92" s="337"/>
      <c r="KHV92" s="337"/>
      <c r="KHW92" s="337"/>
      <c r="KHX92" s="337"/>
      <c r="KHY92" s="337"/>
      <c r="KHZ92" s="337"/>
      <c r="KIA92" s="337"/>
      <c r="KIB92" s="337"/>
      <c r="KIC92" s="337"/>
      <c r="KID92" s="337"/>
      <c r="KIE92" s="337"/>
      <c r="KIF92" s="337"/>
      <c r="KIG92" s="337"/>
      <c r="KIH92" s="337"/>
      <c r="KII92" s="337"/>
      <c r="KIJ92" s="337"/>
      <c r="KIK92" s="337"/>
      <c r="KIL92" s="337"/>
      <c r="KIM92" s="337"/>
      <c r="KIN92" s="337"/>
      <c r="KIO92" s="337"/>
      <c r="KIP92" s="337"/>
      <c r="KIQ92" s="337"/>
      <c r="KIR92" s="337"/>
      <c r="KIS92" s="337"/>
      <c r="KIT92" s="337"/>
      <c r="KIU92" s="337"/>
      <c r="KIV92" s="337"/>
      <c r="KIW92" s="337"/>
      <c r="KIX92" s="337"/>
      <c r="KIY92" s="337"/>
      <c r="KIZ92" s="337"/>
      <c r="KJA92" s="337"/>
      <c r="KJB92" s="337"/>
      <c r="KJC92" s="337"/>
      <c r="KJD92" s="337"/>
      <c r="KJE92" s="337"/>
      <c r="KJF92" s="337"/>
      <c r="KJG92" s="337"/>
      <c r="KJH92" s="337"/>
      <c r="KJI92" s="337"/>
      <c r="KJJ92" s="337"/>
      <c r="KJK92" s="337"/>
      <c r="KJL92" s="337"/>
      <c r="KJM92" s="337"/>
      <c r="KJN92" s="337"/>
      <c r="KJO92" s="337"/>
      <c r="KJP92" s="337"/>
      <c r="KJQ92" s="337"/>
      <c r="KJR92" s="337"/>
      <c r="KJS92" s="337"/>
      <c r="KJT92" s="337"/>
      <c r="KJU92" s="337"/>
      <c r="KJV92" s="337"/>
      <c r="KJW92" s="337"/>
      <c r="KJX92" s="337"/>
      <c r="KJY92" s="337"/>
      <c r="KJZ92" s="337"/>
      <c r="KKA92" s="337"/>
      <c r="KKB92" s="337"/>
      <c r="KKC92" s="337"/>
      <c r="KKD92" s="337"/>
      <c r="KKE92" s="337"/>
      <c r="KKF92" s="337"/>
      <c r="KKG92" s="337"/>
      <c r="KKH92" s="337"/>
      <c r="KKI92" s="337"/>
      <c r="KKJ92" s="337"/>
      <c r="KKK92" s="337"/>
      <c r="KKL92" s="337"/>
      <c r="KKM92" s="337"/>
      <c r="KKN92" s="337"/>
      <c r="KKO92" s="337"/>
      <c r="KKP92" s="337"/>
      <c r="KKQ92" s="337"/>
      <c r="KKR92" s="337"/>
      <c r="KKS92" s="337"/>
      <c r="KKT92" s="337"/>
      <c r="KKU92" s="337"/>
      <c r="KKV92" s="337"/>
      <c r="KKW92" s="337"/>
      <c r="KKX92" s="337"/>
      <c r="KKY92" s="337"/>
      <c r="KKZ92" s="337"/>
      <c r="KLA92" s="337"/>
      <c r="KLB92" s="337"/>
      <c r="KLC92" s="337"/>
      <c r="KLD92" s="337"/>
      <c r="KLE92" s="337"/>
      <c r="KLF92" s="337"/>
      <c r="KLG92" s="337"/>
      <c r="KLH92" s="337"/>
      <c r="KLI92" s="337"/>
      <c r="KLJ92" s="337"/>
      <c r="KLK92" s="337"/>
      <c r="KLL92" s="337"/>
      <c r="KLM92" s="337"/>
      <c r="KLN92" s="337"/>
      <c r="KLO92" s="337"/>
      <c r="KLP92" s="337"/>
      <c r="KLQ92" s="337"/>
      <c r="KLR92" s="337"/>
      <c r="KLS92" s="337"/>
      <c r="KLT92" s="337"/>
      <c r="KLU92" s="337"/>
      <c r="KLV92" s="337"/>
      <c r="KLW92" s="337"/>
      <c r="KLX92" s="337"/>
      <c r="KLY92" s="337"/>
      <c r="KLZ92" s="337"/>
      <c r="KMA92" s="337"/>
      <c r="KMB92" s="337"/>
      <c r="KMC92" s="337"/>
      <c r="KMD92" s="337"/>
      <c r="KME92" s="337"/>
      <c r="KMF92" s="337"/>
      <c r="KMG92" s="337"/>
      <c r="KMH92" s="337"/>
      <c r="KMI92" s="337"/>
      <c r="KMJ92" s="337"/>
      <c r="KMK92" s="337"/>
      <c r="KML92" s="337"/>
      <c r="KMM92" s="337"/>
      <c r="KMN92" s="337"/>
      <c r="KMO92" s="337"/>
      <c r="KMP92" s="337"/>
      <c r="KMQ92" s="337"/>
      <c r="KMR92" s="337"/>
      <c r="KMS92" s="337"/>
      <c r="KMT92" s="337"/>
      <c r="KMU92" s="337"/>
      <c r="KMV92" s="337"/>
      <c r="KMW92" s="337"/>
      <c r="KMX92" s="337"/>
      <c r="KMY92" s="337"/>
      <c r="KMZ92" s="337"/>
      <c r="KNA92" s="337"/>
      <c r="KNB92" s="337"/>
      <c r="KNC92" s="337"/>
      <c r="KND92" s="337"/>
      <c r="KNE92" s="337"/>
      <c r="KNF92" s="337"/>
      <c r="KNG92" s="337"/>
      <c r="KNH92" s="337"/>
      <c r="KNI92" s="337"/>
      <c r="KNJ92" s="337"/>
      <c r="KNK92" s="337"/>
      <c r="KNL92" s="337"/>
      <c r="KNM92" s="337"/>
      <c r="KNN92" s="337"/>
      <c r="KNO92" s="337"/>
      <c r="KNP92" s="337"/>
      <c r="KNQ92" s="337"/>
      <c r="KNR92" s="337"/>
      <c r="KNS92" s="337"/>
      <c r="KNT92" s="337"/>
      <c r="KNU92" s="337"/>
      <c r="KNV92" s="337"/>
      <c r="KNW92" s="337"/>
      <c r="KNX92" s="337"/>
      <c r="KNY92" s="337"/>
      <c r="KNZ92" s="337"/>
      <c r="KOA92" s="337"/>
      <c r="KOB92" s="337"/>
      <c r="KOC92" s="337"/>
      <c r="KOD92" s="337"/>
      <c r="KOE92" s="337"/>
      <c r="KOF92" s="337"/>
      <c r="KOG92" s="337"/>
      <c r="KOH92" s="337"/>
      <c r="KOI92" s="337"/>
      <c r="KOJ92" s="337"/>
      <c r="KOK92" s="337"/>
      <c r="KOL92" s="337"/>
      <c r="KOM92" s="337"/>
      <c r="KON92" s="337"/>
      <c r="KOO92" s="337"/>
      <c r="KOP92" s="337"/>
      <c r="KOQ92" s="337"/>
      <c r="KOR92" s="337"/>
      <c r="KOS92" s="337"/>
      <c r="KOT92" s="337"/>
      <c r="KOU92" s="337"/>
      <c r="KOV92" s="337"/>
      <c r="KOW92" s="337"/>
      <c r="KOX92" s="337"/>
      <c r="KOY92" s="337"/>
      <c r="KOZ92" s="337"/>
      <c r="KPA92" s="337"/>
      <c r="KPB92" s="337"/>
      <c r="KPC92" s="337"/>
      <c r="KPD92" s="337"/>
      <c r="KPE92" s="337"/>
      <c r="KPF92" s="337"/>
      <c r="KPG92" s="337"/>
      <c r="KPH92" s="337"/>
      <c r="KPI92" s="337"/>
      <c r="KPJ92" s="337"/>
      <c r="KPK92" s="337"/>
      <c r="KPL92" s="337"/>
      <c r="KPM92" s="337"/>
      <c r="KPN92" s="337"/>
      <c r="KPO92" s="337"/>
      <c r="KPP92" s="337"/>
      <c r="KPQ92" s="337"/>
      <c r="KPR92" s="337"/>
      <c r="KPS92" s="337"/>
      <c r="KPT92" s="337"/>
      <c r="KPU92" s="337"/>
      <c r="KPV92" s="337"/>
      <c r="KPW92" s="337"/>
      <c r="KPX92" s="337"/>
      <c r="KPY92" s="337"/>
      <c r="KPZ92" s="337"/>
      <c r="KQA92" s="337"/>
      <c r="KQB92" s="337"/>
      <c r="KQC92" s="337"/>
      <c r="KQD92" s="337"/>
      <c r="KQE92" s="337"/>
      <c r="KQF92" s="337"/>
      <c r="KQG92" s="337"/>
      <c r="KQH92" s="337"/>
      <c r="KQI92" s="337"/>
      <c r="KQJ92" s="337"/>
      <c r="KQK92" s="337"/>
      <c r="KQL92" s="337"/>
      <c r="KQM92" s="337"/>
      <c r="KQN92" s="337"/>
      <c r="KQO92" s="337"/>
      <c r="KQP92" s="337"/>
      <c r="KQQ92" s="337"/>
      <c r="KQR92" s="337"/>
      <c r="KQS92" s="337"/>
      <c r="KQT92" s="337"/>
      <c r="KQU92" s="337"/>
      <c r="KQV92" s="337"/>
      <c r="KQW92" s="337"/>
      <c r="KQX92" s="337"/>
      <c r="KQY92" s="337"/>
      <c r="KQZ92" s="337"/>
      <c r="KRA92" s="337"/>
      <c r="KRB92" s="337"/>
      <c r="KRC92" s="337"/>
      <c r="KRD92" s="337"/>
      <c r="KRE92" s="337"/>
      <c r="KRF92" s="337"/>
      <c r="KRG92" s="337"/>
      <c r="KRH92" s="337"/>
      <c r="KRI92" s="337"/>
      <c r="KRJ92" s="337"/>
      <c r="KRK92" s="337"/>
      <c r="KRL92" s="337"/>
      <c r="KRM92" s="337"/>
      <c r="KRN92" s="337"/>
      <c r="KRO92" s="337"/>
      <c r="KRP92" s="337"/>
      <c r="KRQ92" s="337"/>
      <c r="KRR92" s="337"/>
      <c r="KRS92" s="337"/>
      <c r="KRT92" s="337"/>
      <c r="KRU92" s="337"/>
      <c r="KRV92" s="337"/>
      <c r="KRW92" s="337"/>
      <c r="KRX92" s="337"/>
      <c r="KRY92" s="337"/>
      <c r="KRZ92" s="337"/>
      <c r="KSA92" s="337"/>
      <c r="KSB92" s="337"/>
      <c r="KSC92" s="337"/>
      <c r="KSD92" s="337"/>
      <c r="KSE92" s="337"/>
      <c r="KSF92" s="337"/>
      <c r="KSG92" s="337"/>
      <c r="KSH92" s="337"/>
      <c r="KSI92" s="337"/>
      <c r="KSJ92" s="337"/>
      <c r="KSK92" s="337"/>
      <c r="KSL92" s="337"/>
      <c r="KSM92" s="337"/>
      <c r="KSN92" s="337"/>
      <c r="KSO92" s="337"/>
      <c r="KSP92" s="337"/>
      <c r="KSQ92" s="337"/>
      <c r="KSR92" s="337"/>
      <c r="KSS92" s="337"/>
      <c r="KST92" s="337"/>
      <c r="KSU92" s="337"/>
      <c r="KSV92" s="337"/>
      <c r="KSW92" s="337"/>
      <c r="KSX92" s="337"/>
      <c r="KSY92" s="337"/>
      <c r="KSZ92" s="337"/>
      <c r="KTA92" s="337"/>
      <c r="KTB92" s="337"/>
      <c r="KTC92" s="337"/>
      <c r="KTD92" s="337"/>
      <c r="KTE92" s="337"/>
      <c r="KTF92" s="337"/>
      <c r="KTG92" s="337"/>
      <c r="KTH92" s="337"/>
      <c r="KTI92" s="337"/>
      <c r="KTJ92" s="337"/>
      <c r="KTK92" s="337"/>
      <c r="KTL92" s="337"/>
      <c r="KTM92" s="337"/>
      <c r="KTN92" s="337"/>
      <c r="KTO92" s="337"/>
      <c r="KTP92" s="337"/>
      <c r="KTQ92" s="337"/>
      <c r="KTR92" s="337"/>
      <c r="KTS92" s="337"/>
      <c r="KTT92" s="337"/>
      <c r="KTU92" s="337"/>
      <c r="KTV92" s="337"/>
      <c r="KTW92" s="337"/>
      <c r="KTX92" s="337"/>
      <c r="KTY92" s="337"/>
      <c r="KTZ92" s="337"/>
      <c r="KUA92" s="337"/>
      <c r="KUB92" s="337"/>
      <c r="KUC92" s="337"/>
      <c r="KUD92" s="337"/>
      <c r="KUE92" s="337"/>
      <c r="KUF92" s="337"/>
      <c r="KUG92" s="337"/>
      <c r="KUH92" s="337"/>
      <c r="KUI92" s="337"/>
      <c r="KUJ92" s="337"/>
      <c r="KUK92" s="337"/>
      <c r="KUL92" s="337"/>
      <c r="KUM92" s="337"/>
      <c r="KUN92" s="337"/>
      <c r="KUO92" s="337"/>
      <c r="KUP92" s="337"/>
      <c r="KUQ92" s="337"/>
      <c r="KUR92" s="337"/>
      <c r="KUS92" s="337"/>
      <c r="KUT92" s="337"/>
      <c r="KUU92" s="337"/>
      <c r="KUV92" s="337"/>
      <c r="KUW92" s="337"/>
      <c r="KUX92" s="337"/>
      <c r="KUY92" s="337"/>
      <c r="KUZ92" s="337"/>
      <c r="KVA92" s="337"/>
      <c r="KVB92" s="337"/>
      <c r="KVC92" s="337"/>
      <c r="KVD92" s="337"/>
      <c r="KVE92" s="337"/>
      <c r="KVF92" s="337"/>
      <c r="KVG92" s="337"/>
      <c r="KVH92" s="337"/>
      <c r="KVI92" s="337"/>
      <c r="KVJ92" s="337"/>
      <c r="KVK92" s="337"/>
      <c r="KVL92" s="337"/>
      <c r="KVM92" s="337"/>
      <c r="KVN92" s="337"/>
      <c r="KVO92" s="337"/>
      <c r="KVP92" s="337"/>
      <c r="KVQ92" s="337"/>
      <c r="KVR92" s="337"/>
      <c r="KVS92" s="337"/>
      <c r="KVT92" s="337"/>
      <c r="KVU92" s="337"/>
      <c r="KVV92" s="337"/>
      <c r="KVW92" s="337"/>
      <c r="KVX92" s="337"/>
      <c r="KVY92" s="337"/>
      <c r="KVZ92" s="337"/>
      <c r="KWA92" s="337"/>
      <c r="KWB92" s="337"/>
      <c r="KWC92" s="337"/>
      <c r="KWD92" s="337"/>
      <c r="KWE92" s="337"/>
      <c r="KWF92" s="337"/>
      <c r="KWG92" s="337"/>
      <c r="KWH92" s="337"/>
      <c r="KWI92" s="337"/>
      <c r="KWJ92" s="337"/>
      <c r="KWK92" s="337"/>
      <c r="KWL92" s="337"/>
      <c r="KWM92" s="337"/>
      <c r="KWN92" s="337"/>
      <c r="KWO92" s="337"/>
      <c r="KWP92" s="337"/>
      <c r="KWQ92" s="337"/>
      <c r="KWR92" s="337"/>
      <c r="KWS92" s="337"/>
      <c r="KWT92" s="337"/>
      <c r="KWU92" s="337"/>
      <c r="KWV92" s="337"/>
      <c r="KWW92" s="337"/>
      <c r="KWX92" s="337"/>
      <c r="KWY92" s="337"/>
      <c r="KWZ92" s="337"/>
      <c r="KXA92" s="337"/>
      <c r="KXB92" s="337"/>
      <c r="KXC92" s="337"/>
      <c r="KXD92" s="337"/>
      <c r="KXE92" s="337"/>
      <c r="KXF92" s="337"/>
      <c r="KXG92" s="337"/>
      <c r="KXH92" s="337"/>
      <c r="KXI92" s="337"/>
      <c r="KXJ92" s="337"/>
      <c r="KXK92" s="337"/>
      <c r="KXL92" s="337"/>
      <c r="KXM92" s="337"/>
      <c r="KXN92" s="337"/>
      <c r="KXO92" s="337"/>
      <c r="KXP92" s="337"/>
      <c r="KXQ92" s="337"/>
      <c r="KXR92" s="337"/>
      <c r="KXS92" s="337"/>
      <c r="KXT92" s="337"/>
      <c r="KXU92" s="337"/>
      <c r="KXV92" s="337"/>
      <c r="KXW92" s="337"/>
      <c r="KXX92" s="337"/>
      <c r="KXY92" s="337"/>
      <c r="KXZ92" s="337"/>
      <c r="KYA92" s="337"/>
      <c r="KYB92" s="337"/>
      <c r="KYC92" s="337"/>
      <c r="KYD92" s="337"/>
      <c r="KYE92" s="337"/>
      <c r="KYF92" s="337"/>
      <c r="KYG92" s="337"/>
      <c r="KYH92" s="337"/>
      <c r="KYI92" s="337"/>
      <c r="KYJ92" s="337"/>
      <c r="KYK92" s="337"/>
      <c r="KYL92" s="337"/>
      <c r="KYM92" s="337"/>
      <c r="KYN92" s="337"/>
      <c r="KYO92" s="337"/>
      <c r="KYP92" s="337"/>
      <c r="KYQ92" s="337"/>
      <c r="KYR92" s="337"/>
      <c r="KYS92" s="337"/>
      <c r="KYT92" s="337"/>
      <c r="KYU92" s="337"/>
      <c r="KYV92" s="337"/>
      <c r="KYW92" s="337"/>
      <c r="KYX92" s="337"/>
      <c r="KYY92" s="337"/>
      <c r="KYZ92" s="337"/>
      <c r="KZA92" s="337"/>
      <c r="KZB92" s="337"/>
      <c r="KZC92" s="337"/>
      <c r="KZD92" s="337"/>
      <c r="KZE92" s="337"/>
      <c r="KZF92" s="337"/>
      <c r="KZG92" s="337"/>
      <c r="KZH92" s="337"/>
      <c r="KZI92" s="337"/>
      <c r="KZJ92" s="337"/>
      <c r="KZK92" s="337"/>
      <c r="KZL92" s="337"/>
      <c r="KZM92" s="337"/>
      <c r="KZN92" s="337"/>
      <c r="KZO92" s="337"/>
      <c r="KZP92" s="337"/>
      <c r="KZQ92" s="337"/>
      <c r="KZR92" s="337"/>
      <c r="KZS92" s="337"/>
      <c r="KZT92" s="337"/>
      <c r="KZU92" s="337"/>
      <c r="KZV92" s="337"/>
      <c r="KZW92" s="337"/>
      <c r="KZX92" s="337"/>
      <c r="KZY92" s="337"/>
      <c r="KZZ92" s="337"/>
      <c r="LAA92" s="337"/>
      <c r="LAB92" s="337"/>
      <c r="LAC92" s="337"/>
      <c r="LAD92" s="337"/>
      <c r="LAE92" s="337"/>
      <c r="LAF92" s="337"/>
      <c r="LAG92" s="337"/>
      <c r="LAH92" s="337"/>
      <c r="LAI92" s="337"/>
      <c r="LAJ92" s="337"/>
      <c r="LAK92" s="337"/>
      <c r="LAL92" s="337"/>
      <c r="LAM92" s="337"/>
      <c r="LAN92" s="337"/>
      <c r="LAO92" s="337"/>
      <c r="LAP92" s="337"/>
      <c r="LAQ92" s="337"/>
      <c r="LAR92" s="337"/>
      <c r="LAS92" s="337"/>
      <c r="LAT92" s="337"/>
      <c r="LAU92" s="337"/>
      <c r="LAV92" s="337"/>
      <c r="LAW92" s="337"/>
      <c r="LAX92" s="337"/>
      <c r="LAY92" s="337"/>
      <c r="LAZ92" s="337"/>
      <c r="LBA92" s="337"/>
      <c r="LBB92" s="337"/>
      <c r="LBC92" s="337"/>
      <c r="LBD92" s="337"/>
      <c r="LBE92" s="337"/>
      <c r="LBF92" s="337"/>
      <c r="LBG92" s="337"/>
      <c r="LBH92" s="337"/>
      <c r="LBI92" s="337"/>
      <c r="LBJ92" s="337"/>
      <c r="LBK92" s="337"/>
      <c r="LBL92" s="337"/>
      <c r="LBM92" s="337"/>
      <c r="LBN92" s="337"/>
      <c r="LBO92" s="337"/>
      <c r="LBP92" s="337"/>
      <c r="LBQ92" s="337"/>
      <c r="LBR92" s="337"/>
      <c r="LBS92" s="337"/>
      <c r="LBT92" s="337"/>
      <c r="LBU92" s="337"/>
      <c r="LBV92" s="337"/>
      <c r="LBW92" s="337"/>
      <c r="LBX92" s="337"/>
      <c r="LBY92" s="337"/>
      <c r="LBZ92" s="337"/>
      <c r="LCA92" s="337"/>
      <c r="LCB92" s="337"/>
      <c r="LCC92" s="337"/>
      <c r="LCD92" s="337"/>
      <c r="LCE92" s="337"/>
      <c r="LCF92" s="337"/>
      <c r="LCG92" s="337"/>
      <c r="LCH92" s="337"/>
      <c r="LCI92" s="337"/>
      <c r="LCJ92" s="337"/>
      <c r="LCK92" s="337"/>
      <c r="LCL92" s="337"/>
      <c r="LCM92" s="337"/>
      <c r="LCN92" s="337"/>
      <c r="LCO92" s="337"/>
      <c r="LCP92" s="337"/>
      <c r="LCQ92" s="337"/>
      <c r="LCR92" s="337"/>
      <c r="LCS92" s="337"/>
      <c r="LCT92" s="337"/>
      <c r="LCU92" s="337"/>
      <c r="LCV92" s="337"/>
      <c r="LCW92" s="337"/>
      <c r="LCX92" s="337"/>
      <c r="LCY92" s="337"/>
      <c r="LCZ92" s="337"/>
      <c r="LDA92" s="337"/>
      <c r="LDB92" s="337"/>
      <c r="LDC92" s="337"/>
      <c r="LDD92" s="337"/>
      <c r="LDE92" s="337"/>
      <c r="LDF92" s="337"/>
      <c r="LDG92" s="337"/>
      <c r="LDH92" s="337"/>
      <c r="LDI92" s="337"/>
      <c r="LDJ92" s="337"/>
      <c r="LDK92" s="337"/>
      <c r="LDL92" s="337"/>
      <c r="LDM92" s="337"/>
      <c r="LDN92" s="337"/>
      <c r="LDO92" s="337"/>
      <c r="LDP92" s="337"/>
      <c r="LDQ92" s="337"/>
      <c r="LDR92" s="337"/>
      <c r="LDS92" s="337"/>
      <c r="LDT92" s="337"/>
      <c r="LDU92" s="337"/>
      <c r="LDV92" s="337"/>
      <c r="LDW92" s="337"/>
      <c r="LDX92" s="337"/>
      <c r="LDY92" s="337"/>
      <c r="LDZ92" s="337"/>
      <c r="LEA92" s="337"/>
      <c r="LEB92" s="337"/>
      <c r="LEC92" s="337"/>
      <c r="LED92" s="337"/>
      <c r="LEE92" s="337"/>
      <c r="LEF92" s="337"/>
      <c r="LEG92" s="337"/>
      <c r="LEH92" s="337"/>
      <c r="LEI92" s="337"/>
      <c r="LEJ92" s="337"/>
      <c r="LEK92" s="337"/>
      <c r="LEL92" s="337"/>
      <c r="LEM92" s="337"/>
      <c r="LEN92" s="337"/>
      <c r="LEO92" s="337"/>
      <c r="LEP92" s="337"/>
      <c r="LEQ92" s="337"/>
      <c r="LER92" s="337"/>
      <c r="LES92" s="337"/>
      <c r="LET92" s="337"/>
      <c r="LEU92" s="337"/>
      <c r="LEV92" s="337"/>
      <c r="LEW92" s="337"/>
      <c r="LEX92" s="337"/>
      <c r="LEY92" s="337"/>
      <c r="LEZ92" s="337"/>
      <c r="LFA92" s="337"/>
      <c r="LFB92" s="337"/>
      <c r="LFC92" s="337"/>
      <c r="LFD92" s="337"/>
      <c r="LFE92" s="337"/>
      <c r="LFF92" s="337"/>
      <c r="LFG92" s="337"/>
      <c r="LFH92" s="337"/>
      <c r="LFI92" s="337"/>
      <c r="LFJ92" s="337"/>
      <c r="LFK92" s="337"/>
      <c r="LFL92" s="337"/>
      <c r="LFM92" s="337"/>
      <c r="LFN92" s="337"/>
      <c r="LFO92" s="337"/>
      <c r="LFP92" s="337"/>
      <c r="LFQ92" s="337"/>
      <c r="LFR92" s="337"/>
      <c r="LFS92" s="337"/>
      <c r="LFT92" s="337"/>
      <c r="LFU92" s="337"/>
      <c r="LFV92" s="337"/>
      <c r="LFW92" s="337"/>
      <c r="LFX92" s="337"/>
      <c r="LFY92" s="337"/>
      <c r="LFZ92" s="337"/>
      <c r="LGA92" s="337"/>
      <c r="LGB92" s="337"/>
      <c r="LGC92" s="337"/>
      <c r="LGD92" s="337"/>
      <c r="LGE92" s="337"/>
      <c r="LGF92" s="337"/>
      <c r="LGG92" s="337"/>
      <c r="LGH92" s="337"/>
      <c r="LGI92" s="337"/>
      <c r="LGJ92" s="337"/>
      <c r="LGK92" s="337"/>
      <c r="LGL92" s="337"/>
      <c r="LGM92" s="337"/>
      <c r="LGN92" s="337"/>
      <c r="LGO92" s="337"/>
      <c r="LGP92" s="337"/>
      <c r="LGQ92" s="337"/>
      <c r="LGR92" s="337"/>
      <c r="LGS92" s="337"/>
      <c r="LGT92" s="337"/>
      <c r="LGU92" s="337"/>
      <c r="LGV92" s="337"/>
      <c r="LGW92" s="337"/>
      <c r="LGX92" s="337"/>
      <c r="LGY92" s="337"/>
      <c r="LGZ92" s="337"/>
      <c r="LHA92" s="337"/>
      <c r="LHB92" s="337"/>
      <c r="LHC92" s="337"/>
      <c r="LHD92" s="337"/>
      <c r="LHE92" s="337"/>
      <c r="LHF92" s="337"/>
      <c r="LHG92" s="337"/>
      <c r="LHH92" s="337"/>
      <c r="LHI92" s="337"/>
      <c r="LHJ92" s="337"/>
      <c r="LHK92" s="337"/>
      <c r="LHL92" s="337"/>
      <c r="LHM92" s="337"/>
      <c r="LHN92" s="337"/>
      <c r="LHO92" s="337"/>
      <c r="LHP92" s="337"/>
      <c r="LHQ92" s="337"/>
      <c r="LHR92" s="337"/>
      <c r="LHS92" s="337"/>
      <c r="LHT92" s="337"/>
      <c r="LHU92" s="337"/>
      <c r="LHV92" s="337"/>
      <c r="LHW92" s="337"/>
      <c r="LHX92" s="337"/>
      <c r="LHY92" s="337"/>
      <c r="LHZ92" s="337"/>
      <c r="LIA92" s="337"/>
      <c r="LIB92" s="337"/>
      <c r="LIC92" s="337"/>
      <c r="LID92" s="337"/>
      <c r="LIE92" s="337"/>
      <c r="LIF92" s="337"/>
      <c r="LIG92" s="337"/>
      <c r="LIH92" s="337"/>
      <c r="LII92" s="337"/>
      <c r="LIJ92" s="337"/>
      <c r="LIK92" s="337"/>
      <c r="LIL92" s="337"/>
      <c r="LIM92" s="337"/>
      <c r="LIN92" s="337"/>
      <c r="LIO92" s="337"/>
      <c r="LIP92" s="337"/>
      <c r="LIQ92" s="337"/>
      <c r="LIR92" s="337"/>
      <c r="LIS92" s="337"/>
      <c r="LIT92" s="337"/>
      <c r="LIU92" s="337"/>
      <c r="LIV92" s="337"/>
      <c r="LIW92" s="337"/>
      <c r="LIX92" s="337"/>
      <c r="LIY92" s="337"/>
      <c r="LIZ92" s="337"/>
      <c r="LJA92" s="337"/>
      <c r="LJB92" s="337"/>
      <c r="LJC92" s="337"/>
      <c r="LJD92" s="337"/>
      <c r="LJE92" s="337"/>
      <c r="LJF92" s="337"/>
      <c r="LJG92" s="337"/>
      <c r="LJH92" s="337"/>
      <c r="LJI92" s="337"/>
      <c r="LJJ92" s="337"/>
      <c r="LJK92" s="337"/>
      <c r="LJL92" s="337"/>
      <c r="LJM92" s="337"/>
      <c r="LJN92" s="337"/>
      <c r="LJO92" s="337"/>
      <c r="LJP92" s="337"/>
      <c r="LJQ92" s="337"/>
      <c r="LJR92" s="337"/>
      <c r="LJS92" s="337"/>
      <c r="LJT92" s="337"/>
      <c r="LJU92" s="337"/>
      <c r="LJV92" s="337"/>
      <c r="LJW92" s="337"/>
      <c r="LJX92" s="337"/>
      <c r="LJY92" s="337"/>
      <c r="LJZ92" s="337"/>
      <c r="LKA92" s="337"/>
      <c r="LKB92" s="337"/>
      <c r="LKC92" s="337"/>
      <c r="LKD92" s="337"/>
      <c r="LKE92" s="337"/>
      <c r="LKF92" s="337"/>
      <c r="LKG92" s="337"/>
      <c r="LKH92" s="337"/>
      <c r="LKI92" s="337"/>
      <c r="LKJ92" s="337"/>
      <c r="LKK92" s="337"/>
      <c r="LKL92" s="337"/>
      <c r="LKM92" s="337"/>
      <c r="LKN92" s="337"/>
      <c r="LKO92" s="337"/>
      <c r="LKP92" s="337"/>
      <c r="LKQ92" s="337"/>
      <c r="LKR92" s="337"/>
      <c r="LKS92" s="337"/>
      <c r="LKT92" s="337"/>
      <c r="LKU92" s="337"/>
      <c r="LKV92" s="337"/>
      <c r="LKW92" s="337"/>
      <c r="LKX92" s="337"/>
      <c r="LKY92" s="337"/>
      <c r="LKZ92" s="337"/>
      <c r="LLA92" s="337"/>
      <c r="LLB92" s="337"/>
      <c r="LLC92" s="337"/>
      <c r="LLD92" s="337"/>
      <c r="LLE92" s="337"/>
      <c r="LLF92" s="337"/>
      <c r="LLG92" s="337"/>
      <c r="LLH92" s="337"/>
      <c r="LLI92" s="337"/>
      <c r="LLJ92" s="337"/>
      <c r="LLK92" s="337"/>
      <c r="LLL92" s="337"/>
      <c r="LLM92" s="337"/>
      <c r="LLN92" s="337"/>
      <c r="LLO92" s="337"/>
      <c r="LLP92" s="337"/>
      <c r="LLQ92" s="337"/>
      <c r="LLR92" s="337"/>
      <c r="LLS92" s="337"/>
      <c r="LLT92" s="337"/>
      <c r="LLU92" s="337"/>
      <c r="LLV92" s="337"/>
      <c r="LLW92" s="337"/>
      <c r="LLX92" s="337"/>
      <c r="LLY92" s="337"/>
      <c r="LLZ92" s="337"/>
      <c r="LMA92" s="337"/>
      <c r="LMB92" s="337"/>
      <c r="LMC92" s="337"/>
      <c r="LMD92" s="337"/>
      <c r="LME92" s="337"/>
      <c r="LMF92" s="337"/>
      <c r="LMG92" s="337"/>
      <c r="LMH92" s="337"/>
      <c r="LMI92" s="337"/>
      <c r="LMJ92" s="337"/>
      <c r="LMK92" s="337"/>
      <c r="LML92" s="337"/>
      <c r="LMM92" s="337"/>
      <c r="LMN92" s="337"/>
      <c r="LMO92" s="337"/>
      <c r="LMP92" s="337"/>
      <c r="LMQ92" s="337"/>
      <c r="LMR92" s="337"/>
      <c r="LMS92" s="337"/>
      <c r="LMT92" s="337"/>
      <c r="LMU92" s="337"/>
      <c r="LMV92" s="337"/>
      <c r="LMW92" s="337"/>
      <c r="LMX92" s="337"/>
      <c r="LMY92" s="337"/>
      <c r="LMZ92" s="337"/>
      <c r="LNA92" s="337"/>
      <c r="LNB92" s="337"/>
      <c r="LNC92" s="337"/>
      <c r="LND92" s="337"/>
      <c r="LNE92" s="337"/>
      <c r="LNF92" s="337"/>
      <c r="LNG92" s="337"/>
      <c r="LNH92" s="337"/>
      <c r="LNI92" s="337"/>
      <c r="LNJ92" s="337"/>
      <c r="LNK92" s="337"/>
      <c r="LNL92" s="337"/>
      <c r="LNM92" s="337"/>
      <c r="LNN92" s="337"/>
      <c r="LNO92" s="337"/>
      <c r="LNP92" s="337"/>
      <c r="LNQ92" s="337"/>
      <c r="LNR92" s="337"/>
      <c r="LNS92" s="337"/>
      <c r="LNT92" s="337"/>
      <c r="LNU92" s="337"/>
      <c r="LNV92" s="337"/>
      <c r="LNW92" s="337"/>
      <c r="LNX92" s="337"/>
      <c r="LNY92" s="337"/>
      <c r="LNZ92" s="337"/>
      <c r="LOA92" s="337"/>
      <c r="LOB92" s="337"/>
      <c r="LOC92" s="337"/>
      <c r="LOD92" s="337"/>
      <c r="LOE92" s="337"/>
      <c r="LOF92" s="337"/>
      <c r="LOG92" s="337"/>
      <c r="LOH92" s="337"/>
      <c r="LOI92" s="337"/>
      <c r="LOJ92" s="337"/>
      <c r="LOK92" s="337"/>
      <c r="LOL92" s="337"/>
      <c r="LOM92" s="337"/>
      <c r="LON92" s="337"/>
      <c r="LOO92" s="337"/>
      <c r="LOP92" s="337"/>
      <c r="LOQ92" s="337"/>
      <c r="LOR92" s="337"/>
      <c r="LOS92" s="337"/>
      <c r="LOT92" s="337"/>
      <c r="LOU92" s="337"/>
      <c r="LOV92" s="337"/>
      <c r="LOW92" s="337"/>
      <c r="LOX92" s="337"/>
      <c r="LOY92" s="337"/>
      <c r="LOZ92" s="337"/>
      <c r="LPA92" s="337"/>
      <c r="LPB92" s="337"/>
      <c r="LPC92" s="337"/>
      <c r="LPD92" s="337"/>
      <c r="LPE92" s="337"/>
      <c r="LPF92" s="337"/>
      <c r="LPG92" s="337"/>
      <c r="LPH92" s="337"/>
      <c r="LPI92" s="337"/>
      <c r="LPJ92" s="337"/>
      <c r="LPK92" s="337"/>
      <c r="LPL92" s="337"/>
      <c r="LPM92" s="337"/>
      <c r="LPN92" s="337"/>
      <c r="LPO92" s="337"/>
      <c r="LPP92" s="337"/>
      <c r="LPQ92" s="337"/>
      <c r="LPR92" s="337"/>
      <c r="LPS92" s="337"/>
      <c r="LPT92" s="337"/>
      <c r="LPU92" s="337"/>
      <c r="LPV92" s="337"/>
      <c r="LPW92" s="337"/>
      <c r="LPX92" s="337"/>
      <c r="LPY92" s="337"/>
      <c r="LPZ92" s="337"/>
      <c r="LQA92" s="337"/>
      <c r="LQB92" s="337"/>
      <c r="LQC92" s="337"/>
      <c r="LQD92" s="337"/>
      <c r="LQE92" s="337"/>
      <c r="LQF92" s="337"/>
      <c r="LQG92" s="337"/>
      <c r="LQH92" s="337"/>
      <c r="LQI92" s="337"/>
      <c r="LQJ92" s="337"/>
      <c r="LQK92" s="337"/>
      <c r="LQL92" s="337"/>
      <c r="LQM92" s="337"/>
      <c r="LQN92" s="337"/>
      <c r="LQO92" s="337"/>
      <c r="LQP92" s="337"/>
      <c r="LQQ92" s="337"/>
      <c r="LQR92" s="337"/>
      <c r="LQS92" s="337"/>
      <c r="LQT92" s="337"/>
      <c r="LQU92" s="337"/>
      <c r="LQV92" s="337"/>
      <c r="LQW92" s="337"/>
      <c r="LQX92" s="337"/>
      <c r="LQY92" s="337"/>
      <c r="LQZ92" s="337"/>
      <c r="LRA92" s="337"/>
      <c r="LRB92" s="337"/>
      <c r="LRC92" s="337"/>
      <c r="LRD92" s="337"/>
      <c r="LRE92" s="337"/>
      <c r="LRF92" s="337"/>
      <c r="LRG92" s="337"/>
      <c r="LRH92" s="337"/>
      <c r="LRI92" s="337"/>
      <c r="LRJ92" s="337"/>
      <c r="LRK92" s="337"/>
      <c r="LRL92" s="337"/>
      <c r="LRM92" s="337"/>
      <c r="LRN92" s="337"/>
      <c r="LRO92" s="337"/>
      <c r="LRP92" s="337"/>
      <c r="LRQ92" s="337"/>
      <c r="LRR92" s="337"/>
      <c r="LRS92" s="337"/>
      <c r="LRT92" s="337"/>
      <c r="LRU92" s="337"/>
      <c r="LRV92" s="337"/>
      <c r="LRW92" s="337"/>
      <c r="LRX92" s="337"/>
      <c r="LRY92" s="337"/>
      <c r="LRZ92" s="337"/>
      <c r="LSA92" s="337"/>
      <c r="LSB92" s="337"/>
      <c r="LSC92" s="337"/>
      <c r="LSD92" s="337"/>
      <c r="LSE92" s="337"/>
      <c r="LSF92" s="337"/>
      <c r="LSG92" s="337"/>
      <c r="LSH92" s="337"/>
      <c r="LSI92" s="337"/>
      <c r="LSJ92" s="337"/>
      <c r="LSK92" s="337"/>
      <c r="LSL92" s="337"/>
      <c r="LSM92" s="337"/>
      <c r="LSN92" s="337"/>
      <c r="LSO92" s="337"/>
      <c r="LSP92" s="337"/>
      <c r="LSQ92" s="337"/>
      <c r="LSR92" s="337"/>
      <c r="LSS92" s="337"/>
      <c r="LST92" s="337"/>
      <c r="LSU92" s="337"/>
      <c r="LSV92" s="337"/>
      <c r="LSW92" s="337"/>
      <c r="LSX92" s="337"/>
      <c r="LSY92" s="337"/>
      <c r="LSZ92" s="337"/>
      <c r="LTA92" s="337"/>
      <c r="LTB92" s="337"/>
      <c r="LTC92" s="337"/>
      <c r="LTD92" s="337"/>
      <c r="LTE92" s="337"/>
      <c r="LTF92" s="337"/>
      <c r="LTG92" s="337"/>
      <c r="LTH92" s="337"/>
      <c r="LTI92" s="337"/>
      <c r="LTJ92" s="337"/>
      <c r="LTK92" s="337"/>
      <c r="LTL92" s="337"/>
      <c r="LTM92" s="337"/>
      <c r="LTN92" s="337"/>
      <c r="LTO92" s="337"/>
      <c r="LTP92" s="337"/>
      <c r="LTQ92" s="337"/>
      <c r="LTR92" s="337"/>
      <c r="LTS92" s="337"/>
      <c r="LTT92" s="337"/>
      <c r="LTU92" s="337"/>
      <c r="LTV92" s="337"/>
      <c r="LTW92" s="337"/>
      <c r="LTX92" s="337"/>
      <c r="LTY92" s="337"/>
      <c r="LTZ92" s="337"/>
      <c r="LUA92" s="337"/>
      <c r="LUB92" s="337"/>
      <c r="LUC92" s="337"/>
      <c r="LUD92" s="337"/>
      <c r="LUE92" s="337"/>
      <c r="LUF92" s="337"/>
      <c r="LUG92" s="337"/>
      <c r="LUH92" s="337"/>
      <c r="LUI92" s="337"/>
      <c r="LUJ92" s="337"/>
      <c r="LUK92" s="337"/>
      <c r="LUL92" s="337"/>
      <c r="LUM92" s="337"/>
      <c r="LUN92" s="337"/>
      <c r="LUO92" s="337"/>
      <c r="LUP92" s="337"/>
      <c r="LUQ92" s="337"/>
      <c r="LUR92" s="337"/>
      <c r="LUS92" s="337"/>
      <c r="LUT92" s="337"/>
      <c r="LUU92" s="337"/>
      <c r="LUV92" s="337"/>
      <c r="LUW92" s="337"/>
      <c r="LUX92" s="337"/>
      <c r="LUY92" s="337"/>
      <c r="LUZ92" s="337"/>
      <c r="LVA92" s="337"/>
      <c r="LVB92" s="337"/>
      <c r="LVC92" s="337"/>
      <c r="LVD92" s="337"/>
      <c r="LVE92" s="337"/>
      <c r="LVF92" s="337"/>
      <c r="LVG92" s="337"/>
      <c r="LVH92" s="337"/>
      <c r="LVI92" s="337"/>
      <c r="LVJ92" s="337"/>
      <c r="LVK92" s="337"/>
      <c r="LVL92" s="337"/>
      <c r="LVM92" s="337"/>
      <c r="LVN92" s="337"/>
      <c r="LVO92" s="337"/>
      <c r="LVP92" s="337"/>
      <c r="LVQ92" s="337"/>
      <c r="LVR92" s="337"/>
      <c r="LVS92" s="337"/>
      <c r="LVT92" s="337"/>
      <c r="LVU92" s="337"/>
      <c r="LVV92" s="337"/>
      <c r="LVW92" s="337"/>
      <c r="LVX92" s="337"/>
      <c r="LVY92" s="337"/>
      <c r="LVZ92" s="337"/>
      <c r="LWA92" s="337"/>
      <c r="LWB92" s="337"/>
      <c r="LWC92" s="337"/>
      <c r="LWD92" s="337"/>
      <c r="LWE92" s="337"/>
      <c r="LWF92" s="337"/>
      <c r="LWG92" s="337"/>
      <c r="LWH92" s="337"/>
      <c r="LWI92" s="337"/>
      <c r="LWJ92" s="337"/>
      <c r="LWK92" s="337"/>
      <c r="LWL92" s="337"/>
      <c r="LWM92" s="337"/>
      <c r="LWN92" s="337"/>
      <c r="LWO92" s="337"/>
      <c r="LWP92" s="337"/>
      <c r="LWQ92" s="337"/>
      <c r="LWR92" s="337"/>
      <c r="LWS92" s="337"/>
      <c r="LWT92" s="337"/>
      <c r="LWU92" s="337"/>
      <c r="LWV92" s="337"/>
      <c r="LWW92" s="337"/>
      <c r="LWX92" s="337"/>
      <c r="LWY92" s="337"/>
      <c r="LWZ92" s="337"/>
      <c r="LXA92" s="337"/>
      <c r="LXB92" s="337"/>
      <c r="LXC92" s="337"/>
      <c r="LXD92" s="337"/>
      <c r="LXE92" s="337"/>
      <c r="LXF92" s="337"/>
      <c r="LXG92" s="337"/>
      <c r="LXH92" s="337"/>
      <c r="LXI92" s="337"/>
      <c r="LXJ92" s="337"/>
      <c r="LXK92" s="337"/>
      <c r="LXL92" s="337"/>
      <c r="LXM92" s="337"/>
      <c r="LXN92" s="337"/>
      <c r="LXO92" s="337"/>
      <c r="LXP92" s="337"/>
      <c r="LXQ92" s="337"/>
      <c r="LXR92" s="337"/>
      <c r="LXS92" s="337"/>
      <c r="LXT92" s="337"/>
      <c r="LXU92" s="337"/>
      <c r="LXV92" s="337"/>
      <c r="LXW92" s="337"/>
      <c r="LXX92" s="337"/>
      <c r="LXY92" s="337"/>
      <c r="LXZ92" s="337"/>
      <c r="LYA92" s="337"/>
      <c r="LYB92" s="337"/>
      <c r="LYC92" s="337"/>
      <c r="LYD92" s="337"/>
      <c r="LYE92" s="337"/>
      <c r="LYF92" s="337"/>
      <c r="LYG92" s="337"/>
      <c r="LYH92" s="337"/>
      <c r="LYI92" s="337"/>
      <c r="LYJ92" s="337"/>
      <c r="LYK92" s="337"/>
      <c r="LYL92" s="337"/>
      <c r="LYM92" s="337"/>
      <c r="LYN92" s="337"/>
      <c r="LYO92" s="337"/>
      <c r="LYP92" s="337"/>
      <c r="LYQ92" s="337"/>
      <c r="LYR92" s="337"/>
      <c r="LYS92" s="337"/>
      <c r="LYT92" s="337"/>
      <c r="LYU92" s="337"/>
      <c r="LYV92" s="337"/>
      <c r="LYW92" s="337"/>
      <c r="LYX92" s="337"/>
      <c r="LYY92" s="337"/>
      <c r="LYZ92" s="337"/>
      <c r="LZA92" s="337"/>
      <c r="LZB92" s="337"/>
      <c r="LZC92" s="337"/>
      <c r="LZD92" s="337"/>
      <c r="LZE92" s="337"/>
      <c r="LZF92" s="337"/>
      <c r="LZG92" s="337"/>
      <c r="LZH92" s="337"/>
      <c r="LZI92" s="337"/>
      <c r="LZJ92" s="337"/>
      <c r="LZK92" s="337"/>
      <c r="LZL92" s="337"/>
      <c r="LZM92" s="337"/>
      <c r="LZN92" s="337"/>
      <c r="LZO92" s="337"/>
      <c r="LZP92" s="337"/>
      <c r="LZQ92" s="337"/>
      <c r="LZR92" s="337"/>
      <c r="LZS92" s="337"/>
      <c r="LZT92" s="337"/>
      <c r="LZU92" s="337"/>
      <c r="LZV92" s="337"/>
      <c r="LZW92" s="337"/>
      <c r="LZX92" s="337"/>
      <c r="LZY92" s="337"/>
      <c r="LZZ92" s="337"/>
      <c r="MAA92" s="337"/>
      <c r="MAB92" s="337"/>
      <c r="MAC92" s="337"/>
      <c r="MAD92" s="337"/>
      <c r="MAE92" s="337"/>
      <c r="MAF92" s="337"/>
      <c r="MAG92" s="337"/>
      <c r="MAH92" s="337"/>
      <c r="MAI92" s="337"/>
      <c r="MAJ92" s="337"/>
      <c r="MAK92" s="337"/>
      <c r="MAL92" s="337"/>
      <c r="MAM92" s="337"/>
      <c r="MAN92" s="337"/>
      <c r="MAO92" s="337"/>
      <c r="MAP92" s="337"/>
      <c r="MAQ92" s="337"/>
      <c r="MAR92" s="337"/>
      <c r="MAS92" s="337"/>
      <c r="MAT92" s="337"/>
      <c r="MAU92" s="337"/>
      <c r="MAV92" s="337"/>
      <c r="MAW92" s="337"/>
      <c r="MAX92" s="337"/>
      <c r="MAY92" s="337"/>
      <c r="MAZ92" s="337"/>
      <c r="MBA92" s="337"/>
      <c r="MBB92" s="337"/>
      <c r="MBC92" s="337"/>
      <c r="MBD92" s="337"/>
      <c r="MBE92" s="337"/>
      <c r="MBF92" s="337"/>
      <c r="MBG92" s="337"/>
      <c r="MBH92" s="337"/>
      <c r="MBI92" s="337"/>
      <c r="MBJ92" s="337"/>
      <c r="MBK92" s="337"/>
      <c r="MBL92" s="337"/>
      <c r="MBM92" s="337"/>
      <c r="MBN92" s="337"/>
      <c r="MBO92" s="337"/>
      <c r="MBP92" s="337"/>
      <c r="MBQ92" s="337"/>
      <c r="MBR92" s="337"/>
      <c r="MBS92" s="337"/>
      <c r="MBT92" s="337"/>
      <c r="MBU92" s="337"/>
      <c r="MBV92" s="337"/>
      <c r="MBW92" s="337"/>
      <c r="MBX92" s="337"/>
      <c r="MBY92" s="337"/>
      <c r="MBZ92" s="337"/>
      <c r="MCA92" s="337"/>
      <c r="MCB92" s="337"/>
      <c r="MCC92" s="337"/>
      <c r="MCD92" s="337"/>
      <c r="MCE92" s="337"/>
      <c r="MCF92" s="337"/>
      <c r="MCG92" s="337"/>
      <c r="MCH92" s="337"/>
      <c r="MCI92" s="337"/>
      <c r="MCJ92" s="337"/>
      <c r="MCK92" s="337"/>
      <c r="MCL92" s="337"/>
      <c r="MCM92" s="337"/>
      <c r="MCN92" s="337"/>
      <c r="MCO92" s="337"/>
      <c r="MCP92" s="337"/>
      <c r="MCQ92" s="337"/>
      <c r="MCR92" s="337"/>
      <c r="MCS92" s="337"/>
      <c r="MCT92" s="337"/>
      <c r="MCU92" s="337"/>
      <c r="MCV92" s="337"/>
      <c r="MCW92" s="337"/>
      <c r="MCX92" s="337"/>
      <c r="MCY92" s="337"/>
      <c r="MCZ92" s="337"/>
      <c r="MDA92" s="337"/>
      <c r="MDB92" s="337"/>
      <c r="MDC92" s="337"/>
      <c r="MDD92" s="337"/>
      <c r="MDE92" s="337"/>
      <c r="MDF92" s="337"/>
      <c r="MDG92" s="337"/>
      <c r="MDH92" s="337"/>
      <c r="MDI92" s="337"/>
      <c r="MDJ92" s="337"/>
      <c r="MDK92" s="337"/>
      <c r="MDL92" s="337"/>
      <c r="MDM92" s="337"/>
      <c r="MDN92" s="337"/>
      <c r="MDO92" s="337"/>
      <c r="MDP92" s="337"/>
      <c r="MDQ92" s="337"/>
      <c r="MDR92" s="337"/>
      <c r="MDS92" s="337"/>
      <c r="MDT92" s="337"/>
      <c r="MDU92" s="337"/>
      <c r="MDV92" s="337"/>
      <c r="MDW92" s="337"/>
      <c r="MDX92" s="337"/>
      <c r="MDY92" s="337"/>
      <c r="MDZ92" s="337"/>
      <c r="MEA92" s="337"/>
      <c r="MEB92" s="337"/>
      <c r="MEC92" s="337"/>
      <c r="MED92" s="337"/>
      <c r="MEE92" s="337"/>
      <c r="MEF92" s="337"/>
      <c r="MEG92" s="337"/>
      <c r="MEH92" s="337"/>
      <c r="MEI92" s="337"/>
      <c r="MEJ92" s="337"/>
      <c r="MEK92" s="337"/>
      <c r="MEL92" s="337"/>
      <c r="MEM92" s="337"/>
      <c r="MEN92" s="337"/>
      <c r="MEO92" s="337"/>
      <c r="MEP92" s="337"/>
      <c r="MEQ92" s="337"/>
      <c r="MER92" s="337"/>
      <c r="MES92" s="337"/>
      <c r="MET92" s="337"/>
      <c r="MEU92" s="337"/>
      <c r="MEV92" s="337"/>
      <c r="MEW92" s="337"/>
      <c r="MEX92" s="337"/>
      <c r="MEY92" s="337"/>
      <c r="MEZ92" s="337"/>
      <c r="MFA92" s="337"/>
      <c r="MFB92" s="337"/>
      <c r="MFC92" s="337"/>
      <c r="MFD92" s="337"/>
      <c r="MFE92" s="337"/>
      <c r="MFF92" s="337"/>
      <c r="MFG92" s="337"/>
      <c r="MFH92" s="337"/>
      <c r="MFI92" s="337"/>
      <c r="MFJ92" s="337"/>
      <c r="MFK92" s="337"/>
      <c r="MFL92" s="337"/>
      <c r="MFM92" s="337"/>
      <c r="MFN92" s="337"/>
      <c r="MFO92" s="337"/>
      <c r="MFP92" s="337"/>
      <c r="MFQ92" s="337"/>
      <c r="MFR92" s="337"/>
      <c r="MFS92" s="337"/>
      <c r="MFT92" s="337"/>
      <c r="MFU92" s="337"/>
      <c r="MFV92" s="337"/>
      <c r="MFW92" s="337"/>
      <c r="MFX92" s="337"/>
      <c r="MFY92" s="337"/>
      <c r="MFZ92" s="337"/>
      <c r="MGA92" s="337"/>
      <c r="MGB92" s="337"/>
      <c r="MGC92" s="337"/>
      <c r="MGD92" s="337"/>
      <c r="MGE92" s="337"/>
      <c r="MGF92" s="337"/>
      <c r="MGG92" s="337"/>
      <c r="MGH92" s="337"/>
      <c r="MGI92" s="337"/>
      <c r="MGJ92" s="337"/>
      <c r="MGK92" s="337"/>
      <c r="MGL92" s="337"/>
      <c r="MGM92" s="337"/>
      <c r="MGN92" s="337"/>
      <c r="MGO92" s="337"/>
      <c r="MGP92" s="337"/>
      <c r="MGQ92" s="337"/>
      <c r="MGR92" s="337"/>
      <c r="MGS92" s="337"/>
      <c r="MGT92" s="337"/>
      <c r="MGU92" s="337"/>
      <c r="MGV92" s="337"/>
      <c r="MGW92" s="337"/>
      <c r="MGX92" s="337"/>
      <c r="MGY92" s="337"/>
      <c r="MGZ92" s="337"/>
      <c r="MHA92" s="337"/>
      <c r="MHB92" s="337"/>
      <c r="MHC92" s="337"/>
      <c r="MHD92" s="337"/>
      <c r="MHE92" s="337"/>
      <c r="MHF92" s="337"/>
      <c r="MHG92" s="337"/>
      <c r="MHH92" s="337"/>
      <c r="MHI92" s="337"/>
      <c r="MHJ92" s="337"/>
      <c r="MHK92" s="337"/>
      <c r="MHL92" s="337"/>
      <c r="MHM92" s="337"/>
      <c r="MHN92" s="337"/>
      <c r="MHO92" s="337"/>
      <c r="MHP92" s="337"/>
      <c r="MHQ92" s="337"/>
      <c r="MHR92" s="337"/>
      <c r="MHS92" s="337"/>
      <c r="MHT92" s="337"/>
      <c r="MHU92" s="337"/>
      <c r="MHV92" s="337"/>
      <c r="MHW92" s="337"/>
      <c r="MHX92" s="337"/>
      <c r="MHY92" s="337"/>
      <c r="MHZ92" s="337"/>
      <c r="MIA92" s="337"/>
      <c r="MIB92" s="337"/>
      <c r="MIC92" s="337"/>
      <c r="MID92" s="337"/>
      <c r="MIE92" s="337"/>
      <c r="MIF92" s="337"/>
      <c r="MIG92" s="337"/>
      <c r="MIH92" s="337"/>
      <c r="MII92" s="337"/>
      <c r="MIJ92" s="337"/>
      <c r="MIK92" s="337"/>
      <c r="MIL92" s="337"/>
      <c r="MIM92" s="337"/>
      <c r="MIN92" s="337"/>
      <c r="MIO92" s="337"/>
      <c r="MIP92" s="337"/>
      <c r="MIQ92" s="337"/>
      <c r="MIR92" s="337"/>
      <c r="MIS92" s="337"/>
      <c r="MIT92" s="337"/>
      <c r="MIU92" s="337"/>
      <c r="MIV92" s="337"/>
      <c r="MIW92" s="337"/>
      <c r="MIX92" s="337"/>
      <c r="MIY92" s="337"/>
      <c r="MIZ92" s="337"/>
      <c r="MJA92" s="337"/>
      <c r="MJB92" s="337"/>
      <c r="MJC92" s="337"/>
      <c r="MJD92" s="337"/>
      <c r="MJE92" s="337"/>
      <c r="MJF92" s="337"/>
      <c r="MJG92" s="337"/>
      <c r="MJH92" s="337"/>
      <c r="MJI92" s="337"/>
      <c r="MJJ92" s="337"/>
      <c r="MJK92" s="337"/>
      <c r="MJL92" s="337"/>
      <c r="MJM92" s="337"/>
      <c r="MJN92" s="337"/>
      <c r="MJO92" s="337"/>
      <c r="MJP92" s="337"/>
      <c r="MJQ92" s="337"/>
      <c r="MJR92" s="337"/>
      <c r="MJS92" s="337"/>
      <c r="MJT92" s="337"/>
      <c r="MJU92" s="337"/>
      <c r="MJV92" s="337"/>
      <c r="MJW92" s="337"/>
      <c r="MJX92" s="337"/>
      <c r="MJY92" s="337"/>
      <c r="MJZ92" s="337"/>
      <c r="MKA92" s="337"/>
      <c r="MKB92" s="337"/>
      <c r="MKC92" s="337"/>
      <c r="MKD92" s="337"/>
      <c r="MKE92" s="337"/>
      <c r="MKF92" s="337"/>
      <c r="MKG92" s="337"/>
      <c r="MKH92" s="337"/>
      <c r="MKI92" s="337"/>
      <c r="MKJ92" s="337"/>
      <c r="MKK92" s="337"/>
      <c r="MKL92" s="337"/>
      <c r="MKM92" s="337"/>
      <c r="MKN92" s="337"/>
      <c r="MKO92" s="337"/>
      <c r="MKP92" s="337"/>
      <c r="MKQ92" s="337"/>
      <c r="MKR92" s="337"/>
      <c r="MKS92" s="337"/>
      <c r="MKT92" s="337"/>
      <c r="MKU92" s="337"/>
      <c r="MKV92" s="337"/>
      <c r="MKW92" s="337"/>
      <c r="MKX92" s="337"/>
      <c r="MKY92" s="337"/>
      <c r="MKZ92" s="337"/>
      <c r="MLA92" s="337"/>
      <c r="MLB92" s="337"/>
      <c r="MLC92" s="337"/>
      <c r="MLD92" s="337"/>
      <c r="MLE92" s="337"/>
      <c r="MLF92" s="337"/>
      <c r="MLG92" s="337"/>
      <c r="MLH92" s="337"/>
      <c r="MLI92" s="337"/>
      <c r="MLJ92" s="337"/>
      <c r="MLK92" s="337"/>
      <c r="MLL92" s="337"/>
      <c r="MLM92" s="337"/>
      <c r="MLN92" s="337"/>
      <c r="MLO92" s="337"/>
      <c r="MLP92" s="337"/>
      <c r="MLQ92" s="337"/>
      <c r="MLR92" s="337"/>
      <c r="MLS92" s="337"/>
      <c r="MLT92" s="337"/>
      <c r="MLU92" s="337"/>
      <c r="MLV92" s="337"/>
      <c r="MLW92" s="337"/>
      <c r="MLX92" s="337"/>
      <c r="MLY92" s="337"/>
      <c r="MLZ92" s="337"/>
      <c r="MMA92" s="337"/>
      <c r="MMB92" s="337"/>
      <c r="MMC92" s="337"/>
      <c r="MMD92" s="337"/>
      <c r="MME92" s="337"/>
      <c r="MMF92" s="337"/>
      <c r="MMG92" s="337"/>
      <c r="MMH92" s="337"/>
      <c r="MMI92" s="337"/>
      <c r="MMJ92" s="337"/>
      <c r="MMK92" s="337"/>
      <c r="MML92" s="337"/>
      <c r="MMM92" s="337"/>
      <c r="MMN92" s="337"/>
      <c r="MMO92" s="337"/>
      <c r="MMP92" s="337"/>
      <c r="MMQ92" s="337"/>
      <c r="MMR92" s="337"/>
      <c r="MMS92" s="337"/>
      <c r="MMT92" s="337"/>
      <c r="MMU92" s="337"/>
      <c r="MMV92" s="337"/>
      <c r="MMW92" s="337"/>
      <c r="MMX92" s="337"/>
      <c r="MMY92" s="337"/>
      <c r="MMZ92" s="337"/>
      <c r="MNA92" s="337"/>
      <c r="MNB92" s="337"/>
      <c r="MNC92" s="337"/>
      <c r="MND92" s="337"/>
      <c r="MNE92" s="337"/>
      <c r="MNF92" s="337"/>
      <c r="MNG92" s="337"/>
      <c r="MNH92" s="337"/>
      <c r="MNI92" s="337"/>
      <c r="MNJ92" s="337"/>
      <c r="MNK92" s="337"/>
      <c r="MNL92" s="337"/>
      <c r="MNM92" s="337"/>
      <c r="MNN92" s="337"/>
      <c r="MNO92" s="337"/>
      <c r="MNP92" s="337"/>
      <c r="MNQ92" s="337"/>
      <c r="MNR92" s="337"/>
      <c r="MNS92" s="337"/>
      <c r="MNT92" s="337"/>
      <c r="MNU92" s="337"/>
      <c r="MNV92" s="337"/>
      <c r="MNW92" s="337"/>
      <c r="MNX92" s="337"/>
      <c r="MNY92" s="337"/>
      <c r="MNZ92" s="337"/>
      <c r="MOA92" s="337"/>
      <c r="MOB92" s="337"/>
      <c r="MOC92" s="337"/>
      <c r="MOD92" s="337"/>
      <c r="MOE92" s="337"/>
      <c r="MOF92" s="337"/>
      <c r="MOG92" s="337"/>
      <c r="MOH92" s="337"/>
      <c r="MOI92" s="337"/>
      <c r="MOJ92" s="337"/>
      <c r="MOK92" s="337"/>
      <c r="MOL92" s="337"/>
      <c r="MOM92" s="337"/>
      <c r="MON92" s="337"/>
      <c r="MOO92" s="337"/>
      <c r="MOP92" s="337"/>
      <c r="MOQ92" s="337"/>
      <c r="MOR92" s="337"/>
      <c r="MOS92" s="337"/>
      <c r="MOT92" s="337"/>
      <c r="MOU92" s="337"/>
      <c r="MOV92" s="337"/>
      <c r="MOW92" s="337"/>
      <c r="MOX92" s="337"/>
      <c r="MOY92" s="337"/>
      <c r="MOZ92" s="337"/>
      <c r="MPA92" s="337"/>
      <c r="MPB92" s="337"/>
      <c r="MPC92" s="337"/>
      <c r="MPD92" s="337"/>
      <c r="MPE92" s="337"/>
      <c r="MPF92" s="337"/>
      <c r="MPG92" s="337"/>
      <c r="MPH92" s="337"/>
      <c r="MPI92" s="337"/>
      <c r="MPJ92" s="337"/>
      <c r="MPK92" s="337"/>
      <c r="MPL92" s="337"/>
      <c r="MPM92" s="337"/>
      <c r="MPN92" s="337"/>
      <c r="MPO92" s="337"/>
      <c r="MPP92" s="337"/>
      <c r="MPQ92" s="337"/>
      <c r="MPR92" s="337"/>
      <c r="MPS92" s="337"/>
      <c r="MPT92" s="337"/>
      <c r="MPU92" s="337"/>
      <c r="MPV92" s="337"/>
      <c r="MPW92" s="337"/>
      <c r="MPX92" s="337"/>
      <c r="MPY92" s="337"/>
      <c r="MPZ92" s="337"/>
      <c r="MQA92" s="337"/>
      <c r="MQB92" s="337"/>
      <c r="MQC92" s="337"/>
      <c r="MQD92" s="337"/>
      <c r="MQE92" s="337"/>
      <c r="MQF92" s="337"/>
      <c r="MQG92" s="337"/>
      <c r="MQH92" s="337"/>
      <c r="MQI92" s="337"/>
      <c r="MQJ92" s="337"/>
      <c r="MQK92" s="337"/>
      <c r="MQL92" s="337"/>
      <c r="MQM92" s="337"/>
      <c r="MQN92" s="337"/>
      <c r="MQO92" s="337"/>
      <c r="MQP92" s="337"/>
      <c r="MQQ92" s="337"/>
      <c r="MQR92" s="337"/>
      <c r="MQS92" s="337"/>
      <c r="MQT92" s="337"/>
      <c r="MQU92" s="337"/>
      <c r="MQV92" s="337"/>
      <c r="MQW92" s="337"/>
      <c r="MQX92" s="337"/>
      <c r="MQY92" s="337"/>
      <c r="MQZ92" s="337"/>
      <c r="MRA92" s="337"/>
      <c r="MRB92" s="337"/>
      <c r="MRC92" s="337"/>
      <c r="MRD92" s="337"/>
      <c r="MRE92" s="337"/>
      <c r="MRF92" s="337"/>
      <c r="MRG92" s="337"/>
      <c r="MRH92" s="337"/>
      <c r="MRI92" s="337"/>
      <c r="MRJ92" s="337"/>
      <c r="MRK92" s="337"/>
      <c r="MRL92" s="337"/>
      <c r="MRM92" s="337"/>
      <c r="MRN92" s="337"/>
      <c r="MRO92" s="337"/>
      <c r="MRP92" s="337"/>
      <c r="MRQ92" s="337"/>
      <c r="MRR92" s="337"/>
      <c r="MRS92" s="337"/>
      <c r="MRT92" s="337"/>
      <c r="MRU92" s="337"/>
      <c r="MRV92" s="337"/>
      <c r="MRW92" s="337"/>
      <c r="MRX92" s="337"/>
      <c r="MRY92" s="337"/>
      <c r="MRZ92" s="337"/>
      <c r="MSA92" s="337"/>
      <c r="MSB92" s="337"/>
      <c r="MSC92" s="337"/>
      <c r="MSD92" s="337"/>
      <c r="MSE92" s="337"/>
      <c r="MSF92" s="337"/>
      <c r="MSG92" s="337"/>
      <c r="MSH92" s="337"/>
      <c r="MSI92" s="337"/>
      <c r="MSJ92" s="337"/>
      <c r="MSK92" s="337"/>
      <c r="MSL92" s="337"/>
      <c r="MSM92" s="337"/>
      <c r="MSN92" s="337"/>
      <c r="MSO92" s="337"/>
      <c r="MSP92" s="337"/>
      <c r="MSQ92" s="337"/>
      <c r="MSR92" s="337"/>
      <c r="MSS92" s="337"/>
      <c r="MST92" s="337"/>
      <c r="MSU92" s="337"/>
      <c r="MSV92" s="337"/>
      <c r="MSW92" s="337"/>
      <c r="MSX92" s="337"/>
      <c r="MSY92" s="337"/>
      <c r="MSZ92" s="337"/>
      <c r="MTA92" s="337"/>
      <c r="MTB92" s="337"/>
      <c r="MTC92" s="337"/>
      <c r="MTD92" s="337"/>
      <c r="MTE92" s="337"/>
      <c r="MTF92" s="337"/>
      <c r="MTG92" s="337"/>
      <c r="MTH92" s="337"/>
      <c r="MTI92" s="337"/>
      <c r="MTJ92" s="337"/>
      <c r="MTK92" s="337"/>
      <c r="MTL92" s="337"/>
      <c r="MTM92" s="337"/>
      <c r="MTN92" s="337"/>
      <c r="MTO92" s="337"/>
      <c r="MTP92" s="337"/>
      <c r="MTQ92" s="337"/>
      <c r="MTR92" s="337"/>
      <c r="MTS92" s="337"/>
      <c r="MTT92" s="337"/>
      <c r="MTU92" s="337"/>
      <c r="MTV92" s="337"/>
      <c r="MTW92" s="337"/>
      <c r="MTX92" s="337"/>
      <c r="MTY92" s="337"/>
      <c r="MTZ92" s="337"/>
      <c r="MUA92" s="337"/>
      <c r="MUB92" s="337"/>
      <c r="MUC92" s="337"/>
      <c r="MUD92" s="337"/>
      <c r="MUE92" s="337"/>
      <c r="MUF92" s="337"/>
      <c r="MUG92" s="337"/>
      <c r="MUH92" s="337"/>
      <c r="MUI92" s="337"/>
      <c r="MUJ92" s="337"/>
      <c r="MUK92" s="337"/>
      <c r="MUL92" s="337"/>
      <c r="MUM92" s="337"/>
      <c r="MUN92" s="337"/>
      <c r="MUO92" s="337"/>
      <c r="MUP92" s="337"/>
      <c r="MUQ92" s="337"/>
      <c r="MUR92" s="337"/>
      <c r="MUS92" s="337"/>
      <c r="MUT92" s="337"/>
      <c r="MUU92" s="337"/>
      <c r="MUV92" s="337"/>
      <c r="MUW92" s="337"/>
      <c r="MUX92" s="337"/>
      <c r="MUY92" s="337"/>
      <c r="MUZ92" s="337"/>
      <c r="MVA92" s="337"/>
      <c r="MVB92" s="337"/>
      <c r="MVC92" s="337"/>
      <c r="MVD92" s="337"/>
      <c r="MVE92" s="337"/>
      <c r="MVF92" s="337"/>
      <c r="MVG92" s="337"/>
      <c r="MVH92" s="337"/>
      <c r="MVI92" s="337"/>
      <c r="MVJ92" s="337"/>
      <c r="MVK92" s="337"/>
      <c r="MVL92" s="337"/>
      <c r="MVM92" s="337"/>
      <c r="MVN92" s="337"/>
      <c r="MVO92" s="337"/>
      <c r="MVP92" s="337"/>
      <c r="MVQ92" s="337"/>
      <c r="MVR92" s="337"/>
      <c r="MVS92" s="337"/>
      <c r="MVT92" s="337"/>
      <c r="MVU92" s="337"/>
      <c r="MVV92" s="337"/>
      <c r="MVW92" s="337"/>
      <c r="MVX92" s="337"/>
      <c r="MVY92" s="337"/>
      <c r="MVZ92" s="337"/>
      <c r="MWA92" s="337"/>
      <c r="MWB92" s="337"/>
      <c r="MWC92" s="337"/>
      <c r="MWD92" s="337"/>
      <c r="MWE92" s="337"/>
      <c r="MWF92" s="337"/>
      <c r="MWG92" s="337"/>
      <c r="MWH92" s="337"/>
      <c r="MWI92" s="337"/>
      <c r="MWJ92" s="337"/>
      <c r="MWK92" s="337"/>
      <c r="MWL92" s="337"/>
      <c r="MWM92" s="337"/>
      <c r="MWN92" s="337"/>
      <c r="MWO92" s="337"/>
      <c r="MWP92" s="337"/>
      <c r="MWQ92" s="337"/>
      <c r="MWR92" s="337"/>
      <c r="MWS92" s="337"/>
      <c r="MWT92" s="337"/>
      <c r="MWU92" s="337"/>
      <c r="MWV92" s="337"/>
      <c r="MWW92" s="337"/>
      <c r="MWX92" s="337"/>
      <c r="MWY92" s="337"/>
      <c r="MWZ92" s="337"/>
      <c r="MXA92" s="337"/>
      <c r="MXB92" s="337"/>
      <c r="MXC92" s="337"/>
      <c r="MXD92" s="337"/>
      <c r="MXE92" s="337"/>
      <c r="MXF92" s="337"/>
      <c r="MXG92" s="337"/>
      <c r="MXH92" s="337"/>
      <c r="MXI92" s="337"/>
      <c r="MXJ92" s="337"/>
      <c r="MXK92" s="337"/>
      <c r="MXL92" s="337"/>
      <c r="MXM92" s="337"/>
      <c r="MXN92" s="337"/>
      <c r="MXO92" s="337"/>
      <c r="MXP92" s="337"/>
      <c r="MXQ92" s="337"/>
      <c r="MXR92" s="337"/>
      <c r="MXS92" s="337"/>
      <c r="MXT92" s="337"/>
      <c r="MXU92" s="337"/>
      <c r="MXV92" s="337"/>
      <c r="MXW92" s="337"/>
      <c r="MXX92" s="337"/>
      <c r="MXY92" s="337"/>
      <c r="MXZ92" s="337"/>
      <c r="MYA92" s="337"/>
      <c r="MYB92" s="337"/>
      <c r="MYC92" s="337"/>
      <c r="MYD92" s="337"/>
      <c r="MYE92" s="337"/>
      <c r="MYF92" s="337"/>
      <c r="MYG92" s="337"/>
      <c r="MYH92" s="337"/>
      <c r="MYI92" s="337"/>
      <c r="MYJ92" s="337"/>
      <c r="MYK92" s="337"/>
      <c r="MYL92" s="337"/>
      <c r="MYM92" s="337"/>
      <c r="MYN92" s="337"/>
      <c r="MYO92" s="337"/>
      <c r="MYP92" s="337"/>
      <c r="MYQ92" s="337"/>
      <c r="MYR92" s="337"/>
      <c r="MYS92" s="337"/>
      <c r="MYT92" s="337"/>
      <c r="MYU92" s="337"/>
      <c r="MYV92" s="337"/>
      <c r="MYW92" s="337"/>
      <c r="MYX92" s="337"/>
      <c r="MYY92" s="337"/>
      <c r="MYZ92" s="337"/>
      <c r="MZA92" s="337"/>
      <c r="MZB92" s="337"/>
      <c r="MZC92" s="337"/>
      <c r="MZD92" s="337"/>
      <c r="MZE92" s="337"/>
      <c r="MZF92" s="337"/>
      <c r="MZG92" s="337"/>
      <c r="MZH92" s="337"/>
      <c r="MZI92" s="337"/>
      <c r="MZJ92" s="337"/>
      <c r="MZK92" s="337"/>
      <c r="MZL92" s="337"/>
      <c r="MZM92" s="337"/>
      <c r="MZN92" s="337"/>
      <c r="MZO92" s="337"/>
      <c r="MZP92" s="337"/>
      <c r="MZQ92" s="337"/>
      <c r="MZR92" s="337"/>
      <c r="MZS92" s="337"/>
      <c r="MZT92" s="337"/>
      <c r="MZU92" s="337"/>
      <c r="MZV92" s="337"/>
      <c r="MZW92" s="337"/>
      <c r="MZX92" s="337"/>
      <c r="MZY92" s="337"/>
      <c r="MZZ92" s="337"/>
      <c r="NAA92" s="337"/>
      <c r="NAB92" s="337"/>
      <c r="NAC92" s="337"/>
      <c r="NAD92" s="337"/>
      <c r="NAE92" s="337"/>
      <c r="NAF92" s="337"/>
      <c r="NAG92" s="337"/>
      <c r="NAH92" s="337"/>
      <c r="NAI92" s="337"/>
      <c r="NAJ92" s="337"/>
      <c r="NAK92" s="337"/>
      <c r="NAL92" s="337"/>
      <c r="NAM92" s="337"/>
      <c r="NAN92" s="337"/>
      <c r="NAO92" s="337"/>
      <c r="NAP92" s="337"/>
      <c r="NAQ92" s="337"/>
      <c r="NAR92" s="337"/>
      <c r="NAS92" s="337"/>
      <c r="NAT92" s="337"/>
      <c r="NAU92" s="337"/>
      <c r="NAV92" s="337"/>
      <c r="NAW92" s="337"/>
      <c r="NAX92" s="337"/>
      <c r="NAY92" s="337"/>
      <c r="NAZ92" s="337"/>
      <c r="NBA92" s="337"/>
      <c r="NBB92" s="337"/>
      <c r="NBC92" s="337"/>
      <c r="NBD92" s="337"/>
      <c r="NBE92" s="337"/>
      <c r="NBF92" s="337"/>
      <c r="NBG92" s="337"/>
      <c r="NBH92" s="337"/>
      <c r="NBI92" s="337"/>
      <c r="NBJ92" s="337"/>
      <c r="NBK92" s="337"/>
      <c r="NBL92" s="337"/>
      <c r="NBM92" s="337"/>
      <c r="NBN92" s="337"/>
      <c r="NBO92" s="337"/>
      <c r="NBP92" s="337"/>
      <c r="NBQ92" s="337"/>
      <c r="NBR92" s="337"/>
      <c r="NBS92" s="337"/>
      <c r="NBT92" s="337"/>
      <c r="NBU92" s="337"/>
      <c r="NBV92" s="337"/>
      <c r="NBW92" s="337"/>
      <c r="NBX92" s="337"/>
      <c r="NBY92" s="337"/>
      <c r="NBZ92" s="337"/>
      <c r="NCA92" s="337"/>
      <c r="NCB92" s="337"/>
      <c r="NCC92" s="337"/>
      <c r="NCD92" s="337"/>
      <c r="NCE92" s="337"/>
      <c r="NCF92" s="337"/>
      <c r="NCG92" s="337"/>
      <c r="NCH92" s="337"/>
      <c r="NCI92" s="337"/>
      <c r="NCJ92" s="337"/>
      <c r="NCK92" s="337"/>
      <c r="NCL92" s="337"/>
      <c r="NCM92" s="337"/>
      <c r="NCN92" s="337"/>
      <c r="NCO92" s="337"/>
      <c r="NCP92" s="337"/>
      <c r="NCQ92" s="337"/>
      <c r="NCR92" s="337"/>
      <c r="NCS92" s="337"/>
      <c r="NCT92" s="337"/>
      <c r="NCU92" s="337"/>
      <c r="NCV92" s="337"/>
      <c r="NCW92" s="337"/>
      <c r="NCX92" s="337"/>
      <c r="NCY92" s="337"/>
      <c r="NCZ92" s="337"/>
      <c r="NDA92" s="337"/>
      <c r="NDB92" s="337"/>
      <c r="NDC92" s="337"/>
      <c r="NDD92" s="337"/>
      <c r="NDE92" s="337"/>
      <c r="NDF92" s="337"/>
      <c r="NDG92" s="337"/>
      <c r="NDH92" s="337"/>
      <c r="NDI92" s="337"/>
      <c r="NDJ92" s="337"/>
      <c r="NDK92" s="337"/>
      <c r="NDL92" s="337"/>
      <c r="NDM92" s="337"/>
      <c r="NDN92" s="337"/>
      <c r="NDO92" s="337"/>
      <c r="NDP92" s="337"/>
      <c r="NDQ92" s="337"/>
      <c r="NDR92" s="337"/>
      <c r="NDS92" s="337"/>
      <c r="NDT92" s="337"/>
      <c r="NDU92" s="337"/>
      <c r="NDV92" s="337"/>
      <c r="NDW92" s="337"/>
      <c r="NDX92" s="337"/>
      <c r="NDY92" s="337"/>
      <c r="NDZ92" s="337"/>
      <c r="NEA92" s="337"/>
      <c r="NEB92" s="337"/>
      <c r="NEC92" s="337"/>
      <c r="NED92" s="337"/>
      <c r="NEE92" s="337"/>
      <c r="NEF92" s="337"/>
      <c r="NEG92" s="337"/>
      <c r="NEH92" s="337"/>
      <c r="NEI92" s="337"/>
      <c r="NEJ92" s="337"/>
      <c r="NEK92" s="337"/>
      <c r="NEL92" s="337"/>
      <c r="NEM92" s="337"/>
      <c r="NEN92" s="337"/>
      <c r="NEO92" s="337"/>
      <c r="NEP92" s="337"/>
      <c r="NEQ92" s="337"/>
      <c r="NER92" s="337"/>
      <c r="NES92" s="337"/>
      <c r="NET92" s="337"/>
      <c r="NEU92" s="337"/>
      <c r="NEV92" s="337"/>
      <c r="NEW92" s="337"/>
      <c r="NEX92" s="337"/>
      <c r="NEY92" s="337"/>
      <c r="NEZ92" s="337"/>
      <c r="NFA92" s="337"/>
      <c r="NFB92" s="337"/>
      <c r="NFC92" s="337"/>
      <c r="NFD92" s="337"/>
      <c r="NFE92" s="337"/>
      <c r="NFF92" s="337"/>
      <c r="NFG92" s="337"/>
      <c r="NFH92" s="337"/>
      <c r="NFI92" s="337"/>
      <c r="NFJ92" s="337"/>
      <c r="NFK92" s="337"/>
      <c r="NFL92" s="337"/>
      <c r="NFM92" s="337"/>
      <c r="NFN92" s="337"/>
      <c r="NFO92" s="337"/>
      <c r="NFP92" s="337"/>
      <c r="NFQ92" s="337"/>
      <c r="NFR92" s="337"/>
      <c r="NFS92" s="337"/>
      <c r="NFT92" s="337"/>
      <c r="NFU92" s="337"/>
      <c r="NFV92" s="337"/>
      <c r="NFW92" s="337"/>
      <c r="NFX92" s="337"/>
      <c r="NFY92" s="337"/>
      <c r="NFZ92" s="337"/>
      <c r="NGA92" s="337"/>
      <c r="NGB92" s="337"/>
      <c r="NGC92" s="337"/>
      <c r="NGD92" s="337"/>
      <c r="NGE92" s="337"/>
      <c r="NGF92" s="337"/>
      <c r="NGG92" s="337"/>
      <c r="NGH92" s="337"/>
      <c r="NGI92" s="337"/>
      <c r="NGJ92" s="337"/>
      <c r="NGK92" s="337"/>
      <c r="NGL92" s="337"/>
      <c r="NGM92" s="337"/>
      <c r="NGN92" s="337"/>
      <c r="NGO92" s="337"/>
      <c r="NGP92" s="337"/>
      <c r="NGQ92" s="337"/>
      <c r="NGR92" s="337"/>
      <c r="NGS92" s="337"/>
      <c r="NGT92" s="337"/>
      <c r="NGU92" s="337"/>
      <c r="NGV92" s="337"/>
      <c r="NGW92" s="337"/>
      <c r="NGX92" s="337"/>
      <c r="NGY92" s="337"/>
      <c r="NGZ92" s="337"/>
      <c r="NHA92" s="337"/>
      <c r="NHB92" s="337"/>
      <c r="NHC92" s="337"/>
      <c r="NHD92" s="337"/>
      <c r="NHE92" s="337"/>
      <c r="NHF92" s="337"/>
      <c r="NHG92" s="337"/>
      <c r="NHH92" s="337"/>
      <c r="NHI92" s="337"/>
      <c r="NHJ92" s="337"/>
      <c r="NHK92" s="337"/>
      <c r="NHL92" s="337"/>
      <c r="NHM92" s="337"/>
      <c r="NHN92" s="337"/>
      <c r="NHO92" s="337"/>
      <c r="NHP92" s="337"/>
      <c r="NHQ92" s="337"/>
      <c r="NHR92" s="337"/>
      <c r="NHS92" s="337"/>
      <c r="NHT92" s="337"/>
      <c r="NHU92" s="337"/>
      <c r="NHV92" s="337"/>
      <c r="NHW92" s="337"/>
      <c r="NHX92" s="337"/>
      <c r="NHY92" s="337"/>
      <c r="NHZ92" s="337"/>
      <c r="NIA92" s="337"/>
      <c r="NIB92" s="337"/>
      <c r="NIC92" s="337"/>
      <c r="NID92" s="337"/>
      <c r="NIE92" s="337"/>
      <c r="NIF92" s="337"/>
      <c r="NIG92" s="337"/>
      <c r="NIH92" s="337"/>
      <c r="NII92" s="337"/>
      <c r="NIJ92" s="337"/>
      <c r="NIK92" s="337"/>
      <c r="NIL92" s="337"/>
      <c r="NIM92" s="337"/>
      <c r="NIN92" s="337"/>
      <c r="NIO92" s="337"/>
      <c r="NIP92" s="337"/>
      <c r="NIQ92" s="337"/>
      <c r="NIR92" s="337"/>
      <c r="NIS92" s="337"/>
      <c r="NIT92" s="337"/>
      <c r="NIU92" s="337"/>
      <c r="NIV92" s="337"/>
      <c r="NIW92" s="337"/>
      <c r="NIX92" s="337"/>
      <c r="NIY92" s="337"/>
      <c r="NIZ92" s="337"/>
      <c r="NJA92" s="337"/>
      <c r="NJB92" s="337"/>
      <c r="NJC92" s="337"/>
      <c r="NJD92" s="337"/>
      <c r="NJE92" s="337"/>
      <c r="NJF92" s="337"/>
      <c r="NJG92" s="337"/>
      <c r="NJH92" s="337"/>
      <c r="NJI92" s="337"/>
      <c r="NJJ92" s="337"/>
      <c r="NJK92" s="337"/>
      <c r="NJL92" s="337"/>
      <c r="NJM92" s="337"/>
      <c r="NJN92" s="337"/>
      <c r="NJO92" s="337"/>
      <c r="NJP92" s="337"/>
      <c r="NJQ92" s="337"/>
      <c r="NJR92" s="337"/>
      <c r="NJS92" s="337"/>
      <c r="NJT92" s="337"/>
      <c r="NJU92" s="337"/>
      <c r="NJV92" s="337"/>
      <c r="NJW92" s="337"/>
      <c r="NJX92" s="337"/>
      <c r="NJY92" s="337"/>
      <c r="NJZ92" s="337"/>
      <c r="NKA92" s="337"/>
      <c r="NKB92" s="337"/>
      <c r="NKC92" s="337"/>
      <c r="NKD92" s="337"/>
      <c r="NKE92" s="337"/>
      <c r="NKF92" s="337"/>
      <c r="NKG92" s="337"/>
      <c r="NKH92" s="337"/>
      <c r="NKI92" s="337"/>
      <c r="NKJ92" s="337"/>
      <c r="NKK92" s="337"/>
      <c r="NKL92" s="337"/>
      <c r="NKM92" s="337"/>
      <c r="NKN92" s="337"/>
      <c r="NKO92" s="337"/>
      <c r="NKP92" s="337"/>
      <c r="NKQ92" s="337"/>
      <c r="NKR92" s="337"/>
      <c r="NKS92" s="337"/>
      <c r="NKT92" s="337"/>
      <c r="NKU92" s="337"/>
      <c r="NKV92" s="337"/>
      <c r="NKW92" s="337"/>
      <c r="NKX92" s="337"/>
      <c r="NKY92" s="337"/>
      <c r="NKZ92" s="337"/>
      <c r="NLA92" s="337"/>
      <c r="NLB92" s="337"/>
      <c r="NLC92" s="337"/>
      <c r="NLD92" s="337"/>
      <c r="NLE92" s="337"/>
      <c r="NLF92" s="337"/>
      <c r="NLG92" s="337"/>
      <c r="NLH92" s="337"/>
      <c r="NLI92" s="337"/>
      <c r="NLJ92" s="337"/>
      <c r="NLK92" s="337"/>
      <c r="NLL92" s="337"/>
      <c r="NLM92" s="337"/>
      <c r="NLN92" s="337"/>
      <c r="NLO92" s="337"/>
      <c r="NLP92" s="337"/>
      <c r="NLQ92" s="337"/>
      <c r="NLR92" s="337"/>
      <c r="NLS92" s="337"/>
      <c r="NLT92" s="337"/>
      <c r="NLU92" s="337"/>
      <c r="NLV92" s="337"/>
      <c r="NLW92" s="337"/>
      <c r="NLX92" s="337"/>
      <c r="NLY92" s="337"/>
      <c r="NLZ92" s="337"/>
      <c r="NMA92" s="337"/>
      <c r="NMB92" s="337"/>
      <c r="NMC92" s="337"/>
      <c r="NMD92" s="337"/>
      <c r="NME92" s="337"/>
      <c r="NMF92" s="337"/>
      <c r="NMG92" s="337"/>
      <c r="NMH92" s="337"/>
      <c r="NMI92" s="337"/>
      <c r="NMJ92" s="337"/>
      <c r="NMK92" s="337"/>
      <c r="NML92" s="337"/>
      <c r="NMM92" s="337"/>
      <c r="NMN92" s="337"/>
      <c r="NMO92" s="337"/>
      <c r="NMP92" s="337"/>
      <c r="NMQ92" s="337"/>
      <c r="NMR92" s="337"/>
      <c r="NMS92" s="337"/>
      <c r="NMT92" s="337"/>
      <c r="NMU92" s="337"/>
      <c r="NMV92" s="337"/>
      <c r="NMW92" s="337"/>
      <c r="NMX92" s="337"/>
      <c r="NMY92" s="337"/>
      <c r="NMZ92" s="337"/>
      <c r="NNA92" s="337"/>
      <c r="NNB92" s="337"/>
      <c r="NNC92" s="337"/>
      <c r="NND92" s="337"/>
      <c r="NNE92" s="337"/>
      <c r="NNF92" s="337"/>
      <c r="NNG92" s="337"/>
      <c r="NNH92" s="337"/>
      <c r="NNI92" s="337"/>
      <c r="NNJ92" s="337"/>
      <c r="NNK92" s="337"/>
      <c r="NNL92" s="337"/>
      <c r="NNM92" s="337"/>
      <c r="NNN92" s="337"/>
      <c r="NNO92" s="337"/>
      <c r="NNP92" s="337"/>
      <c r="NNQ92" s="337"/>
      <c r="NNR92" s="337"/>
      <c r="NNS92" s="337"/>
      <c r="NNT92" s="337"/>
      <c r="NNU92" s="337"/>
      <c r="NNV92" s="337"/>
      <c r="NNW92" s="337"/>
      <c r="NNX92" s="337"/>
      <c r="NNY92" s="337"/>
      <c r="NNZ92" s="337"/>
      <c r="NOA92" s="337"/>
      <c r="NOB92" s="337"/>
      <c r="NOC92" s="337"/>
      <c r="NOD92" s="337"/>
      <c r="NOE92" s="337"/>
      <c r="NOF92" s="337"/>
      <c r="NOG92" s="337"/>
      <c r="NOH92" s="337"/>
      <c r="NOI92" s="337"/>
      <c r="NOJ92" s="337"/>
      <c r="NOK92" s="337"/>
      <c r="NOL92" s="337"/>
      <c r="NOM92" s="337"/>
      <c r="NON92" s="337"/>
      <c r="NOO92" s="337"/>
      <c r="NOP92" s="337"/>
      <c r="NOQ92" s="337"/>
      <c r="NOR92" s="337"/>
      <c r="NOS92" s="337"/>
      <c r="NOT92" s="337"/>
      <c r="NOU92" s="337"/>
      <c r="NOV92" s="337"/>
      <c r="NOW92" s="337"/>
      <c r="NOX92" s="337"/>
      <c r="NOY92" s="337"/>
      <c r="NOZ92" s="337"/>
      <c r="NPA92" s="337"/>
      <c r="NPB92" s="337"/>
      <c r="NPC92" s="337"/>
      <c r="NPD92" s="337"/>
      <c r="NPE92" s="337"/>
      <c r="NPF92" s="337"/>
      <c r="NPG92" s="337"/>
      <c r="NPH92" s="337"/>
      <c r="NPI92" s="337"/>
      <c r="NPJ92" s="337"/>
      <c r="NPK92" s="337"/>
      <c r="NPL92" s="337"/>
      <c r="NPM92" s="337"/>
      <c r="NPN92" s="337"/>
      <c r="NPO92" s="337"/>
      <c r="NPP92" s="337"/>
      <c r="NPQ92" s="337"/>
      <c r="NPR92" s="337"/>
      <c r="NPS92" s="337"/>
      <c r="NPT92" s="337"/>
      <c r="NPU92" s="337"/>
      <c r="NPV92" s="337"/>
      <c r="NPW92" s="337"/>
      <c r="NPX92" s="337"/>
      <c r="NPY92" s="337"/>
      <c r="NPZ92" s="337"/>
      <c r="NQA92" s="337"/>
      <c r="NQB92" s="337"/>
      <c r="NQC92" s="337"/>
      <c r="NQD92" s="337"/>
      <c r="NQE92" s="337"/>
      <c r="NQF92" s="337"/>
      <c r="NQG92" s="337"/>
      <c r="NQH92" s="337"/>
      <c r="NQI92" s="337"/>
      <c r="NQJ92" s="337"/>
      <c r="NQK92" s="337"/>
      <c r="NQL92" s="337"/>
      <c r="NQM92" s="337"/>
      <c r="NQN92" s="337"/>
      <c r="NQO92" s="337"/>
      <c r="NQP92" s="337"/>
      <c r="NQQ92" s="337"/>
      <c r="NQR92" s="337"/>
      <c r="NQS92" s="337"/>
      <c r="NQT92" s="337"/>
      <c r="NQU92" s="337"/>
      <c r="NQV92" s="337"/>
      <c r="NQW92" s="337"/>
      <c r="NQX92" s="337"/>
      <c r="NQY92" s="337"/>
      <c r="NQZ92" s="337"/>
      <c r="NRA92" s="337"/>
      <c r="NRB92" s="337"/>
      <c r="NRC92" s="337"/>
      <c r="NRD92" s="337"/>
      <c r="NRE92" s="337"/>
      <c r="NRF92" s="337"/>
      <c r="NRG92" s="337"/>
      <c r="NRH92" s="337"/>
      <c r="NRI92" s="337"/>
      <c r="NRJ92" s="337"/>
      <c r="NRK92" s="337"/>
      <c r="NRL92" s="337"/>
      <c r="NRM92" s="337"/>
      <c r="NRN92" s="337"/>
      <c r="NRO92" s="337"/>
      <c r="NRP92" s="337"/>
      <c r="NRQ92" s="337"/>
      <c r="NRR92" s="337"/>
      <c r="NRS92" s="337"/>
      <c r="NRT92" s="337"/>
      <c r="NRU92" s="337"/>
      <c r="NRV92" s="337"/>
      <c r="NRW92" s="337"/>
      <c r="NRX92" s="337"/>
      <c r="NRY92" s="337"/>
      <c r="NRZ92" s="337"/>
      <c r="NSA92" s="337"/>
      <c r="NSB92" s="337"/>
      <c r="NSC92" s="337"/>
      <c r="NSD92" s="337"/>
      <c r="NSE92" s="337"/>
      <c r="NSF92" s="337"/>
      <c r="NSG92" s="337"/>
      <c r="NSH92" s="337"/>
      <c r="NSI92" s="337"/>
      <c r="NSJ92" s="337"/>
      <c r="NSK92" s="337"/>
      <c r="NSL92" s="337"/>
      <c r="NSM92" s="337"/>
      <c r="NSN92" s="337"/>
      <c r="NSO92" s="337"/>
      <c r="NSP92" s="337"/>
      <c r="NSQ92" s="337"/>
      <c r="NSR92" s="337"/>
      <c r="NSS92" s="337"/>
      <c r="NST92" s="337"/>
      <c r="NSU92" s="337"/>
      <c r="NSV92" s="337"/>
      <c r="NSW92" s="337"/>
      <c r="NSX92" s="337"/>
      <c r="NSY92" s="337"/>
      <c r="NSZ92" s="337"/>
      <c r="NTA92" s="337"/>
      <c r="NTB92" s="337"/>
      <c r="NTC92" s="337"/>
      <c r="NTD92" s="337"/>
      <c r="NTE92" s="337"/>
      <c r="NTF92" s="337"/>
      <c r="NTG92" s="337"/>
      <c r="NTH92" s="337"/>
      <c r="NTI92" s="337"/>
      <c r="NTJ92" s="337"/>
      <c r="NTK92" s="337"/>
      <c r="NTL92" s="337"/>
      <c r="NTM92" s="337"/>
      <c r="NTN92" s="337"/>
      <c r="NTO92" s="337"/>
      <c r="NTP92" s="337"/>
      <c r="NTQ92" s="337"/>
      <c r="NTR92" s="337"/>
      <c r="NTS92" s="337"/>
      <c r="NTT92" s="337"/>
      <c r="NTU92" s="337"/>
      <c r="NTV92" s="337"/>
      <c r="NTW92" s="337"/>
      <c r="NTX92" s="337"/>
      <c r="NTY92" s="337"/>
      <c r="NTZ92" s="337"/>
      <c r="NUA92" s="337"/>
      <c r="NUB92" s="337"/>
      <c r="NUC92" s="337"/>
      <c r="NUD92" s="337"/>
      <c r="NUE92" s="337"/>
      <c r="NUF92" s="337"/>
      <c r="NUG92" s="337"/>
      <c r="NUH92" s="337"/>
      <c r="NUI92" s="337"/>
      <c r="NUJ92" s="337"/>
      <c r="NUK92" s="337"/>
      <c r="NUL92" s="337"/>
      <c r="NUM92" s="337"/>
      <c r="NUN92" s="337"/>
      <c r="NUO92" s="337"/>
      <c r="NUP92" s="337"/>
      <c r="NUQ92" s="337"/>
      <c r="NUR92" s="337"/>
      <c r="NUS92" s="337"/>
      <c r="NUT92" s="337"/>
      <c r="NUU92" s="337"/>
      <c r="NUV92" s="337"/>
      <c r="NUW92" s="337"/>
      <c r="NUX92" s="337"/>
      <c r="NUY92" s="337"/>
      <c r="NUZ92" s="337"/>
      <c r="NVA92" s="337"/>
      <c r="NVB92" s="337"/>
      <c r="NVC92" s="337"/>
      <c r="NVD92" s="337"/>
      <c r="NVE92" s="337"/>
      <c r="NVF92" s="337"/>
      <c r="NVG92" s="337"/>
      <c r="NVH92" s="337"/>
      <c r="NVI92" s="337"/>
      <c r="NVJ92" s="337"/>
      <c r="NVK92" s="337"/>
      <c r="NVL92" s="337"/>
      <c r="NVM92" s="337"/>
      <c r="NVN92" s="337"/>
      <c r="NVO92" s="337"/>
      <c r="NVP92" s="337"/>
      <c r="NVQ92" s="337"/>
      <c r="NVR92" s="337"/>
      <c r="NVS92" s="337"/>
      <c r="NVT92" s="337"/>
      <c r="NVU92" s="337"/>
      <c r="NVV92" s="337"/>
      <c r="NVW92" s="337"/>
      <c r="NVX92" s="337"/>
      <c r="NVY92" s="337"/>
      <c r="NVZ92" s="337"/>
      <c r="NWA92" s="337"/>
      <c r="NWB92" s="337"/>
      <c r="NWC92" s="337"/>
      <c r="NWD92" s="337"/>
      <c r="NWE92" s="337"/>
      <c r="NWF92" s="337"/>
      <c r="NWG92" s="337"/>
      <c r="NWH92" s="337"/>
      <c r="NWI92" s="337"/>
      <c r="NWJ92" s="337"/>
      <c r="NWK92" s="337"/>
      <c r="NWL92" s="337"/>
      <c r="NWM92" s="337"/>
      <c r="NWN92" s="337"/>
      <c r="NWO92" s="337"/>
      <c r="NWP92" s="337"/>
      <c r="NWQ92" s="337"/>
      <c r="NWR92" s="337"/>
      <c r="NWS92" s="337"/>
      <c r="NWT92" s="337"/>
      <c r="NWU92" s="337"/>
      <c r="NWV92" s="337"/>
      <c r="NWW92" s="337"/>
      <c r="NWX92" s="337"/>
      <c r="NWY92" s="337"/>
      <c r="NWZ92" s="337"/>
      <c r="NXA92" s="337"/>
      <c r="NXB92" s="337"/>
      <c r="NXC92" s="337"/>
      <c r="NXD92" s="337"/>
      <c r="NXE92" s="337"/>
      <c r="NXF92" s="337"/>
      <c r="NXG92" s="337"/>
      <c r="NXH92" s="337"/>
      <c r="NXI92" s="337"/>
      <c r="NXJ92" s="337"/>
      <c r="NXK92" s="337"/>
      <c r="NXL92" s="337"/>
      <c r="NXM92" s="337"/>
      <c r="NXN92" s="337"/>
      <c r="NXO92" s="337"/>
      <c r="NXP92" s="337"/>
      <c r="NXQ92" s="337"/>
      <c r="NXR92" s="337"/>
      <c r="NXS92" s="337"/>
      <c r="NXT92" s="337"/>
      <c r="NXU92" s="337"/>
      <c r="NXV92" s="337"/>
      <c r="NXW92" s="337"/>
      <c r="NXX92" s="337"/>
      <c r="NXY92" s="337"/>
      <c r="NXZ92" s="337"/>
      <c r="NYA92" s="337"/>
      <c r="NYB92" s="337"/>
      <c r="NYC92" s="337"/>
      <c r="NYD92" s="337"/>
      <c r="NYE92" s="337"/>
      <c r="NYF92" s="337"/>
      <c r="NYG92" s="337"/>
      <c r="NYH92" s="337"/>
      <c r="NYI92" s="337"/>
      <c r="NYJ92" s="337"/>
      <c r="NYK92" s="337"/>
      <c r="NYL92" s="337"/>
      <c r="NYM92" s="337"/>
      <c r="NYN92" s="337"/>
      <c r="NYO92" s="337"/>
      <c r="NYP92" s="337"/>
      <c r="NYQ92" s="337"/>
      <c r="NYR92" s="337"/>
      <c r="NYS92" s="337"/>
      <c r="NYT92" s="337"/>
      <c r="NYU92" s="337"/>
      <c r="NYV92" s="337"/>
      <c r="NYW92" s="337"/>
      <c r="NYX92" s="337"/>
      <c r="NYY92" s="337"/>
      <c r="NYZ92" s="337"/>
      <c r="NZA92" s="337"/>
      <c r="NZB92" s="337"/>
      <c r="NZC92" s="337"/>
      <c r="NZD92" s="337"/>
      <c r="NZE92" s="337"/>
      <c r="NZF92" s="337"/>
      <c r="NZG92" s="337"/>
      <c r="NZH92" s="337"/>
      <c r="NZI92" s="337"/>
      <c r="NZJ92" s="337"/>
      <c r="NZK92" s="337"/>
      <c r="NZL92" s="337"/>
      <c r="NZM92" s="337"/>
      <c r="NZN92" s="337"/>
      <c r="NZO92" s="337"/>
      <c r="NZP92" s="337"/>
      <c r="NZQ92" s="337"/>
      <c r="NZR92" s="337"/>
      <c r="NZS92" s="337"/>
      <c r="NZT92" s="337"/>
      <c r="NZU92" s="337"/>
      <c r="NZV92" s="337"/>
      <c r="NZW92" s="337"/>
      <c r="NZX92" s="337"/>
      <c r="NZY92" s="337"/>
      <c r="NZZ92" s="337"/>
      <c r="OAA92" s="337"/>
      <c r="OAB92" s="337"/>
      <c r="OAC92" s="337"/>
      <c r="OAD92" s="337"/>
      <c r="OAE92" s="337"/>
      <c r="OAF92" s="337"/>
      <c r="OAG92" s="337"/>
      <c r="OAH92" s="337"/>
      <c r="OAI92" s="337"/>
      <c r="OAJ92" s="337"/>
      <c r="OAK92" s="337"/>
      <c r="OAL92" s="337"/>
      <c r="OAM92" s="337"/>
      <c r="OAN92" s="337"/>
      <c r="OAO92" s="337"/>
      <c r="OAP92" s="337"/>
      <c r="OAQ92" s="337"/>
      <c r="OAR92" s="337"/>
      <c r="OAS92" s="337"/>
      <c r="OAT92" s="337"/>
      <c r="OAU92" s="337"/>
      <c r="OAV92" s="337"/>
      <c r="OAW92" s="337"/>
      <c r="OAX92" s="337"/>
      <c r="OAY92" s="337"/>
      <c r="OAZ92" s="337"/>
      <c r="OBA92" s="337"/>
      <c r="OBB92" s="337"/>
      <c r="OBC92" s="337"/>
      <c r="OBD92" s="337"/>
      <c r="OBE92" s="337"/>
      <c r="OBF92" s="337"/>
      <c r="OBG92" s="337"/>
      <c r="OBH92" s="337"/>
      <c r="OBI92" s="337"/>
      <c r="OBJ92" s="337"/>
      <c r="OBK92" s="337"/>
      <c r="OBL92" s="337"/>
      <c r="OBM92" s="337"/>
      <c r="OBN92" s="337"/>
      <c r="OBO92" s="337"/>
      <c r="OBP92" s="337"/>
      <c r="OBQ92" s="337"/>
      <c r="OBR92" s="337"/>
      <c r="OBS92" s="337"/>
      <c r="OBT92" s="337"/>
      <c r="OBU92" s="337"/>
      <c r="OBV92" s="337"/>
      <c r="OBW92" s="337"/>
      <c r="OBX92" s="337"/>
      <c r="OBY92" s="337"/>
      <c r="OBZ92" s="337"/>
      <c r="OCA92" s="337"/>
      <c r="OCB92" s="337"/>
      <c r="OCC92" s="337"/>
      <c r="OCD92" s="337"/>
      <c r="OCE92" s="337"/>
      <c r="OCF92" s="337"/>
      <c r="OCG92" s="337"/>
      <c r="OCH92" s="337"/>
      <c r="OCI92" s="337"/>
      <c r="OCJ92" s="337"/>
      <c r="OCK92" s="337"/>
      <c r="OCL92" s="337"/>
      <c r="OCM92" s="337"/>
      <c r="OCN92" s="337"/>
      <c r="OCO92" s="337"/>
      <c r="OCP92" s="337"/>
      <c r="OCQ92" s="337"/>
      <c r="OCR92" s="337"/>
      <c r="OCS92" s="337"/>
      <c r="OCT92" s="337"/>
      <c r="OCU92" s="337"/>
      <c r="OCV92" s="337"/>
      <c r="OCW92" s="337"/>
      <c r="OCX92" s="337"/>
      <c r="OCY92" s="337"/>
      <c r="OCZ92" s="337"/>
      <c r="ODA92" s="337"/>
      <c r="ODB92" s="337"/>
      <c r="ODC92" s="337"/>
      <c r="ODD92" s="337"/>
      <c r="ODE92" s="337"/>
      <c r="ODF92" s="337"/>
      <c r="ODG92" s="337"/>
      <c r="ODH92" s="337"/>
      <c r="ODI92" s="337"/>
      <c r="ODJ92" s="337"/>
      <c r="ODK92" s="337"/>
      <c r="ODL92" s="337"/>
      <c r="ODM92" s="337"/>
      <c r="ODN92" s="337"/>
      <c r="ODO92" s="337"/>
      <c r="ODP92" s="337"/>
      <c r="ODQ92" s="337"/>
      <c r="ODR92" s="337"/>
      <c r="ODS92" s="337"/>
      <c r="ODT92" s="337"/>
      <c r="ODU92" s="337"/>
      <c r="ODV92" s="337"/>
      <c r="ODW92" s="337"/>
      <c r="ODX92" s="337"/>
      <c r="ODY92" s="337"/>
      <c r="ODZ92" s="337"/>
      <c r="OEA92" s="337"/>
      <c r="OEB92" s="337"/>
      <c r="OEC92" s="337"/>
      <c r="OED92" s="337"/>
      <c r="OEE92" s="337"/>
      <c r="OEF92" s="337"/>
      <c r="OEG92" s="337"/>
      <c r="OEH92" s="337"/>
      <c r="OEI92" s="337"/>
      <c r="OEJ92" s="337"/>
      <c r="OEK92" s="337"/>
      <c r="OEL92" s="337"/>
      <c r="OEM92" s="337"/>
      <c r="OEN92" s="337"/>
      <c r="OEO92" s="337"/>
      <c r="OEP92" s="337"/>
      <c r="OEQ92" s="337"/>
      <c r="OER92" s="337"/>
      <c r="OES92" s="337"/>
      <c r="OET92" s="337"/>
      <c r="OEU92" s="337"/>
      <c r="OEV92" s="337"/>
      <c r="OEW92" s="337"/>
      <c r="OEX92" s="337"/>
      <c r="OEY92" s="337"/>
      <c r="OEZ92" s="337"/>
      <c r="OFA92" s="337"/>
      <c r="OFB92" s="337"/>
      <c r="OFC92" s="337"/>
      <c r="OFD92" s="337"/>
      <c r="OFE92" s="337"/>
      <c r="OFF92" s="337"/>
      <c r="OFG92" s="337"/>
      <c r="OFH92" s="337"/>
      <c r="OFI92" s="337"/>
      <c r="OFJ92" s="337"/>
      <c r="OFK92" s="337"/>
      <c r="OFL92" s="337"/>
      <c r="OFM92" s="337"/>
      <c r="OFN92" s="337"/>
      <c r="OFO92" s="337"/>
      <c r="OFP92" s="337"/>
      <c r="OFQ92" s="337"/>
      <c r="OFR92" s="337"/>
      <c r="OFS92" s="337"/>
      <c r="OFT92" s="337"/>
      <c r="OFU92" s="337"/>
      <c r="OFV92" s="337"/>
      <c r="OFW92" s="337"/>
      <c r="OFX92" s="337"/>
      <c r="OFY92" s="337"/>
      <c r="OFZ92" s="337"/>
      <c r="OGA92" s="337"/>
      <c r="OGB92" s="337"/>
      <c r="OGC92" s="337"/>
      <c r="OGD92" s="337"/>
      <c r="OGE92" s="337"/>
      <c r="OGF92" s="337"/>
      <c r="OGG92" s="337"/>
      <c r="OGH92" s="337"/>
      <c r="OGI92" s="337"/>
      <c r="OGJ92" s="337"/>
      <c r="OGK92" s="337"/>
      <c r="OGL92" s="337"/>
      <c r="OGM92" s="337"/>
      <c r="OGN92" s="337"/>
      <c r="OGO92" s="337"/>
      <c r="OGP92" s="337"/>
      <c r="OGQ92" s="337"/>
      <c r="OGR92" s="337"/>
      <c r="OGS92" s="337"/>
      <c r="OGT92" s="337"/>
      <c r="OGU92" s="337"/>
      <c r="OGV92" s="337"/>
      <c r="OGW92" s="337"/>
      <c r="OGX92" s="337"/>
      <c r="OGY92" s="337"/>
      <c r="OGZ92" s="337"/>
      <c r="OHA92" s="337"/>
      <c r="OHB92" s="337"/>
      <c r="OHC92" s="337"/>
      <c r="OHD92" s="337"/>
      <c r="OHE92" s="337"/>
      <c r="OHF92" s="337"/>
      <c r="OHG92" s="337"/>
      <c r="OHH92" s="337"/>
      <c r="OHI92" s="337"/>
      <c r="OHJ92" s="337"/>
      <c r="OHK92" s="337"/>
      <c r="OHL92" s="337"/>
      <c r="OHM92" s="337"/>
      <c r="OHN92" s="337"/>
      <c r="OHO92" s="337"/>
      <c r="OHP92" s="337"/>
      <c r="OHQ92" s="337"/>
      <c r="OHR92" s="337"/>
      <c r="OHS92" s="337"/>
      <c r="OHT92" s="337"/>
      <c r="OHU92" s="337"/>
      <c r="OHV92" s="337"/>
      <c r="OHW92" s="337"/>
      <c r="OHX92" s="337"/>
      <c r="OHY92" s="337"/>
      <c r="OHZ92" s="337"/>
      <c r="OIA92" s="337"/>
      <c r="OIB92" s="337"/>
      <c r="OIC92" s="337"/>
      <c r="OID92" s="337"/>
      <c r="OIE92" s="337"/>
      <c r="OIF92" s="337"/>
      <c r="OIG92" s="337"/>
      <c r="OIH92" s="337"/>
      <c r="OII92" s="337"/>
      <c r="OIJ92" s="337"/>
      <c r="OIK92" s="337"/>
      <c r="OIL92" s="337"/>
      <c r="OIM92" s="337"/>
      <c r="OIN92" s="337"/>
      <c r="OIO92" s="337"/>
      <c r="OIP92" s="337"/>
      <c r="OIQ92" s="337"/>
      <c r="OIR92" s="337"/>
      <c r="OIS92" s="337"/>
      <c r="OIT92" s="337"/>
      <c r="OIU92" s="337"/>
      <c r="OIV92" s="337"/>
      <c r="OIW92" s="337"/>
      <c r="OIX92" s="337"/>
      <c r="OIY92" s="337"/>
      <c r="OIZ92" s="337"/>
      <c r="OJA92" s="337"/>
      <c r="OJB92" s="337"/>
      <c r="OJC92" s="337"/>
      <c r="OJD92" s="337"/>
      <c r="OJE92" s="337"/>
      <c r="OJF92" s="337"/>
      <c r="OJG92" s="337"/>
      <c r="OJH92" s="337"/>
      <c r="OJI92" s="337"/>
      <c r="OJJ92" s="337"/>
      <c r="OJK92" s="337"/>
      <c r="OJL92" s="337"/>
      <c r="OJM92" s="337"/>
      <c r="OJN92" s="337"/>
      <c r="OJO92" s="337"/>
      <c r="OJP92" s="337"/>
      <c r="OJQ92" s="337"/>
      <c r="OJR92" s="337"/>
      <c r="OJS92" s="337"/>
      <c r="OJT92" s="337"/>
      <c r="OJU92" s="337"/>
      <c r="OJV92" s="337"/>
      <c r="OJW92" s="337"/>
      <c r="OJX92" s="337"/>
      <c r="OJY92" s="337"/>
      <c r="OJZ92" s="337"/>
      <c r="OKA92" s="337"/>
      <c r="OKB92" s="337"/>
      <c r="OKC92" s="337"/>
      <c r="OKD92" s="337"/>
      <c r="OKE92" s="337"/>
      <c r="OKF92" s="337"/>
      <c r="OKG92" s="337"/>
      <c r="OKH92" s="337"/>
      <c r="OKI92" s="337"/>
      <c r="OKJ92" s="337"/>
      <c r="OKK92" s="337"/>
      <c r="OKL92" s="337"/>
      <c r="OKM92" s="337"/>
      <c r="OKN92" s="337"/>
      <c r="OKO92" s="337"/>
      <c r="OKP92" s="337"/>
      <c r="OKQ92" s="337"/>
      <c r="OKR92" s="337"/>
      <c r="OKS92" s="337"/>
      <c r="OKT92" s="337"/>
      <c r="OKU92" s="337"/>
      <c r="OKV92" s="337"/>
      <c r="OKW92" s="337"/>
      <c r="OKX92" s="337"/>
      <c r="OKY92" s="337"/>
      <c r="OKZ92" s="337"/>
      <c r="OLA92" s="337"/>
      <c r="OLB92" s="337"/>
      <c r="OLC92" s="337"/>
      <c r="OLD92" s="337"/>
      <c r="OLE92" s="337"/>
      <c r="OLF92" s="337"/>
      <c r="OLG92" s="337"/>
      <c r="OLH92" s="337"/>
      <c r="OLI92" s="337"/>
      <c r="OLJ92" s="337"/>
      <c r="OLK92" s="337"/>
      <c r="OLL92" s="337"/>
      <c r="OLM92" s="337"/>
      <c r="OLN92" s="337"/>
      <c r="OLO92" s="337"/>
      <c r="OLP92" s="337"/>
      <c r="OLQ92" s="337"/>
      <c r="OLR92" s="337"/>
      <c r="OLS92" s="337"/>
      <c r="OLT92" s="337"/>
      <c r="OLU92" s="337"/>
      <c r="OLV92" s="337"/>
      <c r="OLW92" s="337"/>
      <c r="OLX92" s="337"/>
      <c r="OLY92" s="337"/>
      <c r="OLZ92" s="337"/>
      <c r="OMA92" s="337"/>
      <c r="OMB92" s="337"/>
      <c r="OMC92" s="337"/>
      <c r="OMD92" s="337"/>
      <c r="OME92" s="337"/>
      <c r="OMF92" s="337"/>
      <c r="OMG92" s="337"/>
      <c r="OMH92" s="337"/>
      <c r="OMI92" s="337"/>
      <c r="OMJ92" s="337"/>
      <c r="OMK92" s="337"/>
      <c r="OML92" s="337"/>
      <c r="OMM92" s="337"/>
      <c r="OMN92" s="337"/>
      <c r="OMO92" s="337"/>
      <c r="OMP92" s="337"/>
      <c r="OMQ92" s="337"/>
      <c r="OMR92" s="337"/>
      <c r="OMS92" s="337"/>
      <c r="OMT92" s="337"/>
      <c r="OMU92" s="337"/>
      <c r="OMV92" s="337"/>
      <c r="OMW92" s="337"/>
      <c r="OMX92" s="337"/>
      <c r="OMY92" s="337"/>
      <c r="OMZ92" s="337"/>
      <c r="ONA92" s="337"/>
      <c r="ONB92" s="337"/>
      <c r="ONC92" s="337"/>
      <c r="OND92" s="337"/>
      <c r="ONE92" s="337"/>
      <c r="ONF92" s="337"/>
      <c r="ONG92" s="337"/>
      <c r="ONH92" s="337"/>
      <c r="ONI92" s="337"/>
      <c r="ONJ92" s="337"/>
      <c r="ONK92" s="337"/>
      <c r="ONL92" s="337"/>
      <c r="ONM92" s="337"/>
      <c r="ONN92" s="337"/>
      <c r="ONO92" s="337"/>
      <c r="ONP92" s="337"/>
      <c r="ONQ92" s="337"/>
      <c r="ONR92" s="337"/>
      <c r="ONS92" s="337"/>
      <c r="ONT92" s="337"/>
      <c r="ONU92" s="337"/>
      <c r="ONV92" s="337"/>
      <c r="ONW92" s="337"/>
      <c r="ONX92" s="337"/>
      <c r="ONY92" s="337"/>
      <c r="ONZ92" s="337"/>
      <c r="OOA92" s="337"/>
      <c r="OOB92" s="337"/>
      <c r="OOC92" s="337"/>
      <c r="OOD92" s="337"/>
      <c r="OOE92" s="337"/>
      <c r="OOF92" s="337"/>
      <c r="OOG92" s="337"/>
      <c r="OOH92" s="337"/>
      <c r="OOI92" s="337"/>
      <c r="OOJ92" s="337"/>
      <c r="OOK92" s="337"/>
      <c r="OOL92" s="337"/>
      <c r="OOM92" s="337"/>
      <c r="OON92" s="337"/>
      <c r="OOO92" s="337"/>
      <c r="OOP92" s="337"/>
      <c r="OOQ92" s="337"/>
      <c r="OOR92" s="337"/>
      <c r="OOS92" s="337"/>
      <c r="OOT92" s="337"/>
      <c r="OOU92" s="337"/>
      <c r="OOV92" s="337"/>
      <c r="OOW92" s="337"/>
      <c r="OOX92" s="337"/>
      <c r="OOY92" s="337"/>
      <c r="OOZ92" s="337"/>
      <c r="OPA92" s="337"/>
      <c r="OPB92" s="337"/>
      <c r="OPC92" s="337"/>
      <c r="OPD92" s="337"/>
      <c r="OPE92" s="337"/>
      <c r="OPF92" s="337"/>
      <c r="OPG92" s="337"/>
      <c r="OPH92" s="337"/>
      <c r="OPI92" s="337"/>
      <c r="OPJ92" s="337"/>
      <c r="OPK92" s="337"/>
      <c r="OPL92" s="337"/>
      <c r="OPM92" s="337"/>
      <c r="OPN92" s="337"/>
      <c r="OPO92" s="337"/>
      <c r="OPP92" s="337"/>
      <c r="OPQ92" s="337"/>
      <c r="OPR92" s="337"/>
      <c r="OPS92" s="337"/>
      <c r="OPT92" s="337"/>
      <c r="OPU92" s="337"/>
      <c r="OPV92" s="337"/>
      <c r="OPW92" s="337"/>
      <c r="OPX92" s="337"/>
      <c r="OPY92" s="337"/>
      <c r="OPZ92" s="337"/>
      <c r="OQA92" s="337"/>
      <c r="OQB92" s="337"/>
      <c r="OQC92" s="337"/>
      <c r="OQD92" s="337"/>
      <c r="OQE92" s="337"/>
      <c r="OQF92" s="337"/>
      <c r="OQG92" s="337"/>
      <c r="OQH92" s="337"/>
      <c r="OQI92" s="337"/>
      <c r="OQJ92" s="337"/>
      <c r="OQK92" s="337"/>
      <c r="OQL92" s="337"/>
      <c r="OQM92" s="337"/>
      <c r="OQN92" s="337"/>
      <c r="OQO92" s="337"/>
      <c r="OQP92" s="337"/>
      <c r="OQQ92" s="337"/>
      <c r="OQR92" s="337"/>
      <c r="OQS92" s="337"/>
      <c r="OQT92" s="337"/>
      <c r="OQU92" s="337"/>
      <c r="OQV92" s="337"/>
      <c r="OQW92" s="337"/>
      <c r="OQX92" s="337"/>
      <c r="OQY92" s="337"/>
      <c r="OQZ92" s="337"/>
      <c r="ORA92" s="337"/>
      <c r="ORB92" s="337"/>
      <c r="ORC92" s="337"/>
      <c r="ORD92" s="337"/>
      <c r="ORE92" s="337"/>
      <c r="ORF92" s="337"/>
      <c r="ORG92" s="337"/>
      <c r="ORH92" s="337"/>
      <c r="ORI92" s="337"/>
      <c r="ORJ92" s="337"/>
      <c r="ORK92" s="337"/>
      <c r="ORL92" s="337"/>
      <c r="ORM92" s="337"/>
      <c r="ORN92" s="337"/>
      <c r="ORO92" s="337"/>
      <c r="ORP92" s="337"/>
      <c r="ORQ92" s="337"/>
      <c r="ORR92" s="337"/>
      <c r="ORS92" s="337"/>
      <c r="ORT92" s="337"/>
      <c r="ORU92" s="337"/>
      <c r="ORV92" s="337"/>
      <c r="ORW92" s="337"/>
      <c r="ORX92" s="337"/>
      <c r="ORY92" s="337"/>
      <c r="ORZ92" s="337"/>
      <c r="OSA92" s="337"/>
      <c r="OSB92" s="337"/>
      <c r="OSC92" s="337"/>
      <c r="OSD92" s="337"/>
      <c r="OSE92" s="337"/>
      <c r="OSF92" s="337"/>
      <c r="OSG92" s="337"/>
      <c r="OSH92" s="337"/>
      <c r="OSI92" s="337"/>
      <c r="OSJ92" s="337"/>
      <c r="OSK92" s="337"/>
      <c r="OSL92" s="337"/>
      <c r="OSM92" s="337"/>
      <c r="OSN92" s="337"/>
      <c r="OSO92" s="337"/>
      <c r="OSP92" s="337"/>
      <c r="OSQ92" s="337"/>
      <c r="OSR92" s="337"/>
      <c r="OSS92" s="337"/>
      <c r="OST92" s="337"/>
      <c r="OSU92" s="337"/>
      <c r="OSV92" s="337"/>
      <c r="OSW92" s="337"/>
      <c r="OSX92" s="337"/>
      <c r="OSY92" s="337"/>
      <c r="OSZ92" s="337"/>
      <c r="OTA92" s="337"/>
      <c r="OTB92" s="337"/>
      <c r="OTC92" s="337"/>
      <c r="OTD92" s="337"/>
      <c r="OTE92" s="337"/>
      <c r="OTF92" s="337"/>
      <c r="OTG92" s="337"/>
      <c r="OTH92" s="337"/>
      <c r="OTI92" s="337"/>
      <c r="OTJ92" s="337"/>
      <c r="OTK92" s="337"/>
      <c r="OTL92" s="337"/>
      <c r="OTM92" s="337"/>
      <c r="OTN92" s="337"/>
      <c r="OTO92" s="337"/>
      <c r="OTP92" s="337"/>
      <c r="OTQ92" s="337"/>
      <c r="OTR92" s="337"/>
      <c r="OTS92" s="337"/>
      <c r="OTT92" s="337"/>
      <c r="OTU92" s="337"/>
      <c r="OTV92" s="337"/>
      <c r="OTW92" s="337"/>
      <c r="OTX92" s="337"/>
      <c r="OTY92" s="337"/>
      <c r="OTZ92" s="337"/>
      <c r="OUA92" s="337"/>
      <c r="OUB92" s="337"/>
      <c r="OUC92" s="337"/>
      <c r="OUD92" s="337"/>
      <c r="OUE92" s="337"/>
      <c r="OUF92" s="337"/>
      <c r="OUG92" s="337"/>
      <c r="OUH92" s="337"/>
      <c r="OUI92" s="337"/>
      <c r="OUJ92" s="337"/>
      <c r="OUK92" s="337"/>
      <c r="OUL92" s="337"/>
      <c r="OUM92" s="337"/>
      <c r="OUN92" s="337"/>
      <c r="OUO92" s="337"/>
      <c r="OUP92" s="337"/>
      <c r="OUQ92" s="337"/>
      <c r="OUR92" s="337"/>
      <c r="OUS92" s="337"/>
      <c r="OUT92" s="337"/>
      <c r="OUU92" s="337"/>
      <c r="OUV92" s="337"/>
      <c r="OUW92" s="337"/>
      <c r="OUX92" s="337"/>
      <c r="OUY92" s="337"/>
      <c r="OUZ92" s="337"/>
      <c r="OVA92" s="337"/>
      <c r="OVB92" s="337"/>
      <c r="OVC92" s="337"/>
      <c r="OVD92" s="337"/>
      <c r="OVE92" s="337"/>
      <c r="OVF92" s="337"/>
      <c r="OVG92" s="337"/>
      <c r="OVH92" s="337"/>
      <c r="OVI92" s="337"/>
      <c r="OVJ92" s="337"/>
      <c r="OVK92" s="337"/>
      <c r="OVL92" s="337"/>
      <c r="OVM92" s="337"/>
      <c r="OVN92" s="337"/>
      <c r="OVO92" s="337"/>
      <c r="OVP92" s="337"/>
      <c r="OVQ92" s="337"/>
      <c r="OVR92" s="337"/>
      <c r="OVS92" s="337"/>
      <c r="OVT92" s="337"/>
      <c r="OVU92" s="337"/>
      <c r="OVV92" s="337"/>
      <c r="OVW92" s="337"/>
      <c r="OVX92" s="337"/>
      <c r="OVY92" s="337"/>
      <c r="OVZ92" s="337"/>
      <c r="OWA92" s="337"/>
      <c r="OWB92" s="337"/>
      <c r="OWC92" s="337"/>
      <c r="OWD92" s="337"/>
      <c r="OWE92" s="337"/>
      <c r="OWF92" s="337"/>
      <c r="OWG92" s="337"/>
      <c r="OWH92" s="337"/>
      <c r="OWI92" s="337"/>
      <c r="OWJ92" s="337"/>
      <c r="OWK92" s="337"/>
      <c r="OWL92" s="337"/>
      <c r="OWM92" s="337"/>
      <c r="OWN92" s="337"/>
      <c r="OWO92" s="337"/>
      <c r="OWP92" s="337"/>
      <c r="OWQ92" s="337"/>
      <c r="OWR92" s="337"/>
      <c r="OWS92" s="337"/>
      <c r="OWT92" s="337"/>
      <c r="OWU92" s="337"/>
      <c r="OWV92" s="337"/>
      <c r="OWW92" s="337"/>
      <c r="OWX92" s="337"/>
      <c r="OWY92" s="337"/>
      <c r="OWZ92" s="337"/>
      <c r="OXA92" s="337"/>
      <c r="OXB92" s="337"/>
      <c r="OXC92" s="337"/>
      <c r="OXD92" s="337"/>
      <c r="OXE92" s="337"/>
      <c r="OXF92" s="337"/>
      <c r="OXG92" s="337"/>
      <c r="OXH92" s="337"/>
      <c r="OXI92" s="337"/>
      <c r="OXJ92" s="337"/>
      <c r="OXK92" s="337"/>
      <c r="OXL92" s="337"/>
      <c r="OXM92" s="337"/>
      <c r="OXN92" s="337"/>
      <c r="OXO92" s="337"/>
      <c r="OXP92" s="337"/>
      <c r="OXQ92" s="337"/>
      <c r="OXR92" s="337"/>
      <c r="OXS92" s="337"/>
      <c r="OXT92" s="337"/>
      <c r="OXU92" s="337"/>
      <c r="OXV92" s="337"/>
      <c r="OXW92" s="337"/>
      <c r="OXX92" s="337"/>
      <c r="OXY92" s="337"/>
      <c r="OXZ92" s="337"/>
      <c r="OYA92" s="337"/>
      <c r="OYB92" s="337"/>
      <c r="OYC92" s="337"/>
      <c r="OYD92" s="337"/>
      <c r="OYE92" s="337"/>
      <c r="OYF92" s="337"/>
      <c r="OYG92" s="337"/>
      <c r="OYH92" s="337"/>
      <c r="OYI92" s="337"/>
      <c r="OYJ92" s="337"/>
      <c r="OYK92" s="337"/>
      <c r="OYL92" s="337"/>
      <c r="OYM92" s="337"/>
      <c r="OYN92" s="337"/>
      <c r="OYO92" s="337"/>
      <c r="OYP92" s="337"/>
      <c r="OYQ92" s="337"/>
      <c r="OYR92" s="337"/>
      <c r="OYS92" s="337"/>
      <c r="OYT92" s="337"/>
      <c r="OYU92" s="337"/>
      <c r="OYV92" s="337"/>
      <c r="OYW92" s="337"/>
      <c r="OYX92" s="337"/>
      <c r="OYY92" s="337"/>
      <c r="OYZ92" s="337"/>
      <c r="OZA92" s="337"/>
      <c r="OZB92" s="337"/>
      <c r="OZC92" s="337"/>
      <c r="OZD92" s="337"/>
      <c r="OZE92" s="337"/>
      <c r="OZF92" s="337"/>
      <c r="OZG92" s="337"/>
      <c r="OZH92" s="337"/>
      <c r="OZI92" s="337"/>
      <c r="OZJ92" s="337"/>
      <c r="OZK92" s="337"/>
      <c r="OZL92" s="337"/>
      <c r="OZM92" s="337"/>
      <c r="OZN92" s="337"/>
      <c r="OZO92" s="337"/>
      <c r="OZP92" s="337"/>
      <c r="OZQ92" s="337"/>
      <c r="OZR92" s="337"/>
      <c r="OZS92" s="337"/>
      <c r="OZT92" s="337"/>
      <c r="OZU92" s="337"/>
      <c r="OZV92" s="337"/>
      <c r="OZW92" s="337"/>
      <c r="OZX92" s="337"/>
      <c r="OZY92" s="337"/>
      <c r="OZZ92" s="337"/>
      <c r="PAA92" s="337"/>
      <c r="PAB92" s="337"/>
      <c r="PAC92" s="337"/>
      <c r="PAD92" s="337"/>
      <c r="PAE92" s="337"/>
      <c r="PAF92" s="337"/>
      <c r="PAG92" s="337"/>
      <c r="PAH92" s="337"/>
      <c r="PAI92" s="337"/>
      <c r="PAJ92" s="337"/>
      <c r="PAK92" s="337"/>
      <c r="PAL92" s="337"/>
      <c r="PAM92" s="337"/>
      <c r="PAN92" s="337"/>
      <c r="PAO92" s="337"/>
      <c r="PAP92" s="337"/>
      <c r="PAQ92" s="337"/>
      <c r="PAR92" s="337"/>
      <c r="PAS92" s="337"/>
      <c r="PAT92" s="337"/>
      <c r="PAU92" s="337"/>
      <c r="PAV92" s="337"/>
      <c r="PAW92" s="337"/>
      <c r="PAX92" s="337"/>
      <c r="PAY92" s="337"/>
      <c r="PAZ92" s="337"/>
      <c r="PBA92" s="337"/>
      <c r="PBB92" s="337"/>
      <c r="PBC92" s="337"/>
      <c r="PBD92" s="337"/>
      <c r="PBE92" s="337"/>
      <c r="PBF92" s="337"/>
      <c r="PBG92" s="337"/>
      <c r="PBH92" s="337"/>
      <c r="PBI92" s="337"/>
      <c r="PBJ92" s="337"/>
      <c r="PBK92" s="337"/>
      <c r="PBL92" s="337"/>
      <c r="PBM92" s="337"/>
      <c r="PBN92" s="337"/>
      <c r="PBO92" s="337"/>
      <c r="PBP92" s="337"/>
      <c r="PBQ92" s="337"/>
      <c r="PBR92" s="337"/>
      <c r="PBS92" s="337"/>
      <c r="PBT92" s="337"/>
      <c r="PBU92" s="337"/>
      <c r="PBV92" s="337"/>
      <c r="PBW92" s="337"/>
      <c r="PBX92" s="337"/>
      <c r="PBY92" s="337"/>
      <c r="PBZ92" s="337"/>
      <c r="PCA92" s="337"/>
      <c r="PCB92" s="337"/>
      <c r="PCC92" s="337"/>
      <c r="PCD92" s="337"/>
      <c r="PCE92" s="337"/>
      <c r="PCF92" s="337"/>
      <c r="PCG92" s="337"/>
      <c r="PCH92" s="337"/>
      <c r="PCI92" s="337"/>
      <c r="PCJ92" s="337"/>
      <c r="PCK92" s="337"/>
      <c r="PCL92" s="337"/>
      <c r="PCM92" s="337"/>
      <c r="PCN92" s="337"/>
      <c r="PCO92" s="337"/>
      <c r="PCP92" s="337"/>
      <c r="PCQ92" s="337"/>
      <c r="PCR92" s="337"/>
      <c r="PCS92" s="337"/>
      <c r="PCT92" s="337"/>
      <c r="PCU92" s="337"/>
      <c r="PCV92" s="337"/>
      <c r="PCW92" s="337"/>
      <c r="PCX92" s="337"/>
      <c r="PCY92" s="337"/>
      <c r="PCZ92" s="337"/>
      <c r="PDA92" s="337"/>
      <c r="PDB92" s="337"/>
      <c r="PDC92" s="337"/>
      <c r="PDD92" s="337"/>
      <c r="PDE92" s="337"/>
      <c r="PDF92" s="337"/>
      <c r="PDG92" s="337"/>
      <c r="PDH92" s="337"/>
      <c r="PDI92" s="337"/>
      <c r="PDJ92" s="337"/>
      <c r="PDK92" s="337"/>
      <c r="PDL92" s="337"/>
      <c r="PDM92" s="337"/>
      <c r="PDN92" s="337"/>
      <c r="PDO92" s="337"/>
      <c r="PDP92" s="337"/>
      <c r="PDQ92" s="337"/>
      <c r="PDR92" s="337"/>
      <c r="PDS92" s="337"/>
      <c r="PDT92" s="337"/>
      <c r="PDU92" s="337"/>
      <c r="PDV92" s="337"/>
      <c r="PDW92" s="337"/>
      <c r="PDX92" s="337"/>
      <c r="PDY92" s="337"/>
      <c r="PDZ92" s="337"/>
      <c r="PEA92" s="337"/>
      <c r="PEB92" s="337"/>
      <c r="PEC92" s="337"/>
      <c r="PED92" s="337"/>
      <c r="PEE92" s="337"/>
      <c r="PEF92" s="337"/>
      <c r="PEG92" s="337"/>
      <c r="PEH92" s="337"/>
      <c r="PEI92" s="337"/>
      <c r="PEJ92" s="337"/>
      <c r="PEK92" s="337"/>
      <c r="PEL92" s="337"/>
      <c r="PEM92" s="337"/>
      <c r="PEN92" s="337"/>
      <c r="PEO92" s="337"/>
      <c r="PEP92" s="337"/>
      <c r="PEQ92" s="337"/>
      <c r="PER92" s="337"/>
      <c r="PES92" s="337"/>
      <c r="PET92" s="337"/>
      <c r="PEU92" s="337"/>
      <c r="PEV92" s="337"/>
      <c r="PEW92" s="337"/>
      <c r="PEX92" s="337"/>
      <c r="PEY92" s="337"/>
      <c r="PEZ92" s="337"/>
      <c r="PFA92" s="337"/>
      <c r="PFB92" s="337"/>
      <c r="PFC92" s="337"/>
      <c r="PFD92" s="337"/>
      <c r="PFE92" s="337"/>
      <c r="PFF92" s="337"/>
      <c r="PFG92" s="337"/>
      <c r="PFH92" s="337"/>
      <c r="PFI92" s="337"/>
      <c r="PFJ92" s="337"/>
      <c r="PFK92" s="337"/>
      <c r="PFL92" s="337"/>
      <c r="PFM92" s="337"/>
      <c r="PFN92" s="337"/>
      <c r="PFO92" s="337"/>
      <c r="PFP92" s="337"/>
      <c r="PFQ92" s="337"/>
      <c r="PFR92" s="337"/>
      <c r="PFS92" s="337"/>
      <c r="PFT92" s="337"/>
      <c r="PFU92" s="337"/>
      <c r="PFV92" s="337"/>
      <c r="PFW92" s="337"/>
      <c r="PFX92" s="337"/>
      <c r="PFY92" s="337"/>
      <c r="PFZ92" s="337"/>
      <c r="PGA92" s="337"/>
      <c r="PGB92" s="337"/>
      <c r="PGC92" s="337"/>
      <c r="PGD92" s="337"/>
      <c r="PGE92" s="337"/>
      <c r="PGF92" s="337"/>
      <c r="PGG92" s="337"/>
      <c r="PGH92" s="337"/>
      <c r="PGI92" s="337"/>
      <c r="PGJ92" s="337"/>
      <c r="PGK92" s="337"/>
      <c r="PGL92" s="337"/>
      <c r="PGM92" s="337"/>
      <c r="PGN92" s="337"/>
      <c r="PGO92" s="337"/>
      <c r="PGP92" s="337"/>
      <c r="PGQ92" s="337"/>
      <c r="PGR92" s="337"/>
      <c r="PGS92" s="337"/>
      <c r="PGT92" s="337"/>
      <c r="PGU92" s="337"/>
      <c r="PGV92" s="337"/>
      <c r="PGW92" s="337"/>
      <c r="PGX92" s="337"/>
      <c r="PGY92" s="337"/>
      <c r="PGZ92" s="337"/>
      <c r="PHA92" s="337"/>
      <c r="PHB92" s="337"/>
      <c r="PHC92" s="337"/>
      <c r="PHD92" s="337"/>
      <c r="PHE92" s="337"/>
      <c r="PHF92" s="337"/>
      <c r="PHG92" s="337"/>
      <c r="PHH92" s="337"/>
      <c r="PHI92" s="337"/>
      <c r="PHJ92" s="337"/>
      <c r="PHK92" s="337"/>
      <c r="PHL92" s="337"/>
      <c r="PHM92" s="337"/>
      <c r="PHN92" s="337"/>
      <c r="PHO92" s="337"/>
      <c r="PHP92" s="337"/>
      <c r="PHQ92" s="337"/>
      <c r="PHR92" s="337"/>
      <c r="PHS92" s="337"/>
      <c r="PHT92" s="337"/>
      <c r="PHU92" s="337"/>
      <c r="PHV92" s="337"/>
      <c r="PHW92" s="337"/>
      <c r="PHX92" s="337"/>
      <c r="PHY92" s="337"/>
      <c r="PHZ92" s="337"/>
      <c r="PIA92" s="337"/>
      <c r="PIB92" s="337"/>
      <c r="PIC92" s="337"/>
      <c r="PID92" s="337"/>
      <c r="PIE92" s="337"/>
      <c r="PIF92" s="337"/>
      <c r="PIG92" s="337"/>
      <c r="PIH92" s="337"/>
      <c r="PII92" s="337"/>
      <c r="PIJ92" s="337"/>
      <c r="PIK92" s="337"/>
      <c r="PIL92" s="337"/>
      <c r="PIM92" s="337"/>
      <c r="PIN92" s="337"/>
      <c r="PIO92" s="337"/>
      <c r="PIP92" s="337"/>
      <c r="PIQ92" s="337"/>
      <c r="PIR92" s="337"/>
      <c r="PIS92" s="337"/>
      <c r="PIT92" s="337"/>
      <c r="PIU92" s="337"/>
      <c r="PIV92" s="337"/>
      <c r="PIW92" s="337"/>
      <c r="PIX92" s="337"/>
      <c r="PIY92" s="337"/>
      <c r="PIZ92" s="337"/>
      <c r="PJA92" s="337"/>
      <c r="PJB92" s="337"/>
      <c r="PJC92" s="337"/>
      <c r="PJD92" s="337"/>
      <c r="PJE92" s="337"/>
      <c r="PJF92" s="337"/>
      <c r="PJG92" s="337"/>
      <c r="PJH92" s="337"/>
      <c r="PJI92" s="337"/>
      <c r="PJJ92" s="337"/>
      <c r="PJK92" s="337"/>
      <c r="PJL92" s="337"/>
      <c r="PJM92" s="337"/>
      <c r="PJN92" s="337"/>
      <c r="PJO92" s="337"/>
      <c r="PJP92" s="337"/>
      <c r="PJQ92" s="337"/>
      <c r="PJR92" s="337"/>
      <c r="PJS92" s="337"/>
      <c r="PJT92" s="337"/>
      <c r="PJU92" s="337"/>
      <c r="PJV92" s="337"/>
      <c r="PJW92" s="337"/>
      <c r="PJX92" s="337"/>
      <c r="PJY92" s="337"/>
      <c r="PJZ92" s="337"/>
      <c r="PKA92" s="337"/>
      <c r="PKB92" s="337"/>
      <c r="PKC92" s="337"/>
      <c r="PKD92" s="337"/>
      <c r="PKE92" s="337"/>
      <c r="PKF92" s="337"/>
      <c r="PKG92" s="337"/>
      <c r="PKH92" s="337"/>
      <c r="PKI92" s="337"/>
      <c r="PKJ92" s="337"/>
      <c r="PKK92" s="337"/>
      <c r="PKL92" s="337"/>
      <c r="PKM92" s="337"/>
      <c r="PKN92" s="337"/>
      <c r="PKO92" s="337"/>
      <c r="PKP92" s="337"/>
      <c r="PKQ92" s="337"/>
      <c r="PKR92" s="337"/>
      <c r="PKS92" s="337"/>
      <c r="PKT92" s="337"/>
      <c r="PKU92" s="337"/>
      <c r="PKV92" s="337"/>
      <c r="PKW92" s="337"/>
      <c r="PKX92" s="337"/>
      <c r="PKY92" s="337"/>
      <c r="PKZ92" s="337"/>
      <c r="PLA92" s="337"/>
      <c r="PLB92" s="337"/>
      <c r="PLC92" s="337"/>
      <c r="PLD92" s="337"/>
      <c r="PLE92" s="337"/>
      <c r="PLF92" s="337"/>
      <c r="PLG92" s="337"/>
      <c r="PLH92" s="337"/>
      <c r="PLI92" s="337"/>
      <c r="PLJ92" s="337"/>
      <c r="PLK92" s="337"/>
      <c r="PLL92" s="337"/>
      <c r="PLM92" s="337"/>
      <c r="PLN92" s="337"/>
      <c r="PLO92" s="337"/>
      <c r="PLP92" s="337"/>
      <c r="PLQ92" s="337"/>
      <c r="PLR92" s="337"/>
      <c r="PLS92" s="337"/>
      <c r="PLT92" s="337"/>
      <c r="PLU92" s="337"/>
      <c r="PLV92" s="337"/>
      <c r="PLW92" s="337"/>
      <c r="PLX92" s="337"/>
      <c r="PLY92" s="337"/>
      <c r="PLZ92" s="337"/>
      <c r="PMA92" s="337"/>
      <c r="PMB92" s="337"/>
      <c r="PMC92" s="337"/>
      <c r="PMD92" s="337"/>
      <c r="PME92" s="337"/>
      <c r="PMF92" s="337"/>
      <c r="PMG92" s="337"/>
      <c r="PMH92" s="337"/>
      <c r="PMI92" s="337"/>
      <c r="PMJ92" s="337"/>
      <c r="PMK92" s="337"/>
      <c r="PML92" s="337"/>
      <c r="PMM92" s="337"/>
      <c r="PMN92" s="337"/>
      <c r="PMO92" s="337"/>
      <c r="PMP92" s="337"/>
      <c r="PMQ92" s="337"/>
      <c r="PMR92" s="337"/>
      <c r="PMS92" s="337"/>
      <c r="PMT92" s="337"/>
      <c r="PMU92" s="337"/>
      <c r="PMV92" s="337"/>
      <c r="PMW92" s="337"/>
      <c r="PMX92" s="337"/>
      <c r="PMY92" s="337"/>
      <c r="PMZ92" s="337"/>
      <c r="PNA92" s="337"/>
      <c r="PNB92" s="337"/>
      <c r="PNC92" s="337"/>
      <c r="PND92" s="337"/>
      <c r="PNE92" s="337"/>
      <c r="PNF92" s="337"/>
      <c r="PNG92" s="337"/>
      <c r="PNH92" s="337"/>
      <c r="PNI92" s="337"/>
      <c r="PNJ92" s="337"/>
      <c r="PNK92" s="337"/>
      <c r="PNL92" s="337"/>
      <c r="PNM92" s="337"/>
      <c r="PNN92" s="337"/>
      <c r="PNO92" s="337"/>
      <c r="PNP92" s="337"/>
      <c r="PNQ92" s="337"/>
      <c r="PNR92" s="337"/>
      <c r="PNS92" s="337"/>
      <c r="PNT92" s="337"/>
      <c r="PNU92" s="337"/>
      <c r="PNV92" s="337"/>
      <c r="PNW92" s="337"/>
      <c r="PNX92" s="337"/>
      <c r="PNY92" s="337"/>
      <c r="PNZ92" s="337"/>
      <c r="POA92" s="337"/>
      <c r="POB92" s="337"/>
      <c r="POC92" s="337"/>
      <c r="POD92" s="337"/>
      <c r="POE92" s="337"/>
      <c r="POF92" s="337"/>
      <c r="POG92" s="337"/>
      <c r="POH92" s="337"/>
      <c r="POI92" s="337"/>
      <c r="POJ92" s="337"/>
      <c r="POK92" s="337"/>
      <c r="POL92" s="337"/>
      <c r="POM92" s="337"/>
      <c r="PON92" s="337"/>
      <c r="POO92" s="337"/>
      <c r="POP92" s="337"/>
      <c r="POQ92" s="337"/>
      <c r="POR92" s="337"/>
      <c r="POS92" s="337"/>
      <c r="POT92" s="337"/>
      <c r="POU92" s="337"/>
      <c r="POV92" s="337"/>
      <c r="POW92" s="337"/>
      <c r="POX92" s="337"/>
      <c r="POY92" s="337"/>
      <c r="POZ92" s="337"/>
      <c r="PPA92" s="337"/>
      <c r="PPB92" s="337"/>
      <c r="PPC92" s="337"/>
      <c r="PPD92" s="337"/>
      <c r="PPE92" s="337"/>
      <c r="PPF92" s="337"/>
      <c r="PPG92" s="337"/>
      <c r="PPH92" s="337"/>
      <c r="PPI92" s="337"/>
      <c r="PPJ92" s="337"/>
      <c r="PPK92" s="337"/>
      <c r="PPL92" s="337"/>
      <c r="PPM92" s="337"/>
      <c r="PPN92" s="337"/>
      <c r="PPO92" s="337"/>
      <c r="PPP92" s="337"/>
      <c r="PPQ92" s="337"/>
      <c r="PPR92" s="337"/>
      <c r="PPS92" s="337"/>
      <c r="PPT92" s="337"/>
      <c r="PPU92" s="337"/>
      <c r="PPV92" s="337"/>
      <c r="PPW92" s="337"/>
      <c r="PPX92" s="337"/>
      <c r="PPY92" s="337"/>
      <c r="PPZ92" s="337"/>
      <c r="PQA92" s="337"/>
      <c r="PQB92" s="337"/>
      <c r="PQC92" s="337"/>
      <c r="PQD92" s="337"/>
      <c r="PQE92" s="337"/>
      <c r="PQF92" s="337"/>
      <c r="PQG92" s="337"/>
      <c r="PQH92" s="337"/>
      <c r="PQI92" s="337"/>
      <c r="PQJ92" s="337"/>
      <c r="PQK92" s="337"/>
      <c r="PQL92" s="337"/>
      <c r="PQM92" s="337"/>
      <c r="PQN92" s="337"/>
      <c r="PQO92" s="337"/>
      <c r="PQP92" s="337"/>
      <c r="PQQ92" s="337"/>
      <c r="PQR92" s="337"/>
      <c r="PQS92" s="337"/>
      <c r="PQT92" s="337"/>
      <c r="PQU92" s="337"/>
      <c r="PQV92" s="337"/>
      <c r="PQW92" s="337"/>
      <c r="PQX92" s="337"/>
      <c r="PQY92" s="337"/>
      <c r="PQZ92" s="337"/>
      <c r="PRA92" s="337"/>
      <c r="PRB92" s="337"/>
      <c r="PRC92" s="337"/>
      <c r="PRD92" s="337"/>
      <c r="PRE92" s="337"/>
      <c r="PRF92" s="337"/>
      <c r="PRG92" s="337"/>
      <c r="PRH92" s="337"/>
      <c r="PRI92" s="337"/>
      <c r="PRJ92" s="337"/>
      <c r="PRK92" s="337"/>
      <c r="PRL92" s="337"/>
      <c r="PRM92" s="337"/>
      <c r="PRN92" s="337"/>
      <c r="PRO92" s="337"/>
      <c r="PRP92" s="337"/>
      <c r="PRQ92" s="337"/>
      <c r="PRR92" s="337"/>
      <c r="PRS92" s="337"/>
      <c r="PRT92" s="337"/>
      <c r="PRU92" s="337"/>
      <c r="PRV92" s="337"/>
      <c r="PRW92" s="337"/>
      <c r="PRX92" s="337"/>
      <c r="PRY92" s="337"/>
      <c r="PRZ92" s="337"/>
      <c r="PSA92" s="337"/>
      <c r="PSB92" s="337"/>
      <c r="PSC92" s="337"/>
      <c r="PSD92" s="337"/>
      <c r="PSE92" s="337"/>
      <c r="PSF92" s="337"/>
      <c r="PSG92" s="337"/>
      <c r="PSH92" s="337"/>
      <c r="PSI92" s="337"/>
      <c r="PSJ92" s="337"/>
      <c r="PSK92" s="337"/>
      <c r="PSL92" s="337"/>
      <c r="PSM92" s="337"/>
      <c r="PSN92" s="337"/>
      <c r="PSO92" s="337"/>
      <c r="PSP92" s="337"/>
      <c r="PSQ92" s="337"/>
      <c r="PSR92" s="337"/>
      <c r="PSS92" s="337"/>
      <c r="PST92" s="337"/>
      <c r="PSU92" s="337"/>
      <c r="PSV92" s="337"/>
      <c r="PSW92" s="337"/>
      <c r="PSX92" s="337"/>
      <c r="PSY92" s="337"/>
      <c r="PSZ92" s="337"/>
      <c r="PTA92" s="337"/>
      <c r="PTB92" s="337"/>
      <c r="PTC92" s="337"/>
      <c r="PTD92" s="337"/>
      <c r="PTE92" s="337"/>
      <c r="PTF92" s="337"/>
      <c r="PTG92" s="337"/>
      <c r="PTH92" s="337"/>
      <c r="PTI92" s="337"/>
      <c r="PTJ92" s="337"/>
      <c r="PTK92" s="337"/>
      <c r="PTL92" s="337"/>
      <c r="PTM92" s="337"/>
      <c r="PTN92" s="337"/>
      <c r="PTO92" s="337"/>
      <c r="PTP92" s="337"/>
      <c r="PTQ92" s="337"/>
      <c r="PTR92" s="337"/>
      <c r="PTS92" s="337"/>
      <c r="PTT92" s="337"/>
      <c r="PTU92" s="337"/>
      <c r="PTV92" s="337"/>
      <c r="PTW92" s="337"/>
      <c r="PTX92" s="337"/>
      <c r="PTY92" s="337"/>
      <c r="PTZ92" s="337"/>
      <c r="PUA92" s="337"/>
      <c r="PUB92" s="337"/>
      <c r="PUC92" s="337"/>
      <c r="PUD92" s="337"/>
      <c r="PUE92" s="337"/>
      <c r="PUF92" s="337"/>
      <c r="PUG92" s="337"/>
      <c r="PUH92" s="337"/>
      <c r="PUI92" s="337"/>
      <c r="PUJ92" s="337"/>
      <c r="PUK92" s="337"/>
      <c r="PUL92" s="337"/>
      <c r="PUM92" s="337"/>
      <c r="PUN92" s="337"/>
      <c r="PUO92" s="337"/>
      <c r="PUP92" s="337"/>
      <c r="PUQ92" s="337"/>
      <c r="PUR92" s="337"/>
      <c r="PUS92" s="337"/>
      <c r="PUT92" s="337"/>
      <c r="PUU92" s="337"/>
      <c r="PUV92" s="337"/>
      <c r="PUW92" s="337"/>
      <c r="PUX92" s="337"/>
      <c r="PUY92" s="337"/>
      <c r="PUZ92" s="337"/>
      <c r="PVA92" s="337"/>
      <c r="PVB92" s="337"/>
      <c r="PVC92" s="337"/>
      <c r="PVD92" s="337"/>
      <c r="PVE92" s="337"/>
      <c r="PVF92" s="337"/>
      <c r="PVG92" s="337"/>
      <c r="PVH92" s="337"/>
      <c r="PVI92" s="337"/>
      <c r="PVJ92" s="337"/>
      <c r="PVK92" s="337"/>
      <c r="PVL92" s="337"/>
      <c r="PVM92" s="337"/>
      <c r="PVN92" s="337"/>
      <c r="PVO92" s="337"/>
      <c r="PVP92" s="337"/>
      <c r="PVQ92" s="337"/>
      <c r="PVR92" s="337"/>
      <c r="PVS92" s="337"/>
      <c r="PVT92" s="337"/>
      <c r="PVU92" s="337"/>
      <c r="PVV92" s="337"/>
      <c r="PVW92" s="337"/>
      <c r="PVX92" s="337"/>
      <c r="PVY92" s="337"/>
      <c r="PVZ92" s="337"/>
      <c r="PWA92" s="337"/>
      <c r="PWB92" s="337"/>
      <c r="PWC92" s="337"/>
      <c r="PWD92" s="337"/>
      <c r="PWE92" s="337"/>
      <c r="PWF92" s="337"/>
      <c r="PWG92" s="337"/>
      <c r="PWH92" s="337"/>
      <c r="PWI92" s="337"/>
      <c r="PWJ92" s="337"/>
      <c r="PWK92" s="337"/>
      <c r="PWL92" s="337"/>
      <c r="PWM92" s="337"/>
      <c r="PWN92" s="337"/>
      <c r="PWO92" s="337"/>
      <c r="PWP92" s="337"/>
      <c r="PWQ92" s="337"/>
      <c r="PWR92" s="337"/>
      <c r="PWS92" s="337"/>
      <c r="PWT92" s="337"/>
      <c r="PWU92" s="337"/>
      <c r="PWV92" s="337"/>
      <c r="PWW92" s="337"/>
      <c r="PWX92" s="337"/>
      <c r="PWY92" s="337"/>
      <c r="PWZ92" s="337"/>
      <c r="PXA92" s="337"/>
      <c r="PXB92" s="337"/>
      <c r="PXC92" s="337"/>
      <c r="PXD92" s="337"/>
      <c r="PXE92" s="337"/>
      <c r="PXF92" s="337"/>
      <c r="PXG92" s="337"/>
      <c r="PXH92" s="337"/>
      <c r="PXI92" s="337"/>
      <c r="PXJ92" s="337"/>
      <c r="PXK92" s="337"/>
      <c r="PXL92" s="337"/>
      <c r="PXM92" s="337"/>
      <c r="PXN92" s="337"/>
      <c r="PXO92" s="337"/>
      <c r="PXP92" s="337"/>
      <c r="PXQ92" s="337"/>
      <c r="PXR92" s="337"/>
      <c r="PXS92" s="337"/>
      <c r="PXT92" s="337"/>
      <c r="PXU92" s="337"/>
      <c r="PXV92" s="337"/>
      <c r="PXW92" s="337"/>
      <c r="PXX92" s="337"/>
      <c r="PXY92" s="337"/>
      <c r="PXZ92" s="337"/>
      <c r="PYA92" s="337"/>
      <c r="PYB92" s="337"/>
      <c r="PYC92" s="337"/>
      <c r="PYD92" s="337"/>
      <c r="PYE92" s="337"/>
      <c r="PYF92" s="337"/>
      <c r="PYG92" s="337"/>
      <c r="PYH92" s="337"/>
      <c r="PYI92" s="337"/>
      <c r="PYJ92" s="337"/>
      <c r="PYK92" s="337"/>
      <c r="PYL92" s="337"/>
      <c r="PYM92" s="337"/>
      <c r="PYN92" s="337"/>
      <c r="PYO92" s="337"/>
      <c r="PYP92" s="337"/>
      <c r="PYQ92" s="337"/>
      <c r="PYR92" s="337"/>
      <c r="PYS92" s="337"/>
      <c r="PYT92" s="337"/>
      <c r="PYU92" s="337"/>
      <c r="PYV92" s="337"/>
      <c r="PYW92" s="337"/>
      <c r="PYX92" s="337"/>
      <c r="PYY92" s="337"/>
      <c r="PYZ92" s="337"/>
      <c r="PZA92" s="337"/>
      <c r="PZB92" s="337"/>
      <c r="PZC92" s="337"/>
      <c r="PZD92" s="337"/>
      <c r="PZE92" s="337"/>
      <c r="PZF92" s="337"/>
      <c r="PZG92" s="337"/>
      <c r="PZH92" s="337"/>
      <c r="PZI92" s="337"/>
      <c r="PZJ92" s="337"/>
      <c r="PZK92" s="337"/>
      <c r="PZL92" s="337"/>
      <c r="PZM92" s="337"/>
      <c r="PZN92" s="337"/>
      <c r="PZO92" s="337"/>
      <c r="PZP92" s="337"/>
      <c r="PZQ92" s="337"/>
      <c r="PZR92" s="337"/>
      <c r="PZS92" s="337"/>
      <c r="PZT92" s="337"/>
      <c r="PZU92" s="337"/>
      <c r="PZV92" s="337"/>
      <c r="PZW92" s="337"/>
      <c r="PZX92" s="337"/>
      <c r="PZY92" s="337"/>
      <c r="PZZ92" s="337"/>
      <c r="QAA92" s="337"/>
      <c r="QAB92" s="337"/>
      <c r="QAC92" s="337"/>
      <c r="QAD92" s="337"/>
      <c r="QAE92" s="337"/>
      <c r="QAF92" s="337"/>
      <c r="QAG92" s="337"/>
      <c r="QAH92" s="337"/>
      <c r="QAI92" s="337"/>
      <c r="QAJ92" s="337"/>
      <c r="QAK92" s="337"/>
      <c r="QAL92" s="337"/>
      <c r="QAM92" s="337"/>
      <c r="QAN92" s="337"/>
      <c r="QAO92" s="337"/>
      <c r="QAP92" s="337"/>
      <c r="QAQ92" s="337"/>
      <c r="QAR92" s="337"/>
      <c r="QAS92" s="337"/>
      <c r="QAT92" s="337"/>
      <c r="QAU92" s="337"/>
      <c r="QAV92" s="337"/>
      <c r="QAW92" s="337"/>
      <c r="QAX92" s="337"/>
      <c r="QAY92" s="337"/>
      <c r="QAZ92" s="337"/>
      <c r="QBA92" s="337"/>
      <c r="QBB92" s="337"/>
      <c r="QBC92" s="337"/>
      <c r="QBD92" s="337"/>
      <c r="QBE92" s="337"/>
      <c r="QBF92" s="337"/>
      <c r="QBG92" s="337"/>
      <c r="QBH92" s="337"/>
      <c r="QBI92" s="337"/>
      <c r="QBJ92" s="337"/>
      <c r="QBK92" s="337"/>
      <c r="QBL92" s="337"/>
      <c r="QBM92" s="337"/>
      <c r="QBN92" s="337"/>
      <c r="QBO92" s="337"/>
      <c r="QBP92" s="337"/>
      <c r="QBQ92" s="337"/>
      <c r="QBR92" s="337"/>
      <c r="QBS92" s="337"/>
      <c r="QBT92" s="337"/>
      <c r="QBU92" s="337"/>
      <c r="QBV92" s="337"/>
      <c r="QBW92" s="337"/>
      <c r="QBX92" s="337"/>
      <c r="QBY92" s="337"/>
      <c r="QBZ92" s="337"/>
      <c r="QCA92" s="337"/>
      <c r="QCB92" s="337"/>
      <c r="QCC92" s="337"/>
      <c r="QCD92" s="337"/>
      <c r="QCE92" s="337"/>
      <c r="QCF92" s="337"/>
      <c r="QCG92" s="337"/>
      <c r="QCH92" s="337"/>
      <c r="QCI92" s="337"/>
      <c r="QCJ92" s="337"/>
      <c r="QCK92" s="337"/>
      <c r="QCL92" s="337"/>
      <c r="QCM92" s="337"/>
      <c r="QCN92" s="337"/>
      <c r="QCO92" s="337"/>
      <c r="QCP92" s="337"/>
      <c r="QCQ92" s="337"/>
      <c r="QCR92" s="337"/>
      <c r="QCS92" s="337"/>
      <c r="QCT92" s="337"/>
      <c r="QCU92" s="337"/>
      <c r="QCV92" s="337"/>
      <c r="QCW92" s="337"/>
      <c r="QCX92" s="337"/>
      <c r="QCY92" s="337"/>
      <c r="QCZ92" s="337"/>
      <c r="QDA92" s="337"/>
      <c r="QDB92" s="337"/>
      <c r="QDC92" s="337"/>
      <c r="QDD92" s="337"/>
      <c r="QDE92" s="337"/>
      <c r="QDF92" s="337"/>
      <c r="QDG92" s="337"/>
      <c r="QDH92" s="337"/>
      <c r="QDI92" s="337"/>
      <c r="QDJ92" s="337"/>
      <c r="QDK92" s="337"/>
      <c r="QDL92" s="337"/>
      <c r="QDM92" s="337"/>
      <c r="QDN92" s="337"/>
      <c r="QDO92" s="337"/>
      <c r="QDP92" s="337"/>
      <c r="QDQ92" s="337"/>
      <c r="QDR92" s="337"/>
      <c r="QDS92" s="337"/>
      <c r="QDT92" s="337"/>
      <c r="QDU92" s="337"/>
      <c r="QDV92" s="337"/>
      <c r="QDW92" s="337"/>
      <c r="QDX92" s="337"/>
      <c r="QDY92" s="337"/>
      <c r="QDZ92" s="337"/>
      <c r="QEA92" s="337"/>
      <c r="QEB92" s="337"/>
      <c r="QEC92" s="337"/>
      <c r="QED92" s="337"/>
      <c r="QEE92" s="337"/>
      <c r="QEF92" s="337"/>
      <c r="QEG92" s="337"/>
      <c r="QEH92" s="337"/>
      <c r="QEI92" s="337"/>
      <c r="QEJ92" s="337"/>
      <c r="QEK92" s="337"/>
      <c r="QEL92" s="337"/>
      <c r="QEM92" s="337"/>
      <c r="QEN92" s="337"/>
      <c r="QEO92" s="337"/>
      <c r="QEP92" s="337"/>
      <c r="QEQ92" s="337"/>
      <c r="QER92" s="337"/>
      <c r="QES92" s="337"/>
      <c r="QET92" s="337"/>
      <c r="QEU92" s="337"/>
      <c r="QEV92" s="337"/>
      <c r="QEW92" s="337"/>
      <c r="QEX92" s="337"/>
      <c r="QEY92" s="337"/>
      <c r="QEZ92" s="337"/>
      <c r="QFA92" s="337"/>
      <c r="QFB92" s="337"/>
      <c r="QFC92" s="337"/>
      <c r="QFD92" s="337"/>
      <c r="QFE92" s="337"/>
      <c r="QFF92" s="337"/>
      <c r="QFG92" s="337"/>
      <c r="QFH92" s="337"/>
      <c r="QFI92" s="337"/>
      <c r="QFJ92" s="337"/>
      <c r="QFK92" s="337"/>
      <c r="QFL92" s="337"/>
      <c r="QFM92" s="337"/>
      <c r="QFN92" s="337"/>
      <c r="QFO92" s="337"/>
      <c r="QFP92" s="337"/>
      <c r="QFQ92" s="337"/>
      <c r="QFR92" s="337"/>
      <c r="QFS92" s="337"/>
      <c r="QFT92" s="337"/>
      <c r="QFU92" s="337"/>
      <c r="QFV92" s="337"/>
      <c r="QFW92" s="337"/>
      <c r="QFX92" s="337"/>
      <c r="QFY92" s="337"/>
      <c r="QFZ92" s="337"/>
      <c r="QGA92" s="337"/>
      <c r="QGB92" s="337"/>
      <c r="QGC92" s="337"/>
      <c r="QGD92" s="337"/>
      <c r="QGE92" s="337"/>
      <c r="QGF92" s="337"/>
      <c r="QGG92" s="337"/>
      <c r="QGH92" s="337"/>
      <c r="QGI92" s="337"/>
      <c r="QGJ92" s="337"/>
      <c r="QGK92" s="337"/>
      <c r="QGL92" s="337"/>
      <c r="QGM92" s="337"/>
      <c r="QGN92" s="337"/>
      <c r="QGO92" s="337"/>
      <c r="QGP92" s="337"/>
      <c r="QGQ92" s="337"/>
      <c r="QGR92" s="337"/>
      <c r="QGS92" s="337"/>
      <c r="QGT92" s="337"/>
      <c r="QGU92" s="337"/>
      <c r="QGV92" s="337"/>
      <c r="QGW92" s="337"/>
      <c r="QGX92" s="337"/>
      <c r="QGY92" s="337"/>
      <c r="QGZ92" s="337"/>
      <c r="QHA92" s="337"/>
      <c r="QHB92" s="337"/>
      <c r="QHC92" s="337"/>
      <c r="QHD92" s="337"/>
      <c r="QHE92" s="337"/>
      <c r="QHF92" s="337"/>
      <c r="QHG92" s="337"/>
      <c r="QHH92" s="337"/>
      <c r="QHI92" s="337"/>
      <c r="QHJ92" s="337"/>
      <c r="QHK92" s="337"/>
      <c r="QHL92" s="337"/>
      <c r="QHM92" s="337"/>
      <c r="QHN92" s="337"/>
      <c r="QHO92" s="337"/>
      <c r="QHP92" s="337"/>
      <c r="QHQ92" s="337"/>
      <c r="QHR92" s="337"/>
      <c r="QHS92" s="337"/>
      <c r="QHT92" s="337"/>
      <c r="QHU92" s="337"/>
      <c r="QHV92" s="337"/>
      <c r="QHW92" s="337"/>
      <c r="QHX92" s="337"/>
      <c r="QHY92" s="337"/>
      <c r="QHZ92" s="337"/>
      <c r="QIA92" s="337"/>
      <c r="QIB92" s="337"/>
      <c r="QIC92" s="337"/>
      <c r="QID92" s="337"/>
      <c r="QIE92" s="337"/>
      <c r="QIF92" s="337"/>
      <c r="QIG92" s="337"/>
      <c r="QIH92" s="337"/>
      <c r="QII92" s="337"/>
      <c r="QIJ92" s="337"/>
      <c r="QIK92" s="337"/>
      <c r="QIL92" s="337"/>
      <c r="QIM92" s="337"/>
      <c r="QIN92" s="337"/>
      <c r="QIO92" s="337"/>
      <c r="QIP92" s="337"/>
      <c r="QIQ92" s="337"/>
      <c r="QIR92" s="337"/>
      <c r="QIS92" s="337"/>
      <c r="QIT92" s="337"/>
      <c r="QIU92" s="337"/>
      <c r="QIV92" s="337"/>
      <c r="QIW92" s="337"/>
      <c r="QIX92" s="337"/>
      <c r="QIY92" s="337"/>
      <c r="QIZ92" s="337"/>
      <c r="QJA92" s="337"/>
      <c r="QJB92" s="337"/>
      <c r="QJC92" s="337"/>
      <c r="QJD92" s="337"/>
      <c r="QJE92" s="337"/>
      <c r="QJF92" s="337"/>
      <c r="QJG92" s="337"/>
      <c r="QJH92" s="337"/>
      <c r="QJI92" s="337"/>
      <c r="QJJ92" s="337"/>
      <c r="QJK92" s="337"/>
      <c r="QJL92" s="337"/>
      <c r="QJM92" s="337"/>
      <c r="QJN92" s="337"/>
      <c r="QJO92" s="337"/>
      <c r="QJP92" s="337"/>
      <c r="QJQ92" s="337"/>
      <c r="QJR92" s="337"/>
      <c r="QJS92" s="337"/>
      <c r="QJT92" s="337"/>
      <c r="QJU92" s="337"/>
      <c r="QJV92" s="337"/>
      <c r="QJW92" s="337"/>
      <c r="QJX92" s="337"/>
      <c r="QJY92" s="337"/>
      <c r="QJZ92" s="337"/>
      <c r="QKA92" s="337"/>
      <c r="QKB92" s="337"/>
      <c r="QKC92" s="337"/>
      <c r="QKD92" s="337"/>
      <c r="QKE92" s="337"/>
      <c r="QKF92" s="337"/>
      <c r="QKG92" s="337"/>
      <c r="QKH92" s="337"/>
      <c r="QKI92" s="337"/>
      <c r="QKJ92" s="337"/>
      <c r="QKK92" s="337"/>
      <c r="QKL92" s="337"/>
      <c r="QKM92" s="337"/>
      <c r="QKN92" s="337"/>
      <c r="QKO92" s="337"/>
      <c r="QKP92" s="337"/>
      <c r="QKQ92" s="337"/>
      <c r="QKR92" s="337"/>
      <c r="QKS92" s="337"/>
      <c r="QKT92" s="337"/>
      <c r="QKU92" s="337"/>
      <c r="QKV92" s="337"/>
      <c r="QKW92" s="337"/>
      <c r="QKX92" s="337"/>
      <c r="QKY92" s="337"/>
      <c r="QKZ92" s="337"/>
      <c r="QLA92" s="337"/>
      <c r="QLB92" s="337"/>
      <c r="QLC92" s="337"/>
      <c r="QLD92" s="337"/>
      <c r="QLE92" s="337"/>
      <c r="QLF92" s="337"/>
      <c r="QLG92" s="337"/>
      <c r="QLH92" s="337"/>
      <c r="QLI92" s="337"/>
      <c r="QLJ92" s="337"/>
      <c r="QLK92" s="337"/>
      <c r="QLL92" s="337"/>
      <c r="QLM92" s="337"/>
      <c r="QLN92" s="337"/>
      <c r="QLO92" s="337"/>
      <c r="QLP92" s="337"/>
      <c r="QLQ92" s="337"/>
      <c r="QLR92" s="337"/>
      <c r="QLS92" s="337"/>
      <c r="QLT92" s="337"/>
      <c r="QLU92" s="337"/>
      <c r="QLV92" s="337"/>
      <c r="QLW92" s="337"/>
      <c r="QLX92" s="337"/>
      <c r="QLY92" s="337"/>
      <c r="QLZ92" s="337"/>
      <c r="QMA92" s="337"/>
      <c r="QMB92" s="337"/>
      <c r="QMC92" s="337"/>
      <c r="QMD92" s="337"/>
      <c r="QME92" s="337"/>
      <c r="QMF92" s="337"/>
      <c r="QMG92" s="337"/>
      <c r="QMH92" s="337"/>
      <c r="QMI92" s="337"/>
      <c r="QMJ92" s="337"/>
      <c r="QMK92" s="337"/>
      <c r="QML92" s="337"/>
      <c r="QMM92" s="337"/>
      <c r="QMN92" s="337"/>
      <c r="QMO92" s="337"/>
      <c r="QMP92" s="337"/>
      <c r="QMQ92" s="337"/>
      <c r="QMR92" s="337"/>
      <c r="QMS92" s="337"/>
      <c r="QMT92" s="337"/>
      <c r="QMU92" s="337"/>
      <c r="QMV92" s="337"/>
      <c r="QMW92" s="337"/>
      <c r="QMX92" s="337"/>
      <c r="QMY92" s="337"/>
      <c r="QMZ92" s="337"/>
      <c r="QNA92" s="337"/>
      <c r="QNB92" s="337"/>
      <c r="QNC92" s="337"/>
      <c r="QND92" s="337"/>
      <c r="QNE92" s="337"/>
      <c r="QNF92" s="337"/>
      <c r="QNG92" s="337"/>
      <c r="QNH92" s="337"/>
      <c r="QNI92" s="337"/>
      <c r="QNJ92" s="337"/>
      <c r="QNK92" s="337"/>
      <c r="QNL92" s="337"/>
      <c r="QNM92" s="337"/>
      <c r="QNN92" s="337"/>
      <c r="QNO92" s="337"/>
      <c r="QNP92" s="337"/>
      <c r="QNQ92" s="337"/>
      <c r="QNR92" s="337"/>
      <c r="QNS92" s="337"/>
      <c r="QNT92" s="337"/>
      <c r="QNU92" s="337"/>
      <c r="QNV92" s="337"/>
      <c r="QNW92" s="337"/>
      <c r="QNX92" s="337"/>
      <c r="QNY92" s="337"/>
      <c r="QNZ92" s="337"/>
      <c r="QOA92" s="337"/>
      <c r="QOB92" s="337"/>
      <c r="QOC92" s="337"/>
      <c r="QOD92" s="337"/>
      <c r="QOE92" s="337"/>
      <c r="QOF92" s="337"/>
      <c r="QOG92" s="337"/>
      <c r="QOH92" s="337"/>
      <c r="QOI92" s="337"/>
      <c r="QOJ92" s="337"/>
      <c r="QOK92" s="337"/>
      <c r="QOL92" s="337"/>
      <c r="QOM92" s="337"/>
      <c r="QON92" s="337"/>
      <c r="QOO92" s="337"/>
      <c r="QOP92" s="337"/>
      <c r="QOQ92" s="337"/>
      <c r="QOR92" s="337"/>
      <c r="QOS92" s="337"/>
      <c r="QOT92" s="337"/>
      <c r="QOU92" s="337"/>
      <c r="QOV92" s="337"/>
      <c r="QOW92" s="337"/>
      <c r="QOX92" s="337"/>
      <c r="QOY92" s="337"/>
      <c r="QOZ92" s="337"/>
      <c r="QPA92" s="337"/>
      <c r="QPB92" s="337"/>
      <c r="QPC92" s="337"/>
      <c r="QPD92" s="337"/>
      <c r="QPE92" s="337"/>
      <c r="QPF92" s="337"/>
      <c r="QPG92" s="337"/>
      <c r="QPH92" s="337"/>
      <c r="QPI92" s="337"/>
      <c r="QPJ92" s="337"/>
      <c r="QPK92" s="337"/>
      <c r="QPL92" s="337"/>
      <c r="QPM92" s="337"/>
      <c r="QPN92" s="337"/>
      <c r="QPO92" s="337"/>
      <c r="QPP92" s="337"/>
      <c r="QPQ92" s="337"/>
      <c r="QPR92" s="337"/>
      <c r="QPS92" s="337"/>
      <c r="QPT92" s="337"/>
      <c r="QPU92" s="337"/>
      <c r="QPV92" s="337"/>
      <c r="QPW92" s="337"/>
      <c r="QPX92" s="337"/>
      <c r="QPY92" s="337"/>
      <c r="QPZ92" s="337"/>
      <c r="QQA92" s="337"/>
      <c r="QQB92" s="337"/>
      <c r="QQC92" s="337"/>
      <c r="QQD92" s="337"/>
      <c r="QQE92" s="337"/>
      <c r="QQF92" s="337"/>
      <c r="QQG92" s="337"/>
      <c r="QQH92" s="337"/>
      <c r="QQI92" s="337"/>
      <c r="QQJ92" s="337"/>
      <c r="QQK92" s="337"/>
      <c r="QQL92" s="337"/>
      <c r="QQM92" s="337"/>
      <c r="QQN92" s="337"/>
      <c r="QQO92" s="337"/>
      <c r="QQP92" s="337"/>
      <c r="QQQ92" s="337"/>
      <c r="QQR92" s="337"/>
      <c r="QQS92" s="337"/>
      <c r="QQT92" s="337"/>
      <c r="QQU92" s="337"/>
      <c r="QQV92" s="337"/>
      <c r="QQW92" s="337"/>
      <c r="QQX92" s="337"/>
      <c r="QQY92" s="337"/>
      <c r="QQZ92" s="337"/>
      <c r="QRA92" s="337"/>
      <c r="QRB92" s="337"/>
      <c r="QRC92" s="337"/>
      <c r="QRD92" s="337"/>
      <c r="QRE92" s="337"/>
      <c r="QRF92" s="337"/>
      <c r="QRG92" s="337"/>
      <c r="QRH92" s="337"/>
      <c r="QRI92" s="337"/>
      <c r="QRJ92" s="337"/>
      <c r="QRK92" s="337"/>
      <c r="QRL92" s="337"/>
      <c r="QRM92" s="337"/>
      <c r="QRN92" s="337"/>
      <c r="QRO92" s="337"/>
      <c r="QRP92" s="337"/>
      <c r="QRQ92" s="337"/>
      <c r="QRR92" s="337"/>
      <c r="QRS92" s="337"/>
      <c r="QRT92" s="337"/>
      <c r="QRU92" s="337"/>
      <c r="QRV92" s="337"/>
      <c r="QRW92" s="337"/>
      <c r="QRX92" s="337"/>
      <c r="QRY92" s="337"/>
      <c r="QRZ92" s="337"/>
      <c r="QSA92" s="337"/>
      <c r="QSB92" s="337"/>
      <c r="QSC92" s="337"/>
      <c r="QSD92" s="337"/>
      <c r="QSE92" s="337"/>
      <c r="QSF92" s="337"/>
      <c r="QSG92" s="337"/>
      <c r="QSH92" s="337"/>
      <c r="QSI92" s="337"/>
      <c r="QSJ92" s="337"/>
      <c r="QSK92" s="337"/>
      <c r="QSL92" s="337"/>
      <c r="QSM92" s="337"/>
      <c r="QSN92" s="337"/>
      <c r="QSO92" s="337"/>
      <c r="QSP92" s="337"/>
      <c r="QSQ92" s="337"/>
      <c r="QSR92" s="337"/>
      <c r="QSS92" s="337"/>
      <c r="QST92" s="337"/>
      <c r="QSU92" s="337"/>
      <c r="QSV92" s="337"/>
      <c r="QSW92" s="337"/>
      <c r="QSX92" s="337"/>
      <c r="QSY92" s="337"/>
      <c r="QSZ92" s="337"/>
      <c r="QTA92" s="337"/>
      <c r="QTB92" s="337"/>
      <c r="QTC92" s="337"/>
      <c r="QTD92" s="337"/>
      <c r="QTE92" s="337"/>
      <c r="QTF92" s="337"/>
      <c r="QTG92" s="337"/>
      <c r="QTH92" s="337"/>
      <c r="QTI92" s="337"/>
      <c r="QTJ92" s="337"/>
      <c r="QTK92" s="337"/>
      <c r="QTL92" s="337"/>
      <c r="QTM92" s="337"/>
      <c r="QTN92" s="337"/>
      <c r="QTO92" s="337"/>
      <c r="QTP92" s="337"/>
      <c r="QTQ92" s="337"/>
      <c r="QTR92" s="337"/>
      <c r="QTS92" s="337"/>
      <c r="QTT92" s="337"/>
      <c r="QTU92" s="337"/>
      <c r="QTV92" s="337"/>
      <c r="QTW92" s="337"/>
      <c r="QTX92" s="337"/>
      <c r="QTY92" s="337"/>
      <c r="QTZ92" s="337"/>
      <c r="QUA92" s="337"/>
      <c r="QUB92" s="337"/>
      <c r="QUC92" s="337"/>
      <c r="QUD92" s="337"/>
      <c r="QUE92" s="337"/>
      <c r="QUF92" s="337"/>
      <c r="QUG92" s="337"/>
      <c r="QUH92" s="337"/>
      <c r="QUI92" s="337"/>
      <c r="QUJ92" s="337"/>
      <c r="QUK92" s="337"/>
      <c r="QUL92" s="337"/>
      <c r="QUM92" s="337"/>
      <c r="QUN92" s="337"/>
      <c r="QUO92" s="337"/>
      <c r="QUP92" s="337"/>
      <c r="QUQ92" s="337"/>
      <c r="QUR92" s="337"/>
      <c r="QUS92" s="337"/>
      <c r="QUT92" s="337"/>
      <c r="QUU92" s="337"/>
      <c r="QUV92" s="337"/>
      <c r="QUW92" s="337"/>
      <c r="QUX92" s="337"/>
      <c r="QUY92" s="337"/>
      <c r="QUZ92" s="337"/>
      <c r="QVA92" s="337"/>
      <c r="QVB92" s="337"/>
      <c r="QVC92" s="337"/>
      <c r="QVD92" s="337"/>
      <c r="QVE92" s="337"/>
      <c r="QVF92" s="337"/>
      <c r="QVG92" s="337"/>
      <c r="QVH92" s="337"/>
      <c r="QVI92" s="337"/>
      <c r="QVJ92" s="337"/>
      <c r="QVK92" s="337"/>
      <c r="QVL92" s="337"/>
      <c r="QVM92" s="337"/>
      <c r="QVN92" s="337"/>
      <c r="QVO92" s="337"/>
      <c r="QVP92" s="337"/>
      <c r="QVQ92" s="337"/>
      <c r="QVR92" s="337"/>
      <c r="QVS92" s="337"/>
      <c r="QVT92" s="337"/>
      <c r="QVU92" s="337"/>
      <c r="QVV92" s="337"/>
      <c r="QVW92" s="337"/>
      <c r="QVX92" s="337"/>
      <c r="QVY92" s="337"/>
      <c r="QVZ92" s="337"/>
      <c r="QWA92" s="337"/>
      <c r="QWB92" s="337"/>
      <c r="QWC92" s="337"/>
      <c r="QWD92" s="337"/>
      <c r="QWE92" s="337"/>
      <c r="QWF92" s="337"/>
      <c r="QWG92" s="337"/>
      <c r="QWH92" s="337"/>
      <c r="QWI92" s="337"/>
      <c r="QWJ92" s="337"/>
      <c r="QWK92" s="337"/>
      <c r="QWL92" s="337"/>
      <c r="QWM92" s="337"/>
      <c r="QWN92" s="337"/>
      <c r="QWO92" s="337"/>
      <c r="QWP92" s="337"/>
      <c r="QWQ92" s="337"/>
      <c r="QWR92" s="337"/>
      <c r="QWS92" s="337"/>
      <c r="QWT92" s="337"/>
      <c r="QWU92" s="337"/>
      <c r="QWV92" s="337"/>
      <c r="QWW92" s="337"/>
      <c r="QWX92" s="337"/>
      <c r="QWY92" s="337"/>
      <c r="QWZ92" s="337"/>
      <c r="QXA92" s="337"/>
      <c r="QXB92" s="337"/>
      <c r="QXC92" s="337"/>
      <c r="QXD92" s="337"/>
      <c r="QXE92" s="337"/>
      <c r="QXF92" s="337"/>
      <c r="QXG92" s="337"/>
      <c r="QXH92" s="337"/>
      <c r="QXI92" s="337"/>
      <c r="QXJ92" s="337"/>
      <c r="QXK92" s="337"/>
      <c r="QXL92" s="337"/>
      <c r="QXM92" s="337"/>
      <c r="QXN92" s="337"/>
      <c r="QXO92" s="337"/>
      <c r="QXP92" s="337"/>
      <c r="QXQ92" s="337"/>
      <c r="QXR92" s="337"/>
      <c r="QXS92" s="337"/>
      <c r="QXT92" s="337"/>
      <c r="QXU92" s="337"/>
      <c r="QXV92" s="337"/>
      <c r="QXW92" s="337"/>
      <c r="QXX92" s="337"/>
      <c r="QXY92" s="337"/>
      <c r="QXZ92" s="337"/>
      <c r="QYA92" s="337"/>
      <c r="QYB92" s="337"/>
      <c r="QYC92" s="337"/>
      <c r="QYD92" s="337"/>
      <c r="QYE92" s="337"/>
      <c r="QYF92" s="337"/>
      <c r="QYG92" s="337"/>
      <c r="QYH92" s="337"/>
      <c r="QYI92" s="337"/>
      <c r="QYJ92" s="337"/>
      <c r="QYK92" s="337"/>
      <c r="QYL92" s="337"/>
      <c r="QYM92" s="337"/>
      <c r="QYN92" s="337"/>
      <c r="QYO92" s="337"/>
      <c r="QYP92" s="337"/>
      <c r="QYQ92" s="337"/>
      <c r="QYR92" s="337"/>
      <c r="QYS92" s="337"/>
      <c r="QYT92" s="337"/>
      <c r="QYU92" s="337"/>
      <c r="QYV92" s="337"/>
      <c r="QYW92" s="337"/>
      <c r="QYX92" s="337"/>
      <c r="QYY92" s="337"/>
      <c r="QYZ92" s="337"/>
      <c r="QZA92" s="337"/>
      <c r="QZB92" s="337"/>
      <c r="QZC92" s="337"/>
      <c r="QZD92" s="337"/>
      <c r="QZE92" s="337"/>
      <c r="QZF92" s="337"/>
      <c r="QZG92" s="337"/>
      <c r="QZH92" s="337"/>
      <c r="QZI92" s="337"/>
      <c r="QZJ92" s="337"/>
      <c r="QZK92" s="337"/>
      <c r="QZL92" s="337"/>
      <c r="QZM92" s="337"/>
      <c r="QZN92" s="337"/>
      <c r="QZO92" s="337"/>
      <c r="QZP92" s="337"/>
      <c r="QZQ92" s="337"/>
      <c r="QZR92" s="337"/>
      <c r="QZS92" s="337"/>
      <c r="QZT92" s="337"/>
      <c r="QZU92" s="337"/>
      <c r="QZV92" s="337"/>
      <c r="QZW92" s="337"/>
      <c r="QZX92" s="337"/>
      <c r="QZY92" s="337"/>
      <c r="QZZ92" s="337"/>
      <c r="RAA92" s="337"/>
      <c r="RAB92" s="337"/>
      <c r="RAC92" s="337"/>
      <c r="RAD92" s="337"/>
      <c r="RAE92" s="337"/>
      <c r="RAF92" s="337"/>
      <c r="RAG92" s="337"/>
      <c r="RAH92" s="337"/>
      <c r="RAI92" s="337"/>
      <c r="RAJ92" s="337"/>
      <c r="RAK92" s="337"/>
      <c r="RAL92" s="337"/>
      <c r="RAM92" s="337"/>
      <c r="RAN92" s="337"/>
      <c r="RAO92" s="337"/>
      <c r="RAP92" s="337"/>
      <c r="RAQ92" s="337"/>
      <c r="RAR92" s="337"/>
      <c r="RAS92" s="337"/>
      <c r="RAT92" s="337"/>
      <c r="RAU92" s="337"/>
      <c r="RAV92" s="337"/>
      <c r="RAW92" s="337"/>
      <c r="RAX92" s="337"/>
      <c r="RAY92" s="337"/>
      <c r="RAZ92" s="337"/>
      <c r="RBA92" s="337"/>
      <c r="RBB92" s="337"/>
      <c r="RBC92" s="337"/>
      <c r="RBD92" s="337"/>
      <c r="RBE92" s="337"/>
      <c r="RBF92" s="337"/>
      <c r="RBG92" s="337"/>
      <c r="RBH92" s="337"/>
      <c r="RBI92" s="337"/>
      <c r="RBJ92" s="337"/>
      <c r="RBK92" s="337"/>
      <c r="RBL92" s="337"/>
      <c r="RBM92" s="337"/>
      <c r="RBN92" s="337"/>
      <c r="RBO92" s="337"/>
      <c r="RBP92" s="337"/>
      <c r="RBQ92" s="337"/>
      <c r="RBR92" s="337"/>
      <c r="RBS92" s="337"/>
      <c r="RBT92" s="337"/>
      <c r="RBU92" s="337"/>
      <c r="RBV92" s="337"/>
      <c r="RBW92" s="337"/>
      <c r="RBX92" s="337"/>
      <c r="RBY92" s="337"/>
      <c r="RBZ92" s="337"/>
      <c r="RCA92" s="337"/>
      <c r="RCB92" s="337"/>
      <c r="RCC92" s="337"/>
      <c r="RCD92" s="337"/>
      <c r="RCE92" s="337"/>
      <c r="RCF92" s="337"/>
      <c r="RCG92" s="337"/>
      <c r="RCH92" s="337"/>
      <c r="RCI92" s="337"/>
      <c r="RCJ92" s="337"/>
      <c r="RCK92" s="337"/>
      <c r="RCL92" s="337"/>
      <c r="RCM92" s="337"/>
      <c r="RCN92" s="337"/>
      <c r="RCO92" s="337"/>
      <c r="RCP92" s="337"/>
      <c r="RCQ92" s="337"/>
      <c r="RCR92" s="337"/>
      <c r="RCS92" s="337"/>
      <c r="RCT92" s="337"/>
      <c r="RCU92" s="337"/>
      <c r="RCV92" s="337"/>
      <c r="RCW92" s="337"/>
      <c r="RCX92" s="337"/>
      <c r="RCY92" s="337"/>
      <c r="RCZ92" s="337"/>
      <c r="RDA92" s="337"/>
      <c r="RDB92" s="337"/>
      <c r="RDC92" s="337"/>
      <c r="RDD92" s="337"/>
      <c r="RDE92" s="337"/>
      <c r="RDF92" s="337"/>
      <c r="RDG92" s="337"/>
      <c r="RDH92" s="337"/>
      <c r="RDI92" s="337"/>
      <c r="RDJ92" s="337"/>
      <c r="RDK92" s="337"/>
      <c r="RDL92" s="337"/>
      <c r="RDM92" s="337"/>
      <c r="RDN92" s="337"/>
      <c r="RDO92" s="337"/>
      <c r="RDP92" s="337"/>
      <c r="RDQ92" s="337"/>
      <c r="RDR92" s="337"/>
      <c r="RDS92" s="337"/>
      <c r="RDT92" s="337"/>
      <c r="RDU92" s="337"/>
      <c r="RDV92" s="337"/>
      <c r="RDW92" s="337"/>
      <c r="RDX92" s="337"/>
      <c r="RDY92" s="337"/>
      <c r="RDZ92" s="337"/>
      <c r="REA92" s="337"/>
      <c r="REB92" s="337"/>
      <c r="REC92" s="337"/>
      <c r="RED92" s="337"/>
      <c r="REE92" s="337"/>
      <c r="REF92" s="337"/>
      <c r="REG92" s="337"/>
      <c r="REH92" s="337"/>
      <c r="REI92" s="337"/>
      <c r="REJ92" s="337"/>
      <c r="REK92" s="337"/>
      <c r="REL92" s="337"/>
      <c r="REM92" s="337"/>
      <c r="REN92" s="337"/>
      <c r="REO92" s="337"/>
      <c r="REP92" s="337"/>
      <c r="REQ92" s="337"/>
      <c r="RER92" s="337"/>
      <c r="RES92" s="337"/>
      <c r="RET92" s="337"/>
      <c r="REU92" s="337"/>
      <c r="REV92" s="337"/>
      <c r="REW92" s="337"/>
      <c r="REX92" s="337"/>
      <c r="REY92" s="337"/>
      <c r="REZ92" s="337"/>
      <c r="RFA92" s="337"/>
      <c r="RFB92" s="337"/>
      <c r="RFC92" s="337"/>
      <c r="RFD92" s="337"/>
      <c r="RFE92" s="337"/>
      <c r="RFF92" s="337"/>
      <c r="RFG92" s="337"/>
      <c r="RFH92" s="337"/>
      <c r="RFI92" s="337"/>
      <c r="RFJ92" s="337"/>
      <c r="RFK92" s="337"/>
      <c r="RFL92" s="337"/>
      <c r="RFM92" s="337"/>
      <c r="RFN92" s="337"/>
      <c r="RFO92" s="337"/>
      <c r="RFP92" s="337"/>
      <c r="RFQ92" s="337"/>
      <c r="RFR92" s="337"/>
      <c r="RFS92" s="337"/>
      <c r="RFT92" s="337"/>
      <c r="RFU92" s="337"/>
      <c r="RFV92" s="337"/>
      <c r="RFW92" s="337"/>
      <c r="RFX92" s="337"/>
      <c r="RFY92" s="337"/>
      <c r="RFZ92" s="337"/>
      <c r="RGA92" s="337"/>
      <c r="RGB92" s="337"/>
      <c r="RGC92" s="337"/>
      <c r="RGD92" s="337"/>
      <c r="RGE92" s="337"/>
      <c r="RGF92" s="337"/>
      <c r="RGG92" s="337"/>
      <c r="RGH92" s="337"/>
      <c r="RGI92" s="337"/>
      <c r="RGJ92" s="337"/>
      <c r="RGK92" s="337"/>
      <c r="RGL92" s="337"/>
      <c r="RGM92" s="337"/>
      <c r="RGN92" s="337"/>
      <c r="RGO92" s="337"/>
      <c r="RGP92" s="337"/>
      <c r="RGQ92" s="337"/>
      <c r="RGR92" s="337"/>
      <c r="RGS92" s="337"/>
      <c r="RGT92" s="337"/>
      <c r="RGU92" s="337"/>
      <c r="RGV92" s="337"/>
      <c r="RGW92" s="337"/>
      <c r="RGX92" s="337"/>
      <c r="RGY92" s="337"/>
      <c r="RGZ92" s="337"/>
      <c r="RHA92" s="337"/>
      <c r="RHB92" s="337"/>
      <c r="RHC92" s="337"/>
      <c r="RHD92" s="337"/>
      <c r="RHE92" s="337"/>
      <c r="RHF92" s="337"/>
      <c r="RHG92" s="337"/>
      <c r="RHH92" s="337"/>
      <c r="RHI92" s="337"/>
      <c r="RHJ92" s="337"/>
      <c r="RHK92" s="337"/>
      <c r="RHL92" s="337"/>
      <c r="RHM92" s="337"/>
      <c r="RHN92" s="337"/>
      <c r="RHO92" s="337"/>
      <c r="RHP92" s="337"/>
      <c r="RHQ92" s="337"/>
      <c r="RHR92" s="337"/>
      <c r="RHS92" s="337"/>
      <c r="RHT92" s="337"/>
      <c r="RHU92" s="337"/>
      <c r="RHV92" s="337"/>
      <c r="RHW92" s="337"/>
      <c r="RHX92" s="337"/>
      <c r="RHY92" s="337"/>
      <c r="RHZ92" s="337"/>
      <c r="RIA92" s="337"/>
      <c r="RIB92" s="337"/>
      <c r="RIC92" s="337"/>
      <c r="RID92" s="337"/>
      <c r="RIE92" s="337"/>
      <c r="RIF92" s="337"/>
      <c r="RIG92" s="337"/>
      <c r="RIH92" s="337"/>
      <c r="RII92" s="337"/>
      <c r="RIJ92" s="337"/>
      <c r="RIK92" s="337"/>
      <c r="RIL92" s="337"/>
      <c r="RIM92" s="337"/>
      <c r="RIN92" s="337"/>
      <c r="RIO92" s="337"/>
      <c r="RIP92" s="337"/>
      <c r="RIQ92" s="337"/>
      <c r="RIR92" s="337"/>
      <c r="RIS92" s="337"/>
      <c r="RIT92" s="337"/>
      <c r="RIU92" s="337"/>
      <c r="RIV92" s="337"/>
      <c r="RIW92" s="337"/>
      <c r="RIX92" s="337"/>
      <c r="RIY92" s="337"/>
      <c r="RIZ92" s="337"/>
      <c r="RJA92" s="337"/>
      <c r="RJB92" s="337"/>
      <c r="RJC92" s="337"/>
      <c r="RJD92" s="337"/>
      <c r="RJE92" s="337"/>
      <c r="RJF92" s="337"/>
      <c r="RJG92" s="337"/>
      <c r="RJH92" s="337"/>
      <c r="RJI92" s="337"/>
      <c r="RJJ92" s="337"/>
      <c r="RJK92" s="337"/>
      <c r="RJL92" s="337"/>
      <c r="RJM92" s="337"/>
      <c r="RJN92" s="337"/>
      <c r="RJO92" s="337"/>
      <c r="RJP92" s="337"/>
      <c r="RJQ92" s="337"/>
      <c r="RJR92" s="337"/>
      <c r="RJS92" s="337"/>
      <c r="RJT92" s="337"/>
      <c r="RJU92" s="337"/>
      <c r="RJV92" s="337"/>
      <c r="RJW92" s="337"/>
      <c r="RJX92" s="337"/>
      <c r="RJY92" s="337"/>
      <c r="RJZ92" s="337"/>
      <c r="RKA92" s="337"/>
      <c r="RKB92" s="337"/>
      <c r="RKC92" s="337"/>
      <c r="RKD92" s="337"/>
      <c r="RKE92" s="337"/>
      <c r="RKF92" s="337"/>
      <c r="RKG92" s="337"/>
      <c r="RKH92" s="337"/>
      <c r="RKI92" s="337"/>
      <c r="RKJ92" s="337"/>
      <c r="RKK92" s="337"/>
      <c r="RKL92" s="337"/>
      <c r="RKM92" s="337"/>
      <c r="RKN92" s="337"/>
      <c r="RKO92" s="337"/>
      <c r="RKP92" s="337"/>
      <c r="RKQ92" s="337"/>
      <c r="RKR92" s="337"/>
      <c r="RKS92" s="337"/>
      <c r="RKT92" s="337"/>
      <c r="RKU92" s="337"/>
      <c r="RKV92" s="337"/>
      <c r="RKW92" s="337"/>
      <c r="RKX92" s="337"/>
      <c r="RKY92" s="337"/>
      <c r="RKZ92" s="337"/>
      <c r="RLA92" s="337"/>
      <c r="RLB92" s="337"/>
      <c r="RLC92" s="337"/>
      <c r="RLD92" s="337"/>
      <c r="RLE92" s="337"/>
      <c r="RLF92" s="337"/>
      <c r="RLG92" s="337"/>
      <c r="RLH92" s="337"/>
      <c r="RLI92" s="337"/>
      <c r="RLJ92" s="337"/>
      <c r="RLK92" s="337"/>
      <c r="RLL92" s="337"/>
      <c r="RLM92" s="337"/>
      <c r="RLN92" s="337"/>
      <c r="RLO92" s="337"/>
      <c r="RLP92" s="337"/>
      <c r="RLQ92" s="337"/>
      <c r="RLR92" s="337"/>
      <c r="RLS92" s="337"/>
      <c r="RLT92" s="337"/>
      <c r="RLU92" s="337"/>
      <c r="RLV92" s="337"/>
      <c r="RLW92" s="337"/>
      <c r="RLX92" s="337"/>
      <c r="RLY92" s="337"/>
      <c r="RLZ92" s="337"/>
      <c r="RMA92" s="337"/>
      <c r="RMB92" s="337"/>
      <c r="RMC92" s="337"/>
      <c r="RMD92" s="337"/>
      <c r="RME92" s="337"/>
      <c r="RMF92" s="337"/>
      <c r="RMG92" s="337"/>
      <c r="RMH92" s="337"/>
      <c r="RMI92" s="337"/>
      <c r="RMJ92" s="337"/>
      <c r="RMK92" s="337"/>
      <c r="RML92" s="337"/>
      <c r="RMM92" s="337"/>
      <c r="RMN92" s="337"/>
      <c r="RMO92" s="337"/>
      <c r="RMP92" s="337"/>
      <c r="RMQ92" s="337"/>
      <c r="RMR92" s="337"/>
      <c r="RMS92" s="337"/>
      <c r="RMT92" s="337"/>
      <c r="RMU92" s="337"/>
      <c r="RMV92" s="337"/>
      <c r="RMW92" s="337"/>
      <c r="RMX92" s="337"/>
      <c r="RMY92" s="337"/>
      <c r="RMZ92" s="337"/>
      <c r="RNA92" s="337"/>
      <c r="RNB92" s="337"/>
      <c r="RNC92" s="337"/>
      <c r="RND92" s="337"/>
      <c r="RNE92" s="337"/>
      <c r="RNF92" s="337"/>
      <c r="RNG92" s="337"/>
      <c r="RNH92" s="337"/>
      <c r="RNI92" s="337"/>
      <c r="RNJ92" s="337"/>
      <c r="RNK92" s="337"/>
      <c r="RNL92" s="337"/>
      <c r="RNM92" s="337"/>
      <c r="RNN92" s="337"/>
      <c r="RNO92" s="337"/>
      <c r="RNP92" s="337"/>
      <c r="RNQ92" s="337"/>
      <c r="RNR92" s="337"/>
      <c r="RNS92" s="337"/>
      <c r="RNT92" s="337"/>
      <c r="RNU92" s="337"/>
      <c r="RNV92" s="337"/>
      <c r="RNW92" s="337"/>
      <c r="RNX92" s="337"/>
      <c r="RNY92" s="337"/>
      <c r="RNZ92" s="337"/>
      <c r="ROA92" s="337"/>
      <c r="ROB92" s="337"/>
      <c r="ROC92" s="337"/>
      <c r="ROD92" s="337"/>
      <c r="ROE92" s="337"/>
      <c r="ROF92" s="337"/>
      <c r="ROG92" s="337"/>
      <c r="ROH92" s="337"/>
      <c r="ROI92" s="337"/>
      <c r="ROJ92" s="337"/>
      <c r="ROK92" s="337"/>
      <c r="ROL92" s="337"/>
      <c r="ROM92" s="337"/>
      <c r="RON92" s="337"/>
      <c r="ROO92" s="337"/>
      <c r="ROP92" s="337"/>
      <c r="ROQ92" s="337"/>
      <c r="ROR92" s="337"/>
      <c r="ROS92" s="337"/>
      <c r="ROT92" s="337"/>
      <c r="ROU92" s="337"/>
      <c r="ROV92" s="337"/>
      <c r="ROW92" s="337"/>
      <c r="ROX92" s="337"/>
      <c r="ROY92" s="337"/>
      <c r="ROZ92" s="337"/>
      <c r="RPA92" s="337"/>
      <c r="RPB92" s="337"/>
      <c r="RPC92" s="337"/>
      <c r="RPD92" s="337"/>
      <c r="RPE92" s="337"/>
      <c r="RPF92" s="337"/>
      <c r="RPG92" s="337"/>
      <c r="RPH92" s="337"/>
      <c r="RPI92" s="337"/>
      <c r="RPJ92" s="337"/>
      <c r="RPK92" s="337"/>
      <c r="RPL92" s="337"/>
      <c r="RPM92" s="337"/>
      <c r="RPN92" s="337"/>
      <c r="RPO92" s="337"/>
      <c r="RPP92" s="337"/>
      <c r="RPQ92" s="337"/>
      <c r="RPR92" s="337"/>
      <c r="RPS92" s="337"/>
      <c r="RPT92" s="337"/>
      <c r="RPU92" s="337"/>
      <c r="RPV92" s="337"/>
      <c r="RPW92" s="337"/>
      <c r="RPX92" s="337"/>
      <c r="RPY92" s="337"/>
      <c r="RPZ92" s="337"/>
      <c r="RQA92" s="337"/>
      <c r="RQB92" s="337"/>
      <c r="RQC92" s="337"/>
      <c r="RQD92" s="337"/>
      <c r="RQE92" s="337"/>
      <c r="RQF92" s="337"/>
      <c r="RQG92" s="337"/>
      <c r="RQH92" s="337"/>
      <c r="RQI92" s="337"/>
      <c r="RQJ92" s="337"/>
      <c r="RQK92" s="337"/>
      <c r="RQL92" s="337"/>
      <c r="RQM92" s="337"/>
      <c r="RQN92" s="337"/>
      <c r="RQO92" s="337"/>
      <c r="RQP92" s="337"/>
      <c r="RQQ92" s="337"/>
      <c r="RQR92" s="337"/>
      <c r="RQS92" s="337"/>
      <c r="RQT92" s="337"/>
      <c r="RQU92" s="337"/>
      <c r="RQV92" s="337"/>
      <c r="RQW92" s="337"/>
      <c r="RQX92" s="337"/>
      <c r="RQY92" s="337"/>
      <c r="RQZ92" s="337"/>
      <c r="RRA92" s="337"/>
      <c r="RRB92" s="337"/>
      <c r="RRC92" s="337"/>
      <c r="RRD92" s="337"/>
      <c r="RRE92" s="337"/>
      <c r="RRF92" s="337"/>
      <c r="RRG92" s="337"/>
      <c r="RRH92" s="337"/>
      <c r="RRI92" s="337"/>
      <c r="RRJ92" s="337"/>
      <c r="RRK92" s="337"/>
      <c r="RRL92" s="337"/>
      <c r="RRM92" s="337"/>
      <c r="RRN92" s="337"/>
      <c r="RRO92" s="337"/>
      <c r="RRP92" s="337"/>
      <c r="RRQ92" s="337"/>
      <c r="RRR92" s="337"/>
      <c r="RRS92" s="337"/>
      <c r="RRT92" s="337"/>
      <c r="RRU92" s="337"/>
      <c r="RRV92" s="337"/>
      <c r="RRW92" s="337"/>
      <c r="RRX92" s="337"/>
      <c r="RRY92" s="337"/>
      <c r="RRZ92" s="337"/>
      <c r="RSA92" s="337"/>
      <c r="RSB92" s="337"/>
      <c r="RSC92" s="337"/>
      <c r="RSD92" s="337"/>
      <c r="RSE92" s="337"/>
      <c r="RSF92" s="337"/>
      <c r="RSG92" s="337"/>
      <c r="RSH92" s="337"/>
      <c r="RSI92" s="337"/>
      <c r="RSJ92" s="337"/>
      <c r="RSK92" s="337"/>
      <c r="RSL92" s="337"/>
      <c r="RSM92" s="337"/>
      <c r="RSN92" s="337"/>
      <c r="RSO92" s="337"/>
      <c r="RSP92" s="337"/>
      <c r="RSQ92" s="337"/>
      <c r="RSR92" s="337"/>
      <c r="RSS92" s="337"/>
      <c r="RST92" s="337"/>
      <c r="RSU92" s="337"/>
      <c r="RSV92" s="337"/>
      <c r="RSW92" s="337"/>
      <c r="RSX92" s="337"/>
      <c r="RSY92" s="337"/>
      <c r="RSZ92" s="337"/>
      <c r="RTA92" s="337"/>
      <c r="RTB92" s="337"/>
      <c r="RTC92" s="337"/>
      <c r="RTD92" s="337"/>
      <c r="RTE92" s="337"/>
      <c r="RTF92" s="337"/>
      <c r="RTG92" s="337"/>
      <c r="RTH92" s="337"/>
      <c r="RTI92" s="337"/>
      <c r="RTJ92" s="337"/>
      <c r="RTK92" s="337"/>
      <c r="RTL92" s="337"/>
      <c r="RTM92" s="337"/>
      <c r="RTN92" s="337"/>
      <c r="RTO92" s="337"/>
      <c r="RTP92" s="337"/>
      <c r="RTQ92" s="337"/>
      <c r="RTR92" s="337"/>
      <c r="RTS92" s="337"/>
      <c r="RTT92" s="337"/>
      <c r="RTU92" s="337"/>
      <c r="RTV92" s="337"/>
      <c r="RTW92" s="337"/>
      <c r="RTX92" s="337"/>
      <c r="RTY92" s="337"/>
      <c r="RTZ92" s="337"/>
      <c r="RUA92" s="337"/>
      <c r="RUB92" s="337"/>
      <c r="RUC92" s="337"/>
      <c r="RUD92" s="337"/>
      <c r="RUE92" s="337"/>
      <c r="RUF92" s="337"/>
      <c r="RUG92" s="337"/>
      <c r="RUH92" s="337"/>
      <c r="RUI92" s="337"/>
      <c r="RUJ92" s="337"/>
      <c r="RUK92" s="337"/>
      <c r="RUL92" s="337"/>
      <c r="RUM92" s="337"/>
      <c r="RUN92" s="337"/>
      <c r="RUO92" s="337"/>
      <c r="RUP92" s="337"/>
      <c r="RUQ92" s="337"/>
      <c r="RUR92" s="337"/>
      <c r="RUS92" s="337"/>
      <c r="RUT92" s="337"/>
      <c r="RUU92" s="337"/>
      <c r="RUV92" s="337"/>
      <c r="RUW92" s="337"/>
      <c r="RUX92" s="337"/>
      <c r="RUY92" s="337"/>
      <c r="RUZ92" s="337"/>
      <c r="RVA92" s="337"/>
      <c r="RVB92" s="337"/>
      <c r="RVC92" s="337"/>
      <c r="RVD92" s="337"/>
      <c r="RVE92" s="337"/>
      <c r="RVF92" s="337"/>
      <c r="RVG92" s="337"/>
      <c r="RVH92" s="337"/>
      <c r="RVI92" s="337"/>
      <c r="RVJ92" s="337"/>
      <c r="RVK92" s="337"/>
      <c r="RVL92" s="337"/>
      <c r="RVM92" s="337"/>
      <c r="RVN92" s="337"/>
      <c r="RVO92" s="337"/>
      <c r="RVP92" s="337"/>
      <c r="RVQ92" s="337"/>
      <c r="RVR92" s="337"/>
      <c r="RVS92" s="337"/>
      <c r="RVT92" s="337"/>
      <c r="RVU92" s="337"/>
      <c r="RVV92" s="337"/>
      <c r="RVW92" s="337"/>
      <c r="RVX92" s="337"/>
      <c r="RVY92" s="337"/>
      <c r="RVZ92" s="337"/>
      <c r="RWA92" s="337"/>
      <c r="RWB92" s="337"/>
      <c r="RWC92" s="337"/>
      <c r="RWD92" s="337"/>
      <c r="RWE92" s="337"/>
      <c r="RWF92" s="337"/>
      <c r="RWG92" s="337"/>
      <c r="RWH92" s="337"/>
      <c r="RWI92" s="337"/>
      <c r="RWJ92" s="337"/>
      <c r="RWK92" s="337"/>
      <c r="RWL92" s="337"/>
      <c r="RWM92" s="337"/>
      <c r="RWN92" s="337"/>
      <c r="RWO92" s="337"/>
      <c r="RWP92" s="337"/>
      <c r="RWQ92" s="337"/>
      <c r="RWR92" s="337"/>
      <c r="RWS92" s="337"/>
      <c r="RWT92" s="337"/>
      <c r="RWU92" s="337"/>
      <c r="RWV92" s="337"/>
      <c r="RWW92" s="337"/>
      <c r="RWX92" s="337"/>
      <c r="RWY92" s="337"/>
      <c r="RWZ92" s="337"/>
      <c r="RXA92" s="337"/>
      <c r="RXB92" s="337"/>
      <c r="RXC92" s="337"/>
      <c r="RXD92" s="337"/>
      <c r="RXE92" s="337"/>
      <c r="RXF92" s="337"/>
      <c r="RXG92" s="337"/>
      <c r="RXH92" s="337"/>
      <c r="RXI92" s="337"/>
      <c r="RXJ92" s="337"/>
      <c r="RXK92" s="337"/>
      <c r="RXL92" s="337"/>
      <c r="RXM92" s="337"/>
      <c r="RXN92" s="337"/>
      <c r="RXO92" s="337"/>
      <c r="RXP92" s="337"/>
      <c r="RXQ92" s="337"/>
      <c r="RXR92" s="337"/>
      <c r="RXS92" s="337"/>
      <c r="RXT92" s="337"/>
      <c r="RXU92" s="337"/>
      <c r="RXV92" s="337"/>
      <c r="RXW92" s="337"/>
      <c r="RXX92" s="337"/>
      <c r="RXY92" s="337"/>
      <c r="RXZ92" s="337"/>
      <c r="RYA92" s="337"/>
      <c r="RYB92" s="337"/>
      <c r="RYC92" s="337"/>
      <c r="RYD92" s="337"/>
      <c r="RYE92" s="337"/>
      <c r="RYF92" s="337"/>
      <c r="RYG92" s="337"/>
      <c r="RYH92" s="337"/>
      <c r="RYI92" s="337"/>
      <c r="RYJ92" s="337"/>
      <c r="RYK92" s="337"/>
      <c r="RYL92" s="337"/>
      <c r="RYM92" s="337"/>
      <c r="RYN92" s="337"/>
      <c r="RYO92" s="337"/>
      <c r="RYP92" s="337"/>
      <c r="RYQ92" s="337"/>
      <c r="RYR92" s="337"/>
      <c r="RYS92" s="337"/>
      <c r="RYT92" s="337"/>
      <c r="RYU92" s="337"/>
      <c r="RYV92" s="337"/>
      <c r="RYW92" s="337"/>
      <c r="RYX92" s="337"/>
      <c r="RYY92" s="337"/>
      <c r="RYZ92" s="337"/>
      <c r="RZA92" s="337"/>
      <c r="RZB92" s="337"/>
      <c r="RZC92" s="337"/>
      <c r="RZD92" s="337"/>
      <c r="RZE92" s="337"/>
      <c r="RZF92" s="337"/>
      <c r="RZG92" s="337"/>
      <c r="RZH92" s="337"/>
      <c r="RZI92" s="337"/>
      <c r="RZJ92" s="337"/>
      <c r="RZK92" s="337"/>
      <c r="RZL92" s="337"/>
      <c r="RZM92" s="337"/>
      <c r="RZN92" s="337"/>
      <c r="RZO92" s="337"/>
      <c r="RZP92" s="337"/>
      <c r="RZQ92" s="337"/>
      <c r="RZR92" s="337"/>
      <c r="RZS92" s="337"/>
      <c r="RZT92" s="337"/>
      <c r="RZU92" s="337"/>
      <c r="RZV92" s="337"/>
      <c r="RZW92" s="337"/>
      <c r="RZX92" s="337"/>
      <c r="RZY92" s="337"/>
      <c r="RZZ92" s="337"/>
      <c r="SAA92" s="337"/>
      <c r="SAB92" s="337"/>
      <c r="SAC92" s="337"/>
      <c r="SAD92" s="337"/>
      <c r="SAE92" s="337"/>
      <c r="SAF92" s="337"/>
      <c r="SAG92" s="337"/>
      <c r="SAH92" s="337"/>
      <c r="SAI92" s="337"/>
      <c r="SAJ92" s="337"/>
      <c r="SAK92" s="337"/>
      <c r="SAL92" s="337"/>
      <c r="SAM92" s="337"/>
      <c r="SAN92" s="337"/>
      <c r="SAO92" s="337"/>
      <c r="SAP92" s="337"/>
      <c r="SAQ92" s="337"/>
      <c r="SAR92" s="337"/>
      <c r="SAS92" s="337"/>
      <c r="SAT92" s="337"/>
      <c r="SAU92" s="337"/>
      <c r="SAV92" s="337"/>
      <c r="SAW92" s="337"/>
      <c r="SAX92" s="337"/>
      <c r="SAY92" s="337"/>
      <c r="SAZ92" s="337"/>
      <c r="SBA92" s="337"/>
      <c r="SBB92" s="337"/>
      <c r="SBC92" s="337"/>
      <c r="SBD92" s="337"/>
      <c r="SBE92" s="337"/>
      <c r="SBF92" s="337"/>
      <c r="SBG92" s="337"/>
      <c r="SBH92" s="337"/>
      <c r="SBI92" s="337"/>
      <c r="SBJ92" s="337"/>
      <c r="SBK92" s="337"/>
      <c r="SBL92" s="337"/>
      <c r="SBM92" s="337"/>
      <c r="SBN92" s="337"/>
      <c r="SBO92" s="337"/>
      <c r="SBP92" s="337"/>
      <c r="SBQ92" s="337"/>
      <c r="SBR92" s="337"/>
      <c r="SBS92" s="337"/>
      <c r="SBT92" s="337"/>
      <c r="SBU92" s="337"/>
      <c r="SBV92" s="337"/>
      <c r="SBW92" s="337"/>
      <c r="SBX92" s="337"/>
      <c r="SBY92" s="337"/>
      <c r="SBZ92" s="337"/>
      <c r="SCA92" s="337"/>
      <c r="SCB92" s="337"/>
      <c r="SCC92" s="337"/>
      <c r="SCD92" s="337"/>
      <c r="SCE92" s="337"/>
      <c r="SCF92" s="337"/>
      <c r="SCG92" s="337"/>
      <c r="SCH92" s="337"/>
      <c r="SCI92" s="337"/>
      <c r="SCJ92" s="337"/>
      <c r="SCK92" s="337"/>
      <c r="SCL92" s="337"/>
      <c r="SCM92" s="337"/>
      <c r="SCN92" s="337"/>
      <c r="SCO92" s="337"/>
      <c r="SCP92" s="337"/>
      <c r="SCQ92" s="337"/>
      <c r="SCR92" s="337"/>
      <c r="SCS92" s="337"/>
      <c r="SCT92" s="337"/>
      <c r="SCU92" s="337"/>
      <c r="SCV92" s="337"/>
      <c r="SCW92" s="337"/>
      <c r="SCX92" s="337"/>
      <c r="SCY92" s="337"/>
      <c r="SCZ92" s="337"/>
      <c r="SDA92" s="337"/>
      <c r="SDB92" s="337"/>
      <c r="SDC92" s="337"/>
      <c r="SDD92" s="337"/>
      <c r="SDE92" s="337"/>
      <c r="SDF92" s="337"/>
      <c r="SDG92" s="337"/>
      <c r="SDH92" s="337"/>
      <c r="SDI92" s="337"/>
      <c r="SDJ92" s="337"/>
      <c r="SDK92" s="337"/>
      <c r="SDL92" s="337"/>
      <c r="SDM92" s="337"/>
      <c r="SDN92" s="337"/>
      <c r="SDO92" s="337"/>
      <c r="SDP92" s="337"/>
      <c r="SDQ92" s="337"/>
      <c r="SDR92" s="337"/>
      <c r="SDS92" s="337"/>
      <c r="SDT92" s="337"/>
      <c r="SDU92" s="337"/>
      <c r="SDV92" s="337"/>
      <c r="SDW92" s="337"/>
      <c r="SDX92" s="337"/>
      <c r="SDY92" s="337"/>
      <c r="SDZ92" s="337"/>
      <c r="SEA92" s="337"/>
      <c r="SEB92" s="337"/>
      <c r="SEC92" s="337"/>
      <c r="SED92" s="337"/>
      <c r="SEE92" s="337"/>
      <c r="SEF92" s="337"/>
      <c r="SEG92" s="337"/>
      <c r="SEH92" s="337"/>
      <c r="SEI92" s="337"/>
      <c r="SEJ92" s="337"/>
      <c r="SEK92" s="337"/>
      <c r="SEL92" s="337"/>
      <c r="SEM92" s="337"/>
      <c r="SEN92" s="337"/>
      <c r="SEO92" s="337"/>
      <c r="SEP92" s="337"/>
      <c r="SEQ92" s="337"/>
      <c r="SER92" s="337"/>
      <c r="SES92" s="337"/>
      <c r="SET92" s="337"/>
      <c r="SEU92" s="337"/>
      <c r="SEV92" s="337"/>
      <c r="SEW92" s="337"/>
      <c r="SEX92" s="337"/>
      <c r="SEY92" s="337"/>
      <c r="SEZ92" s="337"/>
      <c r="SFA92" s="337"/>
      <c r="SFB92" s="337"/>
      <c r="SFC92" s="337"/>
      <c r="SFD92" s="337"/>
      <c r="SFE92" s="337"/>
      <c r="SFF92" s="337"/>
      <c r="SFG92" s="337"/>
      <c r="SFH92" s="337"/>
      <c r="SFI92" s="337"/>
      <c r="SFJ92" s="337"/>
      <c r="SFK92" s="337"/>
      <c r="SFL92" s="337"/>
      <c r="SFM92" s="337"/>
      <c r="SFN92" s="337"/>
      <c r="SFO92" s="337"/>
      <c r="SFP92" s="337"/>
      <c r="SFQ92" s="337"/>
      <c r="SFR92" s="337"/>
      <c r="SFS92" s="337"/>
      <c r="SFT92" s="337"/>
      <c r="SFU92" s="337"/>
      <c r="SFV92" s="337"/>
      <c r="SFW92" s="337"/>
      <c r="SFX92" s="337"/>
      <c r="SFY92" s="337"/>
      <c r="SFZ92" s="337"/>
      <c r="SGA92" s="337"/>
      <c r="SGB92" s="337"/>
      <c r="SGC92" s="337"/>
      <c r="SGD92" s="337"/>
      <c r="SGE92" s="337"/>
      <c r="SGF92" s="337"/>
      <c r="SGG92" s="337"/>
      <c r="SGH92" s="337"/>
      <c r="SGI92" s="337"/>
      <c r="SGJ92" s="337"/>
      <c r="SGK92" s="337"/>
      <c r="SGL92" s="337"/>
      <c r="SGM92" s="337"/>
      <c r="SGN92" s="337"/>
      <c r="SGO92" s="337"/>
      <c r="SGP92" s="337"/>
      <c r="SGQ92" s="337"/>
      <c r="SGR92" s="337"/>
      <c r="SGS92" s="337"/>
      <c r="SGT92" s="337"/>
      <c r="SGU92" s="337"/>
      <c r="SGV92" s="337"/>
      <c r="SGW92" s="337"/>
      <c r="SGX92" s="337"/>
      <c r="SGY92" s="337"/>
      <c r="SGZ92" s="337"/>
      <c r="SHA92" s="337"/>
      <c r="SHB92" s="337"/>
      <c r="SHC92" s="337"/>
      <c r="SHD92" s="337"/>
      <c r="SHE92" s="337"/>
      <c r="SHF92" s="337"/>
      <c r="SHG92" s="337"/>
      <c r="SHH92" s="337"/>
      <c r="SHI92" s="337"/>
      <c r="SHJ92" s="337"/>
      <c r="SHK92" s="337"/>
      <c r="SHL92" s="337"/>
      <c r="SHM92" s="337"/>
      <c r="SHN92" s="337"/>
      <c r="SHO92" s="337"/>
      <c r="SHP92" s="337"/>
      <c r="SHQ92" s="337"/>
      <c r="SHR92" s="337"/>
      <c r="SHS92" s="337"/>
      <c r="SHT92" s="337"/>
      <c r="SHU92" s="337"/>
      <c r="SHV92" s="337"/>
      <c r="SHW92" s="337"/>
      <c r="SHX92" s="337"/>
      <c r="SHY92" s="337"/>
      <c r="SHZ92" s="337"/>
      <c r="SIA92" s="337"/>
      <c r="SIB92" s="337"/>
      <c r="SIC92" s="337"/>
      <c r="SID92" s="337"/>
      <c r="SIE92" s="337"/>
      <c r="SIF92" s="337"/>
      <c r="SIG92" s="337"/>
      <c r="SIH92" s="337"/>
      <c r="SII92" s="337"/>
      <c r="SIJ92" s="337"/>
      <c r="SIK92" s="337"/>
      <c r="SIL92" s="337"/>
      <c r="SIM92" s="337"/>
      <c r="SIN92" s="337"/>
      <c r="SIO92" s="337"/>
      <c r="SIP92" s="337"/>
      <c r="SIQ92" s="337"/>
      <c r="SIR92" s="337"/>
      <c r="SIS92" s="337"/>
      <c r="SIT92" s="337"/>
      <c r="SIU92" s="337"/>
      <c r="SIV92" s="337"/>
      <c r="SIW92" s="337"/>
      <c r="SIX92" s="337"/>
      <c r="SIY92" s="337"/>
      <c r="SIZ92" s="337"/>
      <c r="SJA92" s="337"/>
      <c r="SJB92" s="337"/>
      <c r="SJC92" s="337"/>
      <c r="SJD92" s="337"/>
      <c r="SJE92" s="337"/>
      <c r="SJF92" s="337"/>
      <c r="SJG92" s="337"/>
      <c r="SJH92" s="337"/>
      <c r="SJI92" s="337"/>
      <c r="SJJ92" s="337"/>
      <c r="SJK92" s="337"/>
      <c r="SJL92" s="337"/>
      <c r="SJM92" s="337"/>
      <c r="SJN92" s="337"/>
      <c r="SJO92" s="337"/>
      <c r="SJP92" s="337"/>
      <c r="SJQ92" s="337"/>
      <c r="SJR92" s="337"/>
      <c r="SJS92" s="337"/>
      <c r="SJT92" s="337"/>
      <c r="SJU92" s="337"/>
      <c r="SJV92" s="337"/>
      <c r="SJW92" s="337"/>
      <c r="SJX92" s="337"/>
      <c r="SJY92" s="337"/>
      <c r="SJZ92" s="337"/>
      <c r="SKA92" s="337"/>
      <c r="SKB92" s="337"/>
      <c r="SKC92" s="337"/>
      <c r="SKD92" s="337"/>
      <c r="SKE92" s="337"/>
      <c r="SKF92" s="337"/>
      <c r="SKG92" s="337"/>
      <c r="SKH92" s="337"/>
      <c r="SKI92" s="337"/>
      <c r="SKJ92" s="337"/>
      <c r="SKK92" s="337"/>
      <c r="SKL92" s="337"/>
      <c r="SKM92" s="337"/>
      <c r="SKN92" s="337"/>
      <c r="SKO92" s="337"/>
      <c r="SKP92" s="337"/>
      <c r="SKQ92" s="337"/>
      <c r="SKR92" s="337"/>
      <c r="SKS92" s="337"/>
      <c r="SKT92" s="337"/>
      <c r="SKU92" s="337"/>
      <c r="SKV92" s="337"/>
      <c r="SKW92" s="337"/>
      <c r="SKX92" s="337"/>
      <c r="SKY92" s="337"/>
      <c r="SKZ92" s="337"/>
      <c r="SLA92" s="337"/>
      <c r="SLB92" s="337"/>
      <c r="SLC92" s="337"/>
      <c r="SLD92" s="337"/>
      <c r="SLE92" s="337"/>
      <c r="SLF92" s="337"/>
      <c r="SLG92" s="337"/>
      <c r="SLH92" s="337"/>
      <c r="SLI92" s="337"/>
      <c r="SLJ92" s="337"/>
      <c r="SLK92" s="337"/>
      <c r="SLL92" s="337"/>
      <c r="SLM92" s="337"/>
      <c r="SLN92" s="337"/>
      <c r="SLO92" s="337"/>
      <c r="SLP92" s="337"/>
      <c r="SLQ92" s="337"/>
      <c r="SLR92" s="337"/>
      <c r="SLS92" s="337"/>
      <c r="SLT92" s="337"/>
      <c r="SLU92" s="337"/>
      <c r="SLV92" s="337"/>
      <c r="SLW92" s="337"/>
      <c r="SLX92" s="337"/>
      <c r="SLY92" s="337"/>
      <c r="SLZ92" s="337"/>
      <c r="SMA92" s="337"/>
      <c r="SMB92" s="337"/>
      <c r="SMC92" s="337"/>
      <c r="SMD92" s="337"/>
      <c r="SME92" s="337"/>
      <c r="SMF92" s="337"/>
      <c r="SMG92" s="337"/>
      <c r="SMH92" s="337"/>
      <c r="SMI92" s="337"/>
      <c r="SMJ92" s="337"/>
      <c r="SMK92" s="337"/>
      <c r="SML92" s="337"/>
      <c r="SMM92" s="337"/>
      <c r="SMN92" s="337"/>
      <c r="SMO92" s="337"/>
      <c r="SMP92" s="337"/>
      <c r="SMQ92" s="337"/>
      <c r="SMR92" s="337"/>
      <c r="SMS92" s="337"/>
      <c r="SMT92" s="337"/>
      <c r="SMU92" s="337"/>
      <c r="SMV92" s="337"/>
      <c r="SMW92" s="337"/>
      <c r="SMX92" s="337"/>
      <c r="SMY92" s="337"/>
      <c r="SMZ92" s="337"/>
      <c r="SNA92" s="337"/>
      <c r="SNB92" s="337"/>
      <c r="SNC92" s="337"/>
      <c r="SND92" s="337"/>
      <c r="SNE92" s="337"/>
      <c r="SNF92" s="337"/>
      <c r="SNG92" s="337"/>
      <c r="SNH92" s="337"/>
      <c r="SNI92" s="337"/>
      <c r="SNJ92" s="337"/>
      <c r="SNK92" s="337"/>
      <c r="SNL92" s="337"/>
      <c r="SNM92" s="337"/>
      <c r="SNN92" s="337"/>
      <c r="SNO92" s="337"/>
      <c r="SNP92" s="337"/>
      <c r="SNQ92" s="337"/>
      <c r="SNR92" s="337"/>
      <c r="SNS92" s="337"/>
      <c r="SNT92" s="337"/>
      <c r="SNU92" s="337"/>
      <c r="SNV92" s="337"/>
      <c r="SNW92" s="337"/>
      <c r="SNX92" s="337"/>
      <c r="SNY92" s="337"/>
      <c r="SNZ92" s="337"/>
      <c r="SOA92" s="337"/>
      <c r="SOB92" s="337"/>
      <c r="SOC92" s="337"/>
      <c r="SOD92" s="337"/>
      <c r="SOE92" s="337"/>
      <c r="SOF92" s="337"/>
      <c r="SOG92" s="337"/>
      <c r="SOH92" s="337"/>
      <c r="SOI92" s="337"/>
      <c r="SOJ92" s="337"/>
      <c r="SOK92" s="337"/>
      <c r="SOL92" s="337"/>
      <c r="SOM92" s="337"/>
      <c r="SON92" s="337"/>
      <c r="SOO92" s="337"/>
      <c r="SOP92" s="337"/>
      <c r="SOQ92" s="337"/>
      <c r="SOR92" s="337"/>
      <c r="SOS92" s="337"/>
      <c r="SOT92" s="337"/>
      <c r="SOU92" s="337"/>
      <c r="SOV92" s="337"/>
      <c r="SOW92" s="337"/>
      <c r="SOX92" s="337"/>
      <c r="SOY92" s="337"/>
      <c r="SOZ92" s="337"/>
      <c r="SPA92" s="337"/>
      <c r="SPB92" s="337"/>
      <c r="SPC92" s="337"/>
      <c r="SPD92" s="337"/>
      <c r="SPE92" s="337"/>
      <c r="SPF92" s="337"/>
      <c r="SPG92" s="337"/>
      <c r="SPH92" s="337"/>
      <c r="SPI92" s="337"/>
      <c r="SPJ92" s="337"/>
      <c r="SPK92" s="337"/>
      <c r="SPL92" s="337"/>
      <c r="SPM92" s="337"/>
      <c r="SPN92" s="337"/>
      <c r="SPO92" s="337"/>
      <c r="SPP92" s="337"/>
      <c r="SPQ92" s="337"/>
      <c r="SPR92" s="337"/>
      <c r="SPS92" s="337"/>
      <c r="SPT92" s="337"/>
      <c r="SPU92" s="337"/>
      <c r="SPV92" s="337"/>
      <c r="SPW92" s="337"/>
      <c r="SPX92" s="337"/>
      <c r="SPY92" s="337"/>
      <c r="SPZ92" s="337"/>
      <c r="SQA92" s="337"/>
      <c r="SQB92" s="337"/>
      <c r="SQC92" s="337"/>
      <c r="SQD92" s="337"/>
      <c r="SQE92" s="337"/>
      <c r="SQF92" s="337"/>
      <c r="SQG92" s="337"/>
      <c r="SQH92" s="337"/>
      <c r="SQI92" s="337"/>
      <c r="SQJ92" s="337"/>
      <c r="SQK92" s="337"/>
      <c r="SQL92" s="337"/>
      <c r="SQM92" s="337"/>
      <c r="SQN92" s="337"/>
      <c r="SQO92" s="337"/>
      <c r="SQP92" s="337"/>
      <c r="SQQ92" s="337"/>
      <c r="SQR92" s="337"/>
      <c r="SQS92" s="337"/>
      <c r="SQT92" s="337"/>
      <c r="SQU92" s="337"/>
      <c r="SQV92" s="337"/>
      <c r="SQW92" s="337"/>
      <c r="SQX92" s="337"/>
      <c r="SQY92" s="337"/>
      <c r="SQZ92" s="337"/>
      <c r="SRA92" s="337"/>
      <c r="SRB92" s="337"/>
      <c r="SRC92" s="337"/>
      <c r="SRD92" s="337"/>
      <c r="SRE92" s="337"/>
      <c r="SRF92" s="337"/>
      <c r="SRG92" s="337"/>
      <c r="SRH92" s="337"/>
      <c r="SRI92" s="337"/>
      <c r="SRJ92" s="337"/>
      <c r="SRK92" s="337"/>
      <c r="SRL92" s="337"/>
      <c r="SRM92" s="337"/>
      <c r="SRN92" s="337"/>
      <c r="SRO92" s="337"/>
      <c r="SRP92" s="337"/>
      <c r="SRQ92" s="337"/>
      <c r="SRR92" s="337"/>
      <c r="SRS92" s="337"/>
      <c r="SRT92" s="337"/>
      <c r="SRU92" s="337"/>
      <c r="SRV92" s="337"/>
      <c r="SRW92" s="337"/>
      <c r="SRX92" s="337"/>
      <c r="SRY92" s="337"/>
      <c r="SRZ92" s="337"/>
      <c r="SSA92" s="337"/>
      <c r="SSB92" s="337"/>
      <c r="SSC92" s="337"/>
      <c r="SSD92" s="337"/>
      <c r="SSE92" s="337"/>
      <c r="SSF92" s="337"/>
      <c r="SSG92" s="337"/>
      <c r="SSH92" s="337"/>
      <c r="SSI92" s="337"/>
      <c r="SSJ92" s="337"/>
      <c r="SSK92" s="337"/>
      <c r="SSL92" s="337"/>
      <c r="SSM92" s="337"/>
      <c r="SSN92" s="337"/>
      <c r="SSO92" s="337"/>
      <c r="SSP92" s="337"/>
      <c r="SSQ92" s="337"/>
      <c r="SSR92" s="337"/>
      <c r="SSS92" s="337"/>
      <c r="SST92" s="337"/>
      <c r="SSU92" s="337"/>
      <c r="SSV92" s="337"/>
      <c r="SSW92" s="337"/>
      <c r="SSX92" s="337"/>
      <c r="SSY92" s="337"/>
      <c r="SSZ92" s="337"/>
      <c r="STA92" s="337"/>
      <c r="STB92" s="337"/>
      <c r="STC92" s="337"/>
      <c r="STD92" s="337"/>
      <c r="STE92" s="337"/>
      <c r="STF92" s="337"/>
      <c r="STG92" s="337"/>
      <c r="STH92" s="337"/>
      <c r="STI92" s="337"/>
      <c r="STJ92" s="337"/>
      <c r="STK92" s="337"/>
      <c r="STL92" s="337"/>
      <c r="STM92" s="337"/>
      <c r="STN92" s="337"/>
      <c r="STO92" s="337"/>
      <c r="STP92" s="337"/>
      <c r="STQ92" s="337"/>
      <c r="STR92" s="337"/>
      <c r="STS92" s="337"/>
      <c r="STT92" s="337"/>
      <c r="STU92" s="337"/>
      <c r="STV92" s="337"/>
      <c r="STW92" s="337"/>
      <c r="STX92" s="337"/>
      <c r="STY92" s="337"/>
      <c r="STZ92" s="337"/>
      <c r="SUA92" s="337"/>
      <c r="SUB92" s="337"/>
      <c r="SUC92" s="337"/>
      <c r="SUD92" s="337"/>
      <c r="SUE92" s="337"/>
      <c r="SUF92" s="337"/>
      <c r="SUG92" s="337"/>
      <c r="SUH92" s="337"/>
      <c r="SUI92" s="337"/>
      <c r="SUJ92" s="337"/>
      <c r="SUK92" s="337"/>
      <c r="SUL92" s="337"/>
      <c r="SUM92" s="337"/>
      <c r="SUN92" s="337"/>
      <c r="SUO92" s="337"/>
      <c r="SUP92" s="337"/>
      <c r="SUQ92" s="337"/>
      <c r="SUR92" s="337"/>
      <c r="SUS92" s="337"/>
      <c r="SUT92" s="337"/>
      <c r="SUU92" s="337"/>
      <c r="SUV92" s="337"/>
      <c r="SUW92" s="337"/>
      <c r="SUX92" s="337"/>
      <c r="SUY92" s="337"/>
      <c r="SUZ92" s="337"/>
      <c r="SVA92" s="337"/>
      <c r="SVB92" s="337"/>
      <c r="SVC92" s="337"/>
      <c r="SVD92" s="337"/>
      <c r="SVE92" s="337"/>
      <c r="SVF92" s="337"/>
      <c r="SVG92" s="337"/>
      <c r="SVH92" s="337"/>
      <c r="SVI92" s="337"/>
      <c r="SVJ92" s="337"/>
      <c r="SVK92" s="337"/>
      <c r="SVL92" s="337"/>
      <c r="SVM92" s="337"/>
      <c r="SVN92" s="337"/>
      <c r="SVO92" s="337"/>
      <c r="SVP92" s="337"/>
      <c r="SVQ92" s="337"/>
      <c r="SVR92" s="337"/>
      <c r="SVS92" s="337"/>
      <c r="SVT92" s="337"/>
      <c r="SVU92" s="337"/>
      <c r="SVV92" s="337"/>
      <c r="SVW92" s="337"/>
      <c r="SVX92" s="337"/>
      <c r="SVY92" s="337"/>
      <c r="SVZ92" s="337"/>
      <c r="SWA92" s="337"/>
      <c r="SWB92" s="337"/>
      <c r="SWC92" s="337"/>
      <c r="SWD92" s="337"/>
      <c r="SWE92" s="337"/>
      <c r="SWF92" s="337"/>
      <c r="SWG92" s="337"/>
      <c r="SWH92" s="337"/>
      <c r="SWI92" s="337"/>
      <c r="SWJ92" s="337"/>
      <c r="SWK92" s="337"/>
      <c r="SWL92" s="337"/>
      <c r="SWM92" s="337"/>
      <c r="SWN92" s="337"/>
      <c r="SWO92" s="337"/>
      <c r="SWP92" s="337"/>
      <c r="SWQ92" s="337"/>
      <c r="SWR92" s="337"/>
      <c r="SWS92" s="337"/>
      <c r="SWT92" s="337"/>
      <c r="SWU92" s="337"/>
      <c r="SWV92" s="337"/>
      <c r="SWW92" s="337"/>
      <c r="SWX92" s="337"/>
      <c r="SWY92" s="337"/>
      <c r="SWZ92" s="337"/>
      <c r="SXA92" s="337"/>
      <c r="SXB92" s="337"/>
      <c r="SXC92" s="337"/>
      <c r="SXD92" s="337"/>
      <c r="SXE92" s="337"/>
      <c r="SXF92" s="337"/>
      <c r="SXG92" s="337"/>
      <c r="SXH92" s="337"/>
      <c r="SXI92" s="337"/>
      <c r="SXJ92" s="337"/>
      <c r="SXK92" s="337"/>
      <c r="SXL92" s="337"/>
      <c r="SXM92" s="337"/>
      <c r="SXN92" s="337"/>
      <c r="SXO92" s="337"/>
      <c r="SXP92" s="337"/>
      <c r="SXQ92" s="337"/>
      <c r="SXR92" s="337"/>
      <c r="SXS92" s="337"/>
      <c r="SXT92" s="337"/>
      <c r="SXU92" s="337"/>
      <c r="SXV92" s="337"/>
      <c r="SXW92" s="337"/>
      <c r="SXX92" s="337"/>
      <c r="SXY92" s="337"/>
      <c r="SXZ92" s="337"/>
      <c r="SYA92" s="337"/>
      <c r="SYB92" s="337"/>
      <c r="SYC92" s="337"/>
      <c r="SYD92" s="337"/>
      <c r="SYE92" s="337"/>
      <c r="SYF92" s="337"/>
      <c r="SYG92" s="337"/>
      <c r="SYH92" s="337"/>
      <c r="SYI92" s="337"/>
      <c r="SYJ92" s="337"/>
      <c r="SYK92" s="337"/>
      <c r="SYL92" s="337"/>
      <c r="SYM92" s="337"/>
      <c r="SYN92" s="337"/>
      <c r="SYO92" s="337"/>
      <c r="SYP92" s="337"/>
      <c r="SYQ92" s="337"/>
      <c r="SYR92" s="337"/>
      <c r="SYS92" s="337"/>
      <c r="SYT92" s="337"/>
      <c r="SYU92" s="337"/>
      <c r="SYV92" s="337"/>
      <c r="SYW92" s="337"/>
      <c r="SYX92" s="337"/>
      <c r="SYY92" s="337"/>
      <c r="SYZ92" s="337"/>
      <c r="SZA92" s="337"/>
      <c r="SZB92" s="337"/>
      <c r="SZC92" s="337"/>
      <c r="SZD92" s="337"/>
      <c r="SZE92" s="337"/>
      <c r="SZF92" s="337"/>
      <c r="SZG92" s="337"/>
      <c r="SZH92" s="337"/>
      <c r="SZI92" s="337"/>
      <c r="SZJ92" s="337"/>
      <c r="SZK92" s="337"/>
      <c r="SZL92" s="337"/>
      <c r="SZM92" s="337"/>
      <c r="SZN92" s="337"/>
      <c r="SZO92" s="337"/>
      <c r="SZP92" s="337"/>
      <c r="SZQ92" s="337"/>
      <c r="SZR92" s="337"/>
      <c r="SZS92" s="337"/>
      <c r="SZT92" s="337"/>
      <c r="SZU92" s="337"/>
      <c r="SZV92" s="337"/>
      <c r="SZW92" s="337"/>
      <c r="SZX92" s="337"/>
      <c r="SZY92" s="337"/>
      <c r="SZZ92" s="337"/>
      <c r="TAA92" s="337"/>
      <c r="TAB92" s="337"/>
      <c r="TAC92" s="337"/>
      <c r="TAD92" s="337"/>
      <c r="TAE92" s="337"/>
      <c r="TAF92" s="337"/>
      <c r="TAG92" s="337"/>
      <c r="TAH92" s="337"/>
      <c r="TAI92" s="337"/>
      <c r="TAJ92" s="337"/>
      <c r="TAK92" s="337"/>
      <c r="TAL92" s="337"/>
      <c r="TAM92" s="337"/>
      <c r="TAN92" s="337"/>
      <c r="TAO92" s="337"/>
      <c r="TAP92" s="337"/>
      <c r="TAQ92" s="337"/>
      <c r="TAR92" s="337"/>
      <c r="TAS92" s="337"/>
      <c r="TAT92" s="337"/>
      <c r="TAU92" s="337"/>
      <c r="TAV92" s="337"/>
      <c r="TAW92" s="337"/>
      <c r="TAX92" s="337"/>
      <c r="TAY92" s="337"/>
      <c r="TAZ92" s="337"/>
      <c r="TBA92" s="337"/>
      <c r="TBB92" s="337"/>
      <c r="TBC92" s="337"/>
      <c r="TBD92" s="337"/>
      <c r="TBE92" s="337"/>
      <c r="TBF92" s="337"/>
      <c r="TBG92" s="337"/>
      <c r="TBH92" s="337"/>
      <c r="TBI92" s="337"/>
      <c r="TBJ92" s="337"/>
      <c r="TBK92" s="337"/>
      <c r="TBL92" s="337"/>
      <c r="TBM92" s="337"/>
      <c r="TBN92" s="337"/>
      <c r="TBO92" s="337"/>
      <c r="TBP92" s="337"/>
      <c r="TBQ92" s="337"/>
      <c r="TBR92" s="337"/>
      <c r="TBS92" s="337"/>
      <c r="TBT92" s="337"/>
      <c r="TBU92" s="337"/>
      <c r="TBV92" s="337"/>
      <c r="TBW92" s="337"/>
      <c r="TBX92" s="337"/>
      <c r="TBY92" s="337"/>
      <c r="TBZ92" s="337"/>
      <c r="TCA92" s="337"/>
      <c r="TCB92" s="337"/>
      <c r="TCC92" s="337"/>
      <c r="TCD92" s="337"/>
      <c r="TCE92" s="337"/>
      <c r="TCF92" s="337"/>
      <c r="TCG92" s="337"/>
      <c r="TCH92" s="337"/>
      <c r="TCI92" s="337"/>
      <c r="TCJ92" s="337"/>
      <c r="TCK92" s="337"/>
      <c r="TCL92" s="337"/>
      <c r="TCM92" s="337"/>
      <c r="TCN92" s="337"/>
      <c r="TCO92" s="337"/>
      <c r="TCP92" s="337"/>
      <c r="TCQ92" s="337"/>
      <c r="TCR92" s="337"/>
      <c r="TCS92" s="337"/>
      <c r="TCT92" s="337"/>
      <c r="TCU92" s="337"/>
      <c r="TCV92" s="337"/>
      <c r="TCW92" s="337"/>
      <c r="TCX92" s="337"/>
      <c r="TCY92" s="337"/>
      <c r="TCZ92" s="337"/>
      <c r="TDA92" s="337"/>
      <c r="TDB92" s="337"/>
      <c r="TDC92" s="337"/>
      <c r="TDD92" s="337"/>
      <c r="TDE92" s="337"/>
      <c r="TDF92" s="337"/>
      <c r="TDG92" s="337"/>
      <c r="TDH92" s="337"/>
      <c r="TDI92" s="337"/>
      <c r="TDJ92" s="337"/>
      <c r="TDK92" s="337"/>
      <c r="TDL92" s="337"/>
      <c r="TDM92" s="337"/>
      <c r="TDN92" s="337"/>
      <c r="TDO92" s="337"/>
      <c r="TDP92" s="337"/>
      <c r="TDQ92" s="337"/>
      <c r="TDR92" s="337"/>
      <c r="TDS92" s="337"/>
      <c r="TDT92" s="337"/>
      <c r="TDU92" s="337"/>
      <c r="TDV92" s="337"/>
      <c r="TDW92" s="337"/>
      <c r="TDX92" s="337"/>
      <c r="TDY92" s="337"/>
      <c r="TDZ92" s="337"/>
      <c r="TEA92" s="337"/>
      <c r="TEB92" s="337"/>
      <c r="TEC92" s="337"/>
      <c r="TED92" s="337"/>
      <c r="TEE92" s="337"/>
      <c r="TEF92" s="337"/>
      <c r="TEG92" s="337"/>
      <c r="TEH92" s="337"/>
      <c r="TEI92" s="337"/>
      <c r="TEJ92" s="337"/>
      <c r="TEK92" s="337"/>
      <c r="TEL92" s="337"/>
      <c r="TEM92" s="337"/>
      <c r="TEN92" s="337"/>
      <c r="TEO92" s="337"/>
      <c r="TEP92" s="337"/>
      <c r="TEQ92" s="337"/>
      <c r="TER92" s="337"/>
      <c r="TES92" s="337"/>
      <c r="TET92" s="337"/>
      <c r="TEU92" s="337"/>
      <c r="TEV92" s="337"/>
      <c r="TEW92" s="337"/>
      <c r="TEX92" s="337"/>
      <c r="TEY92" s="337"/>
      <c r="TEZ92" s="337"/>
      <c r="TFA92" s="337"/>
      <c r="TFB92" s="337"/>
      <c r="TFC92" s="337"/>
      <c r="TFD92" s="337"/>
      <c r="TFE92" s="337"/>
      <c r="TFF92" s="337"/>
      <c r="TFG92" s="337"/>
      <c r="TFH92" s="337"/>
      <c r="TFI92" s="337"/>
      <c r="TFJ92" s="337"/>
      <c r="TFK92" s="337"/>
      <c r="TFL92" s="337"/>
      <c r="TFM92" s="337"/>
      <c r="TFN92" s="337"/>
      <c r="TFO92" s="337"/>
      <c r="TFP92" s="337"/>
      <c r="TFQ92" s="337"/>
      <c r="TFR92" s="337"/>
      <c r="TFS92" s="337"/>
      <c r="TFT92" s="337"/>
      <c r="TFU92" s="337"/>
      <c r="TFV92" s="337"/>
      <c r="TFW92" s="337"/>
      <c r="TFX92" s="337"/>
      <c r="TFY92" s="337"/>
      <c r="TFZ92" s="337"/>
      <c r="TGA92" s="337"/>
      <c r="TGB92" s="337"/>
      <c r="TGC92" s="337"/>
      <c r="TGD92" s="337"/>
      <c r="TGE92" s="337"/>
      <c r="TGF92" s="337"/>
      <c r="TGG92" s="337"/>
      <c r="TGH92" s="337"/>
      <c r="TGI92" s="337"/>
      <c r="TGJ92" s="337"/>
      <c r="TGK92" s="337"/>
      <c r="TGL92" s="337"/>
      <c r="TGM92" s="337"/>
      <c r="TGN92" s="337"/>
      <c r="TGO92" s="337"/>
      <c r="TGP92" s="337"/>
      <c r="TGQ92" s="337"/>
      <c r="TGR92" s="337"/>
      <c r="TGS92" s="337"/>
      <c r="TGT92" s="337"/>
      <c r="TGU92" s="337"/>
      <c r="TGV92" s="337"/>
      <c r="TGW92" s="337"/>
      <c r="TGX92" s="337"/>
      <c r="TGY92" s="337"/>
      <c r="TGZ92" s="337"/>
      <c r="THA92" s="337"/>
      <c r="THB92" s="337"/>
      <c r="THC92" s="337"/>
      <c r="THD92" s="337"/>
      <c r="THE92" s="337"/>
      <c r="THF92" s="337"/>
      <c r="THG92" s="337"/>
      <c r="THH92" s="337"/>
      <c r="THI92" s="337"/>
      <c r="THJ92" s="337"/>
      <c r="THK92" s="337"/>
      <c r="THL92" s="337"/>
      <c r="THM92" s="337"/>
      <c r="THN92" s="337"/>
      <c r="THO92" s="337"/>
      <c r="THP92" s="337"/>
      <c r="THQ92" s="337"/>
      <c r="THR92" s="337"/>
      <c r="THS92" s="337"/>
      <c r="THT92" s="337"/>
      <c r="THU92" s="337"/>
      <c r="THV92" s="337"/>
      <c r="THW92" s="337"/>
      <c r="THX92" s="337"/>
      <c r="THY92" s="337"/>
      <c r="THZ92" s="337"/>
      <c r="TIA92" s="337"/>
      <c r="TIB92" s="337"/>
      <c r="TIC92" s="337"/>
      <c r="TID92" s="337"/>
      <c r="TIE92" s="337"/>
      <c r="TIF92" s="337"/>
      <c r="TIG92" s="337"/>
      <c r="TIH92" s="337"/>
      <c r="TII92" s="337"/>
      <c r="TIJ92" s="337"/>
      <c r="TIK92" s="337"/>
      <c r="TIL92" s="337"/>
      <c r="TIM92" s="337"/>
      <c r="TIN92" s="337"/>
      <c r="TIO92" s="337"/>
      <c r="TIP92" s="337"/>
      <c r="TIQ92" s="337"/>
      <c r="TIR92" s="337"/>
      <c r="TIS92" s="337"/>
      <c r="TIT92" s="337"/>
      <c r="TIU92" s="337"/>
      <c r="TIV92" s="337"/>
      <c r="TIW92" s="337"/>
      <c r="TIX92" s="337"/>
      <c r="TIY92" s="337"/>
      <c r="TIZ92" s="337"/>
      <c r="TJA92" s="337"/>
      <c r="TJB92" s="337"/>
      <c r="TJC92" s="337"/>
      <c r="TJD92" s="337"/>
      <c r="TJE92" s="337"/>
      <c r="TJF92" s="337"/>
      <c r="TJG92" s="337"/>
      <c r="TJH92" s="337"/>
      <c r="TJI92" s="337"/>
      <c r="TJJ92" s="337"/>
      <c r="TJK92" s="337"/>
      <c r="TJL92" s="337"/>
      <c r="TJM92" s="337"/>
      <c r="TJN92" s="337"/>
      <c r="TJO92" s="337"/>
      <c r="TJP92" s="337"/>
      <c r="TJQ92" s="337"/>
      <c r="TJR92" s="337"/>
      <c r="TJS92" s="337"/>
      <c r="TJT92" s="337"/>
      <c r="TJU92" s="337"/>
      <c r="TJV92" s="337"/>
      <c r="TJW92" s="337"/>
      <c r="TJX92" s="337"/>
      <c r="TJY92" s="337"/>
      <c r="TJZ92" s="337"/>
      <c r="TKA92" s="337"/>
      <c r="TKB92" s="337"/>
      <c r="TKC92" s="337"/>
      <c r="TKD92" s="337"/>
      <c r="TKE92" s="337"/>
      <c r="TKF92" s="337"/>
      <c r="TKG92" s="337"/>
      <c r="TKH92" s="337"/>
      <c r="TKI92" s="337"/>
      <c r="TKJ92" s="337"/>
      <c r="TKK92" s="337"/>
      <c r="TKL92" s="337"/>
      <c r="TKM92" s="337"/>
      <c r="TKN92" s="337"/>
      <c r="TKO92" s="337"/>
      <c r="TKP92" s="337"/>
      <c r="TKQ92" s="337"/>
      <c r="TKR92" s="337"/>
      <c r="TKS92" s="337"/>
      <c r="TKT92" s="337"/>
      <c r="TKU92" s="337"/>
      <c r="TKV92" s="337"/>
      <c r="TKW92" s="337"/>
      <c r="TKX92" s="337"/>
      <c r="TKY92" s="337"/>
      <c r="TKZ92" s="337"/>
      <c r="TLA92" s="337"/>
      <c r="TLB92" s="337"/>
      <c r="TLC92" s="337"/>
      <c r="TLD92" s="337"/>
      <c r="TLE92" s="337"/>
      <c r="TLF92" s="337"/>
      <c r="TLG92" s="337"/>
      <c r="TLH92" s="337"/>
      <c r="TLI92" s="337"/>
      <c r="TLJ92" s="337"/>
      <c r="TLK92" s="337"/>
      <c r="TLL92" s="337"/>
      <c r="TLM92" s="337"/>
      <c r="TLN92" s="337"/>
      <c r="TLO92" s="337"/>
      <c r="TLP92" s="337"/>
      <c r="TLQ92" s="337"/>
      <c r="TLR92" s="337"/>
      <c r="TLS92" s="337"/>
      <c r="TLT92" s="337"/>
      <c r="TLU92" s="337"/>
      <c r="TLV92" s="337"/>
      <c r="TLW92" s="337"/>
      <c r="TLX92" s="337"/>
      <c r="TLY92" s="337"/>
      <c r="TLZ92" s="337"/>
      <c r="TMA92" s="337"/>
      <c r="TMB92" s="337"/>
      <c r="TMC92" s="337"/>
      <c r="TMD92" s="337"/>
      <c r="TME92" s="337"/>
      <c r="TMF92" s="337"/>
      <c r="TMG92" s="337"/>
      <c r="TMH92" s="337"/>
      <c r="TMI92" s="337"/>
      <c r="TMJ92" s="337"/>
      <c r="TMK92" s="337"/>
      <c r="TML92" s="337"/>
      <c r="TMM92" s="337"/>
      <c r="TMN92" s="337"/>
      <c r="TMO92" s="337"/>
      <c r="TMP92" s="337"/>
      <c r="TMQ92" s="337"/>
      <c r="TMR92" s="337"/>
      <c r="TMS92" s="337"/>
      <c r="TMT92" s="337"/>
      <c r="TMU92" s="337"/>
      <c r="TMV92" s="337"/>
      <c r="TMW92" s="337"/>
      <c r="TMX92" s="337"/>
      <c r="TMY92" s="337"/>
      <c r="TMZ92" s="337"/>
      <c r="TNA92" s="337"/>
      <c r="TNB92" s="337"/>
      <c r="TNC92" s="337"/>
      <c r="TND92" s="337"/>
      <c r="TNE92" s="337"/>
      <c r="TNF92" s="337"/>
      <c r="TNG92" s="337"/>
      <c r="TNH92" s="337"/>
      <c r="TNI92" s="337"/>
      <c r="TNJ92" s="337"/>
      <c r="TNK92" s="337"/>
      <c r="TNL92" s="337"/>
      <c r="TNM92" s="337"/>
      <c r="TNN92" s="337"/>
      <c r="TNO92" s="337"/>
      <c r="TNP92" s="337"/>
      <c r="TNQ92" s="337"/>
      <c r="TNR92" s="337"/>
      <c r="TNS92" s="337"/>
      <c r="TNT92" s="337"/>
      <c r="TNU92" s="337"/>
      <c r="TNV92" s="337"/>
      <c r="TNW92" s="337"/>
      <c r="TNX92" s="337"/>
      <c r="TNY92" s="337"/>
      <c r="TNZ92" s="337"/>
      <c r="TOA92" s="337"/>
      <c r="TOB92" s="337"/>
      <c r="TOC92" s="337"/>
      <c r="TOD92" s="337"/>
      <c r="TOE92" s="337"/>
      <c r="TOF92" s="337"/>
      <c r="TOG92" s="337"/>
      <c r="TOH92" s="337"/>
      <c r="TOI92" s="337"/>
      <c r="TOJ92" s="337"/>
      <c r="TOK92" s="337"/>
      <c r="TOL92" s="337"/>
      <c r="TOM92" s="337"/>
      <c r="TON92" s="337"/>
      <c r="TOO92" s="337"/>
      <c r="TOP92" s="337"/>
      <c r="TOQ92" s="337"/>
      <c r="TOR92" s="337"/>
      <c r="TOS92" s="337"/>
      <c r="TOT92" s="337"/>
      <c r="TOU92" s="337"/>
      <c r="TOV92" s="337"/>
      <c r="TOW92" s="337"/>
      <c r="TOX92" s="337"/>
      <c r="TOY92" s="337"/>
      <c r="TOZ92" s="337"/>
      <c r="TPA92" s="337"/>
      <c r="TPB92" s="337"/>
      <c r="TPC92" s="337"/>
      <c r="TPD92" s="337"/>
      <c r="TPE92" s="337"/>
      <c r="TPF92" s="337"/>
      <c r="TPG92" s="337"/>
      <c r="TPH92" s="337"/>
      <c r="TPI92" s="337"/>
      <c r="TPJ92" s="337"/>
      <c r="TPK92" s="337"/>
      <c r="TPL92" s="337"/>
      <c r="TPM92" s="337"/>
      <c r="TPN92" s="337"/>
      <c r="TPO92" s="337"/>
      <c r="TPP92" s="337"/>
      <c r="TPQ92" s="337"/>
      <c r="TPR92" s="337"/>
      <c r="TPS92" s="337"/>
      <c r="TPT92" s="337"/>
      <c r="TPU92" s="337"/>
      <c r="TPV92" s="337"/>
      <c r="TPW92" s="337"/>
      <c r="TPX92" s="337"/>
      <c r="TPY92" s="337"/>
      <c r="TPZ92" s="337"/>
      <c r="TQA92" s="337"/>
      <c r="TQB92" s="337"/>
      <c r="TQC92" s="337"/>
      <c r="TQD92" s="337"/>
      <c r="TQE92" s="337"/>
      <c r="TQF92" s="337"/>
      <c r="TQG92" s="337"/>
      <c r="TQH92" s="337"/>
      <c r="TQI92" s="337"/>
      <c r="TQJ92" s="337"/>
      <c r="TQK92" s="337"/>
      <c r="TQL92" s="337"/>
      <c r="TQM92" s="337"/>
      <c r="TQN92" s="337"/>
      <c r="TQO92" s="337"/>
      <c r="TQP92" s="337"/>
      <c r="TQQ92" s="337"/>
      <c r="TQR92" s="337"/>
      <c r="TQS92" s="337"/>
      <c r="TQT92" s="337"/>
      <c r="TQU92" s="337"/>
      <c r="TQV92" s="337"/>
      <c r="TQW92" s="337"/>
      <c r="TQX92" s="337"/>
      <c r="TQY92" s="337"/>
      <c r="TQZ92" s="337"/>
      <c r="TRA92" s="337"/>
      <c r="TRB92" s="337"/>
      <c r="TRC92" s="337"/>
      <c r="TRD92" s="337"/>
      <c r="TRE92" s="337"/>
      <c r="TRF92" s="337"/>
      <c r="TRG92" s="337"/>
      <c r="TRH92" s="337"/>
      <c r="TRI92" s="337"/>
      <c r="TRJ92" s="337"/>
      <c r="TRK92" s="337"/>
      <c r="TRL92" s="337"/>
      <c r="TRM92" s="337"/>
      <c r="TRN92" s="337"/>
      <c r="TRO92" s="337"/>
      <c r="TRP92" s="337"/>
      <c r="TRQ92" s="337"/>
      <c r="TRR92" s="337"/>
      <c r="TRS92" s="337"/>
      <c r="TRT92" s="337"/>
      <c r="TRU92" s="337"/>
      <c r="TRV92" s="337"/>
      <c r="TRW92" s="337"/>
      <c r="TRX92" s="337"/>
      <c r="TRY92" s="337"/>
      <c r="TRZ92" s="337"/>
      <c r="TSA92" s="337"/>
      <c r="TSB92" s="337"/>
      <c r="TSC92" s="337"/>
      <c r="TSD92" s="337"/>
      <c r="TSE92" s="337"/>
      <c r="TSF92" s="337"/>
      <c r="TSG92" s="337"/>
      <c r="TSH92" s="337"/>
      <c r="TSI92" s="337"/>
      <c r="TSJ92" s="337"/>
      <c r="TSK92" s="337"/>
      <c r="TSL92" s="337"/>
      <c r="TSM92" s="337"/>
      <c r="TSN92" s="337"/>
      <c r="TSO92" s="337"/>
      <c r="TSP92" s="337"/>
      <c r="TSQ92" s="337"/>
      <c r="TSR92" s="337"/>
      <c r="TSS92" s="337"/>
      <c r="TST92" s="337"/>
      <c r="TSU92" s="337"/>
      <c r="TSV92" s="337"/>
      <c r="TSW92" s="337"/>
      <c r="TSX92" s="337"/>
      <c r="TSY92" s="337"/>
      <c r="TSZ92" s="337"/>
      <c r="TTA92" s="337"/>
      <c r="TTB92" s="337"/>
      <c r="TTC92" s="337"/>
      <c r="TTD92" s="337"/>
      <c r="TTE92" s="337"/>
      <c r="TTF92" s="337"/>
      <c r="TTG92" s="337"/>
      <c r="TTH92" s="337"/>
      <c r="TTI92" s="337"/>
      <c r="TTJ92" s="337"/>
      <c r="TTK92" s="337"/>
      <c r="TTL92" s="337"/>
      <c r="TTM92" s="337"/>
      <c r="TTN92" s="337"/>
      <c r="TTO92" s="337"/>
      <c r="TTP92" s="337"/>
      <c r="TTQ92" s="337"/>
      <c r="TTR92" s="337"/>
      <c r="TTS92" s="337"/>
      <c r="TTT92" s="337"/>
      <c r="TTU92" s="337"/>
      <c r="TTV92" s="337"/>
      <c r="TTW92" s="337"/>
      <c r="TTX92" s="337"/>
      <c r="TTY92" s="337"/>
      <c r="TTZ92" s="337"/>
      <c r="TUA92" s="337"/>
      <c r="TUB92" s="337"/>
      <c r="TUC92" s="337"/>
      <c r="TUD92" s="337"/>
      <c r="TUE92" s="337"/>
      <c r="TUF92" s="337"/>
      <c r="TUG92" s="337"/>
      <c r="TUH92" s="337"/>
      <c r="TUI92" s="337"/>
      <c r="TUJ92" s="337"/>
      <c r="TUK92" s="337"/>
      <c r="TUL92" s="337"/>
      <c r="TUM92" s="337"/>
      <c r="TUN92" s="337"/>
      <c r="TUO92" s="337"/>
      <c r="TUP92" s="337"/>
      <c r="TUQ92" s="337"/>
      <c r="TUR92" s="337"/>
      <c r="TUS92" s="337"/>
      <c r="TUT92" s="337"/>
      <c r="TUU92" s="337"/>
      <c r="TUV92" s="337"/>
      <c r="TUW92" s="337"/>
      <c r="TUX92" s="337"/>
      <c r="TUY92" s="337"/>
      <c r="TUZ92" s="337"/>
      <c r="TVA92" s="337"/>
      <c r="TVB92" s="337"/>
      <c r="TVC92" s="337"/>
      <c r="TVD92" s="337"/>
      <c r="TVE92" s="337"/>
      <c r="TVF92" s="337"/>
      <c r="TVG92" s="337"/>
      <c r="TVH92" s="337"/>
      <c r="TVI92" s="337"/>
      <c r="TVJ92" s="337"/>
      <c r="TVK92" s="337"/>
      <c r="TVL92" s="337"/>
      <c r="TVM92" s="337"/>
      <c r="TVN92" s="337"/>
      <c r="TVO92" s="337"/>
      <c r="TVP92" s="337"/>
      <c r="TVQ92" s="337"/>
      <c r="TVR92" s="337"/>
      <c r="TVS92" s="337"/>
      <c r="TVT92" s="337"/>
      <c r="TVU92" s="337"/>
      <c r="TVV92" s="337"/>
      <c r="TVW92" s="337"/>
      <c r="TVX92" s="337"/>
      <c r="TVY92" s="337"/>
      <c r="TVZ92" s="337"/>
      <c r="TWA92" s="337"/>
      <c r="TWB92" s="337"/>
      <c r="TWC92" s="337"/>
      <c r="TWD92" s="337"/>
      <c r="TWE92" s="337"/>
      <c r="TWF92" s="337"/>
      <c r="TWG92" s="337"/>
      <c r="TWH92" s="337"/>
      <c r="TWI92" s="337"/>
      <c r="TWJ92" s="337"/>
      <c r="TWK92" s="337"/>
      <c r="TWL92" s="337"/>
      <c r="TWM92" s="337"/>
      <c r="TWN92" s="337"/>
      <c r="TWO92" s="337"/>
      <c r="TWP92" s="337"/>
      <c r="TWQ92" s="337"/>
      <c r="TWR92" s="337"/>
      <c r="TWS92" s="337"/>
      <c r="TWT92" s="337"/>
      <c r="TWU92" s="337"/>
      <c r="TWV92" s="337"/>
      <c r="TWW92" s="337"/>
      <c r="TWX92" s="337"/>
      <c r="TWY92" s="337"/>
      <c r="TWZ92" s="337"/>
      <c r="TXA92" s="337"/>
      <c r="TXB92" s="337"/>
      <c r="TXC92" s="337"/>
      <c r="TXD92" s="337"/>
      <c r="TXE92" s="337"/>
      <c r="TXF92" s="337"/>
      <c r="TXG92" s="337"/>
      <c r="TXH92" s="337"/>
      <c r="TXI92" s="337"/>
      <c r="TXJ92" s="337"/>
      <c r="TXK92" s="337"/>
      <c r="TXL92" s="337"/>
      <c r="TXM92" s="337"/>
      <c r="TXN92" s="337"/>
      <c r="TXO92" s="337"/>
      <c r="TXP92" s="337"/>
      <c r="TXQ92" s="337"/>
      <c r="TXR92" s="337"/>
      <c r="TXS92" s="337"/>
      <c r="TXT92" s="337"/>
      <c r="TXU92" s="337"/>
      <c r="TXV92" s="337"/>
      <c r="TXW92" s="337"/>
      <c r="TXX92" s="337"/>
      <c r="TXY92" s="337"/>
      <c r="TXZ92" s="337"/>
      <c r="TYA92" s="337"/>
      <c r="TYB92" s="337"/>
      <c r="TYC92" s="337"/>
      <c r="TYD92" s="337"/>
      <c r="TYE92" s="337"/>
      <c r="TYF92" s="337"/>
      <c r="TYG92" s="337"/>
      <c r="TYH92" s="337"/>
      <c r="TYI92" s="337"/>
      <c r="TYJ92" s="337"/>
      <c r="TYK92" s="337"/>
      <c r="TYL92" s="337"/>
      <c r="TYM92" s="337"/>
      <c r="TYN92" s="337"/>
      <c r="TYO92" s="337"/>
      <c r="TYP92" s="337"/>
      <c r="TYQ92" s="337"/>
      <c r="TYR92" s="337"/>
      <c r="TYS92" s="337"/>
      <c r="TYT92" s="337"/>
      <c r="TYU92" s="337"/>
      <c r="TYV92" s="337"/>
      <c r="TYW92" s="337"/>
      <c r="TYX92" s="337"/>
      <c r="TYY92" s="337"/>
      <c r="TYZ92" s="337"/>
      <c r="TZA92" s="337"/>
      <c r="TZB92" s="337"/>
      <c r="TZC92" s="337"/>
      <c r="TZD92" s="337"/>
      <c r="TZE92" s="337"/>
      <c r="TZF92" s="337"/>
      <c r="TZG92" s="337"/>
      <c r="TZH92" s="337"/>
      <c r="TZI92" s="337"/>
      <c r="TZJ92" s="337"/>
      <c r="TZK92" s="337"/>
      <c r="TZL92" s="337"/>
      <c r="TZM92" s="337"/>
      <c r="TZN92" s="337"/>
      <c r="TZO92" s="337"/>
      <c r="TZP92" s="337"/>
      <c r="TZQ92" s="337"/>
      <c r="TZR92" s="337"/>
      <c r="TZS92" s="337"/>
      <c r="TZT92" s="337"/>
      <c r="TZU92" s="337"/>
      <c r="TZV92" s="337"/>
      <c r="TZW92" s="337"/>
      <c r="TZX92" s="337"/>
      <c r="TZY92" s="337"/>
      <c r="TZZ92" s="337"/>
      <c r="UAA92" s="337"/>
      <c r="UAB92" s="337"/>
      <c r="UAC92" s="337"/>
      <c r="UAD92" s="337"/>
      <c r="UAE92" s="337"/>
      <c r="UAF92" s="337"/>
      <c r="UAG92" s="337"/>
      <c r="UAH92" s="337"/>
      <c r="UAI92" s="337"/>
      <c r="UAJ92" s="337"/>
      <c r="UAK92" s="337"/>
      <c r="UAL92" s="337"/>
      <c r="UAM92" s="337"/>
      <c r="UAN92" s="337"/>
      <c r="UAO92" s="337"/>
      <c r="UAP92" s="337"/>
      <c r="UAQ92" s="337"/>
      <c r="UAR92" s="337"/>
      <c r="UAS92" s="337"/>
      <c r="UAT92" s="337"/>
      <c r="UAU92" s="337"/>
      <c r="UAV92" s="337"/>
      <c r="UAW92" s="337"/>
      <c r="UAX92" s="337"/>
      <c r="UAY92" s="337"/>
      <c r="UAZ92" s="337"/>
      <c r="UBA92" s="337"/>
      <c r="UBB92" s="337"/>
      <c r="UBC92" s="337"/>
      <c r="UBD92" s="337"/>
      <c r="UBE92" s="337"/>
      <c r="UBF92" s="337"/>
      <c r="UBG92" s="337"/>
      <c r="UBH92" s="337"/>
      <c r="UBI92" s="337"/>
      <c r="UBJ92" s="337"/>
      <c r="UBK92" s="337"/>
      <c r="UBL92" s="337"/>
      <c r="UBM92" s="337"/>
      <c r="UBN92" s="337"/>
      <c r="UBO92" s="337"/>
      <c r="UBP92" s="337"/>
      <c r="UBQ92" s="337"/>
      <c r="UBR92" s="337"/>
      <c r="UBS92" s="337"/>
      <c r="UBT92" s="337"/>
      <c r="UBU92" s="337"/>
      <c r="UBV92" s="337"/>
      <c r="UBW92" s="337"/>
      <c r="UBX92" s="337"/>
      <c r="UBY92" s="337"/>
      <c r="UBZ92" s="337"/>
      <c r="UCA92" s="337"/>
      <c r="UCB92" s="337"/>
      <c r="UCC92" s="337"/>
      <c r="UCD92" s="337"/>
      <c r="UCE92" s="337"/>
      <c r="UCF92" s="337"/>
      <c r="UCG92" s="337"/>
      <c r="UCH92" s="337"/>
      <c r="UCI92" s="337"/>
      <c r="UCJ92" s="337"/>
      <c r="UCK92" s="337"/>
      <c r="UCL92" s="337"/>
      <c r="UCM92" s="337"/>
      <c r="UCN92" s="337"/>
      <c r="UCO92" s="337"/>
      <c r="UCP92" s="337"/>
      <c r="UCQ92" s="337"/>
      <c r="UCR92" s="337"/>
      <c r="UCS92" s="337"/>
      <c r="UCT92" s="337"/>
      <c r="UCU92" s="337"/>
      <c r="UCV92" s="337"/>
      <c r="UCW92" s="337"/>
      <c r="UCX92" s="337"/>
      <c r="UCY92" s="337"/>
      <c r="UCZ92" s="337"/>
      <c r="UDA92" s="337"/>
      <c r="UDB92" s="337"/>
      <c r="UDC92" s="337"/>
      <c r="UDD92" s="337"/>
      <c r="UDE92" s="337"/>
      <c r="UDF92" s="337"/>
      <c r="UDG92" s="337"/>
      <c r="UDH92" s="337"/>
      <c r="UDI92" s="337"/>
      <c r="UDJ92" s="337"/>
      <c r="UDK92" s="337"/>
      <c r="UDL92" s="337"/>
      <c r="UDM92" s="337"/>
      <c r="UDN92" s="337"/>
      <c r="UDO92" s="337"/>
      <c r="UDP92" s="337"/>
      <c r="UDQ92" s="337"/>
      <c r="UDR92" s="337"/>
      <c r="UDS92" s="337"/>
      <c r="UDT92" s="337"/>
      <c r="UDU92" s="337"/>
      <c r="UDV92" s="337"/>
      <c r="UDW92" s="337"/>
      <c r="UDX92" s="337"/>
      <c r="UDY92" s="337"/>
      <c r="UDZ92" s="337"/>
      <c r="UEA92" s="337"/>
      <c r="UEB92" s="337"/>
      <c r="UEC92" s="337"/>
      <c r="UED92" s="337"/>
      <c r="UEE92" s="337"/>
      <c r="UEF92" s="337"/>
      <c r="UEG92" s="337"/>
      <c r="UEH92" s="337"/>
      <c r="UEI92" s="337"/>
      <c r="UEJ92" s="337"/>
      <c r="UEK92" s="337"/>
      <c r="UEL92" s="337"/>
      <c r="UEM92" s="337"/>
      <c r="UEN92" s="337"/>
      <c r="UEO92" s="337"/>
      <c r="UEP92" s="337"/>
      <c r="UEQ92" s="337"/>
      <c r="UER92" s="337"/>
      <c r="UES92" s="337"/>
      <c r="UET92" s="337"/>
      <c r="UEU92" s="337"/>
      <c r="UEV92" s="337"/>
      <c r="UEW92" s="337"/>
      <c r="UEX92" s="337"/>
      <c r="UEY92" s="337"/>
      <c r="UEZ92" s="337"/>
      <c r="UFA92" s="337"/>
      <c r="UFB92" s="337"/>
      <c r="UFC92" s="337"/>
      <c r="UFD92" s="337"/>
      <c r="UFE92" s="337"/>
      <c r="UFF92" s="337"/>
      <c r="UFG92" s="337"/>
      <c r="UFH92" s="337"/>
      <c r="UFI92" s="337"/>
      <c r="UFJ92" s="337"/>
      <c r="UFK92" s="337"/>
      <c r="UFL92" s="337"/>
      <c r="UFM92" s="337"/>
      <c r="UFN92" s="337"/>
      <c r="UFO92" s="337"/>
      <c r="UFP92" s="337"/>
      <c r="UFQ92" s="337"/>
      <c r="UFR92" s="337"/>
      <c r="UFS92" s="337"/>
      <c r="UFT92" s="337"/>
      <c r="UFU92" s="337"/>
      <c r="UFV92" s="337"/>
      <c r="UFW92" s="337"/>
      <c r="UFX92" s="337"/>
      <c r="UFY92" s="337"/>
      <c r="UFZ92" s="337"/>
      <c r="UGA92" s="337"/>
      <c r="UGB92" s="337"/>
      <c r="UGC92" s="337"/>
      <c r="UGD92" s="337"/>
      <c r="UGE92" s="337"/>
      <c r="UGF92" s="337"/>
      <c r="UGG92" s="337"/>
      <c r="UGH92" s="337"/>
      <c r="UGI92" s="337"/>
      <c r="UGJ92" s="337"/>
      <c r="UGK92" s="337"/>
      <c r="UGL92" s="337"/>
      <c r="UGM92" s="337"/>
      <c r="UGN92" s="337"/>
      <c r="UGO92" s="337"/>
      <c r="UGP92" s="337"/>
      <c r="UGQ92" s="337"/>
      <c r="UGR92" s="337"/>
      <c r="UGS92" s="337"/>
      <c r="UGT92" s="337"/>
      <c r="UGU92" s="337"/>
      <c r="UGV92" s="337"/>
      <c r="UGW92" s="337"/>
      <c r="UGX92" s="337"/>
      <c r="UGY92" s="337"/>
      <c r="UGZ92" s="337"/>
      <c r="UHA92" s="337"/>
      <c r="UHB92" s="337"/>
      <c r="UHC92" s="337"/>
      <c r="UHD92" s="337"/>
      <c r="UHE92" s="337"/>
      <c r="UHF92" s="337"/>
      <c r="UHG92" s="337"/>
      <c r="UHH92" s="337"/>
      <c r="UHI92" s="337"/>
      <c r="UHJ92" s="337"/>
      <c r="UHK92" s="337"/>
      <c r="UHL92" s="337"/>
      <c r="UHM92" s="337"/>
      <c r="UHN92" s="337"/>
      <c r="UHO92" s="337"/>
      <c r="UHP92" s="337"/>
      <c r="UHQ92" s="337"/>
      <c r="UHR92" s="337"/>
      <c r="UHS92" s="337"/>
      <c r="UHT92" s="337"/>
      <c r="UHU92" s="337"/>
      <c r="UHV92" s="337"/>
      <c r="UHW92" s="337"/>
      <c r="UHX92" s="337"/>
      <c r="UHY92" s="337"/>
      <c r="UHZ92" s="337"/>
      <c r="UIA92" s="337"/>
      <c r="UIB92" s="337"/>
      <c r="UIC92" s="337"/>
      <c r="UID92" s="337"/>
      <c r="UIE92" s="337"/>
      <c r="UIF92" s="337"/>
      <c r="UIG92" s="337"/>
      <c r="UIH92" s="337"/>
      <c r="UII92" s="337"/>
      <c r="UIJ92" s="337"/>
      <c r="UIK92" s="337"/>
      <c r="UIL92" s="337"/>
      <c r="UIM92" s="337"/>
      <c r="UIN92" s="337"/>
      <c r="UIO92" s="337"/>
      <c r="UIP92" s="337"/>
      <c r="UIQ92" s="337"/>
      <c r="UIR92" s="337"/>
      <c r="UIS92" s="337"/>
      <c r="UIT92" s="337"/>
      <c r="UIU92" s="337"/>
      <c r="UIV92" s="337"/>
      <c r="UIW92" s="337"/>
      <c r="UIX92" s="337"/>
      <c r="UIY92" s="337"/>
      <c r="UIZ92" s="337"/>
      <c r="UJA92" s="337"/>
      <c r="UJB92" s="337"/>
      <c r="UJC92" s="337"/>
      <c r="UJD92" s="337"/>
      <c r="UJE92" s="337"/>
      <c r="UJF92" s="337"/>
      <c r="UJG92" s="337"/>
      <c r="UJH92" s="337"/>
      <c r="UJI92" s="337"/>
      <c r="UJJ92" s="337"/>
      <c r="UJK92" s="337"/>
      <c r="UJL92" s="337"/>
      <c r="UJM92" s="337"/>
      <c r="UJN92" s="337"/>
      <c r="UJO92" s="337"/>
      <c r="UJP92" s="337"/>
      <c r="UJQ92" s="337"/>
      <c r="UJR92" s="337"/>
      <c r="UJS92" s="337"/>
      <c r="UJT92" s="337"/>
      <c r="UJU92" s="337"/>
      <c r="UJV92" s="337"/>
      <c r="UJW92" s="337"/>
      <c r="UJX92" s="337"/>
      <c r="UJY92" s="337"/>
      <c r="UJZ92" s="337"/>
      <c r="UKA92" s="337"/>
      <c r="UKB92" s="337"/>
      <c r="UKC92" s="337"/>
      <c r="UKD92" s="337"/>
      <c r="UKE92" s="337"/>
      <c r="UKF92" s="337"/>
      <c r="UKG92" s="337"/>
      <c r="UKH92" s="337"/>
      <c r="UKI92" s="337"/>
      <c r="UKJ92" s="337"/>
      <c r="UKK92" s="337"/>
      <c r="UKL92" s="337"/>
      <c r="UKM92" s="337"/>
      <c r="UKN92" s="337"/>
      <c r="UKO92" s="337"/>
      <c r="UKP92" s="337"/>
      <c r="UKQ92" s="337"/>
      <c r="UKR92" s="337"/>
      <c r="UKS92" s="337"/>
      <c r="UKT92" s="337"/>
      <c r="UKU92" s="337"/>
      <c r="UKV92" s="337"/>
      <c r="UKW92" s="337"/>
      <c r="UKX92" s="337"/>
      <c r="UKY92" s="337"/>
      <c r="UKZ92" s="337"/>
      <c r="ULA92" s="337"/>
      <c r="ULB92" s="337"/>
      <c r="ULC92" s="337"/>
      <c r="ULD92" s="337"/>
      <c r="ULE92" s="337"/>
      <c r="ULF92" s="337"/>
      <c r="ULG92" s="337"/>
      <c r="ULH92" s="337"/>
      <c r="ULI92" s="337"/>
      <c r="ULJ92" s="337"/>
      <c r="ULK92" s="337"/>
      <c r="ULL92" s="337"/>
      <c r="ULM92" s="337"/>
      <c r="ULN92" s="337"/>
      <c r="ULO92" s="337"/>
      <c r="ULP92" s="337"/>
      <c r="ULQ92" s="337"/>
      <c r="ULR92" s="337"/>
      <c r="ULS92" s="337"/>
      <c r="ULT92" s="337"/>
      <c r="ULU92" s="337"/>
      <c r="ULV92" s="337"/>
      <c r="ULW92" s="337"/>
      <c r="ULX92" s="337"/>
      <c r="ULY92" s="337"/>
      <c r="ULZ92" s="337"/>
      <c r="UMA92" s="337"/>
      <c r="UMB92" s="337"/>
      <c r="UMC92" s="337"/>
      <c r="UMD92" s="337"/>
      <c r="UME92" s="337"/>
      <c r="UMF92" s="337"/>
      <c r="UMG92" s="337"/>
      <c r="UMH92" s="337"/>
      <c r="UMI92" s="337"/>
      <c r="UMJ92" s="337"/>
      <c r="UMK92" s="337"/>
      <c r="UML92" s="337"/>
      <c r="UMM92" s="337"/>
      <c r="UMN92" s="337"/>
      <c r="UMO92" s="337"/>
      <c r="UMP92" s="337"/>
      <c r="UMQ92" s="337"/>
      <c r="UMR92" s="337"/>
      <c r="UMS92" s="337"/>
      <c r="UMT92" s="337"/>
      <c r="UMU92" s="337"/>
      <c r="UMV92" s="337"/>
      <c r="UMW92" s="337"/>
      <c r="UMX92" s="337"/>
      <c r="UMY92" s="337"/>
      <c r="UMZ92" s="337"/>
      <c r="UNA92" s="337"/>
      <c r="UNB92" s="337"/>
      <c r="UNC92" s="337"/>
      <c r="UND92" s="337"/>
      <c r="UNE92" s="337"/>
      <c r="UNF92" s="337"/>
      <c r="UNG92" s="337"/>
      <c r="UNH92" s="337"/>
      <c r="UNI92" s="337"/>
      <c r="UNJ92" s="337"/>
      <c r="UNK92" s="337"/>
      <c r="UNL92" s="337"/>
      <c r="UNM92" s="337"/>
      <c r="UNN92" s="337"/>
      <c r="UNO92" s="337"/>
      <c r="UNP92" s="337"/>
      <c r="UNQ92" s="337"/>
      <c r="UNR92" s="337"/>
      <c r="UNS92" s="337"/>
      <c r="UNT92" s="337"/>
      <c r="UNU92" s="337"/>
      <c r="UNV92" s="337"/>
      <c r="UNW92" s="337"/>
      <c r="UNX92" s="337"/>
      <c r="UNY92" s="337"/>
      <c r="UNZ92" s="337"/>
      <c r="UOA92" s="337"/>
      <c r="UOB92" s="337"/>
      <c r="UOC92" s="337"/>
      <c r="UOD92" s="337"/>
      <c r="UOE92" s="337"/>
      <c r="UOF92" s="337"/>
      <c r="UOG92" s="337"/>
      <c r="UOH92" s="337"/>
      <c r="UOI92" s="337"/>
      <c r="UOJ92" s="337"/>
      <c r="UOK92" s="337"/>
      <c r="UOL92" s="337"/>
      <c r="UOM92" s="337"/>
      <c r="UON92" s="337"/>
      <c r="UOO92" s="337"/>
      <c r="UOP92" s="337"/>
      <c r="UOQ92" s="337"/>
      <c r="UOR92" s="337"/>
      <c r="UOS92" s="337"/>
      <c r="UOT92" s="337"/>
      <c r="UOU92" s="337"/>
      <c r="UOV92" s="337"/>
      <c r="UOW92" s="337"/>
      <c r="UOX92" s="337"/>
      <c r="UOY92" s="337"/>
      <c r="UOZ92" s="337"/>
      <c r="UPA92" s="337"/>
      <c r="UPB92" s="337"/>
      <c r="UPC92" s="337"/>
      <c r="UPD92" s="337"/>
      <c r="UPE92" s="337"/>
      <c r="UPF92" s="337"/>
      <c r="UPG92" s="337"/>
      <c r="UPH92" s="337"/>
      <c r="UPI92" s="337"/>
      <c r="UPJ92" s="337"/>
      <c r="UPK92" s="337"/>
      <c r="UPL92" s="337"/>
      <c r="UPM92" s="337"/>
      <c r="UPN92" s="337"/>
      <c r="UPO92" s="337"/>
      <c r="UPP92" s="337"/>
      <c r="UPQ92" s="337"/>
      <c r="UPR92" s="337"/>
      <c r="UPS92" s="337"/>
      <c r="UPT92" s="337"/>
      <c r="UPU92" s="337"/>
      <c r="UPV92" s="337"/>
      <c r="UPW92" s="337"/>
      <c r="UPX92" s="337"/>
      <c r="UPY92" s="337"/>
      <c r="UPZ92" s="337"/>
      <c r="UQA92" s="337"/>
      <c r="UQB92" s="337"/>
      <c r="UQC92" s="337"/>
      <c r="UQD92" s="337"/>
      <c r="UQE92" s="337"/>
      <c r="UQF92" s="337"/>
      <c r="UQG92" s="337"/>
      <c r="UQH92" s="337"/>
      <c r="UQI92" s="337"/>
      <c r="UQJ92" s="337"/>
      <c r="UQK92" s="337"/>
      <c r="UQL92" s="337"/>
      <c r="UQM92" s="337"/>
      <c r="UQN92" s="337"/>
      <c r="UQO92" s="337"/>
      <c r="UQP92" s="337"/>
      <c r="UQQ92" s="337"/>
      <c r="UQR92" s="337"/>
      <c r="UQS92" s="337"/>
      <c r="UQT92" s="337"/>
      <c r="UQU92" s="337"/>
      <c r="UQV92" s="337"/>
      <c r="UQW92" s="337"/>
      <c r="UQX92" s="337"/>
      <c r="UQY92" s="337"/>
      <c r="UQZ92" s="337"/>
      <c r="URA92" s="337"/>
      <c r="URB92" s="337"/>
      <c r="URC92" s="337"/>
      <c r="URD92" s="337"/>
      <c r="URE92" s="337"/>
      <c r="URF92" s="337"/>
      <c r="URG92" s="337"/>
      <c r="URH92" s="337"/>
      <c r="URI92" s="337"/>
      <c r="URJ92" s="337"/>
      <c r="URK92" s="337"/>
      <c r="URL92" s="337"/>
      <c r="URM92" s="337"/>
      <c r="URN92" s="337"/>
      <c r="URO92" s="337"/>
      <c r="URP92" s="337"/>
      <c r="URQ92" s="337"/>
      <c r="URR92" s="337"/>
      <c r="URS92" s="337"/>
      <c r="URT92" s="337"/>
      <c r="URU92" s="337"/>
      <c r="URV92" s="337"/>
      <c r="URW92" s="337"/>
      <c r="URX92" s="337"/>
      <c r="URY92" s="337"/>
      <c r="URZ92" s="337"/>
      <c r="USA92" s="337"/>
      <c r="USB92" s="337"/>
      <c r="USC92" s="337"/>
      <c r="USD92" s="337"/>
      <c r="USE92" s="337"/>
      <c r="USF92" s="337"/>
      <c r="USG92" s="337"/>
      <c r="USH92" s="337"/>
      <c r="USI92" s="337"/>
      <c r="USJ92" s="337"/>
      <c r="USK92" s="337"/>
      <c r="USL92" s="337"/>
      <c r="USM92" s="337"/>
      <c r="USN92" s="337"/>
      <c r="USO92" s="337"/>
      <c r="USP92" s="337"/>
      <c r="USQ92" s="337"/>
      <c r="USR92" s="337"/>
      <c r="USS92" s="337"/>
      <c r="UST92" s="337"/>
      <c r="USU92" s="337"/>
      <c r="USV92" s="337"/>
      <c r="USW92" s="337"/>
      <c r="USX92" s="337"/>
      <c r="USY92" s="337"/>
      <c r="USZ92" s="337"/>
      <c r="UTA92" s="337"/>
      <c r="UTB92" s="337"/>
      <c r="UTC92" s="337"/>
      <c r="UTD92" s="337"/>
      <c r="UTE92" s="337"/>
      <c r="UTF92" s="337"/>
      <c r="UTG92" s="337"/>
      <c r="UTH92" s="337"/>
      <c r="UTI92" s="337"/>
      <c r="UTJ92" s="337"/>
      <c r="UTK92" s="337"/>
      <c r="UTL92" s="337"/>
      <c r="UTM92" s="337"/>
      <c r="UTN92" s="337"/>
      <c r="UTO92" s="337"/>
      <c r="UTP92" s="337"/>
      <c r="UTQ92" s="337"/>
      <c r="UTR92" s="337"/>
      <c r="UTS92" s="337"/>
      <c r="UTT92" s="337"/>
      <c r="UTU92" s="337"/>
      <c r="UTV92" s="337"/>
      <c r="UTW92" s="337"/>
      <c r="UTX92" s="337"/>
      <c r="UTY92" s="337"/>
      <c r="UTZ92" s="337"/>
      <c r="UUA92" s="337"/>
      <c r="UUB92" s="337"/>
      <c r="UUC92" s="337"/>
      <c r="UUD92" s="337"/>
      <c r="UUE92" s="337"/>
      <c r="UUF92" s="337"/>
      <c r="UUG92" s="337"/>
      <c r="UUH92" s="337"/>
      <c r="UUI92" s="337"/>
      <c r="UUJ92" s="337"/>
      <c r="UUK92" s="337"/>
      <c r="UUL92" s="337"/>
      <c r="UUM92" s="337"/>
      <c r="UUN92" s="337"/>
      <c r="UUO92" s="337"/>
      <c r="UUP92" s="337"/>
      <c r="UUQ92" s="337"/>
      <c r="UUR92" s="337"/>
      <c r="UUS92" s="337"/>
      <c r="UUT92" s="337"/>
      <c r="UUU92" s="337"/>
      <c r="UUV92" s="337"/>
      <c r="UUW92" s="337"/>
      <c r="UUX92" s="337"/>
      <c r="UUY92" s="337"/>
      <c r="UUZ92" s="337"/>
      <c r="UVA92" s="337"/>
      <c r="UVB92" s="337"/>
      <c r="UVC92" s="337"/>
      <c r="UVD92" s="337"/>
      <c r="UVE92" s="337"/>
      <c r="UVF92" s="337"/>
      <c r="UVG92" s="337"/>
      <c r="UVH92" s="337"/>
      <c r="UVI92" s="337"/>
      <c r="UVJ92" s="337"/>
      <c r="UVK92" s="337"/>
      <c r="UVL92" s="337"/>
      <c r="UVM92" s="337"/>
      <c r="UVN92" s="337"/>
      <c r="UVO92" s="337"/>
      <c r="UVP92" s="337"/>
      <c r="UVQ92" s="337"/>
      <c r="UVR92" s="337"/>
      <c r="UVS92" s="337"/>
      <c r="UVT92" s="337"/>
      <c r="UVU92" s="337"/>
      <c r="UVV92" s="337"/>
      <c r="UVW92" s="337"/>
      <c r="UVX92" s="337"/>
      <c r="UVY92" s="337"/>
      <c r="UVZ92" s="337"/>
      <c r="UWA92" s="337"/>
      <c r="UWB92" s="337"/>
      <c r="UWC92" s="337"/>
      <c r="UWD92" s="337"/>
      <c r="UWE92" s="337"/>
      <c r="UWF92" s="337"/>
      <c r="UWG92" s="337"/>
      <c r="UWH92" s="337"/>
      <c r="UWI92" s="337"/>
      <c r="UWJ92" s="337"/>
      <c r="UWK92" s="337"/>
      <c r="UWL92" s="337"/>
      <c r="UWM92" s="337"/>
      <c r="UWN92" s="337"/>
      <c r="UWO92" s="337"/>
      <c r="UWP92" s="337"/>
      <c r="UWQ92" s="337"/>
      <c r="UWR92" s="337"/>
      <c r="UWS92" s="337"/>
      <c r="UWT92" s="337"/>
      <c r="UWU92" s="337"/>
      <c r="UWV92" s="337"/>
      <c r="UWW92" s="337"/>
      <c r="UWX92" s="337"/>
      <c r="UWY92" s="337"/>
      <c r="UWZ92" s="337"/>
      <c r="UXA92" s="337"/>
      <c r="UXB92" s="337"/>
      <c r="UXC92" s="337"/>
      <c r="UXD92" s="337"/>
      <c r="UXE92" s="337"/>
      <c r="UXF92" s="337"/>
      <c r="UXG92" s="337"/>
      <c r="UXH92" s="337"/>
      <c r="UXI92" s="337"/>
      <c r="UXJ92" s="337"/>
      <c r="UXK92" s="337"/>
      <c r="UXL92" s="337"/>
      <c r="UXM92" s="337"/>
      <c r="UXN92" s="337"/>
      <c r="UXO92" s="337"/>
      <c r="UXP92" s="337"/>
      <c r="UXQ92" s="337"/>
      <c r="UXR92" s="337"/>
      <c r="UXS92" s="337"/>
      <c r="UXT92" s="337"/>
      <c r="UXU92" s="337"/>
      <c r="UXV92" s="337"/>
      <c r="UXW92" s="337"/>
      <c r="UXX92" s="337"/>
      <c r="UXY92" s="337"/>
      <c r="UXZ92" s="337"/>
      <c r="UYA92" s="337"/>
      <c r="UYB92" s="337"/>
      <c r="UYC92" s="337"/>
      <c r="UYD92" s="337"/>
      <c r="UYE92" s="337"/>
      <c r="UYF92" s="337"/>
      <c r="UYG92" s="337"/>
      <c r="UYH92" s="337"/>
      <c r="UYI92" s="337"/>
      <c r="UYJ92" s="337"/>
      <c r="UYK92" s="337"/>
      <c r="UYL92" s="337"/>
      <c r="UYM92" s="337"/>
      <c r="UYN92" s="337"/>
      <c r="UYO92" s="337"/>
      <c r="UYP92" s="337"/>
      <c r="UYQ92" s="337"/>
      <c r="UYR92" s="337"/>
      <c r="UYS92" s="337"/>
      <c r="UYT92" s="337"/>
      <c r="UYU92" s="337"/>
      <c r="UYV92" s="337"/>
      <c r="UYW92" s="337"/>
      <c r="UYX92" s="337"/>
      <c r="UYY92" s="337"/>
      <c r="UYZ92" s="337"/>
      <c r="UZA92" s="337"/>
      <c r="UZB92" s="337"/>
      <c r="UZC92" s="337"/>
      <c r="UZD92" s="337"/>
      <c r="UZE92" s="337"/>
      <c r="UZF92" s="337"/>
      <c r="UZG92" s="337"/>
      <c r="UZH92" s="337"/>
      <c r="UZI92" s="337"/>
      <c r="UZJ92" s="337"/>
      <c r="UZK92" s="337"/>
      <c r="UZL92" s="337"/>
      <c r="UZM92" s="337"/>
      <c r="UZN92" s="337"/>
      <c r="UZO92" s="337"/>
      <c r="UZP92" s="337"/>
      <c r="UZQ92" s="337"/>
      <c r="UZR92" s="337"/>
      <c r="UZS92" s="337"/>
      <c r="UZT92" s="337"/>
      <c r="UZU92" s="337"/>
      <c r="UZV92" s="337"/>
      <c r="UZW92" s="337"/>
      <c r="UZX92" s="337"/>
      <c r="UZY92" s="337"/>
      <c r="UZZ92" s="337"/>
      <c r="VAA92" s="337"/>
      <c r="VAB92" s="337"/>
      <c r="VAC92" s="337"/>
      <c r="VAD92" s="337"/>
      <c r="VAE92" s="337"/>
      <c r="VAF92" s="337"/>
      <c r="VAG92" s="337"/>
      <c r="VAH92" s="337"/>
      <c r="VAI92" s="337"/>
      <c r="VAJ92" s="337"/>
      <c r="VAK92" s="337"/>
      <c r="VAL92" s="337"/>
      <c r="VAM92" s="337"/>
      <c r="VAN92" s="337"/>
      <c r="VAO92" s="337"/>
      <c r="VAP92" s="337"/>
      <c r="VAQ92" s="337"/>
      <c r="VAR92" s="337"/>
      <c r="VAS92" s="337"/>
      <c r="VAT92" s="337"/>
      <c r="VAU92" s="337"/>
      <c r="VAV92" s="337"/>
      <c r="VAW92" s="337"/>
      <c r="VAX92" s="337"/>
      <c r="VAY92" s="337"/>
      <c r="VAZ92" s="337"/>
      <c r="VBA92" s="337"/>
      <c r="VBB92" s="337"/>
      <c r="VBC92" s="337"/>
      <c r="VBD92" s="337"/>
      <c r="VBE92" s="337"/>
      <c r="VBF92" s="337"/>
      <c r="VBG92" s="337"/>
      <c r="VBH92" s="337"/>
      <c r="VBI92" s="337"/>
      <c r="VBJ92" s="337"/>
      <c r="VBK92" s="337"/>
      <c r="VBL92" s="337"/>
      <c r="VBM92" s="337"/>
      <c r="VBN92" s="337"/>
      <c r="VBO92" s="337"/>
      <c r="VBP92" s="337"/>
      <c r="VBQ92" s="337"/>
      <c r="VBR92" s="337"/>
      <c r="VBS92" s="337"/>
      <c r="VBT92" s="337"/>
      <c r="VBU92" s="337"/>
      <c r="VBV92" s="337"/>
      <c r="VBW92" s="337"/>
      <c r="VBX92" s="337"/>
      <c r="VBY92" s="337"/>
      <c r="VBZ92" s="337"/>
      <c r="VCA92" s="337"/>
      <c r="VCB92" s="337"/>
      <c r="VCC92" s="337"/>
      <c r="VCD92" s="337"/>
      <c r="VCE92" s="337"/>
      <c r="VCF92" s="337"/>
      <c r="VCG92" s="337"/>
      <c r="VCH92" s="337"/>
      <c r="VCI92" s="337"/>
      <c r="VCJ92" s="337"/>
      <c r="VCK92" s="337"/>
      <c r="VCL92" s="337"/>
      <c r="VCM92" s="337"/>
      <c r="VCN92" s="337"/>
      <c r="VCO92" s="337"/>
      <c r="VCP92" s="337"/>
      <c r="VCQ92" s="337"/>
      <c r="VCR92" s="337"/>
      <c r="VCS92" s="337"/>
      <c r="VCT92" s="337"/>
      <c r="VCU92" s="337"/>
      <c r="VCV92" s="337"/>
      <c r="VCW92" s="337"/>
      <c r="VCX92" s="337"/>
      <c r="VCY92" s="337"/>
      <c r="VCZ92" s="337"/>
      <c r="VDA92" s="337"/>
      <c r="VDB92" s="337"/>
      <c r="VDC92" s="337"/>
      <c r="VDD92" s="337"/>
      <c r="VDE92" s="337"/>
      <c r="VDF92" s="337"/>
      <c r="VDG92" s="337"/>
      <c r="VDH92" s="337"/>
      <c r="VDI92" s="337"/>
      <c r="VDJ92" s="337"/>
      <c r="VDK92" s="337"/>
      <c r="VDL92" s="337"/>
      <c r="VDM92" s="337"/>
      <c r="VDN92" s="337"/>
      <c r="VDO92" s="337"/>
      <c r="VDP92" s="337"/>
      <c r="VDQ92" s="337"/>
      <c r="VDR92" s="337"/>
      <c r="VDS92" s="337"/>
      <c r="VDT92" s="337"/>
      <c r="VDU92" s="337"/>
      <c r="VDV92" s="337"/>
      <c r="VDW92" s="337"/>
      <c r="VDX92" s="337"/>
      <c r="VDY92" s="337"/>
      <c r="VDZ92" s="337"/>
      <c r="VEA92" s="337"/>
      <c r="VEB92" s="337"/>
      <c r="VEC92" s="337"/>
      <c r="VED92" s="337"/>
      <c r="VEE92" s="337"/>
      <c r="VEF92" s="337"/>
      <c r="VEG92" s="337"/>
      <c r="VEH92" s="337"/>
      <c r="VEI92" s="337"/>
      <c r="VEJ92" s="337"/>
      <c r="VEK92" s="337"/>
      <c r="VEL92" s="337"/>
      <c r="VEM92" s="337"/>
      <c r="VEN92" s="337"/>
      <c r="VEO92" s="337"/>
      <c r="VEP92" s="337"/>
      <c r="VEQ92" s="337"/>
      <c r="VER92" s="337"/>
      <c r="VES92" s="337"/>
      <c r="VET92" s="337"/>
      <c r="VEU92" s="337"/>
      <c r="VEV92" s="337"/>
      <c r="VEW92" s="337"/>
      <c r="VEX92" s="337"/>
      <c r="VEY92" s="337"/>
      <c r="VEZ92" s="337"/>
      <c r="VFA92" s="337"/>
      <c r="VFB92" s="337"/>
      <c r="VFC92" s="337"/>
      <c r="VFD92" s="337"/>
      <c r="VFE92" s="337"/>
      <c r="VFF92" s="337"/>
      <c r="VFG92" s="337"/>
      <c r="VFH92" s="337"/>
      <c r="VFI92" s="337"/>
      <c r="VFJ92" s="337"/>
      <c r="VFK92" s="337"/>
      <c r="VFL92" s="337"/>
      <c r="VFM92" s="337"/>
      <c r="VFN92" s="337"/>
      <c r="VFO92" s="337"/>
      <c r="VFP92" s="337"/>
      <c r="VFQ92" s="337"/>
      <c r="VFR92" s="337"/>
      <c r="VFS92" s="337"/>
      <c r="VFT92" s="337"/>
      <c r="VFU92" s="337"/>
      <c r="VFV92" s="337"/>
      <c r="VFW92" s="337"/>
      <c r="VFX92" s="337"/>
      <c r="VFY92" s="337"/>
      <c r="VFZ92" s="337"/>
      <c r="VGA92" s="337"/>
      <c r="VGB92" s="337"/>
      <c r="VGC92" s="337"/>
      <c r="VGD92" s="337"/>
      <c r="VGE92" s="337"/>
      <c r="VGF92" s="337"/>
      <c r="VGG92" s="337"/>
      <c r="VGH92" s="337"/>
      <c r="VGI92" s="337"/>
      <c r="VGJ92" s="337"/>
      <c r="VGK92" s="337"/>
      <c r="VGL92" s="337"/>
      <c r="VGM92" s="337"/>
      <c r="VGN92" s="337"/>
      <c r="VGO92" s="337"/>
      <c r="VGP92" s="337"/>
      <c r="VGQ92" s="337"/>
      <c r="VGR92" s="337"/>
      <c r="VGS92" s="337"/>
      <c r="VGT92" s="337"/>
      <c r="VGU92" s="337"/>
      <c r="VGV92" s="337"/>
      <c r="VGW92" s="337"/>
      <c r="VGX92" s="337"/>
      <c r="VGY92" s="337"/>
      <c r="VGZ92" s="337"/>
      <c r="VHA92" s="337"/>
      <c r="VHB92" s="337"/>
      <c r="VHC92" s="337"/>
      <c r="VHD92" s="337"/>
      <c r="VHE92" s="337"/>
      <c r="VHF92" s="337"/>
      <c r="VHG92" s="337"/>
      <c r="VHH92" s="337"/>
      <c r="VHI92" s="337"/>
      <c r="VHJ92" s="337"/>
      <c r="VHK92" s="337"/>
      <c r="VHL92" s="337"/>
      <c r="VHM92" s="337"/>
      <c r="VHN92" s="337"/>
      <c r="VHO92" s="337"/>
      <c r="VHP92" s="337"/>
      <c r="VHQ92" s="337"/>
      <c r="VHR92" s="337"/>
      <c r="VHS92" s="337"/>
      <c r="VHT92" s="337"/>
      <c r="VHU92" s="337"/>
      <c r="VHV92" s="337"/>
      <c r="VHW92" s="337"/>
      <c r="VHX92" s="337"/>
      <c r="VHY92" s="337"/>
      <c r="VHZ92" s="337"/>
      <c r="VIA92" s="337"/>
      <c r="VIB92" s="337"/>
      <c r="VIC92" s="337"/>
      <c r="VID92" s="337"/>
      <c r="VIE92" s="337"/>
      <c r="VIF92" s="337"/>
      <c r="VIG92" s="337"/>
      <c r="VIH92" s="337"/>
      <c r="VII92" s="337"/>
      <c r="VIJ92" s="337"/>
      <c r="VIK92" s="337"/>
      <c r="VIL92" s="337"/>
      <c r="VIM92" s="337"/>
      <c r="VIN92" s="337"/>
      <c r="VIO92" s="337"/>
      <c r="VIP92" s="337"/>
      <c r="VIQ92" s="337"/>
      <c r="VIR92" s="337"/>
      <c r="VIS92" s="337"/>
      <c r="VIT92" s="337"/>
      <c r="VIU92" s="337"/>
      <c r="VIV92" s="337"/>
      <c r="VIW92" s="337"/>
      <c r="VIX92" s="337"/>
      <c r="VIY92" s="337"/>
      <c r="VIZ92" s="337"/>
      <c r="VJA92" s="337"/>
      <c r="VJB92" s="337"/>
      <c r="VJC92" s="337"/>
      <c r="VJD92" s="337"/>
      <c r="VJE92" s="337"/>
      <c r="VJF92" s="337"/>
      <c r="VJG92" s="337"/>
      <c r="VJH92" s="337"/>
      <c r="VJI92" s="337"/>
      <c r="VJJ92" s="337"/>
      <c r="VJK92" s="337"/>
      <c r="VJL92" s="337"/>
      <c r="VJM92" s="337"/>
      <c r="VJN92" s="337"/>
      <c r="VJO92" s="337"/>
      <c r="VJP92" s="337"/>
      <c r="VJQ92" s="337"/>
      <c r="VJR92" s="337"/>
      <c r="VJS92" s="337"/>
      <c r="VJT92" s="337"/>
      <c r="VJU92" s="337"/>
      <c r="VJV92" s="337"/>
      <c r="VJW92" s="337"/>
      <c r="VJX92" s="337"/>
      <c r="VJY92" s="337"/>
      <c r="VJZ92" s="337"/>
      <c r="VKA92" s="337"/>
      <c r="VKB92" s="337"/>
      <c r="VKC92" s="337"/>
      <c r="VKD92" s="337"/>
      <c r="VKE92" s="337"/>
      <c r="VKF92" s="337"/>
      <c r="VKG92" s="337"/>
      <c r="VKH92" s="337"/>
      <c r="VKI92" s="337"/>
      <c r="VKJ92" s="337"/>
      <c r="VKK92" s="337"/>
      <c r="VKL92" s="337"/>
      <c r="VKM92" s="337"/>
      <c r="VKN92" s="337"/>
      <c r="VKO92" s="337"/>
      <c r="VKP92" s="337"/>
      <c r="VKQ92" s="337"/>
      <c r="VKR92" s="337"/>
      <c r="VKS92" s="337"/>
      <c r="VKT92" s="337"/>
      <c r="VKU92" s="337"/>
      <c r="VKV92" s="337"/>
      <c r="VKW92" s="337"/>
      <c r="VKX92" s="337"/>
      <c r="VKY92" s="337"/>
      <c r="VKZ92" s="337"/>
      <c r="VLA92" s="337"/>
      <c r="VLB92" s="337"/>
      <c r="VLC92" s="337"/>
      <c r="VLD92" s="337"/>
      <c r="VLE92" s="337"/>
      <c r="VLF92" s="337"/>
      <c r="VLG92" s="337"/>
      <c r="VLH92" s="337"/>
      <c r="VLI92" s="337"/>
      <c r="VLJ92" s="337"/>
      <c r="VLK92" s="337"/>
      <c r="VLL92" s="337"/>
      <c r="VLM92" s="337"/>
      <c r="VLN92" s="337"/>
      <c r="VLO92" s="337"/>
      <c r="VLP92" s="337"/>
      <c r="VLQ92" s="337"/>
      <c r="VLR92" s="337"/>
      <c r="VLS92" s="337"/>
      <c r="VLT92" s="337"/>
      <c r="VLU92" s="337"/>
      <c r="VLV92" s="337"/>
      <c r="VLW92" s="337"/>
      <c r="VLX92" s="337"/>
      <c r="VLY92" s="337"/>
      <c r="VLZ92" s="337"/>
      <c r="VMA92" s="337"/>
      <c r="VMB92" s="337"/>
      <c r="VMC92" s="337"/>
      <c r="VMD92" s="337"/>
      <c r="VME92" s="337"/>
      <c r="VMF92" s="337"/>
      <c r="VMG92" s="337"/>
      <c r="VMH92" s="337"/>
      <c r="VMI92" s="337"/>
      <c r="VMJ92" s="337"/>
      <c r="VMK92" s="337"/>
      <c r="VML92" s="337"/>
      <c r="VMM92" s="337"/>
      <c r="VMN92" s="337"/>
      <c r="VMO92" s="337"/>
      <c r="VMP92" s="337"/>
      <c r="VMQ92" s="337"/>
      <c r="VMR92" s="337"/>
      <c r="VMS92" s="337"/>
      <c r="VMT92" s="337"/>
      <c r="VMU92" s="337"/>
      <c r="VMV92" s="337"/>
      <c r="VMW92" s="337"/>
      <c r="VMX92" s="337"/>
      <c r="VMY92" s="337"/>
      <c r="VMZ92" s="337"/>
      <c r="VNA92" s="337"/>
      <c r="VNB92" s="337"/>
      <c r="VNC92" s="337"/>
      <c r="VND92" s="337"/>
      <c r="VNE92" s="337"/>
      <c r="VNF92" s="337"/>
      <c r="VNG92" s="337"/>
      <c r="VNH92" s="337"/>
      <c r="VNI92" s="337"/>
      <c r="VNJ92" s="337"/>
      <c r="VNK92" s="337"/>
      <c r="VNL92" s="337"/>
      <c r="VNM92" s="337"/>
      <c r="VNN92" s="337"/>
      <c r="VNO92" s="337"/>
      <c r="VNP92" s="337"/>
      <c r="VNQ92" s="337"/>
      <c r="VNR92" s="337"/>
      <c r="VNS92" s="337"/>
      <c r="VNT92" s="337"/>
      <c r="VNU92" s="337"/>
      <c r="VNV92" s="337"/>
      <c r="VNW92" s="337"/>
      <c r="VNX92" s="337"/>
      <c r="VNY92" s="337"/>
      <c r="VNZ92" s="337"/>
      <c r="VOA92" s="337"/>
      <c r="VOB92" s="337"/>
      <c r="VOC92" s="337"/>
      <c r="VOD92" s="337"/>
      <c r="VOE92" s="337"/>
      <c r="VOF92" s="337"/>
      <c r="VOG92" s="337"/>
      <c r="VOH92" s="337"/>
      <c r="VOI92" s="337"/>
      <c r="VOJ92" s="337"/>
      <c r="VOK92" s="337"/>
      <c r="VOL92" s="337"/>
      <c r="VOM92" s="337"/>
      <c r="VON92" s="337"/>
      <c r="VOO92" s="337"/>
      <c r="VOP92" s="337"/>
      <c r="VOQ92" s="337"/>
      <c r="VOR92" s="337"/>
      <c r="VOS92" s="337"/>
      <c r="VOT92" s="337"/>
      <c r="VOU92" s="337"/>
      <c r="VOV92" s="337"/>
      <c r="VOW92" s="337"/>
      <c r="VOX92" s="337"/>
      <c r="VOY92" s="337"/>
      <c r="VOZ92" s="337"/>
      <c r="VPA92" s="337"/>
      <c r="VPB92" s="337"/>
      <c r="VPC92" s="337"/>
      <c r="VPD92" s="337"/>
      <c r="VPE92" s="337"/>
      <c r="VPF92" s="337"/>
      <c r="VPG92" s="337"/>
      <c r="VPH92" s="337"/>
      <c r="VPI92" s="337"/>
      <c r="VPJ92" s="337"/>
      <c r="VPK92" s="337"/>
      <c r="VPL92" s="337"/>
      <c r="VPM92" s="337"/>
      <c r="VPN92" s="337"/>
      <c r="VPO92" s="337"/>
      <c r="VPP92" s="337"/>
      <c r="VPQ92" s="337"/>
      <c r="VPR92" s="337"/>
      <c r="VPS92" s="337"/>
      <c r="VPT92" s="337"/>
      <c r="VPU92" s="337"/>
      <c r="VPV92" s="337"/>
      <c r="VPW92" s="337"/>
      <c r="VPX92" s="337"/>
      <c r="VPY92" s="337"/>
      <c r="VPZ92" s="337"/>
      <c r="VQA92" s="337"/>
      <c r="VQB92" s="337"/>
      <c r="VQC92" s="337"/>
      <c r="VQD92" s="337"/>
      <c r="VQE92" s="337"/>
      <c r="VQF92" s="337"/>
      <c r="VQG92" s="337"/>
      <c r="VQH92" s="337"/>
      <c r="VQI92" s="337"/>
      <c r="VQJ92" s="337"/>
      <c r="VQK92" s="337"/>
      <c r="VQL92" s="337"/>
      <c r="VQM92" s="337"/>
      <c r="VQN92" s="337"/>
      <c r="VQO92" s="337"/>
      <c r="VQP92" s="337"/>
      <c r="VQQ92" s="337"/>
      <c r="VQR92" s="337"/>
      <c r="VQS92" s="337"/>
      <c r="VQT92" s="337"/>
      <c r="VQU92" s="337"/>
      <c r="VQV92" s="337"/>
      <c r="VQW92" s="337"/>
      <c r="VQX92" s="337"/>
      <c r="VQY92" s="337"/>
      <c r="VQZ92" s="337"/>
      <c r="VRA92" s="337"/>
      <c r="VRB92" s="337"/>
      <c r="VRC92" s="337"/>
      <c r="VRD92" s="337"/>
      <c r="VRE92" s="337"/>
      <c r="VRF92" s="337"/>
      <c r="VRG92" s="337"/>
      <c r="VRH92" s="337"/>
      <c r="VRI92" s="337"/>
      <c r="VRJ92" s="337"/>
      <c r="VRK92" s="337"/>
      <c r="VRL92" s="337"/>
      <c r="VRM92" s="337"/>
      <c r="VRN92" s="337"/>
      <c r="VRO92" s="337"/>
      <c r="VRP92" s="337"/>
      <c r="VRQ92" s="337"/>
      <c r="VRR92" s="337"/>
      <c r="VRS92" s="337"/>
      <c r="VRT92" s="337"/>
      <c r="VRU92" s="337"/>
      <c r="VRV92" s="337"/>
      <c r="VRW92" s="337"/>
      <c r="VRX92" s="337"/>
      <c r="VRY92" s="337"/>
      <c r="VRZ92" s="337"/>
      <c r="VSA92" s="337"/>
      <c r="VSB92" s="337"/>
      <c r="VSC92" s="337"/>
      <c r="VSD92" s="337"/>
      <c r="VSE92" s="337"/>
      <c r="VSF92" s="337"/>
      <c r="VSG92" s="337"/>
      <c r="VSH92" s="337"/>
      <c r="VSI92" s="337"/>
      <c r="VSJ92" s="337"/>
      <c r="VSK92" s="337"/>
      <c r="VSL92" s="337"/>
      <c r="VSM92" s="337"/>
      <c r="VSN92" s="337"/>
      <c r="VSO92" s="337"/>
      <c r="VSP92" s="337"/>
      <c r="VSQ92" s="337"/>
      <c r="VSR92" s="337"/>
      <c r="VSS92" s="337"/>
      <c r="VST92" s="337"/>
      <c r="VSU92" s="337"/>
      <c r="VSV92" s="337"/>
      <c r="VSW92" s="337"/>
      <c r="VSX92" s="337"/>
      <c r="VSY92" s="337"/>
      <c r="VSZ92" s="337"/>
      <c r="VTA92" s="337"/>
      <c r="VTB92" s="337"/>
      <c r="VTC92" s="337"/>
      <c r="VTD92" s="337"/>
      <c r="VTE92" s="337"/>
      <c r="VTF92" s="337"/>
      <c r="VTG92" s="337"/>
      <c r="VTH92" s="337"/>
      <c r="VTI92" s="337"/>
      <c r="VTJ92" s="337"/>
      <c r="VTK92" s="337"/>
      <c r="VTL92" s="337"/>
      <c r="VTM92" s="337"/>
      <c r="VTN92" s="337"/>
      <c r="VTO92" s="337"/>
      <c r="VTP92" s="337"/>
      <c r="VTQ92" s="337"/>
      <c r="VTR92" s="337"/>
      <c r="VTS92" s="337"/>
      <c r="VTT92" s="337"/>
      <c r="VTU92" s="337"/>
      <c r="VTV92" s="337"/>
      <c r="VTW92" s="337"/>
      <c r="VTX92" s="337"/>
      <c r="VTY92" s="337"/>
      <c r="VTZ92" s="337"/>
      <c r="VUA92" s="337"/>
      <c r="VUB92" s="337"/>
      <c r="VUC92" s="337"/>
      <c r="VUD92" s="337"/>
      <c r="VUE92" s="337"/>
      <c r="VUF92" s="337"/>
      <c r="VUG92" s="337"/>
      <c r="VUH92" s="337"/>
      <c r="VUI92" s="337"/>
      <c r="VUJ92" s="337"/>
      <c r="VUK92" s="337"/>
      <c r="VUL92" s="337"/>
      <c r="VUM92" s="337"/>
      <c r="VUN92" s="337"/>
      <c r="VUO92" s="337"/>
      <c r="VUP92" s="337"/>
      <c r="VUQ92" s="337"/>
      <c r="VUR92" s="337"/>
      <c r="VUS92" s="337"/>
      <c r="VUT92" s="337"/>
      <c r="VUU92" s="337"/>
      <c r="VUV92" s="337"/>
      <c r="VUW92" s="337"/>
      <c r="VUX92" s="337"/>
      <c r="VUY92" s="337"/>
      <c r="VUZ92" s="337"/>
      <c r="VVA92" s="337"/>
      <c r="VVB92" s="337"/>
      <c r="VVC92" s="337"/>
      <c r="VVD92" s="337"/>
      <c r="VVE92" s="337"/>
      <c r="VVF92" s="337"/>
      <c r="VVG92" s="337"/>
      <c r="VVH92" s="337"/>
      <c r="VVI92" s="337"/>
      <c r="VVJ92" s="337"/>
      <c r="VVK92" s="337"/>
      <c r="VVL92" s="337"/>
      <c r="VVM92" s="337"/>
      <c r="VVN92" s="337"/>
      <c r="VVO92" s="337"/>
      <c r="VVP92" s="337"/>
      <c r="VVQ92" s="337"/>
      <c r="VVR92" s="337"/>
      <c r="VVS92" s="337"/>
      <c r="VVT92" s="337"/>
      <c r="VVU92" s="337"/>
      <c r="VVV92" s="337"/>
      <c r="VVW92" s="337"/>
      <c r="VVX92" s="337"/>
      <c r="VVY92" s="337"/>
      <c r="VVZ92" s="337"/>
      <c r="VWA92" s="337"/>
      <c r="VWB92" s="337"/>
      <c r="VWC92" s="337"/>
      <c r="VWD92" s="337"/>
      <c r="VWE92" s="337"/>
      <c r="VWF92" s="337"/>
      <c r="VWG92" s="337"/>
      <c r="VWH92" s="337"/>
      <c r="VWI92" s="337"/>
      <c r="VWJ92" s="337"/>
      <c r="VWK92" s="337"/>
      <c r="VWL92" s="337"/>
      <c r="VWM92" s="337"/>
      <c r="VWN92" s="337"/>
      <c r="VWO92" s="337"/>
      <c r="VWP92" s="337"/>
      <c r="VWQ92" s="337"/>
      <c r="VWR92" s="337"/>
      <c r="VWS92" s="337"/>
      <c r="VWT92" s="337"/>
      <c r="VWU92" s="337"/>
      <c r="VWV92" s="337"/>
      <c r="VWW92" s="337"/>
      <c r="VWX92" s="337"/>
      <c r="VWY92" s="337"/>
      <c r="VWZ92" s="337"/>
      <c r="VXA92" s="337"/>
      <c r="VXB92" s="337"/>
      <c r="VXC92" s="337"/>
      <c r="VXD92" s="337"/>
      <c r="VXE92" s="337"/>
      <c r="VXF92" s="337"/>
      <c r="VXG92" s="337"/>
      <c r="VXH92" s="337"/>
      <c r="VXI92" s="337"/>
      <c r="VXJ92" s="337"/>
      <c r="VXK92" s="337"/>
      <c r="VXL92" s="337"/>
      <c r="VXM92" s="337"/>
      <c r="VXN92" s="337"/>
      <c r="VXO92" s="337"/>
      <c r="VXP92" s="337"/>
      <c r="VXQ92" s="337"/>
      <c r="VXR92" s="337"/>
      <c r="VXS92" s="337"/>
      <c r="VXT92" s="337"/>
      <c r="VXU92" s="337"/>
      <c r="VXV92" s="337"/>
      <c r="VXW92" s="337"/>
      <c r="VXX92" s="337"/>
      <c r="VXY92" s="337"/>
      <c r="VXZ92" s="337"/>
      <c r="VYA92" s="337"/>
      <c r="VYB92" s="337"/>
      <c r="VYC92" s="337"/>
      <c r="VYD92" s="337"/>
      <c r="VYE92" s="337"/>
      <c r="VYF92" s="337"/>
      <c r="VYG92" s="337"/>
      <c r="VYH92" s="337"/>
      <c r="VYI92" s="337"/>
      <c r="VYJ92" s="337"/>
      <c r="VYK92" s="337"/>
      <c r="VYL92" s="337"/>
      <c r="VYM92" s="337"/>
      <c r="VYN92" s="337"/>
      <c r="VYO92" s="337"/>
      <c r="VYP92" s="337"/>
      <c r="VYQ92" s="337"/>
      <c r="VYR92" s="337"/>
      <c r="VYS92" s="337"/>
      <c r="VYT92" s="337"/>
      <c r="VYU92" s="337"/>
      <c r="VYV92" s="337"/>
      <c r="VYW92" s="337"/>
      <c r="VYX92" s="337"/>
      <c r="VYY92" s="337"/>
      <c r="VYZ92" s="337"/>
      <c r="VZA92" s="337"/>
      <c r="VZB92" s="337"/>
      <c r="VZC92" s="337"/>
      <c r="VZD92" s="337"/>
      <c r="VZE92" s="337"/>
      <c r="VZF92" s="337"/>
      <c r="VZG92" s="337"/>
      <c r="VZH92" s="337"/>
      <c r="VZI92" s="337"/>
      <c r="VZJ92" s="337"/>
      <c r="VZK92" s="337"/>
      <c r="VZL92" s="337"/>
      <c r="VZM92" s="337"/>
      <c r="VZN92" s="337"/>
      <c r="VZO92" s="337"/>
      <c r="VZP92" s="337"/>
      <c r="VZQ92" s="337"/>
      <c r="VZR92" s="337"/>
      <c r="VZS92" s="337"/>
      <c r="VZT92" s="337"/>
      <c r="VZU92" s="337"/>
      <c r="VZV92" s="337"/>
      <c r="VZW92" s="337"/>
      <c r="VZX92" s="337"/>
      <c r="VZY92" s="337"/>
      <c r="VZZ92" s="337"/>
      <c r="WAA92" s="337"/>
      <c r="WAB92" s="337"/>
      <c r="WAC92" s="337"/>
      <c r="WAD92" s="337"/>
      <c r="WAE92" s="337"/>
      <c r="WAF92" s="337"/>
      <c r="WAG92" s="337"/>
      <c r="WAH92" s="337"/>
      <c r="WAI92" s="337"/>
      <c r="WAJ92" s="337"/>
      <c r="WAK92" s="337"/>
      <c r="WAL92" s="337"/>
      <c r="WAM92" s="337"/>
      <c r="WAN92" s="337"/>
      <c r="WAO92" s="337"/>
      <c r="WAP92" s="337"/>
      <c r="WAQ92" s="337"/>
      <c r="WAR92" s="337"/>
      <c r="WAS92" s="337"/>
      <c r="WAT92" s="337"/>
      <c r="WAU92" s="337"/>
      <c r="WAV92" s="337"/>
      <c r="WAW92" s="337"/>
      <c r="WAX92" s="337"/>
      <c r="WAY92" s="337"/>
      <c r="WAZ92" s="337"/>
      <c r="WBA92" s="337"/>
      <c r="WBB92" s="337"/>
      <c r="WBC92" s="337"/>
      <c r="WBD92" s="337"/>
      <c r="WBE92" s="337"/>
      <c r="WBF92" s="337"/>
      <c r="WBG92" s="337"/>
      <c r="WBH92" s="337"/>
      <c r="WBI92" s="337"/>
      <c r="WBJ92" s="337"/>
      <c r="WBK92" s="337"/>
      <c r="WBL92" s="337"/>
      <c r="WBM92" s="337"/>
      <c r="WBN92" s="337"/>
      <c r="WBO92" s="337"/>
      <c r="WBP92" s="337"/>
      <c r="WBQ92" s="337"/>
      <c r="WBR92" s="337"/>
      <c r="WBS92" s="337"/>
      <c r="WBT92" s="337"/>
      <c r="WBU92" s="337"/>
      <c r="WBV92" s="337"/>
      <c r="WBW92" s="337"/>
      <c r="WBX92" s="337"/>
      <c r="WBY92" s="337"/>
      <c r="WBZ92" s="337"/>
      <c r="WCA92" s="337"/>
      <c r="WCB92" s="337"/>
      <c r="WCC92" s="337"/>
      <c r="WCD92" s="337"/>
      <c r="WCE92" s="337"/>
      <c r="WCF92" s="337"/>
      <c r="WCG92" s="337"/>
      <c r="WCH92" s="337"/>
      <c r="WCI92" s="337"/>
      <c r="WCJ92" s="337"/>
      <c r="WCK92" s="337"/>
      <c r="WCL92" s="337"/>
      <c r="WCM92" s="337"/>
      <c r="WCN92" s="337"/>
      <c r="WCO92" s="337"/>
      <c r="WCP92" s="337"/>
      <c r="WCQ92" s="337"/>
      <c r="WCR92" s="337"/>
      <c r="WCS92" s="337"/>
      <c r="WCT92" s="337"/>
      <c r="WCU92" s="337"/>
      <c r="WCV92" s="337"/>
      <c r="WCW92" s="337"/>
      <c r="WCX92" s="337"/>
      <c r="WCY92" s="337"/>
      <c r="WCZ92" s="337"/>
      <c r="WDA92" s="337"/>
      <c r="WDB92" s="337"/>
      <c r="WDC92" s="337"/>
      <c r="WDD92" s="337"/>
      <c r="WDE92" s="337"/>
      <c r="WDF92" s="337"/>
      <c r="WDG92" s="337"/>
      <c r="WDH92" s="337"/>
      <c r="WDI92" s="337"/>
      <c r="WDJ92" s="337"/>
      <c r="WDK92" s="337"/>
      <c r="WDL92" s="337"/>
      <c r="WDM92" s="337"/>
      <c r="WDN92" s="337"/>
      <c r="WDO92" s="337"/>
      <c r="WDP92" s="337"/>
      <c r="WDQ92" s="337"/>
      <c r="WDR92" s="337"/>
      <c r="WDS92" s="337"/>
      <c r="WDT92" s="337"/>
      <c r="WDU92" s="337"/>
      <c r="WDV92" s="337"/>
      <c r="WDW92" s="337"/>
      <c r="WDX92" s="337"/>
      <c r="WDY92" s="337"/>
      <c r="WDZ92" s="337"/>
      <c r="WEA92" s="337"/>
      <c r="WEB92" s="337"/>
      <c r="WEC92" s="337"/>
      <c r="WED92" s="337"/>
      <c r="WEE92" s="337"/>
      <c r="WEF92" s="337"/>
      <c r="WEG92" s="337"/>
      <c r="WEH92" s="337"/>
      <c r="WEI92" s="337"/>
      <c r="WEJ92" s="337"/>
      <c r="WEK92" s="337"/>
      <c r="WEL92" s="337"/>
      <c r="WEM92" s="337"/>
      <c r="WEN92" s="337"/>
      <c r="WEO92" s="337"/>
      <c r="WEP92" s="337"/>
      <c r="WEQ92" s="337"/>
      <c r="WER92" s="337"/>
      <c r="WES92" s="337"/>
      <c r="WET92" s="337"/>
      <c r="WEU92" s="337"/>
      <c r="WEV92" s="337"/>
      <c r="WEW92" s="337"/>
      <c r="WEX92" s="337"/>
      <c r="WEY92" s="337"/>
      <c r="WEZ92" s="337"/>
      <c r="WFA92" s="337"/>
      <c r="WFB92" s="337"/>
      <c r="WFC92" s="337"/>
      <c r="WFD92" s="337"/>
      <c r="WFE92" s="337"/>
      <c r="WFF92" s="337"/>
      <c r="WFG92" s="337"/>
      <c r="WFH92" s="337"/>
      <c r="WFI92" s="337"/>
      <c r="WFJ92" s="337"/>
      <c r="WFK92" s="337"/>
      <c r="WFL92" s="337"/>
      <c r="WFM92" s="337"/>
      <c r="WFN92" s="337"/>
      <c r="WFO92" s="337"/>
      <c r="WFP92" s="337"/>
      <c r="WFQ92" s="337"/>
      <c r="WFR92" s="337"/>
      <c r="WFS92" s="337"/>
      <c r="WFT92" s="337"/>
      <c r="WFU92" s="337"/>
      <c r="WFV92" s="337"/>
      <c r="WFW92" s="337"/>
      <c r="WFX92" s="337"/>
      <c r="WFY92" s="337"/>
      <c r="WFZ92" s="337"/>
      <c r="WGA92" s="337"/>
      <c r="WGB92" s="337"/>
      <c r="WGC92" s="337"/>
      <c r="WGD92" s="337"/>
      <c r="WGE92" s="337"/>
      <c r="WGF92" s="337"/>
      <c r="WGG92" s="337"/>
      <c r="WGH92" s="337"/>
      <c r="WGI92" s="337"/>
      <c r="WGJ92" s="337"/>
      <c r="WGK92" s="337"/>
      <c r="WGL92" s="337"/>
      <c r="WGM92" s="337"/>
      <c r="WGN92" s="337"/>
      <c r="WGO92" s="337"/>
      <c r="WGP92" s="337"/>
      <c r="WGQ92" s="337"/>
      <c r="WGR92" s="337"/>
      <c r="WGS92" s="337"/>
      <c r="WGT92" s="337"/>
      <c r="WGU92" s="337"/>
      <c r="WGV92" s="337"/>
      <c r="WGW92" s="337"/>
      <c r="WGX92" s="337"/>
      <c r="WGY92" s="337"/>
      <c r="WGZ92" s="337"/>
      <c r="WHA92" s="337"/>
      <c r="WHB92" s="337"/>
      <c r="WHC92" s="337"/>
      <c r="WHD92" s="337"/>
      <c r="WHE92" s="337"/>
      <c r="WHF92" s="337"/>
      <c r="WHG92" s="337"/>
      <c r="WHH92" s="337"/>
      <c r="WHI92" s="337"/>
      <c r="WHJ92" s="337"/>
      <c r="WHK92" s="337"/>
      <c r="WHL92" s="337"/>
      <c r="WHM92" s="337"/>
      <c r="WHN92" s="337"/>
      <c r="WHO92" s="337"/>
      <c r="WHP92" s="337"/>
      <c r="WHQ92" s="337"/>
      <c r="WHR92" s="337"/>
      <c r="WHS92" s="337"/>
      <c r="WHT92" s="337"/>
      <c r="WHU92" s="337"/>
      <c r="WHV92" s="337"/>
      <c r="WHW92" s="337"/>
      <c r="WHX92" s="337"/>
      <c r="WHY92" s="337"/>
      <c r="WHZ92" s="337"/>
      <c r="WIA92" s="337"/>
      <c r="WIB92" s="337"/>
      <c r="WIC92" s="337"/>
      <c r="WID92" s="337"/>
      <c r="WIE92" s="337"/>
      <c r="WIF92" s="337"/>
      <c r="WIG92" s="337"/>
      <c r="WIH92" s="337"/>
      <c r="WII92" s="337"/>
      <c r="WIJ92" s="337"/>
      <c r="WIK92" s="337"/>
      <c r="WIL92" s="337"/>
      <c r="WIM92" s="337"/>
      <c r="WIN92" s="337"/>
      <c r="WIO92" s="337"/>
      <c r="WIP92" s="337"/>
      <c r="WIQ92" s="337"/>
      <c r="WIR92" s="337"/>
      <c r="WIS92" s="337"/>
      <c r="WIT92" s="337"/>
      <c r="WIU92" s="337"/>
      <c r="WIV92" s="337"/>
      <c r="WIW92" s="337"/>
      <c r="WIX92" s="337"/>
      <c r="WIY92" s="337"/>
      <c r="WIZ92" s="337"/>
      <c r="WJA92" s="337"/>
      <c r="WJB92" s="337"/>
      <c r="WJC92" s="337"/>
      <c r="WJD92" s="337"/>
      <c r="WJE92" s="337"/>
      <c r="WJF92" s="337"/>
      <c r="WJG92" s="337"/>
      <c r="WJH92" s="337"/>
      <c r="WJI92" s="337"/>
      <c r="WJJ92" s="337"/>
      <c r="WJK92" s="337"/>
      <c r="WJL92" s="337"/>
      <c r="WJM92" s="337"/>
      <c r="WJN92" s="337"/>
      <c r="WJO92" s="337"/>
      <c r="WJP92" s="337"/>
      <c r="WJQ92" s="337"/>
      <c r="WJR92" s="337"/>
      <c r="WJS92" s="337"/>
      <c r="WJT92" s="337"/>
      <c r="WJU92" s="337"/>
      <c r="WJV92" s="337"/>
      <c r="WJW92" s="337"/>
      <c r="WJX92" s="337"/>
      <c r="WJY92" s="337"/>
      <c r="WJZ92" s="337"/>
      <c r="WKA92" s="337"/>
      <c r="WKB92" s="337"/>
      <c r="WKC92" s="337"/>
      <c r="WKD92" s="337"/>
      <c r="WKE92" s="337"/>
      <c r="WKF92" s="337"/>
      <c r="WKG92" s="337"/>
      <c r="WKH92" s="337"/>
      <c r="WKI92" s="337"/>
      <c r="WKJ92" s="337"/>
      <c r="WKK92" s="337"/>
      <c r="WKL92" s="337"/>
      <c r="WKM92" s="337"/>
      <c r="WKN92" s="337"/>
      <c r="WKO92" s="337"/>
      <c r="WKP92" s="337"/>
      <c r="WKQ92" s="337"/>
      <c r="WKR92" s="337"/>
      <c r="WKS92" s="337"/>
      <c r="WKT92" s="337"/>
      <c r="WKU92" s="337"/>
      <c r="WKV92" s="337"/>
      <c r="WKW92" s="337"/>
      <c r="WKX92" s="337"/>
      <c r="WKY92" s="337"/>
      <c r="WKZ92" s="337"/>
      <c r="WLA92" s="337"/>
      <c r="WLB92" s="337"/>
      <c r="WLC92" s="337"/>
      <c r="WLD92" s="337"/>
      <c r="WLE92" s="337"/>
      <c r="WLF92" s="337"/>
      <c r="WLG92" s="337"/>
      <c r="WLH92" s="337"/>
      <c r="WLI92" s="337"/>
      <c r="WLJ92" s="337"/>
      <c r="WLK92" s="337"/>
      <c r="WLL92" s="337"/>
      <c r="WLM92" s="337"/>
      <c r="WLN92" s="337"/>
      <c r="WLO92" s="337"/>
      <c r="WLP92" s="337"/>
      <c r="WLQ92" s="337"/>
      <c r="WLR92" s="337"/>
      <c r="WLS92" s="337"/>
      <c r="WLT92" s="337"/>
      <c r="WLU92" s="337"/>
      <c r="WLV92" s="337"/>
      <c r="WLW92" s="337"/>
      <c r="WLX92" s="337"/>
      <c r="WLY92" s="337"/>
      <c r="WLZ92" s="337"/>
      <c r="WMA92" s="337"/>
      <c r="WMB92" s="337"/>
      <c r="WMC92" s="337"/>
      <c r="WMD92" s="337"/>
      <c r="WME92" s="337"/>
      <c r="WMF92" s="337"/>
      <c r="WMG92" s="337"/>
      <c r="WMH92" s="337"/>
      <c r="WMI92" s="337"/>
      <c r="WMJ92" s="337"/>
      <c r="WMK92" s="337"/>
      <c r="WML92" s="337"/>
      <c r="WMM92" s="337"/>
      <c r="WMN92" s="337"/>
      <c r="WMO92" s="337"/>
      <c r="WMP92" s="337"/>
      <c r="WMQ92" s="337"/>
      <c r="WMR92" s="337"/>
      <c r="WMS92" s="337"/>
      <c r="WMT92" s="337"/>
      <c r="WMU92" s="337"/>
      <c r="WMV92" s="337"/>
      <c r="WMW92" s="337"/>
      <c r="WMX92" s="337"/>
      <c r="WMY92" s="337"/>
      <c r="WMZ92" s="337"/>
      <c r="WNA92" s="337"/>
      <c r="WNB92" s="337"/>
      <c r="WNC92" s="337"/>
      <c r="WND92" s="337"/>
      <c r="WNE92" s="337"/>
      <c r="WNF92" s="337"/>
      <c r="WNG92" s="337"/>
      <c r="WNH92" s="337"/>
      <c r="WNI92" s="337"/>
      <c r="WNJ92" s="337"/>
      <c r="WNK92" s="337"/>
      <c r="WNL92" s="337"/>
      <c r="WNM92" s="337"/>
      <c r="WNN92" s="337"/>
      <c r="WNO92" s="337"/>
      <c r="WNP92" s="337"/>
      <c r="WNQ92" s="337"/>
      <c r="WNR92" s="337"/>
      <c r="WNS92" s="337"/>
      <c r="WNT92" s="337"/>
      <c r="WNU92" s="337"/>
      <c r="WNV92" s="337"/>
      <c r="WNW92" s="337"/>
      <c r="WNX92" s="337"/>
      <c r="WNY92" s="337"/>
      <c r="WNZ92" s="337"/>
      <c r="WOA92" s="337"/>
      <c r="WOB92" s="337"/>
      <c r="WOC92" s="337"/>
      <c r="WOD92" s="337"/>
      <c r="WOE92" s="337"/>
      <c r="WOF92" s="337"/>
      <c r="WOG92" s="337"/>
      <c r="WOH92" s="337"/>
      <c r="WOI92" s="337"/>
      <c r="WOJ92" s="337"/>
      <c r="WOK92" s="337"/>
      <c r="WOL92" s="337"/>
      <c r="WOM92" s="337"/>
      <c r="WON92" s="337"/>
      <c r="WOO92" s="337"/>
      <c r="WOP92" s="337"/>
      <c r="WOQ92" s="337"/>
      <c r="WOR92" s="337"/>
      <c r="WOS92" s="337"/>
      <c r="WOT92" s="337"/>
      <c r="WOU92" s="337"/>
      <c r="WOV92" s="337"/>
      <c r="WOW92" s="337"/>
      <c r="WOX92" s="337"/>
      <c r="WOY92" s="337"/>
      <c r="WOZ92" s="337"/>
      <c r="WPA92" s="337"/>
      <c r="WPB92" s="337"/>
      <c r="WPC92" s="337"/>
      <c r="WPD92" s="337"/>
      <c r="WPE92" s="337"/>
      <c r="WPF92" s="337"/>
      <c r="WPG92" s="337"/>
      <c r="WPH92" s="337"/>
      <c r="WPI92" s="337"/>
      <c r="WPJ92" s="337"/>
      <c r="WPK92" s="337"/>
      <c r="WPL92" s="337"/>
      <c r="WPM92" s="337"/>
      <c r="WPN92" s="337"/>
      <c r="WPO92" s="337"/>
      <c r="WPP92" s="337"/>
      <c r="WPQ92" s="337"/>
      <c r="WPR92" s="337"/>
      <c r="WPS92" s="337"/>
      <c r="WPT92" s="337"/>
      <c r="WPU92" s="337"/>
      <c r="WPV92" s="337"/>
      <c r="WPW92" s="337"/>
      <c r="WPX92" s="337"/>
      <c r="WPY92" s="337"/>
      <c r="WPZ92" s="337"/>
      <c r="WQA92" s="337"/>
      <c r="WQB92" s="337"/>
      <c r="WQC92" s="337"/>
      <c r="WQD92" s="337"/>
      <c r="WQE92" s="337"/>
      <c r="WQF92" s="337"/>
      <c r="WQG92" s="337"/>
      <c r="WQH92" s="337"/>
      <c r="WQI92" s="337"/>
      <c r="WQJ92" s="337"/>
      <c r="WQK92" s="337"/>
      <c r="WQL92" s="337"/>
      <c r="WQM92" s="337"/>
      <c r="WQN92" s="337"/>
      <c r="WQO92" s="337"/>
      <c r="WQP92" s="337"/>
      <c r="WQQ92" s="337"/>
      <c r="WQR92" s="337"/>
      <c r="WQS92" s="337"/>
      <c r="WQT92" s="337"/>
      <c r="WQU92" s="337"/>
      <c r="WQV92" s="337"/>
      <c r="WQW92" s="337"/>
      <c r="WQX92" s="337"/>
      <c r="WQY92" s="337"/>
      <c r="WQZ92" s="337"/>
      <c r="WRA92" s="337"/>
      <c r="WRB92" s="337"/>
      <c r="WRC92" s="337"/>
      <c r="WRD92" s="337"/>
      <c r="WRE92" s="337"/>
      <c r="WRF92" s="337"/>
      <c r="WRG92" s="337"/>
      <c r="WRH92" s="337"/>
      <c r="WRI92" s="337"/>
      <c r="WRJ92" s="337"/>
      <c r="WRK92" s="337"/>
      <c r="WRL92" s="337"/>
      <c r="WRM92" s="337"/>
      <c r="WRN92" s="337"/>
      <c r="WRO92" s="337"/>
      <c r="WRP92" s="337"/>
      <c r="WRQ92" s="337"/>
      <c r="WRR92" s="337"/>
      <c r="WRS92" s="337"/>
      <c r="WRT92" s="337"/>
      <c r="WRU92" s="337"/>
      <c r="WRV92" s="337"/>
      <c r="WRW92" s="337"/>
      <c r="WRX92" s="337"/>
      <c r="WRY92" s="337"/>
      <c r="WRZ92" s="337"/>
      <c r="WSA92" s="337"/>
      <c r="WSB92" s="337"/>
      <c r="WSC92" s="337"/>
      <c r="WSD92" s="337"/>
      <c r="WSE92" s="337"/>
      <c r="WSF92" s="337"/>
      <c r="WSG92" s="337"/>
      <c r="WSH92" s="337"/>
      <c r="WSI92" s="337"/>
      <c r="WSJ92" s="337"/>
      <c r="WSK92" s="337"/>
      <c r="WSL92" s="337"/>
      <c r="WSM92" s="337"/>
      <c r="WSN92" s="337"/>
      <c r="WSO92" s="337"/>
      <c r="WSP92" s="337"/>
      <c r="WSQ92" s="337"/>
      <c r="WSR92" s="337"/>
      <c r="WSS92" s="337"/>
      <c r="WST92" s="337"/>
      <c r="WSU92" s="337"/>
      <c r="WSV92" s="337"/>
      <c r="WSW92" s="337"/>
      <c r="WSX92" s="337"/>
      <c r="WSY92" s="337"/>
      <c r="WSZ92" s="337"/>
      <c r="WTA92" s="337"/>
      <c r="WTB92" s="337"/>
      <c r="WTC92" s="337"/>
      <c r="WTD92" s="337"/>
      <c r="WTE92" s="337"/>
      <c r="WTF92" s="337"/>
      <c r="WTG92" s="337"/>
      <c r="WTH92" s="337"/>
      <c r="WTI92" s="337"/>
      <c r="WTJ92" s="337"/>
      <c r="WTK92" s="337"/>
      <c r="WTL92" s="337"/>
      <c r="WTM92" s="337"/>
      <c r="WTN92" s="337"/>
      <c r="WTO92" s="337"/>
      <c r="WTP92" s="337"/>
      <c r="WTQ92" s="337"/>
      <c r="WTR92" s="337"/>
      <c r="WTS92" s="337"/>
      <c r="WTT92" s="337"/>
      <c r="WTU92" s="337"/>
      <c r="WTV92" s="337"/>
      <c r="WTW92" s="337"/>
      <c r="WTX92" s="337"/>
      <c r="WTY92" s="337"/>
      <c r="WTZ92" s="337"/>
      <c r="WUA92" s="337"/>
      <c r="WUB92" s="337"/>
      <c r="WUC92" s="337"/>
      <c r="WUD92" s="337"/>
      <c r="WUE92" s="337"/>
      <c r="WUF92" s="337"/>
      <c r="WUG92" s="337"/>
      <c r="WUH92" s="337"/>
      <c r="WUI92" s="337"/>
      <c r="WUJ92" s="337"/>
      <c r="WUK92" s="337"/>
      <c r="WUL92" s="337"/>
      <c r="WUM92" s="337"/>
      <c r="WUN92" s="337"/>
      <c r="WUO92" s="337"/>
      <c r="WUP92" s="337"/>
      <c r="WUQ92" s="337"/>
      <c r="WUR92" s="337"/>
      <c r="WUS92" s="337"/>
      <c r="WUT92" s="337"/>
      <c r="WUU92" s="337"/>
      <c r="WUV92" s="337"/>
      <c r="WUW92" s="337"/>
      <c r="WUX92" s="337"/>
      <c r="WUY92" s="337"/>
      <c r="WUZ92" s="337"/>
      <c r="WVA92" s="337"/>
      <c r="WVB92" s="337"/>
      <c r="WVC92" s="337"/>
      <c r="WVD92" s="337"/>
      <c r="WVE92" s="337"/>
      <c r="WVF92" s="337"/>
      <c r="WVG92" s="337"/>
      <c r="WVH92" s="337"/>
      <c r="WVI92" s="337"/>
      <c r="WVJ92" s="337"/>
      <c r="WVK92" s="337"/>
      <c r="WVL92" s="337"/>
      <c r="WVM92" s="337"/>
      <c r="WVN92" s="337"/>
      <c r="WVO92" s="337"/>
      <c r="WVP92" s="337"/>
      <c r="WVQ92" s="337"/>
      <c r="WVR92" s="337"/>
      <c r="WVS92" s="337"/>
      <c r="WVT92" s="337"/>
      <c r="WVU92" s="337"/>
      <c r="WVV92" s="337"/>
      <c r="WVW92" s="337"/>
      <c r="WVX92" s="337"/>
      <c r="WVY92" s="337"/>
      <c r="WVZ92" s="337"/>
      <c r="WWA92" s="337"/>
      <c r="WWB92" s="337"/>
      <c r="WWC92" s="337"/>
      <c r="WWD92" s="337"/>
      <c r="WWE92" s="337"/>
      <c r="WWF92" s="337"/>
      <c r="WWG92" s="337"/>
      <c r="WWH92" s="337"/>
      <c r="WWI92" s="337"/>
      <c r="WWJ92" s="337"/>
      <c r="WWK92" s="337"/>
      <c r="WWL92" s="337"/>
      <c r="WWM92" s="337"/>
      <c r="WWN92" s="337"/>
      <c r="WWO92" s="337"/>
      <c r="WWP92" s="337"/>
      <c r="WWQ92" s="337"/>
      <c r="WWR92" s="337"/>
      <c r="WWS92" s="337"/>
      <c r="WWT92" s="337"/>
      <c r="WWU92" s="337"/>
      <c r="WWV92" s="337"/>
      <c r="WWW92" s="337"/>
      <c r="WWX92" s="337"/>
      <c r="WWY92" s="337"/>
      <c r="WWZ92" s="337"/>
      <c r="WXA92" s="337"/>
      <c r="WXB92" s="337"/>
      <c r="WXC92" s="337"/>
      <c r="WXD92" s="337"/>
      <c r="WXE92" s="337"/>
      <c r="WXF92" s="337"/>
      <c r="WXG92" s="337"/>
      <c r="WXH92" s="337"/>
      <c r="WXI92" s="337"/>
      <c r="WXJ92" s="337"/>
      <c r="WXK92" s="337"/>
      <c r="WXL92" s="337"/>
      <c r="WXM92" s="337"/>
      <c r="WXN92" s="337"/>
      <c r="WXO92" s="337"/>
      <c r="WXP92" s="337"/>
      <c r="WXQ92" s="337"/>
      <c r="WXR92" s="337"/>
      <c r="WXS92" s="337"/>
      <c r="WXT92" s="337"/>
      <c r="WXU92" s="337"/>
      <c r="WXV92" s="337"/>
      <c r="WXW92" s="337"/>
      <c r="WXX92" s="337"/>
      <c r="WXY92" s="337"/>
      <c r="WXZ92" s="337"/>
      <c r="WYA92" s="337"/>
      <c r="WYB92" s="337"/>
      <c r="WYC92" s="337"/>
      <c r="WYD92" s="337"/>
      <c r="WYE92" s="337"/>
      <c r="WYF92" s="337"/>
      <c r="WYG92" s="337"/>
      <c r="WYH92" s="337"/>
      <c r="WYI92" s="337"/>
      <c r="WYJ92" s="337"/>
      <c r="WYK92" s="337"/>
      <c r="WYL92" s="337"/>
      <c r="WYM92" s="337"/>
      <c r="WYN92" s="337"/>
      <c r="WYO92" s="337"/>
      <c r="WYP92" s="337"/>
      <c r="WYQ92" s="337"/>
      <c r="WYR92" s="337"/>
      <c r="WYS92" s="337"/>
      <c r="WYT92" s="337"/>
      <c r="WYU92" s="337"/>
      <c r="WYV92" s="337"/>
      <c r="WYW92" s="337"/>
      <c r="WYX92" s="337"/>
      <c r="WYY92" s="337"/>
      <c r="WYZ92" s="337"/>
      <c r="WZA92" s="337"/>
      <c r="WZB92" s="337"/>
      <c r="WZC92" s="337"/>
      <c r="WZD92" s="337"/>
      <c r="WZE92" s="337"/>
      <c r="WZF92" s="337"/>
      <c r="WZG92" s="337"/>
      <c r="WZH92" s="337"/>
      <c r="WZI92" s="337"/>
      <c r="WZJ92" s="337"/>
      <c r="WZK92" s="337"/>
      <c r="WZL92" s="337"/>
      <c r="WZM92" s="337"/>
      <c r="WZN92" s="337"/>
      <c r="WZO92" s="337"/>
      <c r="WZP92" s="337"/>
      <c r="WZQ92" s="337"/>
      <c r="WZR92" s="337"/>
      <c r="WZS92" s="337"/>
      <c r="WZT92" s="337"/>
      <c r="WZU92" s="337"/>
      <c r="WZV92" s="337"/>
      <c r="WZW92" s="337"/>
      <c r="WZX92" s="337"/>
      <c r="WZY92" s="337"/>
      <c r="WZZ92" s="337"/>
      <c r="XAA92" s="337"/>
      <c r="XAB92" s="337"/>
      <c r="XAC92" s="337"/>
      <c r="XAD92" s="337"/>
      <c r="XAE92" s="337"/>
      <c r="XAF92" s="337"/>
      <c r="XAG92" s="337"/>
      <c r="XAH92" s="337"/>
      <c r="XAI92" s="337"/>
      <c r="XAJ92" s="337"/>
      <c r="XAK92" s="337"/>
      <c r="XAL92" s="337"/>
      <c r="XAM92" s="337"/>
      <c r="XAN92" s="337"/>
      <c r="XAO92" s="337"/>
      <c r="XAP92" s="337"/>
      <c r="XAQ92" s="337"/>
      <c r="XAR92" s="337"/>
      <c r="XAS92" s="337"/>
      <c r="XAT92" s="337"/>
      <c r="XAU92" s="337"/>
      <c r="XAV92" s="337"/>
      <c r="XAW92" s="337"/>
      <c r="XAX92" s="337"/>
      <c r="XAY92" s="337"/>
      <c r="XAZ92" s="337"/>
      <c r="XBA92" s="337"/>
      <c r="XBB92" s="337"/>
      <c r="XBC92" s="337"/>
      <c r="XBD92" s="337"/>
      <c r="XBE92" s="337"/>
      <c r="XBF92" s="337"/>
      <c r="XBG92" s="337"/>
      <c r="XBH92" s="337"/>
      <c r="XBI92" s="337"/>
      <c r="XBJ92" s="337"/>
      <c r="XBK92" s="337"/>
      <c r="XBL92" s="337"/>
      <c r="XBM92" s="337"/>
      <c r="XBN92" s="337"/>
      <c r="XBO92" s="337"/>
      <c r="XBP92" s="337"/>
      <c r="XBQ92" s="337"/>
      <c r="XBR92" s="337"/>
      <c r="XBS92" s="337"/>
      <c r="XBT92" s="337"/>
      <c r="XBU92" s="337"/>
      <c r="XBV92" s="337"/>
      <c r="XBW92" s="337"/>
      <c r="XBX92" s="337"/>
      <c r="XBY92" s="337"/>
      <c r="XBZ92" s="337"/>
      <c r="XCA92" s="337"/>
      <c r="XCB92" s="337"/>
      <c r="XCC92" s="337"/>
      <c r="XCD92" s="337"/>
      <c r="XCE92" s="337"/>
      <c r="XCF92" s="337"/>
      <c r="XCG92" s="337"/>
      <c r="XCH92" s="337"/>
      <c r="XCI92" s="337"/>
      <c r="XCJ92" s="337"/>
      <c r="XCK92" s="337"/>
      <c r="XCL92" s="337"/>
      <c r="XCM92" s="337"/>
      <c r="XCN92" s="337"/>
      <c r="XCO92" s="337"/>
      <c r="XCP92" s="337"/>
      <c r="XCQ92" s="337"/>
      <c r="XCR92" s="337"/>
      <c r="XCS92" s="337"/>
      <c r="XCT92" s="337"/>
      <c r="XCU92" s="337"/>
      <c r="XCV92" s="337"/>
      <c r="XCW92" s="337"/>
      <c r="XCX92" s="337"/>
      <c r="XCY92" s="337"/>
      <c r="XCZ92" s="337"/>
      <c r="XDA92" s="337"/>
      <c r="XDB92" s="337"/>
      <c r="XDC92" s="337"/>
      <c r="XDD92" s="337"/>
      <c r="XDE92" s="337"/>
      <c r="XDF92" s="337"/>
      <c r="XDG92" s="337"/>
      <c r="XDH92" s="337"/>
      <c r="XDI92" s="337"/>
      <c r="XDJ92" s="337"/>
      <c r="XDK92" s="337"/>
      <c r="XDL92" s="337"/>
      <c r="XDM92" s="337"/>
      <c r="XDN92" s="337"/>
      <c r="XDO92" s="337"/>
      <c r="XDP92" s="337"/>
      <c r="XDQ92" s="337"/>
      <c r="XDR92" s="337"/>
      <c r="XDS92" s="337"/>
      <c r="XDT92" s="337"/>
      <c r="XDU92" s="337"/>
      <c r="XDV92" s="337"/>
      <c r="XDW92" s="337"/>
      <c r="XDX92" s="337"/>
      <c r="XDY92" s="337"/>
      <c r="XDZ92" s="337"/>
      <c r="XEA92" s="337"/>
      <c r="XEB92" s="337"/>
      <c r="XEC92" s="337"/>
      <c r="XED92" s="337"/>
      <c r="XEE92" s="337"/>
      <c r="XEF92" s="337"/>
      <c r="XEG92" s="337"/>
      <c r="XEH92" s="337"/>
      <c r="XEI92" s="337"/>
      <c r="XEJ92" s="337"/>
      <c r="XEK92" s="337"/>
      <c r="XEL92" s="337"/>
      <c r="XEM92" s="337"/>
      <c r="XEN92" s="337"/>
      <c r="XEO92" s="337"/>
      <c r="XEP92" s="337"/>
      <c r="XEQ92" s="337"/>
      <c r="XER92" s="337"/>
      <c r="XES92" s="337"/>
      <c r="XET92" s="337"/>
      <c r="XEU92" s="337"/>
      <c r="XEV92" s="337"/>
      <c r="XEW92" s="337"/>
      <c r="XEX92" s="337"/>
      <c r="XEY92" s="337"/>
      <c r="XEZ92" s="337"/>
      <c r="XFA92" s="337"/>
      <c r="XFB92" s="337"/>
      <c r="XFC92" s="337"/>
      <c r="XFD92" s="337"/>
    </row>
    <row r="93" spans="1:16384">
      <c r="M93" s="337" t="s">
        <v>164</v>
      </c>
      <c r="N93" s="337" t="s">
        <v>239</v>
      </c>
    </row>
    <row r="94" spans="1:16384">
      <c r="A94" s="337" t="s">
        <v>1448</v>
      </c>
      <c r="M94" s="185">
        <f>D57*D66*C78+E57*E66*C79+F57*F66*C80+G57*G66*C81+B88</f>
        <v>1179.2009504335695</v>
      </c>
      <c r="N94" s="337" t="s">
        <v>992</v>
      </c>
    </row>
    <row r="95" spans="1:16384">
      <c r="A95" s="337" t="s">
        <v>1554</v>
      </c>
      <c r="M95" s="185">
        <f>D57*D73*C78+E57*E73*C79+F57*F73*C80+G57*G73*C81</f>
        <v>95.28132542159247</v>
      </c>
      <c r="N95" s="337" t="s">
        <v>993</v>
      </c>
    </row>
  </sheetData>
  <mergeCells count="10">
    <mergeCell ref="A55:C55"/>
    <mergeCell ref="A77:B77"/>
    <mergeCell ref="A28:D28"/>
    <mergeCell ref="A31:D31"/>
    <mergeCell ref="A32:D32"/>
    <mergeCell ref="A39:C39"/>
    <mergeCell ref="A54:C54"/>
    <mergeCell ref="D54:G54"/>
    <mergeCell ref="A34:D34"/>
    <mergeCell ref="A35:D35"/>
  </mergeCells>
  <pageMargins left="0.75" right="0.75" top="1" bottom="1" header="0.5" footer="0.5"/>
  <pageSetup orientation="portrait" horizontalDpi="4294967292" verticalDpi="429496729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sheetPr>
  <dimension ref="A1:AC290"/>
  <sheetViews>
    <sheetView workbookViewId="0"/>
  </sheetViews>
  <sheetFormatPr defaultColWidth="8.5546875" defaultRowHeight="15"/>
  <cols>
    <col min="1" max="1" width="8.5546875" style="666"/>
    <col min="2" max="2" width="24.88671875" style="666" customWidth="1"/>
    <col min="3" max="4" width="9" style="666" customWidth="1"/>
    <col min="5" max="5" width="9.5546875" style="666" customWidth="1"/>
    <col min="6" max="6" width="10" style="666" customWidth="1"/>
    <col min="7" max="7" width="10.44140625" style="666" customWidth="1"/>
    <col min="8" max="9" width="8.5546875" style="666"/>
    <col min="10" max="12" width="9.5546875" style="666" customWidth="1"/>
    <col min="13" max="13" width="10" style="666" customWidth="1"/>
    <col min="14" max="23" width="8.5546875" style="666"/>
    <col min="24" max="24" width="10.5546875" style="666" customWidth="1"/>
    <col min="25" max="16384" width="8.5546875" style="666"/>
  </cols>
  <sheetData>
    <row r="1" spans="1:22" s="6" customFormat="1" ht="24" customHeight="1">
      <c r="A1" s="6" t="s">
        <v>1161</v>
      </c>
    </row>
    <row r="3" spans="1:22">
      <c r="A3" s="666" t="s">
        <v>1162</v>
      </c>
    </row>
    <row r="5" spans="1:22" s="338" customFormat="1" ht="15.75">
      <c r="A5" s="338" t="s">
        <v>1320</v>
      </c>
    </row>
    <row r="6" spans="1:22" ht="15.75">
      <c r="S6" s="105"/>
    </row>
    <row r="7" spans="1:22">
      <c r="M7" s="666" t="s">
        <v>222</v>
      </c>
      <c r="N7" s="666" t="s">
        <v>165</v>
      </c>
      <c r="Q7" s="666" t="s">
        <v>168</v>
      </c>
      <c r="S7" s="666" t="s">
        <v>167</v>
      </c>
      <c r="V7" s="666" t="s">
        <v>348</v>
      </c>
    </row>
    <row r="8" spans="1:22">
      <c r="A8" s="666" t="s">
        <v>1447</v>
      </c>
      <c r="M8" s="339">
        <f>M9+M12</f>
        <v>0.24513765811488167</v>
      </c>
      <c r="N8" s="666" t="s">
        <v>169</v>
      </c>
    </row>
    <row r="9" spans="1:22">
      <c r="B9" s="666" t="s">
        <v>2077</v>
      </c>
      <c r="M9" s="339">
        <f>M10+M11</f>
        <v>8.542316880671133E-2</v>
      </c>
      <c r="N9" s="666" t="s">
        <v>169</v>
      </c>
    </row>
    <row r="10" spans="1:22">
      <c r="C10" s="666" t="s">
        <v>2079</v>
      </c>
      <c r="M10" s="339">
        <f>(M161)/(IF(M52=1,M38,M71))</f>
        <v>9.2766915376971723E-2</v>
      </c>
      <c r="N10" s="666" t="s">
        <v>169</v>
      </c>
    </row>
    <row r="11" spans="1:22">
      <c r="C11" s="666" t="s">
        <v>2080</v>
      </c>
      <c r="M11" s="339">
        <f>(M164)/(IF(M52=1,M38,M71))</f>
        <v>-7.3437465702603988E-3</v>
      </c>
      <c r="N11" s="666" t="s">
        <v>169</v>
      </c>
    </row>
    <row r="12" spans="1:22">
      <c r="B12" s="666" t="s">
        <v>2078</v>
      </c>
      <c r="M12" s="339">
        <f>M13+M14</f>
        <v>0.15971448930817034</v>
      </c>
      <c r="N12" s="666" t="s">
        <v>169</v>
      </c>
    </row>
    <row r="13" spans="1:22">
      <c r="C13" s="666" t="s">
        <v>2081</v>
      </c>
      <c r="J13" s="726"/>
      <c r="M13" s="339">
        <f>(M162)/(IF(M52=1,M38,M71))</f>
        <v>0.14618909037157074</v>
      </c>
      <c r="N13" s="666" t="s">
        <v>169</v>
      </c>
    </row>
    <row r="14" spans="1:22">
      <c r="C14" s="666" t="s">
        <v>2082</v>
      </c>
      <c r="M14" s="339">
        <f>(M165)/(IF(M52=1,M38,M71))</f>
        <v>1.3525398936599594E-2</v>
      </c>
      <c r="N14" s="666" t="s">
        <v>169</v>
      </c>
    </row>
    <row r="16" spans="1:22" ht="19.5">
      <c r="A16" s="666" t="s">
        <v>2273</v>
      </c>
      <c r="M16" s="339">
        <f>M17+M21</f>
        <v>16.089625338915646</v>
      </c>
      <c r="N16" s="666" t="s">
        <v>173</v>
      </c>
      <c r="V16" s="211" t="s">
        <v>2100</v>
      </c>
    </row>
    <row r="17" spans="1:22" ht="19.5">
      <c r="B17" s="666" t="s">
        <v>2099</v>
      </c>
      <c r="M17" s="339">
        <f>M18+M19</f>
        <v>5.6932765479488108</v>
      </c>
      <c r="N17" s="666" t="s">
        <v>173</v>
      </c>
    </row>
    <row r="18" spans="1:22" ht="19.5">
      <c r="C18" s="666" t="s">
        <v>2083</v>
      </c>
      <c r="M18" s="339">
        <f>(M176)/(IF(M52=1,M38*'Input data'!E48,M71*'Input data'!E48))</f>
        <v>5.780150421743472</v>
      </c>
      <c r="N18" s="666" t="s">
        <v>173</v>
      </c>
    </row>
    <row r="19" spans="1:22" ht="19.5">
      <c r="C19" s="666" t="s">
        <v>2084</v>
      </c>
      <c r="M19" s="339">
        <f>(M179)/(IF(M52=1,M38*'Input data'!E48,M71*'Input data'!E48))</f>
        <v>-8.6873873794661202E-2</v>
      </c>
      <c r="N19" s="666" t="s">
        <v>173</v>
      </c>
    </row>
    <row r="20" spans="1:22" ht="19.5">
      <c r="B20" s="666" t="s">
        <v>2097</v>
      </c>
      <c r="M20" s="339">
        <f>(M139+M142+M141)/(IF(M52=1,M38*'Input data'!E48,M71*'Input data'!E48))</f>
        <v>4.5506498590208615</v>
      </c>
      <c r="N20" s="666" t="s">
        <v>173</v>
      </c>
      <c r="V20" s="211" t="s">
        <v>2089</v>
      </c>
    </row>
    <row r="21" spans="1:22" ht="19.5">
      <c r="B21" s="666" t="s">
        <v>2098</v>
      </c>
      <c r="M21" s="339">
        <f>M22+M23</f>
        <v>10.396348790966837</v>
      </c>
      <c r="N21" s="666" t="s">
        <v>173</v>
      </c>
    </row>
    <row r="22" spans="1:22" ht="19.5">
      <c r="C22" s="666" t="s">
        <v>2090</v>
      </c>
      <c r="J22" s="726"/>
      <c r="M22" s="339">
        <f>(M177)/(IF(M52=1,M38*'Input data'!E48,M71*'Input data'!E48))</f>
        <v>9.1752085924221483</v>
      </c>
      <c r="N22" s="666" t="s">
        <v>173</v>
      </c>
    </row>
    <row r="23" spans="1:22" ht="19.5">
      <c r="C23" s="666" t="s">
        <v>2091</v>
      </c>
      <c r="M23" s="339">
        <f>(M180)/(IF(M52=1,M38*'Input data'!E48,M71*'Input data'!E48))</f>
        <v>1.221140198544689</v>
      </c>
      <c r="N23" s="666" t="s">
        <v>173</v>
      </c>
    </row>
    <row r="26" spans="1:22" s="9" customFormat="1" ht="15.75">
      <c r="A26" s="9" t="s">
        <v>1877</v>
      </c>
    </row>
    <row r="27" spans="1:22">
      <c r="M27" s="666" t="s">
        <v>222</v>
      </c>
      <c r="N27" s="666" t="s">
        <v>221</v>
      </c>
      <c r="O27" s="666" t="s">
        <v>165</v>
      </c>
      <c r="Q27" s="666" t="s">
        <v>168</v>
      </c>
      <c r="S27" s="666" t="s">
        <v>167</v>
      </c>
      <c r="V27" s="666" t="s">
        <v>348</v>
      </c>
    </row>
    <row r="28" spans="1:22">
      <c r="B28" s="666" t="s">
        <v>1878</v>
      </c>
      <c r="M28" s="20" t="s">
        <v>208</v>
      </c>
      <c r="N28" s="21" t="s">
        <v>208</v>
      </c>
    </row>
    <row r="30" spans="1:22">
      <c r="B30" s="666" t="s">
        <v>1879</v>
      </c>
    </row>
    <row r="31" spans="1:22">
      <c r="C31" s="666" t="s">
        <v>1880</v>
      </c>
      <c r="L31" s="5"/>
      <c r="M31" s="20">
        <v>8</v>
      </c>
      <c r="N31" s="21">
        <v>8</v>
      </c>
      <c r="O31" s="666" t="s">
        <v>350</v>
      </c>
      <c r="S31" s="666" t="s">
        <v>1163</v>
      </c>
      <c r="V31" s="211" t="s">
        <v>1164</v>
      </c>
    </row>
    <row r="32" spans="1:22">
      <c r="C32" s="666" t="s">
        <v>1881</v>
      </c>
      <c r="L32" s="5"/>
      <c r="M32" s="17">
        <f>141.5/(131.5+M31)</f>
        <v>1.0143369175627239</v>
      </c>
      <c r="N32" s="209">
        <f>141.5/(131.5+N31)</f>
        <v>1.0143369175627239</v>
      </c>
      <c r="O32" s="666" t="s">
        <v>1165</v>
      </c>
      <c r="V32" s="211"/>
    </row>
    <row r="33" spans="2:22">
      <c r="C33" s="666" t="s">
        <v>1882</v>
      </c>
      <c r="L33" s="5"/>
      <c r="M33" s="17">
        <f>VLOOKUP(M31,'Fuel Specs'!B22:O63,5)</f>
        <v>6.1009200000000003</v>
      </c>
      <c r="N33" s="210">
        <f>VLOOKUP(N31,'Fuel Specs'!B22:O63,5)</f>
        <v>6.1009200000000003</v>
      </c>
      <c r="O33" s="666" t="s">
        <v>1925</v>
      </c>
      <c r="V33" s="211"/>
    </row>
    <row r="34" spans="2:22">
      <c r="V34" s="211"/>
    </row>
    <row r="35" spans="2:22">
      <c r="B35" s="666" t="s">
        <v>1883</v>
      </c>
      <c r="R35" s="258"/>
      <c r="S35" s="258"/>
      <c r="T35" s="258"/>
      <c r="U35" s="258"/>
      <c r="V35" s="211"/>
    </row>
    <row r="36" spans="2:22">
      <c r="C36" s="666" t="s">
        <v>1884</v>
      </c>
      <c r="L36" s="5"/>
      <c r="M36" s="20">
        <v>32</v>
      </c>
      <c r="N36" s="21">
        <v>32</v>
      </c>
      <c r="O36" s="666" t="s">
        <v>350</v>
      </c>
      <c r="R36" s="258"/>
      <c r="S36" s="725" t="s">
        <v>1166</v>
      </c>
      <c r="T36" s="258"/>
      <c r="U36" s="258"/>
      <c r="V36" s="211" t="s">
        <v>1167</v>
      </c>
    </row>
    <row r="37" spans="2:22">
      <c r="C37" s="666" t="s">
        <v>1885</v>
      </c>
      <c r="L37" s="5"/>
      <c r="M37" s="17">
        <f>141.5/(131.5+M36)</f>
        <v>0.86544342507645255</v>
      </c>
      <c r="N37" s="209">
        <f>141.5/(131.5+N36)</f>
        <v>0.86544342507645255</v>
      </c>
      <c r="O37" s="666" t="s">
        <v>1165</v>
      </c>
      <c r="V37" s="211"/>
    </row>
    <row r="38" spans="2:22">
      <c r="C38" s="666" t="s">
        <v>1886</v>
      </c>
      <c r="L38" s="5"/>
      <c r="M38" s="17">
        <f>VLOOKUP(M36,'Fuel Specs'!B22:O63,5)</f>
        <v>5.4650400000000001</v>
      </c>
      <c r="N38" s="209">
        <f>VLOOKUP(N36,'Fuel Specs'!B22:O63,5)</f>
        <v>5.4650400000000001</v>
      </c>
      <c r="O38" s="666" t="s">
        <v>1925</v>
      </c>
      <c r="V38" s="211"/>
    </row>
    <row r="39" spans="2:22">
      <c r="V39" s="211"/>
    </row>
    <row r="40" spans="2:22">
      <c r="B40" s="666" t="s">
        <v>1887</v>
      </c>
      <c r="V40" s="211"/>
    </row>
    <row r="41" spans="2:22">
      <c r="C41" s="666" t="s">
        <v>1888</v>
      </c>
      <c r="L41" s="5"/>
      <c r="M41" s="17">
        <f>141.5/M42-131.5</f>
        <v>59.372302158273357</v>
      </c>
      <c r="N41" s="209">
        <f>141.5/N42-131.5</f>
        <v>59.372302158273357</v>
      </c>
      <c r="O41" s="666" t="s">
        <v>350</v>
      </c>
      <c r="V41" s="211"/>
    </row>
    <row r="42" spans="2:22">
      <c r="C42" s="666" t="s">
        <v>1889</v>
      </c>
      <c r="L42" s="5"/>
      <c r="M42" s="122">
        <f>AVERAGE(C249:C251)/1000</f>
        <v>0.7413333333333334</v>
      </c>
      <c r="N42" s="326">
        <f>AVERAGE(C249:C251)/1000</f>
        <v>0.7413333333333334</v>
      </c>
      <c r="O42" s="666" t="s">
        <v>1165</v>
      </c>
      <c r="V42" s="211"/>
    </row>
    <row r="43" spans="2:22">
      <c r="C43" s="666" t="s">
        <v>1890</v>
      </c>
      <c r="L43" s="5"/>
      <c r="M43" s="122">
        <f>AVERAGE(AB249:AB251)</f>
        <v>5.3935573129302901</v>
      </c>
      <c r="N43" s="326">
        <f>AVERAGE(AB249:AB251)</f>
        <v>5.3935573129302901</v>
      </c>
      <c r="O43" s="666" t="s">
        <v>1925</v>
      </c>
      <c r="V43" s="211"/>
    </row>
    <row r="44" spans="2:22">
      <c r="V44" s="211"/>
    </row>
    <row r="45" spans="2:22">
      <c r="V45" s="211"/>
    </row>
    <row r="46" spans="2:22">
      <c r="B46" s="666" t="s">
        <v>1891</v>
      </c>
      <c r="L46" s="5"/>
      <c r="M46" s="206">
        <f>'Production &amp; Extraction'!M35</f>
        <v>750000</v>
      </c>
      <c r="N46" s="207">
        <v>1500</v>
      </c>
      <c r="O46" s="666" t="s">
        <v>209</v>
      </c>
      <c r="V46" s="211"/>
    </row>
    <row r="47" spans="2:22">
      <c r="L47" s="5"/>
      <c r="M47" s="385">
        <f>M46*M33*1000*M53+M46*M38*1000*M52</f>
        <v>4098780000</v>
      </c>
      <c r="N47" s="386">
        <f>N46*N33*1000*N53+N46*N38*1000*N52</f>
        <v>8197559.9999999991</v>
      </c>
      <c r="O47" s="666" t="s">
        <v>1926</v>
      </c>
      <c r="V47" s="211"/>
    </row>
    <row r="48" spans="2:22">
      <c r="L48" s="5"/>
      <c r="M48" s="385">
        <f>M47*1055.05/1000</f>
        <v>4324417839</v>
      </c>
      <c r="N48" s="386">
        <f>N47*1055.05/1000</f>
        <v>8648835.6779999975</v>
      </c>
      <c r="O48" s="666" t="s">
        <v>351</v>
      </c>
      <c r="V48" s="211"/>
    </row>
    <row r="49" spans="2:22">
      <c r="V49" s="211"/>
    </row>
    <row r="50" spans="2:22">
      <c r="B50" s="666" t="s">
        <v>1892</v>
      </c>
      <c r="V50" s="211"/>
    </row>
    <row r="51" spans="2:22">
      <c r="C51" s="666" t="s">
        <v>1893</v>
      </c>
      <c r="V51" s="211"/>
    </row>
    <row r="52" spans="2:22">
      <c r="D52" s="666" t="s">
        <v>1894</v>
      </c>
      <c r="L52" s="5"/>
      <c r="M52" s="20">
        <v>1</v>
      </c>
      <c r="N52" s="21">
        <v>1</v>
      </c>
      <c r="O52" s="666" t="s">
        <v>237</v>
      </c>
      <c r="V52" s="211"/>
    </row>
    <row r="53" spans="2:22">
      <c r="D53" s="666" t="s">
        <v>1895</v>
      </c>
      <c r="L53" s="5"/>
      <c r="M53" s="20">
        <v>0</v>
      </c>
      <c r="N53" s="21">
        <v>0</v>
      </c>
      <c r="O53" s="666" t="s">
        <v>237</v>
      </c>
      <c r="V53" s="211"/>
    </row>
    <row r="54" spans="2:22">
      <c r="L54" s="666" t="s">
        <v>375</v>
      </c>
      <c r="M54" s="666" t="str">
        <f>IF(SUM(M52:M53)=1,"OK","ERROR")</f>
        <v>OK</v>
      </c>
      <c r="N54" s="666" t="str">
        <f>IF(SUM(N52:N53)=1,"OK","ERROR")</f>
        <v>OK</v>
      </c>
      <c r="V54" s="211" t="s">
        <v>1168</v>
      </c>
    </row>
    <row r="55" spans="2:22">
      <c r="V55" s="211"/>
    </row>
    <row r="56" spans="2:22">
      <c r="C56" s="666" t="s">
        <v>1896</v>
      </c>
      <c r="V56" s="211"/>
    </row>
    <row r="57" spans="2:22">
      <c r="D57" s="666" t="s">
        <v>1897</v>
      </c>
      <c r="L57" s="5"/>
      <c r="M57" s="20">
        <v>1</v>
      </c>
      <c r="N57" s="21">
        <v>1</v>
      </c>
      <c r="O57" s="666" t="s">
        <v>237</v>
      </c>
      <c r="V57" s="211"/>
    </row>
    <row r="58" spans="2:22">
      <c r="D58" s="666" t="s">
        <v>1898</v>
      </c>
      <c r="L58" s="5"/>
      <c r="M58" s="20">
        <v>0</v>
      </c>
      <c r="N58" s="21">
        <v>0</v>
      </c>
      <c r="O58" s="666" t="s">
        <v>237</v>
      </c>
      <c r="V58" s="211"/>
    </row>
    <row r="59" spans="2:22">
      <c r="D59" s="666" t="s">
        <v>1899</v>
      </c>
      <c r="L59" s="5"/>
      <c r="M59" s="20">
        <v>0</v>
      </c>
      <c r="N59" s="21">
        <v>0</v>
      </c>
      <c r="O59" s="666" t="s">
        <v>237</v>
      </c>
      <c r="V59" s="211"/>
    </row>
    <row r="60" spans="2:22">
      <c r="D60" s="666" t="s">
        <v>1900</v>
      </c>
      <c r="L60" s="5"/>
      <c r="M60" s="20">
        <v>0</v>
      </c>
      <c r="N60" s="21">
        <v>0</v>
      </c>
      <c r="O60" s="666" t="s">
        <v>237</v>
      </c>
      <c r="V60" s="211"/>
    </row>
    <row r="61" spans="2:22">
      <c r="D61" s="666" t="s">
        <v>1901</v>
      </c>
      <c r="L61" s="5"/>
      <c r="M61" s="20">
        <v>0</v>
      </c>
      <c r="N61" s="21">
        <v>0</v>
      </c>
      <c r="O61" s="666" t="s">
        <v>237</v>
      </c>
      <c r="V61" s="211"/>
    </row>
    <row r="62" spans="2:22">
      <c r="L62" s="666" t="s">
        <v>375</v>
      </c>
      <c r="M62" s="666" t="str">
        <f>IF(SUM(M57:M61)=1,IF(M53=1,IF(M57=1,"ERROR","OK"),"OK"),"ERROR")</f>
        <v>OK</v>
      </c>
      <c r="N62" s="666" t="str">
        <f>IF(SUM(N57:N61)=1,"OK","ERROR")</f>
        <v>OK</v>
      </c>
      <c r="V62" s="211" t="s">
        <v>1169</v>
      </c>
    </row>
    <row r="63" spans="2:22">
      <c r="B63" s="666" t="s">
        <v>1902</v>
      </c>
      <c r="V63" s="211"/>
    </row>
    <row r="64" spans="2:22" ht="18">
      <c r="C64" s="666" t="s">
        <v>1903</v>
      </c>
      <c r="L64" s="5"/>
      <c r="M64" s="35">
        <v>3</v>
      </c>
      <c r="N64" s="39">
        <v>3</v>
      </c>
      <c r="O64" s="666" t="s">
        <v>1170</v>
      </c>
      <c r="S64" s="666" t="s">
        <v>1171</v>
      </c>
      <c r="V64" s="211" t="s">
        <v>1172</v>
      </c>
    </row>
    <row r="65" spans="2:22" ht="18">
      <c r="C65" s="666" t="s">
        <v>1904</v>
      </c>
      <c r="L65" s="5"/>
      <c r="M65" s="20">
        <v>3.9</v>
      </c>
      <c r="N65" s="31">
        <v>3.9</v>
      </c>
      <c r="O65" s="666" t="s">
        <v>1170</v>
      </c>
      <c r="S65" s="666" t="s">
        <v>1173</v>
      </c>
      <c r="V65" s="211" t="s">
        <v>1174</v>
      </c>
    </row>
    <row r="68" spans="2:22">
      <c r="B68" s="666" t="s">
        <v>1905</v>
      </c>
    </row>
    <row r="69" spans="2:22">
      <c r="C69" s="666" t="s">
        <v>1906</v>
      </c>
      <c r="L69" s="5"/>
      <c r="M69" s="122">
        <v>0.25</v>
      </c>
      <c r="N69" s="326">
        <v>0.25</v>
      </c>
      <c r="O69" s="666" t="s">
        <v>1175</v>
      </c>
      <c r="V69" s="211" t="s">
        <v>1176</v>
      </c>
    </row>
    <row r="70" spans="2:22">
      <c r="C70" s="666" t="s">
        <v>1907</v>
      </c>
      <c r="L70" s="5"/>
      <c r="M70" s="17">
        <f>1-M69</f>
        <v>0.75</v>
      </c>
      <c r="N70" s="209">
        <f>1-N69</f>
        <v>0.75</v>
      </c>
      <c r="O70" s="666" t="s">
        <v>1177</v>
      </c>
    </row>
    <row r="71" spans="2:22">
      <c r="C71" s="666" t="s">
        <v>1908</v>
      </c>
      <c r="L71" s="5"/>
      <c r="M71" s="17">
        <f>M69*M43+M70*M33</f>
        <v>5.9240793282325725</v>
      </c>
      <c r="N71" s="209">
        <f>N69*N43+N70*N33</f>
        <v>5.9240793282325725</v>
      </c>
      <c r="O71" s="666" t="s">
        <v>1346</v>
      </c>
    </row>
    <row r="73" spans="2:22">
      <c r="B73" s="666" t="s">
        <v>2672</v>
      </c>
    </row>
    <row r="74" spans="2:22">
      <c r="C74" s="666" t="s">
        <v>2035</v>
      </c>
      <c r="M74" s="20">
        <v>0</v>
      </c>
      <c r="N74" s="50">
        <v>0</v>
      </c>
    </row>
    <row r="75" spans="2:22">
      <c r="C75" s="666" t="s">
        <v>2036</v>
      </c>
      <c r="M75" s="20">
        <v>1</v>
      </c>
      <c r="N75" s="50">
        <v>1</v>
      </c>
    </row>
    <row r="76" spans="2:22">
      <c r="C76" s="666" t="s">
        <v>2037</v>
      </c>
      <c r="M76" s="20">
        <v>1</v>
      </c>
      <c r="N76" s="50">
        <v>1</v>
      </c>
    </row>
    <row r="77" spans="2:22">
      <c r="C77" s="666" t="s">
        <v>2038</v>
      </c>
      <c r="M77" s="20">
        <v>0</v>
      </c>
      <c r="N77" s="50">
        <v>0</v>
      </c>
    </row>
    <row r="78" spans="2:22">
      <c r="C78" s="666" t="s">
        <v>2039</v>
      </c>
      <c r="M78" s="20">
        <v>0</v>
      </c>
      <c r="N78" s="50">
        <v>0</v>
      </c>
    </row>
    <row r="79" spans="2:22">
      <c r="C79" s="666" t="s">
        <v>2673</v>
      </c>
      <c r="M79" s="20">
        <v>1</v>
      </c>
      <c r="N79" s="50">
        <v>1</v>
      </c>
    </row>
    <row r="81" spans="2:15">
      <c r="B81" s="666" t="s">
        <v>2674</v>
      </c>
    </row>
    <row r="82" spans="2:15">
      <c r="C82" s="666" t="s">
        <v>2035</v>
      </c>
      <c r="M82" s="20">
        <v>0</v>
      </c>
      <c r="N82" s="50">
        <v>0</v>
      </c>
    </row>
    <row r="83" spans="2:15">
      <c r="C83" s="666" t="s">
        <v>2036</v>
      </c>
      <c r="M83" s="20">
        <v>1</v>
      </c>
      <c r="N83" s="50">
        <v>1</v>
      </c>
    </row>
    <row r="84" spans="2:15">
      <c r="C84" s="666" t="s">
        <v>2037</v>
      </c>
      <c r="M84" s="20">
        <v>1</v>
      </c>
      <c r="N84" s="50">
        <v>1</v>
      </c>
    </row>
    <row r="85" spans="2:15">
      <c r="C85" s="666" t="s">
        <v>2038</v>
      </c>
      <c r="M85" s="20">
        <v>0</v>
      </c>
      <c r="N85" s="50">
        <v>0</v>
      </c>
    </row>
    <row r="86" spans="2:15">
      <c r="C86" s="666" t="s">
        <v>2039</v>
      </c>
      <c r="M86" s="20">
        <v>0</v>
      </c>
      <c r="N86" s="50">
        <v>0</v>
      </c>
    </row>
    <row r="89" spans="2:15" ht="19.5">
      <c r="B89" s="666" t="s">
        <v>2675</v>
      </c>
      <c r="L89" s="661" t="s">
        <v>216</v>
      </c>
      <c r="M89" s="122">
        <f>N89</f>
        <v>2</v>
      </c>
      <c r="N89" s="326">
        <f>'User Inputs &amp; Results'!K80</f>
        <v>2</v>
      </c>
      <c r="O89" s="661" t="s">
        <v>210</v>
      </c>
    </row>
    <row r="90" spans="2:15" ht="19.5">
      <c r="L90" s="661" t="s">
        <v>215</v>
      </c>
      <c r="M90" s="122">
        <f t="shared" ref="M90:M95" si="0">N90</f>
        <v>6</v>
      </c>
      <c r="N90" s="326">
        <f>'User Inputs &amp; Results'!K81</f>
        <v>6</v>
      </c>
      <c r="O90" s="661" t="s">
        <v>210</v>
      </c>
    </row>
    <row r="91" spans="2:15" ht="19.5">
      <c r="L91" s="661" t="s">
        <v>921</v>
      </c>
      <c r="M91" s="122">
        <f t="shared" si="0"/>
        <v>84</v>
      </c>
      <c r="N91" s="326">
        <f>'User Inputs &amp; Results'!K82</f>
        <v>84</v>
      </c>
      <c r="O91" s="661" t="s">
        <v>210</v>
      </c>
    </row>
    <row r="92" spans="2:15" ht="19.5">
      <c r="L92" s="661" t="s">
        <v>922</v>
      </c>
      <c r="M92" s="122">
        <f t="shared" si="0"/>
        <v>4</v>
      </c>
      <c r="N92" s="326">
        <f>'User Inputs &amp; Results'!K83</f>
        <v>4</v>
      </c>
      <c r="O92" s="661" t="s">
        <v>210</v>
      </c>
    </row>
    <row r="93" spans="2:15" ht="19.5">
      <c r="L93" s="661" t="s">
        <v>923</v>
      </c>
      <c r="M93" s="122">
        <f t="shared" si="0"/>
        <v>2</v>
      </c>
      <c r="N93" s="326">
        <f>'User Inputs &amp; Results'!K84</f>
        <v>2</v>
      </c>
      <c r="O93" s="661" t="s">
        <v>210</v>
      </c>
    </row>
    <row r="94" spans="2:15" ht="19.5">
      <c r="L94" s="661" t="s">
        <v>1790</v>
      </c>
      <c r="M94" s="122">
        <f t="shared" si="0"/>
        <v>1</v>
      </c>
      <c r="N94" s="326">
        <f>'User Inputs &amp; Results'!K85</f>
        <v>1</v>
      </c>
      <c r="O94" s="661" t="s">
        <v>210</v>
      </c>
    </row>
    <row r="95" spans="2:15" ht="19.5">
      <c r="L95" s="661" t="s">
        <v>214</v>
      </c>
      <c r="M95" s="122">
        <f t="shared" si="0"/>
        <v>1</v>
      </c>
      <c r="N95" s="326">
        <f>'User Inputs &amp; Results'!K86</f>
        <v>1</v>
      </c>
      <c r="O95" s="661" t="s">
        <v>210</v>
      </c>
    </row>
    <row r="97" spans="1:28">
      <c r="B97" s="666" t="s">
        <v>2676</v>
      </c>
    </row>
    <row r="98" spans="1:28">
      <c r="C98" s="666" t="s">
        <v>2677</v>
      </c>
      <c r="S98" s="636"/>
      <c r="T98" s="636"/>
    </row>
    <row r="99" spans="1:28">
      <c r="D99" s="666" t="s">
        <v>223</v>
      </c>
      <c r="E99" s="666" t="s">
        <v>947</v>
      </c>
      <c r="M99" s="20">
        <v>0</v>
      </c>
      <c r="N99" s="21">
        <v>0</v>
      </c>
      <c r="O99" s="666" t="s">
        <v>237</v>
      </c>
      <c r="Q99" s="643"/>
      <c r="S99" s="636" t="s">
        <v>948</v>
      </c>
      <c r="T99" s="636"/>
      <c r="Y99" s="211" t="s">
        <v>949</v>
      </c>
    </row>
    <row r="100" spans="1:28" ht="15.75" customHeight="1">
      <c r="D100" s="666" t="s">
        <v>224</v>
      </c>
      <c r="E100" s="666" t="s">
        <v>950</v>
      </c>
      <c r="M100" s="20">
        <v>1</v>
      </c>
      <c r="N100" s="21">
        <v>1</v>
      </c>
      <c r="O100" s="666" t="s">
        <v>237</v>
      </c>
      <c r="S100" s="636" t="s">
        <v>948</v>
      </c>
      <c r="T100" s="636"/>
      <c r="Y100" s="211" t="s">
        <v>951</v>
      </c>
    </row>
    <row r="101" spans="1:28" ht="15.75" customHeight="1">
      <c r="D101" s="666" t="s">
        <v>225</v>
      </c>
      <c r="E101" s="666" t="s">
        <v>952</v>
      </c>
      <c r="M101" s="20">
        <v>0</v>
      </c>
      <c r="N101" s="21">
        <v>0</v>
      </c>
      <c r="O101" s="666" t="s">
        <v>237</v>
      </c>
      <c r="S101" s="636" t="s">
        <v>948</v>
      </c>
      <c r="T101" s="636"/>
      <c r="X101" s="115"/>
      <c r="Y101" s="211" t="s">
        <v>953</v>
      </c>
      <c r="Z101" s="115"/>
      <c r="AA101" s="115"/>
      <c r="AB101" s="115"/>
    </row>
    <row r="102" spans="1:28" ht="15.75" customHeight="1">
      <c r="L102" s="666" t="s">
        <v>375</v>
      </c>
      <c r="M102" s="666" t="str">
        <f>IF(SUM(M99:M101)=1,"OK","ERROR")</f>
        <v>OK</v>
      </c>
      <c r="N102" s="666" t="str">
        <f>IF(SUM(N99:N101)=1,"OK","ERROR")</f>
        <v>OK</v>
      </c>
      <c r="S102" s="636"/>
      <c r="T102" s="636"/>
      <c r="X102" s="115"/>
      <c r="Y102" s="211"/>
      <c r="Z102" s="115"/>
      <c r="AA102" s="115"/>
      <c r="AB102" s="115"/>
    </row>
    <row r="103" spans="1:28" ht="15.75" customHeight="1">
      <c r="C103" s="666" t="s">
        <v>2678</v>
      </c>
      <c r="S103" s="636"/>
      <c r="T103" s="636"/>
      <c r="Y103" s="211"/>
    </row>
    <row r="104" spans="1:28" ht="15.75" customHeight="1">
      <c r="D104" s="666" t="s">
        <v>223</v>
      </c>
      <c r="E104" s="666" t="s">
        <v>954</v>
      </c>
      <c r="M104" s="20">
        <v>0</v>
      </c>
      <c r="N104" s="21">
        <v>0</v>
      </c>
      <c r="O104" s="666" t="s">
        <v>237</v>
      </c>
      <c r="Q104" s="643"/>
      <c r="S104" s="636" t="s">
        <v>948</v>
      </c>
      <c r="T104" s="636"/>
      <c r="Y104" s="211" t="s">
        <v>955</v>
      </c>
    </row>
    <row r="105" spans="1:28" ht="15.75" customHeight="1">
      <c r="D105" s="666" t="s">
        <v>224</v>
      </c>
      <c r="E105" s="666" t="s">
        <v>956</v>
      </c>
      <c r="M105" s="20">
        <v>1</v>
      </c>
      <c r="N105" s="21">
        <v>1</v>
      </c>
      <c r="O105" s="666" t="s">
        <v>237</v>
      </c>
      <c r="S105" s="636" t="s">
        <v>948</v>
      </c>
      <c r="T105" s="636"/>
      <c r="Y105" s="211" t="s">
        <v>957</v>
      </c>
    </row>
    <row r="106" spans="1:28" ht="15.75" customHeight="1">
      <c r="D106" s="666" t="s">
        <v>225</v>
      </c>
      <c r="E106" s="666" t="s">
        <v>958</v>
      </c>
      <c r="M106" s="20">
        <v>0</v>
      </c>
      <c r="N106" s="21">
        <v>0</v>
      </c>
      <c r="O106" s="666" t="s">
        <v>237</v>
      </c>
      <c r="S106" s="636" t="s">
        <v>948</v>
      </c>
      <c r="T106" s="636"/>
      <c r="X106" s="115"/>
      <c r="Y106" s="211" t="s">
        <v>959</v>
      </c>
      <c r="Z106" s="115"/>
      <c r="AA106" s="115"/>
      <c r="AB106" s="115"/>
    </row>
    <row r="107" spans="1:28" ht="15.75" customHeight="1">
      <c r="A107" s="643"/>
      <c r="L107" s="666" t="s">
        <v>375</v>
      </c>
      <c r="M107" s="666" t="str">
        <f>IF(SUM(M104:M106)=1,"OK","ERROR")</f>
        <v>OK</v>
      </c>
      <c r="N107" s="666" t="str">
        <f>IF(SUM(N104:N106)=1,"OK","ERROR")</f>
        <v>OK</v>
      </c>
      <c r="X107" s="115"/>
      <c r="Y107" s="115"/>
      <c r="Z107" s="115"/>
      <c r="AA107" s="115"/>
      <c r="AB107" s="115"/>
    </row>
    <row r="109" spans="1:28">
      <c r="K109" s="666" t="s">
        <v>960</v>
      </c>
      <c r="M109" s="666">
        <f>IF(SUM(M59:M61)=1,(M99*M104*1+M99*M105*2+M99*M106*3+M100*M104*4+M100*M105*5+M100*M106*6+M101*M104*7+M101*M105*8+M101*M106*9),IF(SUM(M57:M58)=1,M104*10+M105*11+M106*12,"ERROR"))</f>
        <v>11</v>
      </c>
      <c r="N109" s="666">
        <f>IF(SUM(N59:N61)=1,(N99*N104*1+N99*N105*2+N99*N106*3+N100*N104*4+N100*N105*5+N100*N106*6+N101*N104*7+N101*N105*8+N101*N106*9),IF(SUM(N57:N58)=1,N104*10+N105*11+N106*12,"ERROR"))</f>
        <v>11</v>
      </c>
    </row>
    <row r="112" spans="1:28" s="9" customFormat="1" ht="15.75">
      <c r="A112" s="9" t="s">
        <v>1374</v>
      </c>
    </row>
    <row r="115" spans="1:22">
      <c r="A115" s="666" t="s">
        <v>1909</v>
      </c>
      <c r="M115" s="666" t="s">
        <v>222</v>
      </c>
      <c r="N115" s="666" t="s">
        <v>165</v>
      </c>
      <c r="V115" s="666" t="s">
        <v>348</v>
      </c>
    </row>
    <row r="116" spans="1:22">
      <c r="B116" s="666" t="s">
        <v>1910</v>
      </c>
    </row>
    <row r="117" spans="1:22">
      <c r="C117" s="666" t="s">
        <v>2050</v>
      </c>
      <c r="L117" s="5"/>
      <c r="M117" s="17">
        <f>M$52*(M$58*$F198+M$59*$C198+M$60*$D198+M$61*$E198+M$57*$F198)/$C$241+M$53*(M$58*$F198+M$59*$C198+M$60*$D198+M$61*$E198)*M$70</f>
        <v>0.161335239356524</v>
      </c>
      <c r="N117" s="666" t="str">
        <f>IF($M$52=1,"MMBtu/bbl SCO","MMBtu/bbl dilbit")</f>
        <v>MMBtu/bbl SCO</v>
      </c>
    </row>
    <row r="118" spans="1:22">
      <c r="C118" s="666" t="s">
        <v>2051</v>
      </c>
      <c r="K118" s="666">
        <f>M$52*(M$58*$F199+M$59*$C199+M$60*$D199*(M$64/$C$234)+M$61*$E199*(M$65/$C$233)+M$57*$F199)/$C$241+M$53*(M$58*$F199+M$59*$C199+M$60*$D199*(M$64/$C$234)+M$61*$E199*(M$65/$C$233))*M$70</f>
        <v>0.34563966385524153</v>
      </c>
      <c r="L118" s="5"/>
      <c r="M118" s="17">
        <f>M$52*(M$58*$F199+M$59*$C199+M$60*$D199*(M$64/$C$234)+M$61*$E199*(M$65/$C$233)+M$57*$F199)/$C$241+M$53*(M$58*$F199+M$59*$C199+M$60*$D199*(M$64/$C$234)+M$61*$E199*(M$65/$C$233))*M$70</f>
        <v>0.34563966385524153</v>
      </c>
      <c r="N118" s="666" t="str">
        <f>IF($M$52=1,"MMBtu/bbl SCO","MMBtu/bbl dilbit")</f>
        <v>MMBtu/bbl SCO</v>
      </c>
    </row>
    <row r="119" spans="1:22">
      <c r="C119" s="666" t="s">
        <v>2052</v>
      </c>
      <c r="L119" s="5"/>
      <c r="M119" s="17">
        <f>M$52*(M$58*$F200+M$59*$C200+M$60*$D200+M$61*$E200+M$57*$F200)/$C$241+M$53*(M$58*$F200+M$59*$C200+M$60*$D200+M$61*$E200)*M$70</f>
        <v>-3.2400102458729513E-2</v>
      </c>
      <c r="N119" s="666" t="str">
        <f>IF($M$52=1,"MMBtu/bbl SCO","MMBtu/bbl dilbit")</f>
        <v>MMBtu/bbl SCO</v>
      </c>
    </row>
    <row r="120" spans="1:22">
      <c r="C120" s="666" t="s">
        <v>2053</v>
      </c>
      <c r="L120" s="5"/>
      <c r="M120" s="17">
        <f>M$52*(M$58*$F201+M$59*$C201+M$60*$D201+M$61*$E201+M$57*$F201)/$C$241+M$53*(M$58*$F201+M$59*$C201+M$60*$D201+M$61*$E201)*M$70</f>
        <v>0</v>
      </c>
      <c r="N120" s="666" t="str">
        <f>IF($M$52=1,"MMBtu/bbl SCO","MMBtu/bbl dilbit")</f>
        <v>MMBtu/bbl SCO</v>
      </c>
    </row>
    <row r="121" spans="1:22">
      <c r="C121" s="666" t="s">
        <v>2054</v>
      </c>
      <c r="L121" s="5"/>
      <c r="M121" s="17">
        <f>M$52*(M$58*$F202+M$59*$C202+M$60*$D202+M$61*$E202+M$57*$F202)/$C$241+M$53*(M$58*$F202+M$59*$C202+M$60*$D202+M$61*$E202)*M$70</f>
        <v>0</v>
      </c>
      <c r="N121" s="666" t="str">
        <f>IF($M$52=1,"MMBtu/bbl SCO","MMBtu/bbl dilbit")</f>
        <v>MMBtu/bbl SCO</v>
      </c>
    </row>
    <row r="123" spans="1:22">
      <c r="B123" s="666" t="s">
        <v>1911</v>
      </c>
    </row>
    <row r="124" spans="1:22">
      <c r="C124" s="666" t="s">
        <v>2055</v>
      </c>
      <c r="L124" s="5"/>
      <c r="M124" s="17">
        <f>$M$52*($M$58+$M$59+$M$60+$M$61)*C224 + $M$52*$M$57*(D224-F198/$C$241)</f>
        <v>-8.7650674546850063E-2</v>
      </c>
      <c r="N124" s="666" t="str">
        <f>IF($M$52=1,"MMBtu/bbl SCO","MMBtu/bbl dilbit")</f>
        <v>MMBtu/bbl SCO</v>
      </c>
    </row>
    <row r="125" spans="1:22">
      <c r="C125" s="666" t="s">
        <v>2056</v>
      </c>
      <c r="L125" s="5"/>
      <c r="M125" s="17">
        <f>$M$52*($M$58+$M$59+$M$60+$M$61)*C225 + $M$52*$M$57*(D225-F199/$C$241)</f>
        <v>0.25583504924602601</v>
      </c>
      <c r="N125" s="666" t="str">
        <f>IF($M$52=1,"MMBtu/bbl SCO","MMBtu/bbl dilbit")</f>
        <v>MMBtu/bbl SCO</v>
      </c>
    </row>
    <row r="126" spans="1:22">
      <c r="C126" s="666" t="s">
        <v>2057</v>
      </c>
      <c r="L126" s="5"/>
      <c r="M126" s="17">
        <f>$M$52*($M$58+$M$59+$M$60+$M$61)*C226 + $M$52*$M$57*(D226-F200/$C$241)</f>
        <v>1.9358586563212002E-2</v>
      </c>
      <c r="N126" s="666" t="str">
        <f>IF($M$52=1,"MMBtu/bbl SCO","MMBtu/bbl dilbit")</f>
        <v>MMBtu/bbl SCO</v>
      </c>
    </row>
    <row r="127" spans="1:22">
      <c r="C127" s="666" t="s">
        <v>2058</v>
      </c>
      <c r="L127" s="5"/>
      <c r="M127" s="17">
        <f>$M$52*($M$58+$M$59+$M$60+$M$61)*C227 + $M$52*$M$57*(D227-F201/$C$241)</f>
        <v>0.20514304503649045</v>
      </c>
      <c r="N127" s="666" t="str">
        <f>IF($M$52=1,"MMBtu/bbl SCO","MMBtu/bbl dilbit")</f>
        <v>MMBtu/bbl SCO</v>
      </c>
    </row>
    <row r="128" spans="1:22">
      <c r="C128" s="666" t="s">
        <v>2059</v>
      </c>
      <c r="L128" s="5"/>
      <c r="M128" s="17">
        <f>$M$52*($M$58+$M$59+$M$60+$M$61)*C228 + $M$52*$M$57*(D228-F202/$C$241)</f>
        <v>0.40624322014537045</v>
      </c>
      <c r="N128" s="666" t="str">
        <f>IF($M$52=1,"MMBtu/bbl SCO","MMBtu/bbl dilbit")</f>
        <v>MMBtu/bbl SCO</v>
      </c>
    </row>
    <row r="130" spans="1:22">
      <c r="B130" s="666" t="s">
        <v>1912</v>
      </c>
    </row>
    <row r="131" spans="1:22">
      <c r="C131" s="666" t="s">
        <v>2060</v>
      </c>
      <c r="K131" s="3"/>
      <c r="L131" s="5"/>
      <c r="M131" s="242">
        <f>M117+M124</f>
        <v>7.3684564809673933E-2</v>
      </c>
      <c r="N131" s="666" t="str">
        <f>IF($M$52=1,"MMBtu/bbl SCO","MMBtu/bbl dilbit")</f>
        <v>MMBtu/bbl SCO</v>
      </c>
    </row>
    <row r="132" spans="1:22">
      <c r="C132" s="666" t="s">
        <v>2061</v>
      </c>
      <c r="K132" s="3"/>
      <c r="L132" s="5"/>
      <c r="M132" s="242">
        <f>M118+M125</f>
        <v>0.60147471310126754</v>
      </c>
      <c r="N132" s="666" t="str">
        <f>IF($M$52=1,"MMBtu/bbl SCO","MMBtu/bbl dilbit")</f>
        <v>MMBtu/bbl SCO</v>
      </c>
    </row>
    <row r="133" spans="1:22">
      <c r="C133" s="666" t="s">
        <v>2062</v>
      </c>
      <c r="K133" s="3"/>
      <c r="L133" s="5"/>
      <c r="M133" s="242">
        <f>M119+M126</f>
        <v>-1.3041515895517511E-2</v>
      </c>
      <c r="N133" s="666" t="str">
        <f>IF($M$52=1,"MMBtu/bbl SCO","MMBtu/bbl dilbit")</f>
        <v>MMBtu/bbl SCO</v>
      </c>
    </row>
    <row r="134" spans="1:22">
      <c r="C134" s="666" t="s">
        <v>2063</v>
      </c>
      <c r="K134" s="3"/>
      <c r="L134" s="5"/>
      <c r="M134" s="242">
        <f>M120+M127</f>
        <v>0.20514304503649045</v>
      </c>
      <c r="N134" s="666" t="str">
        <f>IF($M$52=1,"MMBtu/bbl SCO","MMBtu/bbl dilbit")</f>
        <v>MMBtu/bbl SCO</v>
      </c>
    </row>
    <row r="135" spans="1:22">
      <c r="C135" s="666" t="s">
        <v>2064</v>
      </c>
      <c r="K135" s="3"/>
      <c r="L135" s="5"/>
      <c r="M135" s="242">
        <f>M121+M128</f>
        <v>0.40624322014537045</v>
      </c>
      <c r="N135" s="666" t="str">
        <f>IF($M$52=1,"MMBtu/bbl SCO","MMBtu/bbl dilbit")</f>
        <v>MMBtu/bbl SCO</v>
      </c>
    </row>
    <row r="137" spans="1:22">
      <c r="A137" s="666" t="s">
        <v>1913</v>
      </c>
    </row>
    <row r="138" spans="1:22">
      <c r="B138" s="666" t="s">
        <v>1914</v>
      </c>
      <c r="M138" s="15">
        <f>M52*M57*F288/C240+M52*(M58*F288+M59*C288+M60*D288+M61*E288)/C241+M53*M70*(M58*F288+M59*C288+M60*D288+M61*E288)</f>
        <v>33.284865030531108</v>
      </c>
      <c r="N138" s="666" t="str">
        <f>IF($M$52=1,"scf/bbl SCO","scf/bbl dilbit")</f>
        <v>scf/bbl SCO</v>
      </c>
      <c r="V138" s="211" t="s">
        <v>2679</v>
      </c>
    </row>
    <row r="139" spans="1:22">
      <c r="C139" s="666" t="s">
        <v>2086</v>
      </c>
      <c r="M139" s="206">
        <f>M138*((M90/100*'Input data'!D83*'Input data'!C71)+(M91/100*'Input data'!D84*'Input data'!C73)+((M92/100*'Input data'!D85+M93/100*'Input data'!D86+M94/100*'Input data'!D87)*'Input data'!C74))</f>
        <v>18370.11221043584</v>
      </c>
      <c r="N139" s="666" t="str">
        <f>IF($M$52=1,"gCO2eq./bbl SCO","gCO2eq./bbl dilbit")</f>
        <v>gCO2eq./bbl SCO</v>
      </c>
    </row>
    <row r="140" spans="1:22">
      <c r="B140" s="666" t="s">
        <v>1915</v>
      </c>
      <c r="M140" s="206">
        <f>M52*M57*F281/C240+M52*(M58*F281+M59*C281+M60*D281+M61*E281)/C241+M53*M70*(M58*F281+M59*C281+M60*D281+M61*E281)</f>
        <v>96.019770189796048</v>
      </c>
      <c r="N140" s="666" t="str">
        <f>IF($M$52=1,"scf/bbl SCO","scf/bbl dilbit")</f>
        <v>scf/bbl SCO</v>
      </c>
      <c r="V140" s="211" t="s">
        <v>2680</v>
      </c>
    </row>
    <row r="141" spans="1:22">
      <c r="C141" s="666" t="s">
        <v>2087</v>
      </c>
      <c r="M141" s="663">
        <f>Flaring!M48/100*(M140*((M90/100*'Input data'!D83*44/44)+(M91/100*'Input data'!D84*44/16)+(M92/100*'Input data'!D85*2*44/30)+(M93/100*'Input data'!D86*3*44/44)+(M94/100*'Input data'!D87*4*44/58)))</f>
        <v>5218.7426481596731</v>
      </c>
      <c r="N141" s="666" t="str">
        <f>IF($M$52=1,"gCO2eq./bbl SCO","gCO2eq./bbl dilbit")</f>
        <v>gCO2eq./bbl SCO</v>
      </c>
    </row>
    <row r="142" spans="1:22">
      <c r="C142" s="666" t="s">
        <v>2088</v>
      </c>
      <c r="M142" s="663">
        <f>(100-Flaring!M48)/100*(M140*((M90/100*'Input data'!D83*'Input data'!C71)+(M91/100*'Input data'!D84*'Input data'!C73)+((M92/100*'Input data'!D85+M93/100*'Input data'!D86+M94/100*'Input data'!D87)*'Input data'!C74)))</f>
        <v>2649.693713928018</v>
      </c>
      <c r="N142" s="666" t="str">
        <f>IF($M$52=1,"gCO2eq./bbl SCO","gCO2eq./bbl dilbit")</f>
        <v>gCO2eq./bbl SCO</v>
      </c>
    </row>
    <row r="144" spans="1:22">
      <c r="A144" s="666" t="s">
        <v>1916</v>
      </c>
      <c r="V144" s="211" t="s">
        <v>1263</v>
      </c>
    </row>
    <row r="145" spans="1:14">
      <c r="B145" s="666" t="s">
        <v>2681</v>
      </c>
    </row>
    <row r="146" spans="1:14">
      <c r="C146" s="666" t="s">
        <v>2074</v>
      </c>
      <c r="L146" s="5"/>
      <c r="M146" s="17">
        <f>M117*M74</f>
        <v>0</v>
      </c>
      <c r="N146" s="666" t="str">
        <f t="shared" ref="N146:N151" si="1">IF($M$52=1,"MMBtu/bbl SCO","MMBtu/bbl dilbit")</f>
        <v>MMBtu/bbl SCO</v>
      </c>
    </row>
    <row r="147" spans="1:14">
      <c r="C147" s="666" t="s">
        <v>2065</v>
      </c>
      <c r="L147" s="5"/>
      <c r="M147" s="17">
        <f>M118*M75</f>
        <v>0.34563966385524153</v>
      </c>
      <c r="N147" s="666" t="str">
        <f t="shared" si="1"/>
        <v>MMBtu/bbl SCO</v>
      </c>
    </row>
    <row r="148" spans="1:14">
      <c r="C148" s="666" t="s">
        <v>2066</v>
      </c>
      <c r="L148" s="5"/>
      <c r="M148" s="17">
        <f>M119*M76</f>
        <v>-3.2400102458729513E-2</v>
      </c>
      <c r="N148" s="666" t="str">
        <f t="shared" si="1"/>
        <v>MMBtu/bbl SCO</v>
      </c>
    </row>
    <row r="149" spans="1:14">
      <c r="C149" s="666" t="s">
        <v>2067</v>
      </c>
      <c r="L149" s="5"/>
      <c r="M149" s="17">
        <f>M120*M77</f>
        <v>0</v>
      </c>
      <c r="N149" s="666" t="str">
        <f t="shared" si="1"/>
        <v>MMBtu/bbl SCO</v>
      </c>
    </row>
    <row r="150" spans="1:14">
      <c r="C150" s="666" t="s">
        <v>2075</v>
      </c>
      <c r="L150" s="5"/>
      <c r="M150" s="17">
        <f>M121*M78</f>
        <v>0</v>
      </c>
      <c r="N150" s="666" t="str">
        <f t="shared" si="1"/>
        <v>MMBtu/bbl SCO</v>
      </c>
    </row>
    <row r="151" spans="1:14">
      <c r="C151" s="666" t="s">
        <v>2068</v>
      </c>
      <c r="M151" s="17">
        <f>M53*M69*M43*M79</f>
        <v>0</v>
      </c>
      <c r="N151" s="666" t="str">
        <f t="shared" si="1"/>
        <v>MMBtu/bbl SCO</v>
      </c>
    </row>
    <row r="152" spans="1:14">
      <c r="B152" s="666" t="s">
        <v>2682</v>
      </c>
    </row>
    <row r="153" spans="1:14">
      <c r="C153" s="666" t="s">
        <v>2069</v>
      </c>
      <c r="L153" s="5"/>
      <c r="M153" s="17">
        <f>M124*M82</f>
        <v>0</v>
      </c>
      <c r="N153" s="666" t="str">
        <f>IF($M$52=1,"MMBtu/bbl SCO","MMBtu/bbl dilbit")</f>
        <v>MMBtu/bbl SCO</v>
      </c>
    </row>
    <row r="154" spans="1:14">
      <c r="C154" s="666" t="s">
        <v>2070</v>
      </c>
      <c r="L154" s="5"/>
      <c r="M154" s="17">
        <f>M125*M83</f>
        <v>0.25583504924602601</v>
      </c>
      <c r="N154" s="666" t="str">
        <f>IF($M$52=1,"MMBtu/bbl SCO","MMBtu/bbl dilbit")</f>
        <v>MMBtu/bbl SCO</v>
      </c>
    </row>
    <row r="155" spans="1:14">
      <c r="C155" s="666" t="s">
        <v>2072</v>
      </c>
      <c r="L155" s="5"/>
      <c r="M155" s="17">
        <f>M126*M84</f>
        <v>1.9358586563212002E-2</v>
      </c>
      <c r="N155" s="666" t="str">
        <f>IF($M$52=1,"MMBtu/bbl SCO","MMBtu/bbl dilbit")</f>
        <v>MMBtu/bbl SCO</v>
      </c>
    </row>
    <row r="156" spans="1:14">
      <c r="C156" s="666" t="s">
        <v>2071</v>
      </c>
      <c r="L156" s="5"/>
      <c r="M156" s="17">
        <f>M127*M85</f>
        <v>0</v>
      </c>
      <c r="N156" s="666" t="str">
        <f>IF($M$52=1,"MMBtu/bbl SCO","MMBtu/bbl dilbit")</f>
        <v>MMBtu/bbl SCO</v>
      </c>
    </row>
    <row r="157" spans="1:14">
      <c r="C157" s="666" t="s">
        <v>2073</v>
      </c>
      <c r="L157" s="5"/>
      <c r="M157" s="17">
        <f>M128*M86</f>
        <v>0</v>
      </c>
      <c r="N157" s="666" t="str">
        <f>IF($M$52=1,"MMBtu/bbl SCO","MMBtu/bbl dilbit")</f>
        <v>MMBtu/bbl SCO</v>
      </c>
    </row>
    <row r="159" spans="1:14">
      <c r="A159" s="666" t="s">
        <v>1917</v>
      </c>
    </row>
    <row r="160" spans="1:14">
      <c r="B160" s="666" t="s">
        <v>1918</v>
      </c>
    </row>
    <row r="161" spans="1:22">
      <c r="C161" s="666" t="s">
        <v>2040</v>
      </c>
      <c r="M161" s="17">
        <f>M117+M118+IF(M119&lt;0,0,M119)+M120+M121</f>
        <v>0.50697490321176553</v>
      </c>
      <c r="N161" s="666" t="str">
        <f>IF($M$52=1,"MMBtu/bbl SCO","MMBtu/bbl dilbit")</f>
        <v>MMBtu/bbl SCO</v>
      </c>
    </row>
    <row r="162" spans="1:22">
      <c r="C162" s="666" t="s">
        <v>2041</v>
      </c>
      <c r="M162" s="17">
        <f>M124+M125+IF(M126&lt;0,0,M126)+M127+M128</f>
        <v>0.79892922644424891</v>
      </c>
      <c r="N162" s="666" t="str">
        <f>IF($M$52=1,"MMBtu/bbl SCO","MMBtu/bbl dilbit")</f>
        <v>MMBtu/bbl SCO</v>
      </c>
    </row>
    <row r="163" spans="1:22">
      <c r="B163" s="666" t="s">
        <v>1919</v>
      </c>
    </row>
    <row r="164" spans="1:22">
      <c r="C164" s="666" t="s">
        <v>2042</v>
      </c>
      <c r="M164" s="17">
        <f>M147*IF(M147&lt;0,'Fuel Cycle'!E38,'Fuel Cycle'!D56)+M148*(IF(M148&lt;0,'Fuel Cycle'!E40,'Fuel Cycle'!D58))+M151*IF(M147&lt;0,'Fuel Cycle'!E38,'Fuel Cycle'!D56)</f>
        <v>-4.0133868756335893E-2</v>
      </c>
      <c r="N164" s="666" t="str">
        <f>IF($M$52=1,"MMBtu/bbl SCO","MMBtu/bbl dilbit")</f>
        <v>MMBtu/bbl SCO</v>
      </c>
      <c r="V164" s="211" t="s">
        <v>2076</v>
      </c>
    </row>
    <row r="165" spans="1:22">
      <c r="C165" s="666" t="s">
        <v>2043</v>
      </c>
      <c r="M165" s="17">
        <f>M154*IF(M154&lt;0,'Fuel Cycle'!E38,'Fuel Cycle'!D56)+M155*(IF(M155&lt;0,'Fuel Cycle'!E40,'Fuel Cycle'!D58))</f>
        <v>7.3916846204474251E-2</v>
      </c>
      <c r="N165" s="666" t="str">
        <f>IF($M$52=1,"MMBtu/bbl SCO","MMBtu/bbl dilbit")</f>
        <v>MMBtu/bbl SCO</v>
      </c>
    </row>
    <row r="168" spans="1:22">
      <c r="A168" s="666" t="s">
        <v>2092</v>
      </c>
    </row>
    <row r="169" spans="1:22">
      <c r="B169" s="666" t="s">
        <v>2093</v>
      </c>
      <c r="M169" s="14">
        <f>IF(M$109=0,0,HLOOKUP($M$109,IF('Drilling &amp; Development'!M55=1,'Emissions Factors'!$D$138:$O$141,IF('Drilling &amp; Development'!M55=2,'Emissions Factors'!$D$128:$O$131,"ERROR")),2,TRUE))</f>
        <v>1.4</v>
      </c>
      <c r="N169" s="4" t="str">
        <f>IF($M$52=1,"g/MJ SCO","g/MJ dilbit")</f>
        <v>g/MJ SCO</v>
      </c>
      <c r="R169" s="218" t="s">
        <v>948</v>
      </c>
      <c r="V169" s="211" t="s">
        <v>961</v>
      </c>
    </row>
    <row r="170" spans="1:22">
      <c r="B170" s="666" t="s">
        <v>2094</v>
      </c>
      <c r="M170" s="14">
        <f>IF(M$109=0,0,HLOOKUP($M$109,IF('Drilling &amp; Development'!M55=1,'Emissions Factors'!$D$138:$O$141,IF('Drilling &amp; Development'!M55=2,'Emissions Factors'!$D$128:$O$131,"ERROR")),3,TRUE))</f>
        <v>0.31</v>
      </c>
      <c r="N170" s="4" t="str">
        <f t="shared" ref="N170:N172" si="2">IF($M$52=1,"g/MJ SCO","g/MJ dilbit")</f>
        <v>g/MJ SCO</v>
      </c>
      <c r="R170" s="218" t="s">
        <v>948</v>
      </c>
      <c r="V170" s="211" t="s">
        <v>961</v>
      </c>
    </row>
    <row r="171" spans="1:22">
      <c r="B171" s="666" t="s">
        <v>2095</v>
      </c>
      <c r="M171" s="14">
        <f>IF(M$109=0,0,HLOOKUP($M$109,IF('Drilling &amp; Development'!M55=1,'Emissions Factors'!$D$138:$O$141,IF('Drilling &amp; Development'!M55=2,'Emissions Factors'!$D$128:$O$131,"ERROR")),4,TRUE))</f>
        <v>0.01</v>
      </c>
      <c r="N171" s="4" t="str">
        <f t="shared" si="2"/>
        <v>g/MJ SCO</v>
      </c>
      <c r="R171" s="218" t="s">
        <v>948</v>
      </c>
      <c r="V171" s="211" t="s">
        <v>961</v>
      </c>
    </row>
    <row r="172" spans="1:22">
      <c r="B172" s="666" t="s">
        <v>2096</v>
      </c>
      <c r="M172" s="14">
        <f>SUM(M169:M171)</f>
        <v>1.72</v>
      </c>
      <c r="N172" s="4" t="str">
        <f t="shared" si="2"/>
        <v>g/MJ SCO</v>
      </c>
    </row>
    <row r="174" spans="1:22">
      <c r="A174" s="666" t="s">
        <v>2683</v>
      </c>
    </row>
    <row r="175" spans="1:22">
      <c r="B175" s="666" t="s">
        <v>2044</v>
      </c>
    </row>
    <row r="176" spans="1:22">
      <c r="C176" s="666" t="s">
        <v>2046</v>
      </c>
      <c r="M176" s="206">
        <f>M117*'Emissions Factors'!M153+M118*'Emissions Factors'!C17+M120*'Emissions Factors'!O17+M121*'Emissions Factors'!C17</f>
        <v>33327.714127854459</v>
      </c>
      <c r="N176" s="666" t="str">
        <f>IF($M$52=1,"g/bbl SCO","g/bbl dilbit")</f>
        <v>g/bbl SCO</v>
      </c>
    </row>
    <row r="177" spans="1:14">
      <c r="C177" s="666" t="s">
        <v>2047</v>
      </c>
      <c r="M177" s="206">
        <f>M124*'Emissions Factors'!M153+M125*'Emissions Factors'!C17+M127*'Emissions Factors'!O17+M128*'Emissions Factors'!C17</f>
        <v>52903.247618155219</v>
      </c>
      <c r="N177" s="666" t="str">
        <f>IF($M$52=1,"g/bbl SCO","g/bbl dilbit")</f>
        <v>g/bbl SCO</v>
      </c>
    </row>
    <row r="178" spans="1:14">
      <c r="B178" s="666" t="s">
        <v>2045</v>
      </c>
    </row>
    <row r="179" spans="1:14">
      <c r="C179" s="666" t="s">
        <v>2048</v>
      </c>
      <c r="M179" s="206">
        <f>M146*(IF(M146&lt;0,'Fuel Cycle'!D48,'Fuel Cycle'!D70))+M147*(IF(M147&lt;0,'Fuel Cycle'!D47,'Fuel Cycle'!D69))+M148*(IF(M148&lt;0,'Fuel Cycle'!D49,'Fuel Cycle'!D71))+M149*(IF(M149&lt;0,'Fuel Cycle'!D50,'Fuel Cycle'!D72))+M150*(IF(M150&lt;0,'Fuel Cycle'!D51,'Fuel Cycle'!D73))+M151*(IF(M151&lt;0,'Fuel Cycle'!D47,'Fuel Cycle'!D69))</f>
        <v>-500.90523944089</v>
      </c>
      <c r="N179" s="666" t="str">
        <f>IF($M$52=1,"g/bbl SCO","g/bbl dilbit")</f>
        <v>g/bbl SCO</v>
      </c>
    </row>
    <row r="180" spans="1:14">
      <c r="C180" s="666" t="s">
        <v>2049</v>
      </c>
      <c r="M180" s="206">
        <f>M153*(IF(M153&lt;0,'Fuel Cycle'!D48,'Fuel Cycle'!D70))+M154*(IF(M154&lt;0,'Fuel Cycle'!D47,'Fuel Cycle'!D69))+M155*(IF(M155&lt;0,'Fuel Cycle'!D49,'Fuel Cycle'!D71))+M156*(IF(M156&lt;0,'Fuel Cycle'!D50,'Fuel Cycle'!D72))+M157*(IF(M157&lt;0,'Fuel Cycle'!D51,'Fuel Cycle'!D73))</f>
        <v>7040.9606113422069</v>
      </c>
      <c r="N180" s="666" t="str">
        <f>IF($M$52=1,"g/bbl SCO","g/bbl dilbit")</f>
        <v>g/bbl SCO</v>
      </c>
    </row>
    <row r="182" spans="1:14" s="9" customFormat="1" ht="15.75">
      <c r="A182" s="9" t="s">
        <v>1920</v>
      </c>
    </row>
    <row r="184" spans="1:14">
      <c r="B184" s="666" t="s">
        <v>2109</v>
      </c>
    </row>
    <row r="185" spans="1:14">
      <c r="B185" s="666" t="s">
        <v>1179</v>
      </c>
    </row>
    <row r="186" spans="1:14">
      <c r="B186" s="723"/>
      <c r="C186" s="723" t="s">
        <v>1180</v>
      </c>
      <c r="D186" s="723" t="s">
        <v>1181</v>
      </c>
      <c r="E186" s="723" t="s">
        <v>1182</v>
      </c>
      <c r="F186" s="723" t="s">
        <v>1183</v>
      </c>
      <c r="G186" s="723"/>
    </row>
    <row r="187" spans="1:14" ht="25.5">
      <c r="B187" s="388" t="s">
        <v>1184</v>
      </c>
      <c r="C187" s="50">
        <v>5.6</v>
      </c>
      <c r="D187" s="50">
        <v>0</v>
      </c>
      <c r="E187" s="50">
        <v>0</v>
      </c>
      <c r="F187" s="50">
        <v>35</v>
      </c>
      <c r="G187" s="389" t="s">
        <v>3977</v>
      </c>
    </row>
    <row r="188" spans="1:14" ht="25.5">
      <c r="B188" s="388" t="s">
        <v>1185</v>
      </c>
      <c r="C188" s="50">
        <v>130</v>
      </c>
      <c r="D188" s="50">
        <v>255</v>
      </c>
      <c r="E188" s="50">
        <v>270</v>
      </c>
      <c r="F188" s="50">
        <v>73.400000000000006</v>
      </c>
      <c r="G188" s="389" t="s">
        <v>3973</v>
      </c>
    </row>
    <row r="189" spans="1:14" ht="25.5">
      <c r="B189" s="388" t="s">
        <v>132</v>
      </c>
      <c r="C189" s="50">
        <v>115</v>
      </c>
      <c r="D189" s="50">
        <v>65</v>
      </c>
      <c r="E189" s="50">
        <v>55</v>
      </c>
      <c r="F189" s="50">
        <v>-70</v>
      </c>
      <c r="G189" s="389" t="s">
        <v>3974</v>
      </c>
    </row>
    <row r="190" spans="1:14">
      <c r="B190" s="388" t="s">
        <v>1186</v>
      </c>
      <c r="C190" s="50">
        <v>0</v>
      </c>
      <c r="D190" s="50">
        <v>0</v>
      </c>
      <c r="E190" s="50">
        <v>0</v>
      </c>
      <c r="F190" s="50">
        <v>0</v>
      </c>
      <c r="G190" s="389" t="s">
        <v>3975</v>
      </c>
    </row>
    <row r="191" spans="1:14" ht="25.5">
      <c r="B191" s="390" t="s">
        <v>1187</v>
      </c>
      <c r="C191" s="50">
        <v>0</v>
      </c>
      <c r="D191" s="50">
        <v>0</v>
      </c>
      <c r="E191" s="50">
        <v>0</v>
      </c>
      <c r="F191" s="50">
        <v>0</v>
      </c>
      <c r="G191" s="389" t="s">
        <v>3973</v>
      </c>
    </row>
    <row r="192" spans="1:14">
      <c r="B192" s="211" t="s">
        <v>3976</v>
      </c>
    </row>
    <row r="193" spans="2:25">
      <c r="B193" s="211" t="s">
        <v>1937</v>
      </c>
    </row>
    <row r="194" spans="2:25">
      <c r="B194" s="391"/>
    </row>
    <row r="195" spans="2:25">
      <c r="B195" s="666" t="s">
        <v>2110</v>
      </c>
    </row>
    <row r="196" spans="2:25">
      <c r="B196" s="666" t="s">
        <v>1179</v>
      </c>
      <c r="R196" s="641"/>
      <c r="S196" s="641"/>
      <c r="T196" s="641"/>
      <c r="U196" s="641"/>
      <c r="V196" s="641"/>
      <c r="W196" s="641"/>
      <c r="X196" s="641"/>
      <c r="Y196" s="641"/>
    </row>
    <row r="197" spans="2:25">
      <c r="B197" s="723"/>
      <c r="C197" s="723" t="s">
        <v>1180</v>
      </c>
      <c r="D197" s="723" t="s">
        <v>1181</v>
      </c>
      <c r="E197" s="723" t="s">
        <v>1182</v>
      </c>
      <c r="F197" s="723" t="s">
        <v>1183</v>
      </c>
      <c r="G197" s="723"/>
      <c r="R197" s="641"/>
      <c r="S197" s="392"/>
      <c r="T197" s="393"/>
      <c r="U197" s="393"/>
      <c r="V197" s="393"/>
      <c r="W197" s="393"/>
      <c r="X197" s="392"/>
      <c r="Y197" s="641"/>
    </row>
    <row r="198" spans="2:25" ht="38.25">
      <c r="B198" s="394" t="s">
        <v>1184</v>
      </c>
      <c r="C198" s="243">
        <f>C187/'Input data'!$E$36/'Input data'!$E$31*'Fuel Specs'!$E$329/1000000</f>
        <v>3.0254694348148148E-2</v>
      </c>
      <c r="D198" s="243">
        <f>D187/'Input data'!$E$36/'Input data'!$E$31*'Fuel Specs'!$E$329/1000000</f>
        <v>0</v>
      </c>
      <c r="E198" s="243">
        <f>E187/'Input data'!$E$36/'Input data'!$E$31*'Fuel Specs'!$E$329/1000000</f>
        <v>0</v>
      </c>
      <c r="F198" s="243">
        <f>F187/'Input data'!$E$36/'Input data'!$E$31*'Fuel Specs'!$E$329/1000000</f>
        <v>0.18909183967592594</v>
      </c>
      <c r="G198" s="394" t="s">
        <v>2684</v>
      </c>
      <c r="J198" s="2"/>
      <c r="K198" s="2"/>
      <c r="L198" s="2"/>
      <c r="M198" s="2"/>
      <c r="R198" s="641"/>
      <c r="S198" s="395"/>
      <c r="T198" s="393"/>
      <c r="U198" s="396"/>
      <c r="V198" s="397"/>
      <c r="W198" s="393"/>
      <c r="X198" s="392"/>
      <c r="Y198" s="641"/>
    </row>
    <row r="199" spans="2:25" ht="38.25">
      <c r="B199" s="394" t="s">
        <v>1185</v>
      </c>
      <c r="C199" s="243">
        <f>C188/'Input data'!$E$36*'Input data'!$E$39*'Fuel Specs'!$E$334/1000000</f>
        <v>0.71748762661931542</v>
      </c>
      <c r="D199" s="243">
        <f>D188/'Input data'!$E$36*'Input data'!$E$39*'Fuel Specs'!$E$334/1000000</f>
        <v>1.4073795752917342</v>
      </c>
      <c r="E199" s="243">
        <f>E188/'Input data'!$E$36*'Input data'!$E$39*'Fuel Specs'!$E$334/1000000</f>
        <v>1.4901666091324246</v>
      </c>
      <c r="F199" s="243">
        <f>F188/'Input data'!$E$36*'Input data'!$E$39*'Fuel Specs'!$E$334/1000000</f>
        <v>0.40510455226044434</v>
      </c>
      <c r="G199" s="394" t="s">
        <v>2684</v>
      </c>
      <c r="J199" s="2"/>
      <c r="K199" s="2"/>
      <c r="L199" s="2"/>
      <c r="M199" s="2"/>
      <c r="R199" s="641"/>
      <c r="S199" s="395"/>
      <c r="T199" s="393"/>
      <c r="U199" s="396"/>
      <c r="V199" s="397"/>
      <c r="W199" s="393"/>
      <c r="X199" s="398"/>
      <c r="Y199" s="641"/>
    </row>
    <row r="200" spans="2:25" ht="38.25">
      <c r="B200" s="394" t="s">
        <v>132</v>
      </c>
      <c r="C200" s="243">
        <f>C189/'Input data'!$E$36*'Input data'!$E$53/1000000</f>
        <v>6.2386372399412353E-2</v>
      </c>
      <c r="D200" s="243">
        <f>D189/'Input data'!$E$36*'Input data'!$E$53/1000000</f>
        <v>3.5261862660537414E-2</v>
      </c>
      <c r="E200" s="243">
        <f>E189/'Input data'!$E$36*'Input data'!$E$53/1000000</f>
        <v>2.9836960712762432E-2</v>
      </c>
      <c r="F200" s="243">
        <f>F189/'Input data'!$E$36*'Input data'!$E$53/1000000</f>
        <v>-3.7974313634424904E-2</v>
      </c>
      <c r="G200" s="394" t="s">
        <v>2684</v>
      </c>
      <c r="J200" s="2"/>
      <c r="K200" s="2"/>
      <c r="L200" s="2"/>
      <c r="M200" s="2"/>
      <c r="R200" s="641"/>
      <c r="S200" s="395"/>
      <c r="T200" s="393"/>
      <c r="U200" s="396"/>
      <c r="V200" s="397"/>
      <c r="W200" s="393"/>
      <c r="X200" s="392"/>
      <c r="Y200" s="641"/>
    </row>
    <row r="201" spans="2:25" ht="38.25">
      <c r="B201" s="394" t="s">
        <v>1186</v>
      </c>
      <c r="C201" s="243">
        <f>C190/'Input data'!$E$36*'Input data'!$E$18/2000*'Fuel Specs'!$E$339/1000000</f>
        <v>0</v>
      </c>
      <c r="D201" s="243">
        <f>D190/'Input data'!$E$36*'Input data'!$E$18/2000*'Fuel Specs'!$E$339/1000000</f>
        <v>0</v>
      </c>
      <c r="E201" s="243">
        <f>E190/'Input data'!$E$36*'Input data'!$E$18/2000*'Fuel Specs'!$E$339/1000000</f>
        <v>0</v>
      </c>
      <c r="F201" s="243">
        <f>F190/'Input data'!$E$36*'Input data'!$E$18/2000*'Fuel Specs'!$E$339/1000000</f>
        <v>0</v>
      </c>
      <c r="G201" s="394" t="s">
        <v>2684</v>
      </c>
      <c r="J201" s="2"/>
      <c r="K201" s="2"/>
      <c r="L201" s="2"/>
      <c r="M201" s="2"/>
      <c r="R201" s="641"/>
      <c r="S201" s="392"/>
      <c r="T201" s="393"/>
      <c r="U201" s="393"/>
      <c r="V201" s="393"/>
      <c r="W201" s="393"/>
      <c r="X201" s="392"/>
      <c r="Y201" s="641"/>
    </row>
    <row r="202" spans="2:25" ht="38.25">
      <c r="B202" s="394" t="s">
        <v>1187</v>
      </c>
      <c r="C202" s="243">
        <f>C191/'Input data'!$E$36*'Input data'!$E$39*'Fuel Specs'!$E$337/1000000</f>
        <v>0</v>
      </c>
      <c r="D202" s="243">
        <f>D191/'Input data'!$E$36*'Input data'!$E$39*'Fuel Specs'!$E$337/1000000</f>
        <v>0</v>
      </c>
      <c r="E202" s="243">
        <f>E191/'Input data'!$E$36*'Input data'!$E$39*'Fuel Specs'!$E$337/1000000</f>
        <v>0</v>
      </c>
      <c r="F202" s="243">
        <f>F191/'Input data'!$E$36*'Input data'!$E$39*'Fuel Specs'!$E$337/1000000</f>
        <v>0</v>
      </c>
      <c r="G202" s="394" t="s">
        <v>2684</v>
      </c>
      <c r="J202" s="2"/>
      <c r="K202" s="2"/>
      <c r="L202" s="2"/>
      <c r="M202" s="2"/>
      <c r="R202" s="641"/>
      <c r="S202" s="392"/>
      <c r="T202" s="393"/>
      <c r="U202" s="393"/>
      <c r="V202" s="393"/>
      <c r="W202" s="393"/>
      <c r="X202" s="392"/>
      <c r="Y202" s="641"/>
    </row>
    <row r="203" spans="2:25">
      <c r="B203" s="211"/>
      <c r="R203" s="641"/>
      <c r="S203" s="641"/>
      <c r="T203" s="641"/>
      <c r="U203" s="641"/>
      <c r="V203" s="641"/>
      <c r="W203" s="641"/>
      <c r="X203" s="641"/>
      <c r="Y203" s="641"/>
    </row>
    <row r="204" spans="2:25">
      <c r="R204" s="641"/>
      <c r="S204" s="641"/>
      <c r="T204" s="641"/>
      <c r="U204" s="641"/>
      <c r="V204" s="641"/>
      <c r="W204" s="641"/>
      <c r="X204" s="641"/>
      <c r="Y204" s="641"/>
    </row>
    <row r="205" spans="2:25">
      <c r="B205" s="211"/>
      <c r="R205" s="641"/>
      <c r="S205" s="641"/>
      <c r="T205" s="641"/>
      <c r="U205" s="641"/>
      <c r="V205" s="641"/>
      <c r="W205" s="641"/>
      <c r="X205" s="641"/>
      <c r="Y205" s="641"/>
    </row>
    <row r="206" spans="2:25">
      <c r="B206" s="211"/>
      <c r="R206" s="641"/>
      <c r="S206" s="641"/>
      <c r="T206" s="641"/>
      <c r="U206" s="641"/>
      <c r="V206" s="641"/>
      <c r="W206" s="641"/>
      <c r="X206" s="641"/>
      <c r="Y206" s="641"/>
    </row>
    <row r="207" spans="2:25">
      <c r="B207" s="666" t="s">
        <v>2111</v>
      </c>
    </row>
    <row r="208" spans="2:25">
      <c r="B208" s="483" t="s">
        <v>3978</v>
      </c>
    </row>
    <row r="209" spans="2:10" ht="38.25">
      <c r="B209" s="399"/>
      <c r="C209" s="399" t="s">
        <v>1189</v>
      </c>
      <c r="D209" s="399" t="s">
        <v>1190</v>
      </c>
      <c r="E209" s="399" t="s">
        <v>165</v>
      </c>
      <c r="J209" s="211"/>
    </row>
    <row r="210" spans="2:10" ht="38.25">
      <c r="B210" s="394" t="s">
        <v>1184</v>
      </c>
      <c r="C210" s="21"/>
      <c r="D210" s="21">
        <v>565</v>
      </c>
      <c r="E210" s="389" t="s">
        <v>3979</v>
      </c>
      <c r="J210" s="211"/>
    </row>
    <row r="211" spans="2:10" ht="38.25">
      <c r="B211" s="394" t="s">
        <v>1185</v>
      </c>
      <c r="C211" s="21">
        <v>4736</v>
      </c>
      <c r="D211" s="21">
        <v>4612</v>
      </c>
      <c r="E211" s="389" t="s">
        <v>3979</v>
      </c>
      <c r="J211" s="211"/>
    </row>
    <row r="212" spans="2:10" ht="38.25">
      <c r="B212" s="394" t="s">
        <v>132</v>
      </c>
      <c r="C212" s="21">
        <v>217</v>
      </c>
      <c r="D212" s="21">
        <v>-100</v>
      </c>
      <c r="E212" s="389" t="s">
        <v>3979</v>
      </c>
    </row>
    <row r="213" spans="2:10" ht="38.25">
      <c r="B213" s="394" t="s">
        <v>1186</v>
      </c>
      <c r="C213" s="21">
        <v>1278</v>
      </c>
      <c r="D213" s="21">
        <v>1573</v>
      </c>
      <c r="E213" s="389" t="s">
        <v>3979</v>
      </c>
    </row>
    <row r="214" spans="2:10" ht="38.25">
      <c r="B214" s="394" t="s">
        <v>1187</v>
      </c>
      <c r="C214" s="21">
        <v>4208</v>
      </c>
      <c r="D214" s="21">
        <v>3115</v>
      </c>
      <c r="E214" s="389" t="s">
        <v>3979</v>
      </c>
    </row>
    <row r="215" spans="2:10">
      <c r="B215" s="211" t="s">
        <v>3980</v>
      </c>
    </row>
    <row r="216" spans="2:10">
      <c r="B216" s="211" t="s">
        <v>1191</v>
      </c>
    </row>
    <row r="217" spans="2:10">
      <c r="B217" s="211" t="s">
        <v>1192</v>
      </c>
    </row>
    <row r="218" spans="2:10">
      <c r="B218" s="211" t="s">
        <v>1193</v>
      </c>
    </row>
    <row r="221" spans="2:10">
      <c r="B221" s="666" t="s">
        <v>2112</v>
      </c>
    </row>
    <row r="222" spans="2:10">
      <c r="B222" s="666" t="s">
        <v>1340</v>
      </c>
    </row>
    <row r="223" spans="2:10" ht="38.25">
      <c r="B223" s="399"/>
      <c r="C223" s="399" t="s">
        <v>1189</v>
      </c>
      <c r="D223" s="399" t="s">
        <v>1190</v>
      </c>
      <c r="E223" s="399" t="s">
        <v>165</v>
      </c>
    </row>
    <row r="224" spans="2:10" ht="25.5">
      <c r="B224" s="389" t="s">
        <v>1184</v>
      </c>
      <c r="C224" s="243">
        <f>C210*$M$37/'Input data'!$E$36/1055.05</f>
        <v>0</v>
      </c>
      <c r="D224" s="243">
        <f>D210*$M$37/'Input data'!$E$36/1055.05</f>
        <v>7.3684564809673933E-2</v>
      </c>
      <c r="E224" s="389" t="s">
        <v>2685</v>
      </c>
    </row>
    <row r="225" spans="2:5" ht="25.5">
      <c r="B225" s="389" t="s">
        <v>1185</v>
      </c>
      <c r="C225" s="243">
        <f>C211*$M$37/'Input data'!$E$36/1055.05</f>
        <v>0.61764619281170929</v>
      </c>
      <c r="D225" s="243">
        <f>D211*$M$37/'Input data'!$E$36/1055.05</f>
        <v>0.60147471310126754</v>
      </c>
      <c r="E225" s="389" t="s">
        <v>2685</v>
      </c>
    </row>
    <row r="226" spans="2:5" ht="25.5">
      <c r="B226" s="389" t="s">
        <v>132</v>
      </c>
      <c r="C226" s="243">
        <f>C212*$M$37/'Input data'!$E$36/1055.05</f>
        <v>2.8300089493272999E-2</v>
      </c>
      <c r="D226" s="243">
        <f>D212*$M$37/'Input data'!$E$36/1055.05</f>
        <v>-1.3041515895517511E-2</v>
      </c>
      <c r="E226" s="389" t="s">
        <v>2685</v>
      </c>
    </row>
    <row r="227" spans="2:5" ht="25.5">
      <c r="B227" s="389" t="s">
        <v>1186</v>
      </c>
      <c r="C227" s="243">
        <f>C213*$M$37/'Input data'!$E$36/1055.05</f>
        <v>0.16667057314471379</v>
      </c>
      <c r="D227" s="243">
        <f>D213*$M$37/'Input data'!$E$36/1055.05</f>
        <v>0.20514304503649045</v>
      </c>
      <c r="E227" s="389" t="s">
        <v>2685</v>
      </c>
    </row>
    <row r="228" spans="2:5" ht="25.5">
      <c r="B228" s="389" t="s">
        <v>1187</v>
      </c>
      <c r="C228" s="243">
        <f>C214*$M$37/'Input data'!$E$36/1055.05</f>
        <v>0.54878698888337696</v>
      </c>
      <c r="D228" s="243">
        <f>D214*$M$37/'Input data'!$E$36/1055.05</f>
        <v>0.40624322014537045</v>
      </c>
      <c r="E228" s="389" t="s">
        <v>2685</v>
      </c>
    </row>
    <row r="231" spans="2:5">
      <c r="B231" s="666" t="s">
        <v>2113</v>
      </c>
    </row>
    <row r="232" spans="2:5">
      <c r="B232" s="399"/>
      <c r="C232" s="399" t="s">
        <v>1129</v>
      </c>
      <c r="D232" s="399" t="s">
        <v>165</v>
      </c>
    </row>
    <row r="233" spans="2:5" ht="38.25">
      <c r="B233" s="13" t="s">
        <v>1182</v>
      </c>
      <c r="C233" s="210">
        <v>3.9</v>
      </c>
      <c r="D233" s="389" t="s">
        <v>1170</v>
      </c>
    </row>
    <row r="234" spans="2:5" ht="38.25">
      <c r="B234" s="388" t="s">
        <v>1181</v>
      </c>
      <c r="C234" s="210">
        <v>3</v>
      </c>
      <c r="D234" s="389" t="s">
        <v>1170</v>
      </c>
    </row>
    <row r="235" spans="2:5" ht="18">
      <c r="B235" s="211" t="s">
        <v>1194</v>
      </c>
    </row>
    <row r="238" spans="2:5">
      <c r="B238" s="666" t="s">
        <v>2114</v>
      </c>
    </row>
    <row r="239" spans="2:5">
      <c r="B239" s="399"/>
      <c r="C239" s="399" t="s">
        <v>2118</v>
      </c>
      <c r="D239" s="399" t="s">
        <v>165</v>
      </c>
    </row>
    <row r="240" spans="2:5" ht="51">
      <c r="B240" s="389" t="s">
        <v>1939</v>
      </c>
      <c r="C240" s="210">
        <f>(1/1.25)*(M32)*(1/M37)</f>
        <v>0.93763440860215053</v>
      </c>
      <c r="D240" s="389" t="s">
        <v>1195</v>
      </c>
    </row>
    <row r="241" spans="2:29" ht="51">
      <c r="B241" s="389" t="s">
        <v>1938</v>
      </c>
      <c r="C241" s="210">
        <f>1*(M32)*(1/M37)</f>
        <v>1.172043010752688</v>
      </c>
      <c r="D241" s="389" t="s">
        <v>1195</v>
      </c>
    </row>
    <row r="242" spans="2:29">
      <c r="B242" s="211" t="s">
        <v>829</v>
      </c>
    </row>
    <row r="243" spans="2:29">
      <c r="B243" s="211" t="s">
        <v>1940</v>
      </c>
    </row>
    <row r="244" spans="2:29">
      <c r="B244" s="211" t="s">
        <v>1941</v>
      </c>
    </row>
    <row r="247" spans="2:29">
      <c r="B247" s="666" t="s">
        <v>2115</v>
      </c>
    </row>
    <row r="248" spans="2:29" ht="25.5">
      <c r="B248" s="399" t="s">
        <v>1196</v>
      </c>
      <c r="C248" s="399" t="s">
        <v>818</v>
      </c>
      <c r="D248" s="399" t="s">
        <v>1197</v>
      </c>
      <c r="E248" s="399" t="s">
        <v>1198</v>
      </c>
      <c r="F248" s="399" t="s">
        <v>231</v>
      </c>
      <c r="G248" s="399" t="s">
        <v>1199</v>
      </c>
      <c r="H248" s="399" t="s">
        <v>1200</v>
      </c>
      <c r="I248" s="399" t="s">
        <v>1201</v>
      </c>
      <c r="J248" s="399" t="s">
        <v>1202</v>
      </c>
      <c r="K248" s="399" t="s">
        <v>1203</v>
      </c>
      <c r="L248" s="399" t="s">
        <v>1204</v>
      </c>
      <c r="M248" s="399" t="s">
        <v>1205</v>
      </c>
      <c r="N248" s="399" t="s">
        <v>1206</v>
      </c>
      <c r="O248" s="399" t="s">
        <v>1207</v>
      </c>
      <c r="P248" s="399" t="s">
        <v>381</v>
      </c>
      <c r="Q248" s="399" t="s">
        <v>380</v>
      </c>
      <c r="R248" s="399" t="s">
        <v>1208</v>
      </c>
      <c r="S248" s="399" t="s">
        <v>1209</v>
      </c>
      <c r="T248" s="399" t="s">
        <v>1210</v>
      </c>
      <c r="U248" s="399" t="s">
        <v>1211</v>
      </c>
      <c r="V248" s="399" t="s">
        <v>550</v>
      </c>
      <c r="W248" s="399"/>
      <c r="X248" s="399" t="s">
        <v>551</v>
      </c>
      <c r="Y248" s="399"/>
      <c r="Z248" s="399" t="s">
        <v>550</v>
      </c>
      <c r="AA248" s="399"/>
      <c r="AB248" s="399" t="s">
        <v>551</v>
      </c>
      <c r="AC248" s="399"/>
    </row>
    <row r="249" spans="2:29">
      <c r="B249" s="400" t="s">
        <v>1212</v>
      </c>
      <c r="C249" s="400">
        <v>727.2</v>
      </c>
      <c r="D249" s="400">
        <v>62.9</v>
      </c>
      <c r="E249" s="400">
        <f>0.0003+0.0041</f>
        <v>4.4000000000000003E-3</v>
      </c>
      <c r="F249" s="400">
        <f>0.0061+0.0428</f>
        <v>4.8899999999999999E-2</v>
      </c>
      <c r="G249" s="400">
        <f>0.1392+0.1504+0.0151</f>
        <v>0.30469999999999997</v>
      </c>
      <c r="H249" s="400">
        <f>0.1382+0.0144+0.032+0.029</f>
        <v>0.21359999999999998</v>
      </c>
      <c r="I249" s="400">
        <f>0.0902+0.0277+0.0432</f>
        <v>0.16110000000000002</v>
      </c>
      <c r="J249" s="400">
        <f>0.0664+0.0225+0.0045</f>
        <v>9.3400000000000011E-2</v>
      </c>
      <c r="K249" s="400">
        <f>0.0394+0.0061</f>
        <v>4.5499999999999999E-2</v>
      </c>
      <c r="L249" s="400">
        <v>2.6800000000000001E-2</v>
      </c>
      <c r="M249" s="400">
        <v>2.18E-2</v>
      </c>
      <c r="N249" s="400">
        <v>1.3899999999999999E-2</v>
      </c>
      <c r="O249" s="400">
        <f>1-SUM(E249:N249)</f>
        <v>6.5899999999999848E-2</v>
      </c>
      <c r="P249" s="400">
        <f>SUMPRODUCT(E249:O249,E254:O254)</f>
        <v>6.8954999999999966</v>
      </c>
      <c r="Q249" s="400">
        <f>SUMPRODUCT(E249:O249,$E$255:$O$255)</f>
        <v>15.790999999999995</v>
      </c>
      <c r="R249" s="400">
        <f>P249*12</f>
        <v>82.745999999999952</v>
      </c>
      <c r="S249" s="400">
        <f>Q249*1</f>
        <v>15.790999999999995</v>
      </c>
      <c r="T249" s="400">
        <f>R249/(R249+S249)</f>
        <v>0.83974547631854024</v>
      </c>
      <c r="U249" s="400">
        <f>S249/(R249+S249)</f>
        <v>0.16025452368145979</v>
      </c>
      <c r="V249" s="400">
        <f>14600*T249+62000*U249</f>
        <v>22196.064422501193</v>
      </c>
      <c r="W249" s="400" t="s">
        <v>528</v>
      </c>
      <c r="X249" s="400">
        <f>V249-(U249*(9)*970)</f>
        <v>20797.042430762049</v>
      </c>
      <c r="Y249" s="400" t="s">
        <v>1924</v>
      </c>
      <c r="Z249" s="400">
        <f>V249*'Input data'!$E$204*C249/1000/1000000</f>
        <v>5.6563023065493203</v>
      </c>
      <c r="AA249" s="400" t="s">
        <v>614</v>
      </c>
      <c r="AB249" s="400">
        <f>X249*'Input data'!$E$204*C249/1000/1000000</f>
        <v>5.2997845397885932</v>
      </c>
      <c r="AC249" s="400" t="s">
        <v>614</v>
      </c>
    </row>
    <row r="250" spans="2:29">
      <c r="B250" s="400" t="s">
        <v>1213</v>
      </c>
      <c r="C250" s="400">
        <v>757.2</v>
      </c>
      <c r="D250" s="400">
        <v>55.2</v>
      </c>
      <c r="E250" s="400">
        <v>0</v>
      </c>
      <c r="F250" s="400">
        <v>0</v>
      </c>
      <c r="G250" s="400">
        <v>2.0000000000000001E-4</v>
      </c>
      <c r="H250" s="400">
        <f>0.0112+0.0058+0.0292+0.0262</f>
        <v>7.2400000000000006E-2</v>
      </c>
      <c r="I250" s="400">
        <f>0.2003+0.0503+0.1022</f>
        <v>0.3528</v>
      </c>
      <c r="J250" s="400">
        <f>0.2504+0.0648+0.023</f>
        <v>0.33820000000000006</v>
      </c>
      <c r="K250" s="400">
        <f>0.1653+0.0063</f>
        <v>0.1716</v>
      </c>
      <c r="L250" s="400">
        <v>4.9200000000000001E-2</v>
      </c>
      <c r="M250" s="400">
        <v>9.4999999999999998E-3</v>
      </c>
      <c r="N250" s="400">
        <v>4.4000000000000003E-3</v>
      </c>
      <c r="O250" s="400">
        <f>1-SUM(E250:N250)</f>
        <v>1.7000000000000348E-3</v>
      </c>
      <c r="P250" s="400">
        <f>SUMPRODUCT(E250:O250,E254:O254)</f>
        <v>7.8281000000000001</v>
      </c>
      <c r="Q250" s="400">
        <f>SUMPRODUCT(E250:O250,$E$255:$O$255)</f>
        <v>17.656200000000002</v>
      </c>
      <c r="R250" s="400">
        <f t="shared" ref="R250:R251" si="3">P250*12</f>
        <v>93.937200000000004</v>
      </c>
      <c r="S250" s="400">
        <f t="shared" ref="S250:S251" si="4">Q250*1</f>
        <v>17.656200000000002</v>
      </c>
      <c r="T250" s="400">
        <f t="shared" ref="T250:T251" si="5">R250/(R250+S250)</f>
        <v>0.84178096554097293</v>
      </c>
      <c r="U250" s="400">
        <f t="shared" ref="U250:U251" si="6">S250/(R250+S250)</f>
        <v>0.15821903445902716</v>
      </c>
      <c r="V250" s="400">
        <f>14600*T250+62000*U250</f>
        <v>22099.582233357891</v>
      </c>
      <c r="W250" s="400" t="s">
        <v>528</v>
      </c>
      <c r="X250" s="400">
        <f t="shared" ref="X250:X251" si="7">V250-(U250*(9)*970)</f>
        <v>20718.330062530586</v>
      </c>
      <c r="Y250" s="400" t="s">
        <v>1924</v>
      </c>
      <c r="Z250" s="400">
        <f>V250*'Input data'!$E$204*C250/1000/1000000</f>
        <v>5.8640468996257615</v>
      </c>
      <c r="AA250" s="400" t="s">
        <v>614</v>
      </c>
      <c r="AB250" s="400">
        <f>X250*'Input data'!$E$204*C250/1000/1000000</f>
        <v>5.4975364640703237</v>
      </c>
      <c r="AC250" s="400" t="s">
        <v>614</v>
      </c>
    </row>
    <row r="251" spans="2:29">
      <c r="B251" s="400" t="s">
        <v>1214</v>
      </c>
      <c r="C251" s="400">
        <v>739.6</v>
      </c>
      <c r="D251" s="400">
        <v>59.6</v>
      </c>
      <c r="E251" s="400">
        <f>0.0007+0.0007+0.0102</f>
        <v>1.1600000000000001E-2</v>
      </c>
      <c r="F251" s="400">
        <f>0.0092+0.0601</f>
        <v>6.93E-2</v>
      </c>
      <c r="G251" s="400">
        <f>0.0949+0.1157+0.0126</f>
        <v>0.22320000000000001</v>
      </c>
      <c r="H251" s="400">
        <f>0.1295+0.0131+0.0327+0.0299</f>
        <v>0.20520000000000002</v>
      </c>
      <c r="I251" s="400">
        <f>0.0936+0.0295+0.05</f>
        <v>0.1731</v>
      </c>
      <c r="J251" s="400">
        <f>0.0724+0.0273+0.005</f>
        <v>0.10470000000000002</v>
      </c>
      <c r="K251" s="400">
        <f>0.0447+0.0078</f>
        <v>5.2499999999999998E-2</v>
      </c>
      <c r="L251" s="400">
        <v>3.2899999999999999E-2</v>
      </c>
      <c r="M251" s="400">
        <v>2.6700000000000002E-2</v>
      </c>
      <c r="N251" s="400">
        <v>1.6799999999999999E-2</v>
      </c>
      <c r="O251" s="400">
        <f>1-SUM(E251:N251)</f>
        <v>8.3999999999999742E-2</v>
      </c>
      <c r="P251" s="400">
        <f>SUMPRODUCT(E251:O251,E254:O254)</f>
        <v>7.1812999999999976</v>
      </c>
      <c r="Q251" s="400">
        <f>SUMPRODUCT(E251:O251,$E$255:$O$255)</f>
        <v>16.362599999999993</v>
      </c>
      <c r="R251" s="400">
        <f t="shared" si="3"/>
        <v>86.175599999999974</v>
      </c>
      <c r="S251" s="400">
        <f t="shared" si="4"/>
        <v>16.362599999999993</v>
      </c>
      <c r="T251" s="400">
        <f t="shared" si="5"/>
        <v>0.8404243491693828</v>
      </c>
      <c r="U251" s="400">
        <f t="shared" si="6"/>
        <v>0.15957565083061728</v>
      </c>
      <c r="V251" s="400">
        <f>14600*T251+62000*U251</f>
        <v>22163.885849371261</v>
      </c>
      <c r="W251" s="400" t="s">
        <v>528</v>
      </c>
      <c r="X251" s="400">
        <f t="shared" si="7"/>
        <v>20770.790417619974</v>
      </c>
      <c r="Y251" s="400" t="s">
        <v>1924</v>
      </c>
      <c r="Z251" s="400">
        <f>V251*'Input data'!$E$204*C251/1000/1000000</f>
        <v>5.7444118981491181</v>
      </c>
      <c r="AA251" s="400" t="s">
        <v>614</v>
      </c>
      <c r="AB251" s="400">
        <f>X251*'Input data'!$E$204*C251/1000/1000000</f>
        <v>5.3833509349319524</v>
      </c>
      <c r="AC251" s="400" t="s">
        <v>614</v>
      </c>
    </row>
    <row r="253" spans="2:29" ht="25.5">
      <c r="D253" s="399" t="s">
        <v>1215</v>
      </c>
      <c r="E253" s="399" t="s">
        <v>751</v>
      </c>
      <c r="F253" s="399" t="s">
        <v>752</v>
      </c>
      <c r="G253" s="399" t="s">
        <v>1216</v>
      </c>
      <c r="H253" s="399" t="s">
        <v>1217</v>
      </c>
      <c r="I253" s="399" t="s">
        <v>1218</v>
      </c>
      <c r="J253" s="399" t="s">
        <v>1219</v>
      </c>
      <c r="K253" s="399" t="s">
        <v>1220</v>
      </c>
      <c r="L253" s="399" t="s">
        <v>1221</v>
      </c>
      <c r="M253" s="399" t="s">
        <v>1222</v>
      </c>
      <c r="N253" s="399" t="s">
        <v>1223</v>
      </c>
      <c r="O253" s="399" t="s">
        <v>1224</v>
      </c>
      <c r="T253" s="1"/>
    </row>
    <row r="254" spans="2:29">
      <c r="D254" s="13" t="s">
        <v>381</v>
      </c>
      <c r="E254" s="401">
        <v>3</v>
      </c>
      <c r="F254" s="402">
        <v>4</v>
      </c>
      <c r="G254" s="401">
        <v>5</v>
      </c>
      <c r="H254" s="401">
        <v>6</v>
      </c>
      <c r="I254" s="402">
        <v>7</v>
      </c>
      <c r="J254" s="401">
        <v>8</v>
      </c>
      <c r="K254" s="401">
        <v>9</v>
      </c>
      <c r="L254" s="402">
        <v>10</v>
      </c>
      <c r="M254" s="401">
        <v>11</v>
      </c>
      <c r="N254" s="401">
        <v>12</v>
      </c>
      <c r="O254" s="402">
        <v>14</v>
      </c>
    </row>
    <row r="255" spans="2:29">
      <c r="D255" s="388" t="s">
        <v>380</v>
      </c>
      <c r="E255" s="401">
        <v>8</v>
      </c>
      <c r="F255" s="402">
        <v>10</v>
      </c>
      <c r="G255" s="403">
        <v>12</v>
      </c>
      <c r="H255" s="401">
        <v>14</v>
      </c>
      <c r="I255" s="402">
        <v>16</v>
      </c>
      <c r="J255" s="403">
        <v>18</v>
      </c>
      <c r="K255" s="401">
        <v>20</v>
      </c>
      <c r="L255" s="402">
        <v>22</v>
      </c>
      <c r="M255" s="403">
        <v>24</v>
      </c>
      <c r="N255" s="401">
        <v>26</v>
      </c>
      <c r="O255" s="402">
        <v>30</v>
      </c>
    </row>
    <row r="257" spans="2:4">
      <c r="B257" s="211" t="s">
        <v>829</v>
      </c>
    </row>
    <row r="258" spans="2:4">
      <c r="B258" s="211" t="s">
        <v>1341</v>
      </c>
    </row>
    <row r="259" spans="2:4">
      <c r="B259" s="211" t="s">
        <v>1225</v>
      </c>
    </row>
    <row r="260" spans="2:4">
      <c r="B260" s="211" t="s">
        <v>1226</v>
      </c>
    </row>
    <row r="261" spans="2:4">
      <c r="B261" s="211" t="s">
        <v>1227</v>
      </c>
    </row>
    <row r="262" spans="2:4">
      <c r="B262" s="211" t="s">
        <v>1228</v>
      </c>
    </row>
    <row r="263" spans="2:4">
      <c r="B263" s="211" t="s">
        <v>1229</v>
      </c>
    </row>
    <row r="264" spans="2:4">
      <c r="B264" s="211" t="s">
        <v>1230</v>
      </c>
    </row>
    <row r="265" spans="2:4">
      <c r="B265" s="211" t="s">
        <v>1231</v>
      </c>
    </row>
    <row r="268" spans="2:4">
      <c r="B268" s="666" t="s">
        <v>2116</v>
      </c>
    </row>
    <row r="269" spans="2:4">
      <c r="B269" s="399" t="s">
        <v>1232</v>
      </c>
      <c r="C269" s="399" t="s">
        <v>164</v>
      </c>
      <c r="D269" s="399" t="s">
        <v>239</v>
      </c>
    </row>
    <row r="270" spans="2:4">
      <c r="B270" s="400" t="s">
        <v>1233</v>
      </c>
      <c r="C270" s="400">
        <v>0</v>
      </c>
      <c r="D270" s="400" t="s">
        <v>614</v>
      </c>
    </row>
    <row r="271" spans="2:4">
      <c r="B271" s="400" t="s">
        <v>1234</v>
      </c>
      <c r="C271" s="400">
        <f>'Fuel Cycle'!D56</f>
        <v>0.106627</v>
      </c>
      <c r="D271" s="400" t="s">
        <v>1342</v>
      </c>
    </row>
    <row r="272" spans="2:4">
      <c r="B272" s="400" t="s">
        <v>1235</v>
      </c>
      <c r="C272" s="400">
        <f>'Fuel Cycle'!D47</f>
        <v>7270.9501992031865</v>
      </c>
      <c r="D272" s="400" t="s">
        <v>1343</v>
      </c>
    </row>
    <row r="273" spans="2:7">
      <c r="B273" s="211" t="s">
        <v>829</v>
      </c>
    </row>
    <row r="274" spans="2:7">
      <c r="B274" s="211" t="s">
        <v>1344</v>
      </c>
    </row>
    <row r="275" spans="2:7">
      <c r="B275" s="211" t="s">
        <v>1236</v>
      </c>
    </row>
    <row r="278" spans="2:7">
      <c r="B278" s="666" t="s">
        <v>2101</v>
      </c>
    </row>
    <row r="279" spans="2:7">
      <c r="B279" s="723"/>
      <c r="C279" s="723" t="s">
        <v>1180</v>
      </c>
      <c r="D279" s="723" t="s">
        <v>1181</v>
      </c>
      <c r="E279" s="723" t="s">
        <v>1182</v>
      </c>
      <c r="F279" s="723" t="s">
        <v>1183</v>
      </c>
      <c r="G279" s="723"/>
    </row>
    <row r="280" spans="2:7">
      <c r="B280" s="13" t="s">
        <v>1188</v>
      </c>
      <c r="C280" s="404">
        <f>Flaring!G102</f>
        <v>9.0031440436023812E-5</v>
      </c>
      <c r="D280" s="404">
        <f>Flaring!G102</f>
        <v>9.0031440436023812E-5</v>
      </c>
      <c r="E280" s="404">
        <f>Flaring!G102</f>
        <v>9.0031440436023812E-5</v>
      </c>
      <c r="F280" s="404">
        <f>Flaring!G102</f>
        <v>9.0031440436023812E-5</v>
      </c>
      <c r="G280" s="13" t="s">
        <v>739</v>
      </c>
    </row>
    <row r="281" spans="2:7">
      <c r="B281" s="13" t="s">
        <v>1188</v>
      </c>
      <c r="C281" s="210">
        <f>C280*1000000</f>
        <v>90.031440436023814</v>
      </c>
      <c r="D281" s="210">
        <f t="shared" ref="D281:F281" si="8">D280*1000000</f>
        <v>90.031440436023814</v>
      </c>
      <c r="E281" s="210">
        <f t="shared" si="8"/>
        <v>90.031440436023814</v>
      </c>
      <c r="F281" s="210">
        <f t="shared" si="8"/>
        <v>90.031440436023814</v>
      </c>
      <c r="G281" s="13" t="s">
        <v>1074</v>
      </c>
    </row>
    <row r="282" spans="2:7">
      <c r="B282" s="211" t="s">
        <v>2106</v>
      </c>
    </row>
    <row r="285" spans="2:7">
      <c r="B285" s="666" t="s">
        <v>2117</v>
      </c>
    </row>
    <row r="286" spans="2:7">
      <c r="B286" s="723"/>
      <c r="C286" s="723" t="s">
        <v>1180</v>
      </c>
      <c r="D286" s="723" t="s">
        <v>1181</v>
      </c>
      <c r="E286" s="723" t="s">
        <v>1182</v>
      </c>
      <c r="F286" s="723" t="s">
        <v>1183</v>
      </c>
      <c r="G286" s="723"/>
    </row>
    <row r="287" spans="2:7">
      <c r="B287" s="13" t="s">
        <v>2102</v>
      </c>
      <c r="C287" s="207">
        <v>7500</v>
      </c>
      <c r="D287" s="207">
        <v>7500</v>
      </c>
      <c r="E287" s="207">
        <v>7500</v>
      </c>
      <c r="F287" s="207">
        <v>5480</v>
      </c>
      <c r="G287" s="13" t="s">
        <v>2103</v>
      </c>
    </row>
    <row r="288" spans="2:7">
      <c r="B288" s="13" t="s">
        <v>2102</v>
      </c>
      <c r="C288" s="210">
        <f>C287*$M$32/'Input data'!$E$36/'Input data'!$E$32</f>
        <v>42.713094988555348</v>
      </c>
      <c r="D288" s="210">
        <f>D287*$M$32/'Input data'!$E$36/'Input data'!$E$32</f>
        <v>42.713094988555348</v>
      </c>
      <c r="E288" s="210">
        <f>E287*$M$32/'Input data'!$E$36/'Input data'!$E$32</f>
        <v>42.713094988555348</v>
      </c>
      <c r="F288" s="210">
        <f>F287*$M$32/'Input data'!$E$36/'Input data'!$E$32</f>
        <v>31.209034738304435</v>
      </c>
      <c r="G288" s="13" t="s">
        <v>1074</v>
      </c>
    </row>
    <row r="289" spans="2:2">
      <c r="B289" s="211" t="s">
        <v>2104</v>
      </c>
    </row>
    <row r="290" spans="2:2">
      <c r="B290" s="211" t="s">
        <v>2105</v>
      </c>
    </row>
  </sheetData>
  <hyperlinks>
    <hyperlink ref="S36" r:id="rId1"/>
  </hyperlinks>
  <pageMargins left="0.7" right="0.7" top="0.75" bottom="0.75" header="0.3" footer="0.3"/>
  <pageSetup orientation="portrait" horizontalDpi="4294967292" verticalDpi="4294967292"/>
  <ignoredErrors>
    <ignoredError sqref="N169:N172"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BC57"/>
  <sheetViews>
    <sheetView workbookViewId="0"/>
  </sheetViews>
  <sheetFormatPr defaultColWidth="8.5546875" defaultRowHeight="15"/>
  <cols>
    <col min="1" max="2" width="8.5546875" style="102"/>
    <col min="3" max="3" width="9.5546875" style="102" customWidth="1"/>
    <col min="4" max="5" width="8.5546875" style="102"/>
    <col min="6" max="8" width="9.44140625" style="102" customWidth="1"/>
    <col min="9" max="10" width="8.5546875" style="102"/>
    <col min="11" max="11" width="10.44140625" style="102" customWidth="1"/>
    <col min="12" max="12" width="9.88671875" style="102" customWidth="1"/>
    <col min="13" max="13" width="9.44140625" style="102" customWidth="1"/>
    <col min="14" max="14" width="10.5546875" style="102" customWidth="1"/>
    <col min="15" max="15" width="11.44140625" style="102" customWidth="1"/>
    <col min="16" max="16" width="9.44140625" style="102" customWidth="1"/>
    <col min="17" max="17" width="10.44140625" style="102" customWidth="1"/>
    <col min="18" max="20" width="8.5546875" style="102"/>
    <col min="21" max="21" width="9.44140625" style="102" customWidth="1"/>
    <col min="22" max="22" width="8.5546875" style="102"/>
    <col min="23" max="23" width="9" style="102" customWidth="1"/>
    <col min="24" max="30" width="8.5546875" style="102"/>
    <col min="31" max="31" width="8.5546875" style="102" customWidth="1"/>
    <col min="32" max="32" width="10.5546875" style="102" customWidth="1"/>
    <col min="33" max="35" width="8.5546875" style="102" customWidth="1"/>
    <col min="36" max="36" width="9.44140625" style="102" customWidth="1"/>
    <col min="37" max="37" width="10" style="102" customWidth="1"/>
    <col min="38" max="38" width="8.5546875" style="102"/>
    <col min="39" max="39" width="9.44140625" style="102" customWidth="1"/>
    <col min="40" max="40" width="8.5546875" style="102"/>
    <col min="41" max="41" width="10.44140625" style="102" customWidth="1"/>
    <col min="42" max="16384" width="8.5546875" style="102"/>
  </cols>
  <sheetData>
    <row r="1" spans="1:55" s="6" customFormat="1" ht="24" customHeight="1">
      <c r="A1" s="6" t="s">
        <v>892</v>
      </c>
    </row>
    <row r="2" spans="1:55" customFormat="1"/>
    <row r="3" spans="1:55" customFormat="1">
      <c r="A3" t="s">
        <v>893</v>
      </c>
    </row>
    <row r="4" spans="1:55" customFormat="1"/>
    <row r="5" spans="1:55" s="9" customFormat="1" ht="15.75">
      <c r="A5" s="9" t="s">
        <v>1312</v>
      </c>
    </row>
    <row r="6" spans="1:55">
      <c r="A6"/>
      <c r="B6"/>
      <c r="C6"/>
      <c r="D6"/>
      <c r="E6"/>
      <c r="F6"/>
      <c r="G6"/>
      <c r="H6"/>
      <c r="I6"/>
      <c r="J6"/>
      <c r="K6"/>
      <c r="L6" s="405"/>
      <c r="M6" s="93"/>
      <c r="N6" s="93"/>
      <c r="O6" s="93"/>
      <c r="P6" s="93"/>
      <c r="Q6" s="93"/>
      <c r="R6" s="93"/>
      <c r="AQ6" s="93"/>
      <c r="AR6" s="93"/>
      <c r="AS6" s="93"/>
      <c r="AT6" s="93"/>
      <c r="AU6" s="93"/>
      <c r="AV6" s="93"/>
      <c r="AW6" s="93"/>
      <c r="AX6" s="93"/>
      <c r="AY6" s="93"/>
      <c r="AZ6" s="93"/>
      <c r="BA6" s="93"/>
      <c r="BB6" s="93"/>
      <c r="BC6" s="93"/>
    </row>
    <row r="7" spans="1:55">
      <c r="A7"/>
      <c r="B7"/>
      <c r="C7"/>
      <c r="D7"/>
      <c r="E7"/>
      <c r="F7"/>
      <c r="G7"/>
      <c r="H7"/>
      <c r="I7"/>
      <c r="J7"/>
      <c r="K7"/>
      <c r="L7" s="405"/>
      <c r="M7" s="93"/>
      <c r="N7" s="93"/>
      <c r="O7" s="93"/>
      <c r="P7" s="93"/>
      <c r="Q7" s="93"/>
      <c r="S7" s="102" t="s">
        <v>1315</v>
      </c>
      <c r="V7" s="93"/>
      <c r="X7" s="93"/>
      <c r="Y7" s="93"/>
      <c r="Z7" s="93"/>
      <c r="AA7" s="93"/>
      <c r="AB7" s="102" t="s">
        <v>1317</v>
      </c>
      <c r="AI7" s="93"/>
      <c r="AJ7" s="93"/>
      <c r="AK7" s="93"/>
      <c r="AL7" s="93"/>
      <c r="AM7" s="93"/>
      <c r="AN7" s="93"/>
      <c r="AO7" s="93"/>
      <c r="AP7" s="93"/>
      <c r="AR7" s="93"/>
      <c r="AS7" s="93"/>
      <c r="AT7" s="93"/>
      <c r="AU7" s="93"/>
      <c r="AV7" s="93"/>
      <c r="AW7" s="93"/>
      <c r="AX7" s="93"/>
      <c r="AY7" s="93"/>
      <c r="AZ7" s="93"/>
      <c r="BA7" s="93"/>
      <c r="BB7" s="93"/>
      <c r="BC7" s="93"/>
    </row>
    <row r="8" spans="1:55">
      <c r="A8"/>
      <c r="B8"/>
      <c r="C8"/>
      <c r="D8"/>
      <c r="E8"/>
      <c r="F8"/>
      <c r="G8"/>
      <c r="H8"/>
      <c r="I8"/>
      <c r="J8"/>
      <c r="K8"/>
      <c r="M8" s="93"/>
      <c r="N8" s="93"/>
      <c r="O8" s="93"/>
      <c r="P8" s="93"/>
      <c r="Q8" s="407"/>
      <c r="S8" s="408" t="s">
        <v>218</v>
      </c>
      <c r="T8" s="408" t="s">
        <v>210</v>
      </c>
      <c r="U8" s="408" t="s">
        <v>597</v>
      </c>
      <c r="V8" s="93"/>
      <c r="X8" s="93"/>
      <c r="Y8" s="93"/>
      <c r="Z8" s="93"/>
      <c r="AA8" s="93"/>
      <c r="AB8" s="106" t="s">
        <v>218</v>
      </c>
      <c r="AC8" s="106" t="s">
        <v>210</v>
      </c>
      <c r="AD8" s="106" t="s">
        <v>597</v>
      </c>
      <c r="AE8" s="744" t="s">
        <v>2498</v>
      </c>
      <c r="AF8" s="744" t="s">
        <v>2499</v>
      </c>
      <c r="AG8" s="744" t="s">
        <v>550</v>
      </c>
      <c r="AH8" s="744" t="s">
        <v>551</v>
      </c>
      <c r="AI8" s="93"/>
      <c r="AJ8" s="93"/>
      <c r="AQ8" s="72"/>
      <c r="AR8" s="93"/>
      <c r="AS8" s="93"/>
      <c r="AT8" s="93"/>
      <c r="AU8" s="93"/>
      <c r="AV8" s="93"/>
      <c r="AW8" s="93"/>
      <c r="AX8" s="93"/>
      <c r="AY8" s="93"/>
      <c r="AZ8" s="93"/>
      <c r="BA8" s="93"/>
      <c r="BB8" s="93"/>
      <c r="BC8" s="93"/>
    </row>
    <row r="9" spans="1:55">
      <c r="A9"/>
      <c r="B9"/>
      <c r="C9"/>
      <c r="D9"/>
      <c r="E9"/>
      <c r="F9"/>
      <c r="G9"/>
      <c r="H9"/>
      <c r="I9"/>
      <c r="J9"/>
      <c r="K9"/>
      <c r="L9" s="102" t="s">
        <v>1314</v>
      </c>
      <c r="M9" s="93"/>
      <c r="N9" s="93"/>
      <c r="O9" s="93"/>
      <c r="P9" s="93"/>
      <c r="Q9" s="93"/>
      <c r="S9" s="409" t="str">
        <f>"--"</f>
        <v>--</v>
      </c>
      <c r="T9" s="409" t="str">
        <f>"--"</f>
        <v>--</v>
      </c>
      <c r="U9" s="409" t="s">
        <v>273</v>
      </c>
      <c r="V9" s="93"/>
      <c r="X9" s="93"/>
      <c r="Y9" s="93"/>
      <c r="Z9" s="93"/>
      <c r="AA9" s="93"/>
      <c r="AB9" s="13" t="str">
        <f>"--"</f>
        <v>--</v>
      </c>
      <c r="AC9" s="13" t="str">
        <f>"--"</f>
        <v>--</v>
      </c>
      <c r="AD9" s="13" t="s">
        <v>273</v>
      </c>
      <c r="AE9" s="410" t="s">
        <v>240</v>
      </c>
      <c r="AF9" s="410" t="s">
        <v>240</v>
      </c>
      <c r="AG9" s="151" t="s">
        <v>546</v>
      </c>
      <c r="AH9" s="151" t="s">
        <v>546</v>
      </c>
      <c r="AI9" s="93"/>
      <c r="AJ9" s="93"/>
      <c r="AP9" s="93"/>
      <c r="AQ9" s="93"/>
      <c r="AS9" s="93"/>
      <c r="AT9" s="93"/>
      <c r="AU9" s="93"/>
      <c r="AV9" s="93"/>
      <c r="AW9" s="93"/>
      <c r="AX9" s="93"/>
      <c r="AY9" s="93"/>
      <c r="AZ9" s="93"/>
      <c r="BA9" s="93"/>
      <c r="BB9" s="93"/>
      <c r="BC9" s="93"/>
    </row>
    <row r="10" spans="1:55" ht="15.75">
      <c r="A10"/>
      <c r="B10"/>
      <c r="C10"/>
      <c r="D10"/>
      <c r="E10"/>
      <c r="F10"/>
      <c r="G10"/>
      <c r="H10"/>
      <c r="I10"/>
      <c r="J10"/>
      <c r="K10"/>
      <c r="L10" s="106" t="s">
        <v>218</v>
      </c>
      <c r="M10" s="106" t="s">
        <v>210</v>
      </c>
      <c r="N10" s="106" t="s">
        <v>597</v>
      </c>
      <c r="P10" s="93"/>
      <c r="Q10" s="93"/>
      <c r="S10" s="388" t="s">
        <v>1061</v>
      </c>
      <c r="T10" s="409">
        <f t="shared" ref="T10:T15" si="0">100*U10/$P$13</f>
        <v>39.664174155684819</v>
      </c>
      <c r="U10" s="743">
        <f>IF('Surface Processing'!M58=1,(('Venting &amp; Fugitives'!M128/'Input data'!D83)+('Venting &amp; Fugitives'!E136+'Venting &amp; Fugitives'!E151+'Venting &amp; Fugitives'!E156)+('Venting &amp; Fugitives'!E236-'Venting &amp; Fugitives'!E196-'Venting &amp; Fugitives'!E201))/1000000+1*(N30-(('Venting &amp; Fugitives'!M128/'Input data'!D83)+('Venting &amp; Fugitives'!E136+'Venting &amp; Fugitives'!E151+'Venting &amp; Fugitives'!E156)+('Venting &amp; Fugitives'!E236-'Venting &amp; Fugitives'!E196-'Venting &amp; Fugitives'!E201))/1000000),(('Venting &amp; Fugitives'!M128/'Input data'!D83)+('Venting &amp; Fugitives'!E136+'Venting &amp; Fugitives'!E151+'Venting &amp; Fugitives'!E156)+('Venting &amp; Fugitives'!E236-'Venting &amp; Fugitives'!E196-'Venting &amp; Fugitives'!E201))/1000000)</f>
        <v>11.093275125712166</v>
      </c>
      <c r="V10" s="718"/>
      <c r="Y10" s="93"/>
      <c r="Z10" s="93"/>
      <c r="AA10" s="93"/>
      <c r="AB10" s="388" t="s">
        <v>1067</v>
      </c>
      <c r="AC10" s="13">
        <f t="shared" ref="AC10:AC16" si="1">100*AD10/$AC$23</f>
        <v>2.4338945777113312</v>
      </c>
      <c r="AD10" s="411">
        <f>W29</f>
        <v>37.259332688512096</v>
      </c>
      <c r="AE10" s="412">
        <f>AF10*AC10/100</f>
        <v>0.68149048175917271</v>
      </c>
      <c r="AF10" s="412">
        <f>'Fuel Specs'!$E$148</f>
        <v>28</v>
      </c>
      <c r="AG10" s="413">
        <f>'Fuel Specs'!G128</f>
        <v>0</v>
      </c>
      <c r="AH10" s="413">
        <f>'Fuel Specs'!H128</f>
        <v>0</v>
      </c>
      <c r="AI10" s="93"/>
      <c r="AJ10" s="93"/>
      <c r="AK10" s="93"/>
      <c r="AL10" s="93"/>
      <c r="AM10" s="93"/>
      <c r="AN10" s="93"/>
      <c r="AO10" s="93"/>
      <c r="AP10" s="93"/>
      <c r="AS10" s="93"/>
      <c r="AT10" s="93"/>
      <c r="AU10" s="93"/>
      <c r="AV10" s="93"/>
      <c r="AW10" s="93"/>
      <c r="AX10" s="93"/>
      <c r="AY10" s="93"/>
      <c r="AZ10" s="93"/>
      <c r="BA10" s="93"/>
      <c r="BB10" s="93"/>
      <c r="BC10" s="93"/>
    </row>
    <row r="11" spans="1:55" ht="15.75">
      <c r="A11"/>
      <c r="B11"/>
      <c r="C11"/>
      <c r="D11"/>
      <c r="E11"/>
      <c r="F11"/>
      <c r="G11"/>
      <c r="H11"/>
      <c r="I11"/>
      <c r="J11"/>
      <c r="K11"/>
      <c r="L11" s="13" t="str">
        <f>"--"</f>
        <v>--</v>
      </c>
      <c r="M11" s="13" t="str">
        <f>"--"</f>
        <v>--</v>
      </c>
      <c r="N11" s="13" t="s">
        <v>273</v>
      </c>
      <c r="S11" s="388" t="s">
        <v>1062</v>
      </c>
      <c r="T11" s="409">
        <f t="shared" si="0"/>
        <v>53.220782393693803</v>
      </c>
      <c r="U11" s="743">
        <f>(('Venting &amp; Fugitives'!M129/'Input data'!D84)+('Venting &amp; Fugitives'!F171-'Venting &amp; Fugitives'!F146)+('Venting &amp; Fugitives'!F236-'Venting &amp; Fugitives'!F196-'Venting &amp; Fugitives'!F201))/1000000</f>
        <v>14.884786941020582</v>
      </c>
      <c r="Y11" s="93"/>
      <c r="Z11" s="93"/>
      <c r="AA11" s="93"/>
      <c r="AB11" s="414" t="s">
        <v>1061</v>
      </c>
      <c r="AC11" s="13">
        <f t="shared" si="1"/>
        <v>0</v>
      </c>
      <c r="AD11" s="411">
        <f>W30</f>
        <v>0</v>
      </c>
      <c r="AE11" s="412">
        <f t="shared" ref="AE11:AE16" si="2">AF11*AC11/100</f>
        <v>0</v>
      </c>
      <c r="AF11" s="412">
        <f>'Fuel Specs'!$E$150</f>
        <v>44</v>
      </c>
      <c r="AG11" s="413">
        <f>'Fuel Specs'!I130</f>
        <v>0</v>
      </c>
      <c r="AH11" s="413">
        <f>'Fuel Specs'!J130</f>
        <v>0</v>
      </c>
      <c r="AI11" s="93"/>
      <c r="AT11" s="93"/>
      <c r="AU11" s="93"/>
      <c r="AV11" s="93"/>
      <c r="AW11" s="93"/>
      <c r="AX11" s="93"/>
      <c r="AY11" s="93"/>
      <c r="AZ11" s="93"/>
      <c r="BA11" s="93"/>
      <c r="BB11" s="93"/>
      <c r="BC11" s="93"/>
    </row>
    <row r="12" spans="1:55" ht="15.75">
      <c r="A12"/>
      <c r="B12"/>
      <c r="C12"/>
      <c r="D12"/>
      <c r="E12"/>
      <c r="F12"/>
      <c r="G12"/>
      <c r="H12"/>
      <c r="I12"/>
      <c r="J12"/>
      <c r="K12"/>
      <c r="L12" s="388" t="s">
        <v>1067</v>
      </c>
      <c r="M12" s="13">
        <f>100*N12/$I$14</f>
        <v>2.3708692995655469</v>
      </c>
      <c r="N12" s="411">
        <f>F29-N29</f>
        <v>0.52639677331366386</v>
      </c>
      <c r="S12" s="388" t="s">
        <v>1063</v>
      </c>
      <c r="T12" s="415">
        <f t="shared" si="0"/>
        <v>0.15634780498224196</v>
      </c>
      <c r="U12" s="743">
        <f>IF((N34-J42)&gt;0,0.31,0.425)*(('Venting &amp; Fugitives'!M130/IF((N34-J42)&gt;0,'Input data'!D89,'Input data'!D90))+('Venting &amp; Fugitives'!G171-'Venting &amp; Fugitives'!G146)+('Venting &amp; Fugitives'!G236-'Venting &amp; Fugitives'!G196-'Venting &amp; Fugitives'!G201))/1000000</f>
        <v>4.3727349752991626E-2</v>
      </c>
      <c r="Y12" s="93"/>
      <c r="Z12" s="93"/>
      <c r="AA12" s="93"/>
      <c r="AB12" s="414" t="s">
        <v>1062</v>
      </c>
      <c r="AC12" s="13">
        <f t="shared" si="1"/>
        <v>97.514454659949763</v>
      </c>
      <c r="AD12" s="411">
        <f>W31</f>
        <v>1492.8023347381081</v>
      </c>
      <c r="AE12" s="412">
        <f>AF12*AC12/100</f>
        <v>15.602312745591963</v>
      </c>
      <c r="AF12" s="412">
        <f>'Fuel Specs'!$E$152</f>
        <v>16</v>
      </c>
      <c r="AG12" s="413">
        <f>'Fuel Specs'!G132</f>
        <v>1013</v>
      </c>
      <c r="AH12" s="413">
        <f>'Fuel Specs'!H132</f>
        <v>913</v>
      </c>
      <c r="AI12" s="93"/>
      <c r="AQ12" s="258"/>
      <c r="AT12" s="93"/>
      <c r="AU12" s="93"/>
      <c r="AV12" s="93"/>
      <c r="AW12" s="93"/>
      <c r="AX12" s="93"/>
      <c r="AY12" s="93"/>
      <c r="AZ12" s="93"/>
      <c r="BA12" s="93"/>
      <c r="BB12" s="93"/>
      <c r="BC12" s="93"/>
    </row>
    <row r="13" spans="1:55" ht="15.75">
      <c r="A13"/>
      <c r="B13"/>
      <c r="C13"/>
      <c r="D13"/>
      <c r="E13"/>
      <c r="F13"/>
      <c r="G13"/>
      <c r="H13"/>
      <c r="I13"/>
      <c r="J13"/>
      <c r="K13"/>
      <c r="L13" s="388" t="s">
        <v>1061</v>
      </c>
      <c r="M13" s="13">
        <f t="shared" ref="M13:M18" si="3">100*N13/$I$14</f>
        <v>0.70588235294118162</v>
      </c>
      <c r="N13" s="411">
        <f t="shared" ref="N13:N18" si="4">F30-N30</f>
        <v>0.15672487428783377</v>
      </c>
      <c r="P13" s="416">
        <f>U16</f>
        <v>27.967997221296578</v>
      </c>
      <c r="Q13" s="93" t="s">
        <v>273</v>
      </c>
      <c r="S13" s="388" t="s">
        <v>1064</v>
      </c>
      <c r="T13" s="409">
        <f t="shared" si="0"/>
        <v>0.21182605836303747</v>
      </c>
      <c r="U13" s="743">
        <f>IF((N34-J42)&gt;0,0.42,0.575)*(('Venting &amp; Fugitives'!M130/IF((N34-J42)&gt;0,'Input data'!D89,'Input data'!D90))+('Venting &amp; Fugitives'!G171-'Venting &amp; Fugitives'!G146)+('Venting &amp; Fugitives'!G236-'Venting &amp; Fugitives'!G196-'Venting &amp; Fugitives'!G201))/1000000</f>
        <v>5.924350611695639E-2</v>
      </c>
      <c r="Y13" s="93"/>
      <c r="Z13" s="93"/>
      <c r="AA13" s="93"/>
      <c r="AB13" s="414" t="s">
        <v>1063</v>
      </c>
      <c r="AC13" s="13">
        <f t="shared" si="1"/>
        <v>5.1650762338903734E-2</v>
      </c>
      <c r="AD13" s="411">
        <f>W32-AD31</f>
        <v>0.79069691646633622</v>
      </c>
      <c r="AE13" s="412">
        <f t="shared" si="2"/>
        <v>1.549522870167112E-2</v>
      </c>
      <c r="AF13" s="412">
        <f>'Fuel Specs'!$E$153</f>
        <v>30</v>
      </c>
      <c r="AG13" s="413">
        <f>'Fuel Specs'!G133</f>
        <v>1792</v>
      </c>
      <c r="AH13" s="413">
        <f>'Fuel Specs'!H133</f>
        <v>1641</v>
      </c>
      <c r="AI13" s="93"/>
      <c r="AJ13" s="258"/>
      <c r="AK13" s="258"/>
      <c r="AL13" s="115"/>
      <c r="AM13" s="115"/>
      <c r="AN13" s="258"/>
      <c r="AO13" s="258"/>
      <c r="AP13" s="258"/>
      <c r="AQ13" s="258"/>
      <c r="AS13" s="93"/>
      <c r="AT13" s="93"/>
      <c r="AU13" s="93"/>
      <c r="AV13" s="93"/>
      <c r="AW13" s="93"/>
      <c r="AX13" s="93"/>
      <c r="AY13" s="93"/>
      <c r="AZ13" s="93"/>
      <c r="BA13" s="93"/>
      <c r="BB13" s="93"/>
      <c r="BC13" s="93"/>
    </row>
    <row r="14" spans="1:55" ht="15.75">
      <c r="A14" s="1083"/>
      <c r="B14" s="1083"/>
      <c r="C14"/>
      <c r="D14"/>
      <c r="E14"/>
      <c r="F14"/>
      <c r="G14"/>
      <c r="H14"/>
      <c r="I14">
        <f>Flaring!M15</f>
        <v>22.202690524109624</v>
      </c>
      <c r="J14" t="s">
        <v>273</v>
      </c>
      <c r="K14"/>
      <c r="L14" s="388" t="s">
        <v>1062</v>
      </c>
      <c r="M14" s="13">
        <f t="shared" si="3"/>
        <v>95.93647690962284</v>
      </c>
      <c r="N14" s="411">
        <f t="shared" si="4"/>
        <v>21.300479067977449</v>
      </c>
      <c r="S14" s="388" t="s">
        <v>1065</v>
      </c>
      <c r="T14" s="409">
        <f t="shared" si="0"/>
        <v>0.13617389466195268</v>
      </c>
      <c r="U14" s="743">
        <f>IF((N34-J42)&gt;0,0.27,0)*(('Venting &amp; Fugitives'!M130/IF((N34-J42)&gt;0,'Input data'!D89,'Input data'!D90))+('Venting &amp; Fugitives'!G171-'Venting &amp; Fugitives'!G146)+('Venting &amp; Fugitives'!G236-'Venting &amp; Fugitives'!G196-'Venting &amp; Fugitives'!G201))/1000000</f>
        <v>3.8085111075186258E-2</v>
      </c>
      <c r="Y14" s="93"/>
      <c r="Z14" s="93"/>
      <c r="AB14" s="414" t="s">
        <v>1064</v>
      </c>
      <c r="AC14" s="13">
        <f t="shared" si="1"/>
        <v>0</v>
      </c>
      <c r="AD14" s="411">
        <f>W33-AD32</f>
        <v>0</v>
      </c>
      <c r="AE14" s="412">
        <f t="shared" si="2"/>
        <v>0</v>
      </c>
      <c r="AF14" s="412">
        <f>'Fuel Specs'!$E$154</f>
        <v>44</v>
      </c>
      <c r="AG14" s="413">
        <f>'Fuel Specs'!G134</f>
        <v>2590</v>
      </c>
      <c r="AH14" s="413">
        <f>'Fuel Specs'!H134</f>
        <v>2385</v>
      </c>
      <c r="AI14" s="93"/>
      <c r="AJ14" s="258"/>
      <c r="AK14" s="258"/>
      <c r="AL14" s="258"/>
      <c r="AM14" s="258"/>
      <c r="AN14" s="258"/>
      <c r="AO14" s="258"/>
      <c r="AP14" s="258"/>
      <c r="AQ14" s="258"/>
      <c r="AS14" s="93"/>
      <c r="AT14" s="93"/>
      <c r="AU14" s="93"/>
      <c r="AV14" s="93"/>
      <c r="AW14" s="93"/>
      <c r="AX14" s="93"/>
      <c r="AY14" s="93"/>
      <c r="AZ14" s="93"/>
      <c r="BA14" s="93"/>
      <c r="BB14" s="93"/>
      <c r="BC14" s="93"/>
    </row>
    <row r="15" spans="1:55" ht="15.75">
      <c r="A15"/>
      <c r="B15"/>
      <c r="C15"/>
      <c r="D15"/>
      <c r="E15"/>
      <c r="F15"/>
      <c r="G15"/>
      <c r="H15"/>
      <c r="I15"/>
      <c r="J15"/>
      <c r="K15"/>
      <c r="L15" s="388" t="s">
        <v>1063</v>
      </c>
      <c r="M15" s="13">
        <f t="shared" si="3"/>
        <v>0.51618320257682782</v>
      </c>
      <c r="N15" s="411">
        <f t="shared" si="4"/>
        <v>0.11460655900557093</v>
      </c>
      <c r="Q15" s="93"/>
      <c r="S15" s="388" t="s">
        <v>1066</v>
      </c>
      <c r="T15" s="409">
        <f t="shared" si="0"/>
        <v>6.6106956926141374</v>
      </c>
      <c r="U15" s="417">
        <f>IF('Surface Processing'!M58=1,N35,0)</f>
        <v>1.8488791876186945</v>
      </c>
      <c r="Y15" s="93"/>
      <c r="Z15" s="93"/>
      <c r="AB15" s="414" t="s">
        <v>1065</v>
      </c>
      <c r="AC15" s="13">
        <f t="shared" si="1"/>
        <v>0</v>
      </c>
      <c r="AD15" s="411">
        <f>W34-AD33</f>
        <v>0</v>
      </c>
      <c r="AE15" s="412">
        <f t="shared" si="2"/>
        <v>0</v>
      </c>
      <c r="AF15" s="412">
        <f>'Fuel Specs'!$E$155</f>
        <v>58</v>
      </c>
      <c r="AG15" s="413">
        <f>'Fuel Specs'!G135</f>
        <v>3370</v>
      </c>
      <c r="AH15" s="413">
        <f>'Fuel Specs'!H135</f>
        <v>3113</v>
      </c>
      <c r="AI15" s="93"/>
      <c r="AJ15" s="258"/>
      <c r="AK15" s="258"/>
      <c r="AL15" s="258"/>
      <c r="AM15" s="258"/>
      <c r="AN15" s="258"/>
      <c r="AO15" s="258"/>
      <c r="AP15" s="258"/>
      <c r="AQ15" s="258"/>
      <c r="AS15" s="93"/>
      <c r="AT15" s="93"/>
      <c r="AU15" s="93"/>
      <c r="AV15" s="93"/>
      <c r="AW15" s="93"/>
      <c r="AX15" s="93"/>
      <c r="AY15" s="93"/>
      <c r="AZ15" s="93"/>
      <c r="BA15" s="93"/>
      <c r="BB15" s="93"/>
      <c r="BC15" s="93"/>
    </row>
    <row r="16" spans="1:55" ht="15.75">
      <c r="A16"/>
      <c r="B16"/>
      <c r="C16"/>
      <c r="D16"/>
      <c r="E16"/>
      <c r="F16"/>
      <c r="G16"/>
      <c r="H16"/>
      <c r="I16"/>
      <c r="J16"/>
      <c r="K16"/>
      <c r="L16" s="388" t="s">
        <v>1064</v>
      </c>
      <c r="M16" s="13">
        <f t="shared" si="3"/>
        <v>0.23529411764705918</v>
      </c>
      <c r="N16" s="411">
        <f t="shared" si="4"/>
        <v>5.2241624762610961E-2</v>
      </c>
      <c r="S16" s="418" t="s">
        <v>339</v>
      </c>
      <c r="T16" s="409">
        <f>SUM(T10:T15)</f>
        <v>100</v>
      </c>
      <c r="U16" s="419">
        <f>SUM(U10:U15)</f>
        <v>27.967997221296578</v>
      </c>
      <c r="AB16" s="414" t="s">
        <v>1066</v>
      </c>
      <c r="AC16" s="13">
        <f t="shared" si="1"/>
        <v>0</v>
      </c>
      <c r="AD16" s="411">
        <f>W35</f>
        <v>0</v>
      </c>
      <c r="AE16" s="412">
        <f t="shared" si="2"/>
        <v>0</v>
      </c>
      <c r="AF16" s="412">
        <f>'Fuel Specs'!$E$158</f>
        <v>34</v>
      </c>
      <c r="AG16" s="413">
        <f>'Fuel Specs'!G138</f>
        <v>640</v>
      </c>
      <c r="AH16" s="413">
        <f>'Fuel Specs'!H138</f>
        <v>594</v>
      </c>
      <c r="AI16" s="93"/>
      <c r="AJ16" s="258"/>
      <c r="AK16" s="258"/>
      <c r="AL16" s="420"/>
      <c r="AM16" s="258"/>
      <c r="AN16" s="258"/>
      <c r="AO16" s="258"/>
      <c r="AP16" s="258"/>
      <c r="AQ16" s="258"/>
      <c r="AS16" s="93"/>
      <c r="AT16" s="93"/>
      <c r="AU16" s="93"/>
      <c r="AV16" s="93"/>
      <c r="AW16" s="93"/>
      <c r="AX16" s="93"/>
      <c r="AY16" s="93"/>
      <c r="AZ16" s="93"/>
      <c r="BA16" s="93"/>
      <c r="BB16" s="93"/>
      <c r="BC16" s="93"/>
    </row>
    <row r="17" spans="1:55" ht="15.75">
      <c r="A17"/>
      <c r="B17"/>
      <c r="C17">
        <f>('Venting &amp; Fugitives'!G251/365)+('Venting &amp; Fugitives'!E146+'Venting &amp; Fugitives'!F146+'Venting &amp; Fugitives'!G146)/1000000</f>
        <v>0.57865896491835989</v>
      </c>
      <c r="D17" t="s">
        <v>273</v>
      </c>
      <c r="E17"/>
      <c r="F17"/>
      <c r="G17"/>
      <c r="H17"/>
      <c r="I17"/>
      <c r="J17"/>
      <c r="K17"/>
      <c r="L17" s="388" t="s">
        <v>1065</v>
      </c>
      <c r="M17" s="13">
        <f t="shared" si="3"/>
        <v>0.11764705882352959</v>
      </c>
      <c r="N17" s="411">
        <f t="shared" si="4"/>
        <v>2.612081238130548E-2</v>
      </c>
      <c r="S17" s="422" t="s">
        <v>1060</v>
      </c>
      <c r="Y17" s="93"/>
      <c r="Z17" s="93"/>
      <c r="AB17" s="423" t="s">
        <v>339</v>
      </c>
      <c r="AC17" s="13">
        <f>SUM(AC10:AC16)</f>
        <v>100</v>
      </c>
      <c r="AD17" s="411">
        <f>SUM(AD10:AD16)</f>
        <v>1530.8523643430865</v>
      </c>
      <c r="AE17" s="412">
        <f>SUM(AE10:AE16)</f>
        <v>16.299298456052806</v>
      </c>
      <c r="AF17" s="638" t="str">
        <f>"--"</f>
        <v>--</v>
      </c>
      <c r="AG17" s="412" t="str">
        <f t="shared" ref="AG17:AH17" si="5">"--"</f>
        <v>--</v>
      </c>
      <c r="AH17" s="412" t="str">
        <f t="shared" si="5"/>
        <v>--</v>
      </c>
      <c r="AI17" s="119"/>
      <c r="AJ17" s="258"/>
      <c r="AK17" s="258"/>
      <c r="AL17" s="69" t="s">
        <v>341</v>
      </c>
      <c r="AM17" s="258"/>
      <c r="AN17" s="258"/>
      <c r="AO17" s="213"/>
      <c r="AP17" s="258"/>
      <c r="AQ17" s="93"/>
      <c r="AS17" s="93"/>
      <c r="AT17" s="93"/>
      <c r="AU17" s="93"/>
      <c r="AV17" s="93"/>
      <c r="AW17" s="93"/>
      <c r="AX17" s="93"/>
      <c r="AY17" s="93"/>
      <c r="AZ17" s="93"/>
      <c r="BA17" s="93"/>
      <c r="BB17" s="93"/>
      <c r="BC17" s="93"/>
    </row>
    <row r="18" spans="1:55" ht="16.5" thickBot="1">
      <c r="A18"/>
      <c r="B18"/>
      <c r="C18"/>
      <c r="D18" s="870" t="s">
        <v>829</v>
      </c>
      <c r="E18" s="870"/>
      <c r="F18" s="870"/>
      <c r="G18" s="870"/>
      <c r="H18"/>
      <c r="I18"/>
      <c r="J18"/>
      <c r="K18"/>
      <c r="L18" s="388" t="s">
        <v>1066</v>
      </c>
      <c r="M18" s="13">
        <f t="shared" si="3"/>
        <v>0.11764705882352959</v>
      </c>
      <c r="N18" s="411">
        <f t="shared" si="4"/>
        <v>2.612081238130548E-2</v>
      </c>
      <c r="S18" s="425" t="s">
        <v>1068</v>
      </c>
      <c r="Y18" s="93"/>
      <c r="Z18" s="93"/>
      <c r="AB18" s="13" t="s">
        <v>1859</v>
      </c>
      <c r="AC18" s="17">
        <f>(14.7*AE17)/(10.73*(60+460))/0.0764</f>
        <v>0.56206924538862468</v>
      </c>
      <c r="AD18" s="426" t="s">
        <v>242</v>
      </c>
      <c r="AE18" s="426"/>
      <c r="AF18" s="93"/>
      <c r="AG18" s="93"/>
      <c r="AH18" s="93"/>
      <c r="AI18" s="93"/>
      <c r="AJ18" s="93"/>
      <c r="AK18" s="93"/>
      <c r="AL18" s="93"/>
      <c r="AM18" s="93"/>
      <c r="AN18" s="93"/>
      <c r="AO18" s="93"/>
      <c r="AP18" s="93"/>
      <c r="AQ18" s="72"/>
      <c r="AS18" s="93"/>
      <c r="AT18" s="93"/>
      <c r="AU18" s="93"/>
      <c r="AV18" s="93"/>
      <c r="AW18" s="93"/>
      <c r="AX18" s="93"/>
      <c r="AY18" s="93"/>
      <c r="AZ18" s="93"/>
      <c r="BA18" s="93"/>
      <c r="BB18" s="93"/>
      <c r="BC18" s="93"/>
    </row>
    <row r="19" spans="1:55" ht="15.75">
      <c r="A19"/>
      <c r="B19"/>
      <c r="C19"/>
      <c r="D19" s="870" t="s">
        <v>857</v>
      </c>
      <c r="E19" s="870"/>
      <c r="F19" s="870"/>
      <c r="G19" s="870"/>
      <c r="H19"/>
      <c r="I19"/>
      <c r="J19"/>
      <c r="K19"/>
      <c r="L19" s="423" t="s">
        <v>339</v>
      </c>
      <c r="M19" s="13">
        <f>SUM(M12:M18)</f>
        <v>100.00000000000053</v>
      </c>
      <c r="N19" s="411">
        <f>SUM(N12:N18)</f>
        <v>22.202690524109737</v>
      </c>
      <c r="P19" s="427"/>
      <c r="Q19" s="428"/>
      <c r="R19" s="428"/>
      <c r="S19" s="429"/>
      <c r="X19" s="93"/>
      <c r="Y19" s="93"/>
      <c r="Z19" s="93"/>
      <c r="AB19" s="13" t="s">
        <v>550</v>
      </c>
      <c r="AC19" s="14">
        <f>SUMPRODUCT(AD10:AD16,AG10:AG16)</f>
        <v>1513625.6939640113</v>
      </c>
      <c r="AD19" s="426" t="s">
        <v>268</v>
      </c>
      <c r="AE19" s="93"/>
      <c r="AF19" s="93"/>
      <c r="AG19" s="93"/>
      <c r="AH19" s="93"/>
      <c r="AI19" s="93"/>
      <c r="AJ19" s="93"/>
      <c r="AK19" s="93"/>
      <c r="AL19" s="430">
        <f>IF('Production &amp; Extraction'!M19=1,'Production &amp; Extraction'!M159/1000,0)</f>
        <v>1406.25</v>
      </c>
      <c r="AM19" s="93" t="s">
        <v>273</v>
      </c>
      <c r="AN19" s="93"/>
      <c r="AO19" s="93"/>
      <c r="AP19" s="166" t="str">
        <f>IF('Production &amp; Extraction'!M19=1,IF(AC23&lt;AL19,"ERROR","OK"),"OK")</f>
        <v>OK</v>
      </c>
      <c r="AQ19" s="93"/>
      <c r="AS19" s="93"/>
      <c r="AT19" s="93"/>
      <c r="AU19" s="93"/>
      <c r="AV19" s="93"/>
      <c r="AW19" s="93"/>
      <c r="AX19" s="93"/>
      <c r="AY19" s="93"/>
      <c r="AZ19" s="93"/>
      <c r="BA19" s="93"/>
      <c r="BB19" s="93"/>
      <c r="BC19" s="93"/>
    </row>
    <row r="20" spans="1:55">
      <c r="A20"/>
      <c r="B20"/>
      <c r="C20"/>
      <c r="D20" s="870" t="s">
        <v>856</v>
      </c>
      <c r="E20" s="870"/>
      <c r="F20" s="870"/>
      <c r="G20" s="870"/>
      <c r="H20"/>
      <c r="I20"/>
      <c r="J20"/>
      <c r="K20"/>
      <c r="P20" s="431"/>
      <c r="Q20" s="432"/>
      <c r="R20" s="432"/>
      <c r="S20" s="433"/>
      <c r="X20" s="93"/>
      <c r="Y20" s="93"/>
      <c r="Z20" s="93"/>
      <c r="AB20" s="13" t="s">
        <v>551</v>
      </c>
      <c r="AC20" s="14">
        <f>SUMPRODUCT(AD10:AD16,AH10:AH16)</f>
        <v>1364226.065255814</v>
      </c>
      <c r="AD20" s="426" t="s">
        <v>268</v>
      </c>
      <c r="AE20" s="93"/>
      <c r="AF20" s="93"/>
      <c r="AG20" s="93"/>
      <c r="AH20" s="93"/>
      <c r="AI20" s="93"/>
      <c r="AJ20" s="93"/>
      <c r="AK20" s="93"/>
      <c r="AM20" s="93"/>
      <c r="AN20" s="93"/>
      <c r="AO20" s="93"/>
      <c r="AP20" s="93"/>
      <c r="AQ20" s="93"/>
      <c r="AS20" s="93"/>
      <c r="AT20" s="93"/>
      <c r="AU20" s="93"/>
      <c r="AV20" s="93"/>
      <c r="AW20" s="93"/>
      <c r="AX20" s="93"/>
      <c r="AY20" s="93"/>
      <c r="AZ20" s="93"/>
      <c r="BA20" s="93"/>
      <c r="BB20" s="93"/>
      <c r="BC20" s="93"/>
    </row>
    <row r="21" spans="1:55">
      <c r="A21"/>
      <c r="B21"/>
      <c r="C21"/>
      <c r="D21" s="870" t="s">
        <v>858</v>
      </c>
      <c r="E21" s="870"/>
      <c r="F21" s="870"/>
      <c r="G21" s="870"/>
      <c r="H21"/>
      <c r="I21"/>
      <c r="J21"/>
      <c r="K21"/>
      <c r="M21" s="434"/>
      <c r="P21" s="435"/>
      <c r="Q21" s="300"/>
      <c r="R21" s="405"/>
      <c r="S21" s="436"/>
      <c r="T21" s="93"/>
      <c r="V21" s="93"/>
      <c r="W21" s="93"/>
      <c r="X21" s="93"/>
      <c r="Y21" s="93"/>
      <c r="Z21" s="93"/>
      <c r="AE21" s="405"/>
      <c r="AF21" s="405"/>
      <c r="AG21" s="93"/>
      <c r="AH21" s="93"/>
      <c r="AI21" s="93"/>
      <c r="AJ21" s="93"/>
      <c r="AK21" s="93"/>
      <c r="AL21" s="93"/>
      <c r="AM21" s="93"/>
      <c r="AN21" s="93"/>
      <c r="AO21" s="93"/>
      <c r="AP21" s="93"/>
      <c r="AS21" s="93"/>
      <c r="AT21" s="93"/>
      <c r="AU21" s="93"/>
      <c r="AV21" s="93"/>
      <c r="AW21" s="93"/>
      <c r="AX21" s="93"/>
      <c r="AY21" s="93"/>
      <c r="AZ21" s="93"/>
      <c r="BA21" s="93"/>
      <c r="BB21" s="93"/>
      <c r="BC21" s="93"/>
    </row>
    <row r="22" spans="1:55" ht="15.75" thickBot="1">
      <c r="A22"/>
      <c r="B22"/>
      <c r="C22"/>
      <c r="D22"/>
      <c r="E22"/>
      <c r="F22"/>
      <c r="G22"/>
      <c r="H22"/>
      <c r="I22"/>
      <c r="J22"/>
      <c r="K22"/>
      <c r="O22" s="93"/>
      <c r="P22" s="435"/>
      <c r="Q22" s="405"/>
      <c r="R22" s="405"/>
      <c r="S22" s="436"/>
      <c r="T22" s="93"/>
      <c r="U22" s="93"/>
      <c r="V22" s="93"/>
      <c r="W22" s="93"/>
      <c r="X22" s="93"/>
      <c r="Y22" s="93"/>
      <c r="Z22" s="93"/>
      <c r="AA22" s="93"/>
      <c r="AB22" s="93"/>
      <c r="AC22" s="93"/>
      <c r="AD22" s="93"/>
      <c r="AE22" s="93"/>
      <c r="AF22" s="93"/>
      <c r="AG22" s="93"/>
      <c r="AH22" s="93"/>
      <c r="AI22" s="93"/>
      <c r="AJ22" s="93"/>
      <c r="AK22" s="93"/>
      <c r="AT22" s="93"/>
      <c r="AU22" s="93"/>
      <c r="AV22" s="93"/>
      <c r="AW22" s="93"/>
      <c r="AX22" s="93"/>
      <c r="AY22" s="93"/>
      <c r="AZ22" s="93"/>
      <c r="BA22" s="93"/>
      <c r="BB22" s="93"/>
      <c r="BC22" s="93"/>
    </row>
    <row r="23" spans="1:55" ht="15.75">
      <c r="B23" s="427"/>
      <c r="C23" s="437"/>
      <c r="D23" s="93"/>
      <c r="E23" s="416">
        <f>F36</f>
        <v>1593.75</v>
      </c>
      <c r="F23" s="93" t="s">
        <v>273</v>
      </c>
      <c r="G23" s="93"/>
      <c r="H23" s="93"/>
      <c r="J23" s="438"/>
      <c r="K23" s="437"/>
      <c r="L23" s="93"/>
      <c r="M23" s="416">
        <f>N36</f>
        <v>1571.5473094758902</v>
      </c>
      <c r="N23" s="93" t="s">
        <v>273</v>
      </c>
      <c r="P23" s="439"/>
      <c r="Q23" s="405" t="s">
        <v>585</v>
      </c>
      <c r="R23" s="405"/>
      <c r="S23" s="436"/>
      <c r="T23" s="405"/>
      <c r="U23" s="405"/>
      <c r="V23" s="440">
        <f>W36</f>
        <v>1543.5793122545938</v>
      </c>
      <c r="W23" s="93" t="s">
        <v>273</v>
      </c>
      <c r="X23" s="93"/>
      <c r="Y23" s="93"/>
      <c r="Z23" s="438"/>
      <c r="AA23" s="437"/>
      <c r="AB23" s="93"/>
      <c r="AC23" s="416">
        <f>AD17</f>
        <v>1530.8523643430865</v>
      </c>
      <c r="AD23" s="93" t="s">
        <v>273</v>
      </c>
      <c r="AG23" s="93"/>
      <c r="AH23" s="93"/>
      <c r="AI23" s="93"/>
      <c r="AJ23" s="93"/>
      <c r="AK23" s="93"/>
      <c r="AT23" s="93"/>
      <c r="AW23" s="93"/>
      <c r="AX23" s="93"/>
      <c r="AY23" s="93"/>
      <c r="AZ23" s="93"/>
      <c r="BA23" s="93"/>
      <c r="BB23" s="93"/>
      <c r="BC23" s="93"/>
    </row>
    <row r="24" spans="1:55">
      <c r="B24" s="1080" t="s">
        <v>579</v>
      </c>
      <c r="C24" s="1081"/>
      <c r="D24" s="93"/>
      <c r="E24" s="93"/>
      <c r="F24" s="93"/>
      <c r="G24" s="93"/>
      <c r="H24" s="93"/>
      <c r="I24" s="93"/>
      <c r="J24" s="1080" t="s">
        <v>639</v>
      </c>
      <c r="K24" s="1081"/>
      <c r="L24" s="405"/>
      <c r="O24" s="405"/>
      <c r="P24" s="435"/>
      <c r="Q24" s="405"/>
      <c r="R24" s="405"/>
      <c r="S24" s="436"/>
      <c r="T24" s="1082"/>
      <c r="U24" s="1082"/>
      <c r="V24" s="93"/>
      <c r="W24" s="93"/>
      <c r="X24" s="93"/>
      <c r="Z24" s="1080" t="s">
        <v>1059</v>
      </c>
      <c r="AA24" s="1081"/>
      <c r="AB24" s="93"/>
      <c r="AC24" s="93"/>
      <c r="AD24" s="93"/>
      <c r="AE24" s="93"/>
      <c r="AF24" s="93"/>
      <c r="AG24" s="405"/>
      <c r="AH24" s="405"/>
      <c r="AI24" s="93"/>
      <c r="AJ24" s="93"/>
      <c r="AK24" s="93"/>
      <c r="AT24" s="93"/>
      <c r="AU24" s="93"/>
      <c r="AV24" s="93"/>
      <c r="AW24" s="93"/>
      <c r="AX24" s="93"/>
      <c r="AY24" s="93"/>
      <c r="AZ24" s="93"/>
      <c r="BA24" s="93"/>
      <c r="BB24" s="93"/>
      <c r="BC24" s="93"/>
    </row>
    <row r="25" spans="1:55" ht="15.75" thickBot="1">
      <c r="B25" s="441"/>
      <c r="C25" s="442"/>
      <c r="J25" s="443"/>
      <c r="K25" s="444"/>
      <c r="P25" s="431"/>
      <c r="Q25" s="432"/>
      <c r="R25" s="405"/>
      <c r="S25" s="436"/>
      <c r="T25" s="405"/>
      <c r="X25" s="93"/>
      <c r="Z25" s="443"/>
      <c r="AA25" s="444"/>
      <c r="AJ25" s="93"/>
      <c r="AK25" s="93"/>
      <c r="AS25" s="93"/>
      <c r="AT25" s="93"/>
      <c r="AU25" s="93"/>
      <c r="AV25" s="93"/>
      <c r="AW25" s="93"/>
      <c r="AX25" s="93"/>
      <c r="AY25" s="93"/>
      <c r="AZ25" s="93"/>
      <c r="BA25" s="93"/>
      <c r="BB25" s="93"/>
      <c r="BC25" s="93"/>
    </row>
    <row r="26" spans="1:55">
      <c r="D26" s="102" t="s">
        <v>1313</v>
      </c>
      <c r="K26" s="93"/>
      <c r="L26" s="102" t="s">
        <v>1319</v>
      </c>
      <c r="P26" s="431"/>
      <c r="Q26" s="432"/>
      <c r="R26" s="405"/>
      <c r="S26" s="436"/>
      <c r="T26" s="93"/>
      <c r="U26" s="102" t="s">
        <v>1316</v>
      </c>
      <c r="Z26" s="93"/>
      <c r="AA26" s="93"/>
      <c r="AJ26" s="93"/>
      <c r="AK26" s="93"/>
      <c r="AO26" s="102" t="s">
        <v>3989</v>
      </c>
      <c r="AQ26" s="102">
        <f>'Energy Consumption'!E92/'Fuel Specs'!B296*8.3144621*(273.15+15.5556)/101325 *(3.2808398950131)^3</f>
        <v>126.08184870118218</v>
      </c>
      <c r="AR26" s="102" t="str">
        <f>IF(AL29-AQ26&lt;-0.01,"WARNING","OK")</f>
        <v>WARNING</v>
      </c>
      <c r="AS26" s="93"/>
      <c r="AT26" s="93"/>
      <c r="AU26" s="93"/>
      <c r="AV26" s="93"/>
      <c r="AW26" s="93"/>
      <c r="AX26" s="93"/>
      <c r="AY26" s="93"/>
      <c r="AZ26" s="93"/>
      <c r="BA26" s="93"/>
      <c r="BB26" s="93"/>
      <c r="BC26" s="93"/>
    </row>
    <row r="27" spans="1:55" ht="19.5">
      <c r="A27" s="445"/>
      <c r="C27" s="93"/>
      <c r="D27" s="106" t="s">
        <v>218</v>
      </c>
      <c r="E27" s="106" t="s">
        <v>210</v>
      </c>
      <c r="F27" s="106" t="s">
        <v>597</v>
      </c>
      <c r="G27" s="744" t="s">
        <v>550</v>
      </c>
      <c r="H27" s="744" t="s">
        <v>551</v>
      </c>
      <c r="I27" s="405"/>
      <c r="K27" s="93"/>
      <c r="L27" s="106" t="s">
        <v>218</v>
      </c>
      <c r="M27" s="106" t="s">
        <v>210</v>
      </c>
      <c r="N27" s="106" t="s">
        <v>597</v>
      </c>
      <c r="O27" s="405"/>
      <c r="P27" s="446"/>
      <c r="Q27" s="432"/>
      <c r="R27" s="405"/>
      <c r="S27" s="447"/>
      <c r="T27" s="93"/>
      <c r="U27" s="106" t="s">
        <v>218</v>
      </c>
      <c r="V27" s="106" t="s">
        <v>210</v>
      </c>
      <c r="W27" s="106" t="s">
        <v>597</v>
      </c>
      <c r="AA27" s="416">
        <f>AD34</f>
        <v>12.726947911507164</v>
      </c>
      <c r="AB27" s="93" t="s">
        <v>273</v>
      </c>
      <c r="AJ27" s="93"/>
      <c r="AK27" s="69" t="s">
        <v>643</v>
      </c>
      <c r="AL27" s="93"/>
      <c r="AM27" s="93"/>
      <c r="AN27" s="93"/>
      <c r="AO27" s="93"/>
      <c r="AQ27" s="102" t="s">
        <v>273</v>
      </c>
      <c r="AS27" s="93"/>
      <c r="AT27" s="93"/>
      <c r="AU27" s="93"/>
      <c r="AV27" s="93"/>
      <c r="AW27" s="93"/>
      <c r="AX27" s="93"/>
      <c r="AY27" s="93"/>
      <c r="AZ27" s="93"/>
      <c r="BA27" s="93"/>
      <c r="BB27" s="93"/>
      <c r="BC27" s="93"/>
    </row>
    <row r="28" spans="1:55" ht="16.5" thickBot="1">
      <c r="C28" s="93"/>
      <c r="D28" s="13" t="str">
        <f>"--"</f>
        <v>--</v>
      </c>
      <c r="E28" s="13" t="str">
        <f>"--"</f>
        <v>--</v>
      </c>
      <c r="F28" s="13" t="s">
        <v>273</v>
      </c>
      <c r="G28" s="151" t="s">
        <v>546</v>
      </c>
      <c r="H28" s="151" t="s">
        <v>546</v>
      </c>
      <c r="I28" s="93"/>
      <c r="K28" s="93"/>
      <c r="L28" s="13" t="str">
        <f>"--"</f>
        <v>--</v>
      </c>
      <c r="M28" s="13" t="str">
        <f>"--"</f>
        <v>--</v>
      </c>
      <c r="N28" s="13" t="s">
        <v>273</v>
      </c>
      <c r="O28" s="93"/>
      <c r="P28" s="448"/>
      <c r="Q28" s="449"/>
      <c r="R28" s="450"/>
      <c r="S28" s="444"/>
      <c r="T28" s="93"/>
      <c r="U28" s="13" t="str">
        <f>"--"</f>
        <v>--</v>
      </c>
      <c r="V28" s="13" t="str">
        <f>"--"</f>
        <v>--</v>
      </c>
      <c r="W28" s="13" t="s">
        <v>273</v>
      </c>
      <c r="Z28" s="93"/>
      <c r="AB28" s="102" t="s">
        <v>1318</v>
      </c>
      <c r="AK28" s="416">
        <f>AC23-AL19</f>
        <v>124.60236434308649</v>
      </c>
      <c r="AL28" s="93" t="s">
        <v>273</v>
      </c>
      <c r="AM28" s="93"/>
      <c r="AP28" s="166" t="str">
        <f>IF(AK28&gt;=0,"OK","ERROR")</f>
        <v>OK</v>
      </c>
      <c r="AS28" s="93"/>
      <c r="AT28" s="93"/>
      <c r="AU28" s="93"/>
      <c r="AV28" s="93"/>
      <c r="AW28" s="93"/>
      <c r="AX28" s="93"/>
      <c r="AY28" s="93"/>
      <c r="AZ28" s="93"/>
      <c r="BA28" s="93"/>
      <c r="BB28" s="93"/>
      <c r="BC28" s="93"/>
    </row>
    <row r="29" spans="1:55" ht="15.75">
      <c r="D29" s="388" t="s">
        <v>1067</v>
      </c>
      <c r="E29" s="13">
        <f t="shared" ref="E29:E35" si="6">100*F29/$E$23</f>
        <v>2.3708692995655376</v>
      </c>
      <c r="F29" s="411">
        <f>'Production &amp; Extraction'!M38*('Production &amp; Extraction'!M48*'Production &amp; Extraction'!M35/1000000)/100</f>
        <v>37.78572946182576</v>
      </c>
      <c r="G29" s="749">
        <f>'Fuel Specs'!G128</f>
        <v>0</v>
      </c>
      <c r="H29" s="749">
        <f>'Fuel Specs'!H128</f>
        <v>0</v>
      </c>
      <c r="I29" s="78"/>
      <c r="K29" s="93"/>
      <c r="L29" s="388" t="s">
        <v>1067</v>
      </c>
      <c r="M29" s="13">
        <f>100*N29/$M$23</f>
        <v>2.370869299565538</v>
      </c>
      <c r="N29" s="411">
        <f t="shared" ref="N29:N35" si="7">F29*(1-($I$14/$E$23))</f>
        <v>37.259332688512096</v>
      </c>
      <c r="O29" s="78"/>
      <c r="P29" s="451"/>
      <c r="R29" s="93"/>
      <c r="S29" s="93"/>
      <c r="T29" s="93"/>
      <c r="U29" s="388" t="s">
        <v>1067</v>
      </c>
      <c r="V29" s="13">
        <f t="shared" ref="V29:V35" si="8">100*W29/$V$23</f>
        <v>2.4138269017152156</v>
      </c>
      <c r="W29" s="452">
        <f>N29</f>
        <v>37.259332688512096</v>
      </c>
      <c r="Y29" s="453"/>
      <c r="Z29" s="454"/>
      <c r="AB29" s="106" t="s">
        <v>218</v>
      </c>
      <c r="AC29" s="106" t="s">
        <v>210</v>
      </c>
      <c r="AD29" s="106" t="s">
        <v>597</v>
      </c>
      <c r="AE29" s="744" t="s">
        <v>550</v>
      </c>
      <c r="AF29" s="744" t="s">
        <v>551</v>
      </c>
      <c r="AI29" s="184"/>
      <c r="AK29" s="93"/>
      <c r="AL29" s="416">
        <f>AK28-AL32</f>
        <v>0</v>
      </c>
      <c r="AM29" s="93" t="s">
        <v>273</v>
      </c>
      <c r="AS29" s="93"/>
      <c r="AT29" s="93"/>
      <c r="AU29" s="93"/>
      <c r="AV29" s="93"/>
      <c r="AW29" s="93"/>
      <c r="AX29" s="93"/>
      <c r="AY29" s="93"/>
      <c r="AZ29" s="93"/>
      <c r="BA29" s="93"/>
      <c r="BB29" s="93"/>
      <c r="BC29" s="93"/>
    </row>
    <row r="30" spans="1:55" ht="15.75">
      <c r="D30" s="388" t="s">
        <v>1061</v>
      </c>
      <c r="E30" s="13">
        <f t="shared" si="6"/>
        <v>0.70588235294117652</v>
      </c>
      <c r="F30" s="411">
        <f>'Production &amp; Extraction'!M39*('Production &amp; Extraction'!M48*'Production &amp; Extraction'!M35/1000000)/100</f>
        <v>11.25</v>
      </c>
      <c r="G30" s="749">
        <f>'Fuel Specs'!G130</f>
        <v>0</v>
      </c>
      <c r="H30" s="749">
        <f>'Fuel Specs'!H130</f>
        <v>0</v>
      </c>
      <c r="I30" s="93"/>
      <c r="K30" s="119" t="str">
        <f>IF(N30-(('Venting &amp; Fugitives'!M128/'Input data'!D83)+('Venting &amp; Fugitives'!E136+'Venting &amp; Fugitives'!E151+'Venting &amp; Fugitives'!E156)+('Venting &amp; Fugitives'!E236-'Venting &amp; Fugitives'!E196-'Venting &amp; Fugitives'!E201))/1000000&lt;0,"ERROR","OK")</f>
        <v>OK</v>
      </c>
      <c r="L30" s="388" t="s">
        <v>1061</v>
      </c>
      <c r="M30" s="13">
        <f t="shared" ref="M30:M35" si="9">100*N30/$M$23</f>
        <v>0.70588235294117652</v>
      </c>
      <c r="N30" s="411">
        <f t="shared" si="7"/>
        <v>11.093275125712166</v>
      </c>
      <c r="O30" s="858"/>
      <c r="P30" s="451"/>
      <c r="R30" s="93"/>
      <c r="S30" s="93"/>
      <c r="T30" s="93"/>
      <c r="U30" s="388" t="s">
        <v>1061</v>
      </c>
      <c r="V30" s="13">
        <f t="shared" si="8"/>
        <v>0</v>
      </c>
      <c r="W30" s="452">
        <f t="shared" ref="W30:W35" si="10">N30-U10</f>
        <v>0</v>
      </c>
      <c r="Y30" s="453"/>
      <c r="Z30" s="454"/>
      <c r="AB30" s="13" t="str">
        <f>"--"</f>
        <v>--</v>
      </c>
      <c r="AC30" s="13" t="str">
        <f>"--"</f>
        <v>--</v>
      </c>
      <c r="AD30" s="13" t="s">
        <v>273</v>
      </c>
      <c r="AE30" s="151" t="s">
        <v>546</v>
      </c>
      <c r="AF30" s="151" t="s">
        <v>546</v>
      </c>
      <c r="AK30" s="93"/>
      <c r="AL30" s="69" t="s">
        <v>3987</v>
      </c>
      <c r="AN30" s="93"/>
      <c r="AS30" s="93"/>
      <c r="AT30" s="93"/>
      <c r="AU30" s="93"/>
      <c r="AV30" s="93"/>
      <c r="AW30" s="93"/>
      <c r="AX30" s="93"/>
      <c r="AY30" s="93"/>
      <c r="AZ30" s="93"/>
      <c r="BA30" s="93"/>
      <c r="BB30" s="93"/>
      <c r="BC30" s="93"/>
    </row>
    <row r="31" spans="1:55" ht="15.75">
      <c r="D31" s="388" t="s">
        <v>1062</v>
      </c>
      <c r="E31" s="13">
        <f t="shared" si="6"/>
        <v>95.936476909622343</v>
      </c>
      <c r="F31" s="411">
        <f>'Production &amp; Extraction'!M40*('Production &amp; Extraction'!M48*'Production &amp; Extraction'!M35/1000000)/100</f>
        <v>1528.9876007471062</v>
      </c>
      <c r="G31" s="749">
        <f>'Fuel Specs'!G132</f>
        <v>1013</v>
      </c>
      <c r="H31" s="749">
        <f>'Fuel Specs'!H132</f>
        <v>913</v>
      </c>
      <c r="K31" s="119" t="str">
        <f>IF(N31-U11&lt;0,"ERROR","OK")</f>
        <v>OK</v>
      </c>
      <c r="L31" s="388" t="s">
        <v>1062</v>
      </c>
      <c r="M31" s="13">
        <f t="shared" si="9"/>
        <v>95.936476909622343</v>
      </c>
      <c r="N31" s="411">
        <f t="shared" si="7"/>
        <v>1507.6871216791287</v>
      </c>
      <c r="P31" s="451"/>
      <c r="R31" s="93"/>
      <c r="S31" s="93"/>
      <c r="T31" s="93"/>
      <c r="U31" s="388" t="s">
        <v>1062</v>
      </c>
      <c r="V31" s="13">
        <f t="shared" si="8"/>
        <v>96.710439359133446</v>
      </c>
      <c r="W31" s="452">
        <f t="shared" si="10"/>
        <v>1492.8023347381081</v>
      </c>
      <c r="Y31" s="453"/>
      <c r="Z31" s="454"/>
      <c r="AB31" s="388" t="s">
        <v>1063</v>
      </c>
      <c r="AC31" s="13">
        <f>IF('Surface Processing'!M64=1,100*AD31/$AA$27,0)</f>
        <v>57.182908395995639</v>
      </c>
      <c r="AD31" s="411">
        <f>IF('Surface Processing'!M64=1,W32*('Surface Processing'!M111/100),0)</f>
        <v>7.2776389658432219</v>
      </c>
      <c r="AE31" s="749">
        <f>'Fuel Specs'!G133</f>
        <v>1792</v>
      </c>
      <c r="AF31" s="749">
        <f>'Fuel Specs'!H133</f>
        <v>1641</v>
      </c>
      <c r="AG31" s="93"/>
      <c r="AJ31" s="93"/>
      <c r="AK31" s="93"/>
      <c r="AL31" s="93"/>
      <c r="AM31" s="93"/>
      <c r="AN31" s="93"/>
      <c r="AO31" s="102" t="s">
        <v>3988</v>
      </c>
      <c r="AP31" s="456">
        <f>AL29 -AQ26</f>
        <v>-126.08184870118218</v>
      </c>
      <c r="AS31" s="93"/>
      <c r="AT31" s="93"/>
      <c r="AU31" s="93"/>
      <c r="AV31" s="93"/>
      <c r="AW31" s="93"/>
      <c r="AX31" s="93"/>
      <c r="AY31" s="93"/>
      <c r="AZ31" s="93"/>
      <c r="BA31" s="93"/>
      <c r="BB31" s="93"/>
      <c r="BC31" s="93"/>
    </row>
    <row r="32" spans="1:55" ht="15.75">
      <c r="D32" s="388" t="s">
        <v>1063</v>
      </c>
      <c r="E32" s="13">
        <f t="shared" si="6"/>
        <v>0.51618320257682326</v>
      </c>
      <c r="F32" s="411">
        <f>'Production &amp; Extraction'!M41*('Production &amp; Extraction'!M48*'Production &amp; Extraction'!M35/1000000)/100</f>
        <v>8.2266697910681206</v>
      </c>
      <c r="G32" s="749">
        <f>'Fuel Specs'!G133</f>
        <v>1792</v>
      </c>
      <c r="H32" s="749">
        <f>'Fuel Specs'!H133</f>
        <v>1641</v>
      </c>
      <c r="K32" s="119" t="str">
        <f>IF(N32-U12&lt;0,"ERROR","OK")</f>
        <v>OK</v>
      </c>
      <c r="L32" s="388" t="s">
        <v>1063</v>
      </c>
      <c r="M32" s="13">
        <f t="shared" si="9"/>
        <v>0.51618320257682326</v>
      </c>
      <c r="N32" s="411">
        <f t="shared" si="7"/>
        <v>8.1120632320625496</v>
      </c>
      <c r="P32" s="451"/>
      <c r="R32" s="93"/>
      <c r="S32" s="93"/>
      <c r="T32" s="93"/>
      <c r="U32" s="388" t="s">
        <v>1063</v>
      </c>
      <c r="V32" s="13">
        <f t="shared" si="8"/>
        <v>0.52270303302554166</v>
      </c>
      <c r="W32" s="452">
        <f t="shared" si="10"/>
        <v>8.0683358823095581</v>
      </c>
      <c r="Y32" s="453"/>
      <c r="Z32" s="454"/>
      <c r="AB32" s="388" t="s">
        <v>1064</v>
      </c>
      <c r="AC32" s="13">
        <f>IF('Surface Processing'!M64=1,100*AD32/$AA$27,0)</f>
        <v>28.589060742761767</v>
      </c>
      <c r="AD32" s="411">
        <f>IF('Surface Processing'!M64=1,W33*('Surface Processing'!M112/100),0)</f>
        <v>3.6385148691204328</v>
      </c>
      <c r="AE32" s="749">
        <f>'Fuel Specs'!G134</f>
        <v>2590</v>
      </c>
      <c r="AF32" s="749">
        <f>'Fuel Specs'!H134</f>
        <v>2385</v>
      </c>
      <c r="AG32" s="93"/>
      <c r="AJ32" s="93"/>
      <c r="AK32" s="93"/>
      <c r="AL32" s="430">
        <f>IF(OR('Production &amp; Extraction'!M17=1,'Production &amp; Extraction'!M20=1),AK28*'Production &amp; Extraction'!M49/100,0)</f>
        <v>124.60236434308648</v>
      </c>
      <c r="AM32" s="93" t="s">
        <v>273</v>
      </c>
      <c r="AP32" s="102" t="s">
        <v>273</v>
      </c>
      <c r="AS32" s="93"/>
      <c r="AT32" s="93"/>
      <c r="AU32" s="93"/>
      <c r="AV32" s="93"/>
      <c r="AW32" s="93"/>
      <c r="AX32" s="93"/>
      <c r="AY32" s="93"/>
      <c r="AZ32" s="93"/>
      <c r="BA32" s="93"/>
      <c r="BB32" s="93"/>
      <c r="BC32" s="93"/>
    </row>
    <row r="33" spans="3:55" ht="15.75">
      <c r="D33" s="388" t="s">
        <v>1064</v>
      </c>
      <c r="E33" s="13">
        <f t="shared" si="6"/>
        <v>0.23529411764705882</v>
      </c>
      <c r="F33" s="411">
        <f>'Production &amp; Extraction'!M42*('Production &amp; Extraction'!M48*'Production &amp; Extraction'!M35/1000000)/100</f>
        <v>3.75</v>
      </c>
      <c r="G33" s="749">
        <f>'Fuel Specs'!G134</f>
        <v>2590</v>
      </c>
      <c r="H33" s="749">
        <f>'Fuel Specs'!H134</f>
        <v>2385</v>
      </c>
      <c r="K33" s="119" t="str">
        <f>IF(N33-U13&lt;0,"ERROR","OK")</f>
        <v>OK</v>
      </c>
      <c r="L33" s="388" t="s">
        <v>1064</v>
      </c>
      <c r="M33" s="13">
        <f t="shared" si="9"/>
        <v>0.23529411764705885</v>
      </c>
      <c r="N33" s="411">
        <f t="shared" si="7"/>
        <v>3.697758375237389</v>
      </c>
      <c r="P33" s="451"/>
      <c r="R33" s="93"/>
      <c r="S33" s="93"/>
      <c r="T33" s="93"/>
      <c r="U33" s="388" t="s">
        <v>1064</v>
      </c>
      <c r="V33" s="13">
        <f t="shared" si="8"/>
        <v>0.23571933364447076</v>
      </c>
      <c r="W33" s="452">
        <f t="shared" si="10"/>
        <v>3.6385148691204328</v>
      </c>
      <c r="Y33" s="453"/>
      <c r="Z33" s="454"/>
      <c r="AB33" s="388" t="s">
        <v>1065</v>
      </c>
      <c r="AC33" s="13">
        <f>IF('Surface Processing'!M64=1,100*AD33/$AA$27,0)</f>
        <v>14.228030861242589</v>
      </c>
      <c r="AD33" s="411">
        <f>IF('Surface Processing'!M64=1,W34*('Surface Processing'!M113/100),0)</f>
        <v>1.8107940765435082</v>
      </c>
      <c r="AE33" s="749">
        <f>'Fuel Specs'!G135</f>
        <v>3370</v>
      </c>
      <c r="AF33" s="749">
        <f>'Fuel Specs'!H135</f>
        <v>3113</v>
      </c>
      <c r="AG33" s="93"/>
      <c r="AJ33" s="93"/>
      <c r="AK33" s="93"/>
      <c r="AL33" s="69" t="s">
        <v>342</v>
      </c>
      <c r="AN33" s="93"/>
      <c r="AO33" s="93"/>
      <c r="AS33" s="93"/>
      <c r="AT33" s="93"/>
      <c r="AU33" s="93"/>
      <c r="AV33" s="93"/>
      <c r="AW33" s="93"/>
      <c r="AX33" s="93"/>
      <c r="AY33" s="93"/>
      <c r="AZ33" s="93"/>
      <c r="BA33" s="93"/>
      <c r="BB33" s="93"/>
      <c r="BC33" s="93"/>
    </row>
    <row r="34" spans="3:55" ht="15.75">
      <c r="D34" s="388" t="s">
        <v>1065</v>
      </c>
      <c r="E34" s="13">
        <f t="shared" si="6"/>
        <v>0.11764705882352941</v>
      </c>
      <c r="F34" s="411">
        <f>'Production &amp; Extraction'!M43*('Production &amp; Extraction'!M48*'Production &amp; Extraction'!M35/1000000)/100</f>
        <v>1.875</v>
      </c>
      <c r="G34" s="749">
        <f>'Fuel Specs'!G135</f>
        <v>3370</v>
      </c>
      <c r="H34" s="749">
        <f>'Fuel Specs'!H135</f>
        <v>3113</v>
      </c>
      <c r="K34" s="119" t="str">
        <f>IF(N34-U14&lt;0,"ERROR","OK")</f>
        <v>OK</v>
      </c>
      <c r="L34" s="388" t="s">
        <v>1065</v>
      </c>
      <c r="M34" s="13">
        <f t="shared" si="9"/>
        <v>0.11764705882352942</v>
      </c>
      <c r="N34" s="411">
        <f t="shared" si="7"/>
        <v>1.8488791876186945</v>
      </c>
      <c r="P34" s="451"/>
      <c r="R34" s="93"/>
      <c r="S34" s="93"/>
      <c r="T34" s="93"/>
      <c r="U34" s="388" t="s">
        <v>1065</v>
      </c>
      <c r="V34" s="13">
        <f t="shared" si="8"/>
        <v>0.1173113724813151</v>
      </c>
      <c r="W34" s="452">
        <f t="shared" si="10"/>
        <v>1.8107940765435082</v>
      </c>
      <c r="Y34" s="453"/>
      <c r="Z34" s="454"/>
      <c r="AB34" s="423" t="s">
        <v>339</v>
      </c>
      <c r="AC34" s="13">
        <f>SUM(AC31:AC33)</f>
        <v>100</v>
      </c>
      <c r="AD34" s="411">
        <f>SUM(AD31:AD33)</f>
        <v>12.726947911507164</v>
      </c>
      <c r="AE34" s="151" t="str">
        <f>"--"</f>
        <v>--</v>
      </c>
      <c r="AF34" s="151" t="str">
        <f>"--"</f>
        <v>--</v>
      </c>
      <c r="AG34" s="93"/>
      <c r="AJ34" s="93"/>
      <c r="AK34" s="93"/>
      <c r="AL34" s="93"/>
      <c r="AM34" s="93"/>
      <c r="AN34" s="93"/>
      <c r="AO34" s="93"/>
      <c r="AQ34" s="93"/>
      <c r="AS34" s="93"/>
      <c r="AT34" s="93"/>
      <c r="AU34" s="93"/>
      <c r="AV34" s="93"/>
      <c r="AW34" s="93"/>
      <c r="AX34" s="93"/>
      <c r="AY34" s="93"/>
      <c r="AZ34" s="93"/>
      <c r="BA34" s="93"/>
      <c r="BB34" s="93"/>
      <c r="BC34" s="93"/>
    </row>
    <row r="35" spans="3:55" ht="15.75">
      <c r="C35" s="93"/>
      <c r="D35" s="388" t="s">
        <v>1066</v>
      </c>
      <c r="E35" s="13">
        <f t="shared" si="6"/>
        <v>0.11764705882352941</v>
      </c>
      <c r="F35" s="411">
        <f>('Production &amp; Extraction'!M44*('Production &amp; Extraction'!M48*'Production &amp; Extraction'!M35/1000000)/100)*IF('User Inputs &amp; Results'!J86,1,0)</f>
        <v>1.875</v>
      </c>
      <c r="G35" s="413">
        <f>'Fuel Specs'!G138</f>
        <v>640</v>
      </c>
      <c r="H35" s="413">
        <f>'Fuel Specs'!H138</f>
        <v>594</v>
      </c>
      <c r="K35" s="93"/>
      <c r="L35" s="388" t="s">
        <v>1066</v>
      </c>
      <c r="M35" s="13">
        <f t="shared" si="9"/>
        <v>0.11764705882352942</v>
      </c>
      <c r="N35" s="411">
        <f t="shared" si="7"/>
        <v>1.8488791876186945</v>
      </c>
      <c r="P35" s="451"/>
      <c r="R35" s="93"/>
      <c r="S35" s="93"/>
      <c r="T35" s="93"/>
      <c r="U35" s="388" t="s">
        <v>1066</v>
      </c>
      <c r="V35" s="13">
        <f t="shared" si="8"/>
        <v>0</v>
      </c>
      <c r="W35" s="452">
        <f t="shared" si="10"/>
        <v>0</v>
      </c>
      <c r="Y35" s="453"/>
      <c r="Z35" s="454"/>
      <c r="AB35" s="13" t="s">
        <v>550</v>
      </c>
      <c r="AC35" s="14">
        <f>SUMPRODUCT(AD31:AD33,AE31:AE33)</f>
        <v>28567.658575764595</v>
      </c>
      <c r="AD35" s="455" t="s">
        <v>268</v>
      </c>
      <c r="AG35" s="93"/>
      <c r="AJ35" s="93"/>
      <c r="AK35" s="93"/>
      <c r="AL35" s="93"/>
      <c r="AM35" s="93"/>
      <c r="AN35" s="93"/>
      <c r="AO35" s="93"/>
      <c r="AP35" s="93"/>
      <c r="AQ35" s="93"/>
      <c r="AS35" s="93"/>
      <c r="AT35" s="93"/>
      <c r="AU35" s="93"/>
      <c r="AV35" s="93"/>
      <c r="AW35" s="93"/>
      <c r="AX35" s="93"/>
      <c r="AY35" s="93"/>
      <c r="AZ35" s="93"/>
      <c r="BA35" s="93"/>
      <c r="BB35" s="93"/>
      <c r="BC35" s="93"/>
    </row>
    <row r="36" spans="3:55">
      <c r="C36" s="93"/>
      <c r="D36" s="423" t="s">
        <v>339</v>
      </c>
      <c r="E36" s="13">
        <f>SUM(E29:E35)</f>
        <v>100.00000000000001</v>
      </c>
      <c r="F36" s="411">
        <f>SUM(F29:F35)</f>
        <v>1593.75</v>
      </c>
      <c r="G36" s="412"/>
      <c r="H36" s="412"/>
      <c r="K36" s="93"/>
      <c r="L36" s="423" t="s">
        <v>339</v>
      </c>
      <c r="M36" s="13">
        <f>SUM(M29:M35)</f>
        <v>100.00000000000001</v>
      </c>
      <c r="N36" s="411">
        <f>SUM(N29:N35)</f>
        <v>1571.5473094758902</v>
      </c>
      <c r="P36" s="451"/>
      <c r="Q36" s="456"/>
      <c r="R36" s="93"/>
      <c r="S36" s="93"/>
      <c r="T36" s="93"/>
      <c r="U36" s="423" t="s">
        <v>339</v>
      </c>
      <c r="V36" s="13">
        <f>SUM(V29:V35)</f>
        <v>99.999999999999972</v>
      </c>
      <c r="W36" s="452">
        <f>SUM(W29:W35)</f>
        <v>1543.5793122545938</v>
      </c>
      <c r="Y36" s="392"/>
      <c r="Z36" s="454"/>
      <c r="AB36" s="13" t="s">
        <v>551</v>
      </c>
      <c r="AC36" s="14">
        <f>SUMPRODUCT(AD31:AD33,AF31:AF33)</f>
        <v>26257.465466080899</v>
      </c>
      <c r="AD36" s="455" t="s">
        <v>268</v>
      </c>
      <c r="AG36" s="93"/>
      <c r="AJ36" s="93"/>
      <c r="AK36" s="93"/>
      <c r="AL36" s="93"/>
      <c r="AM36" s="93"/>
      <c r="AN36" s="93"/>
      <c r="AO36" s="93"/>
      <c r="AP36" s="93"/>
      <c r="AQ36" s="93"/>
      <c r="AS36" s="93"/>
      <c r="AT36" s="93"/>
      <c r="AU36" s="93"/>
      <c r="AV36" s="93"/>
      <c r="AW36" s="93"/>
      <c r="AX36" s="93"/>
      <c r="AY36" s="93"/>
      <c r="AZ36" s="93"/>
      <c r="BA36" s="93"/>
      <c r="BB36" s="93"/>
      <c r="BC36" s="93"/>
    </row>
    <row r="37" spans="3:55">
      <c r="C37" s="93"/>
      <c r="D37" s="147" t="s">
        <v>550</v>
      </c>
      <c r="E37" s="14">
        <f>SUMPRODUCT(F29:F35,G29:G35)</f>
        <v>1580837.8818224126</v>
      </c>
      <c r="F37" s="119" t="s">
        <v>268</v>
      </c>
      <c r="G37" s="93"/>
      <c r="H37" s="93"/>
      <c r="I37" s="93"/>
      <c r="J37" s="93"/>
      <c r="K37" s="93"/>
      <c r="L37" s="93"/>
      <c r="M37" s="93"/>
      <c r="N37" s="93"/>
      <c r="O37" s="93"/>
      <c r="P37" s="93"/>
      <c r="Q37" s="93"/>
      <c r="R37" s="93"/>
      <c r="S37" s="93"/>
      <c r="T37" s="93"/>
      <c r="U37" s="93"/>
      <c r="V37" s="93"/>
      <c r="W37" s="93"/>
      <c r="X37" s="93"/>
      <c r="Y37" s="93"/>
      <c r="Z37" s="93"/>
      <c r="AG37" s="93"/>
      <c r="AJ37" s="93"/>
      <c r="AK37" s="93"/>
      <c r="AL37" s="93"/>
      <c r="AM37" s="93"/>
      <c r="AN37" s="93"/>
      <c r="AO37" s="93"/>
      <c r="AP37" s="93"/>
      <c r="AQ37" s="93"/>
      <c r="AS37" s="93"/>
      <c r="AT37" s="93"/>
      <c r="AU37" s="93"/>
      <c r="AV37" s="93"/>
      <c r="AW37" s="93"/>
      <c r="AX37" s="93"/>
      <c r="AY37" s="93"/>
      <c r="AZ37" s="93"/>
      <c r="BA37" s="93"/>
      <c r="BB37" s="93"/>
      <c r="BC37" s="93"/>
    </row>
    <row r="38" spans="3:55">
      <c r="C38" s="93"/>
      <c r="D38" s="147" t="s">
        <v>551</v>
      </c>
      <c r="E38" s="14">
        <f>SUMPRODUCT(F29:F35,H29:H35)</f>
        <v>1425360.0196092508</v>
      </c>
      <c r="F38" s="119" t="s">
        <v>268</v>
      </c>
      <c r="G38" s="93"/>
      <c r="H38" s="93"/>
      <c r="I38" s="93"/>
      <c r="J38" s="93"/>
      <c r="P38" s="93"/>
      <c r="Q38" s="93"/>
      <c r="R38" s="93"/>
      <c r="S38" s="93"/>
      <c r="T38" s="93"/>
      <c r="U38" s="93"/>
      <c r="V38" s="93"/>
      <c r="W38" s="93"/>
      <c r="X38" s="93"/>
      <c r="Y38" s="93"/>
      <c r="Z38" s="93"/>
      <c r="AH38" s="457"/>
      <c r="AJ38" s="93"/>
      <c r="AK38" s="93"/>
      <c r="AL38" s="93"/>
      <c r="AM38" s="93"/>
      <c r="AN38" s="93"/>
      <c r="AO38" s="93"/>
      <c r="AP38" s="93"/>
      <c r="AQ38" s="93"/>
      <c r="AS38" s="93"/>
      <c r="AT38" s="93"/>
      <c r="AU38" s="93"/>
      <c r="AV38" s="93"/>
      <c r="AW38" s="93"/>
      <c r="AX38" s="93"/>
      <c r="AY38" s="93"/>
      <c r="AZ38" s="93"/>
      <c r="BA38" s="93"/>
      <c r="BB38" s="93"/>
      <c r="BC38" s="93"/>
    </row>
    <row r="39" spans="3:55">
      <c r="C39" s="93"/>
      <c r="D39" s="93"/>
      <c r="E39" s="93"/>
      <c r="F39" s="93"/>
      <c r="G39" s="93"/>
      <c r="H39" s="93"/>
      <c r="I39" s="93"/>
      <c r="J39" s="93"/>
      <c r="K39" s="93"/>
      <c r="L39" s="93"/>
      <c r="M39" s="93"/>
      <c r="N39" s="93"/>
      <c r="O39" s="93"/>
      <c r="P39" s="93"/>
      <c r="Q39" s="93"/>
      <c r="R39" s="93"/>
      <c r="S39" s="93"/>
      <c r="T39" s="93"/>
      <c r="U39" s="93"/>
      <c r="V39" s="93"/>
      <c r="W39" s="93"/>
      <c r="X39" s="93"/>
      <c r="Y39" s="93"/>
      <c r="Z39" s="93"/>
      <c r="AJ39" s="93"/>
      <c r="AK39" s="93"/>
      <c r="AL39" s="93"/>
      <c r="AM39" s="93"/>
      <c r="AN39" s="93"/>
      <c r="AO39" s="93"/>
      <c r="AP39" s="93"/>
      <c r="AQ39" s="93"/>
      <c r="AS39" s="93"/>
      <c r="AT39" s="93"/>
      <c r="AU39" s="93"/>
      <c r="AV39" s="93"/>
      <c r="AW39" s="93"/>
      <c r="AX39" s="93"/>
      <c r="AY39" s="93"/>
      <c r="AZ39" s="93"/>
      <c r="BA39" s="93"/>
      <c r="BB39" s="93"/>
      <c r="BC39" s="93"/>
    </row>
    <row r="40" spans="3:55" ht="15.75">
      <c r="C40" s="93"/>
      <c r="D40" s="93" t="s">
        <v>1080</v>
      </c>
      <c r="E40" s="93"/>
      <c r="F40" s="93"/>
      <c r="G40" s="93"/>
      <c r="H40" s="93"/>
      <c r="J40" s="706" t="str">
        <f>IF(OR(K30="ERROR",K31="ERROR",K32="ERROR",K33="ERROR",K34="ERROR"),"ERROR","OK")</f>
        <v>OK</v>
      </c>
      <c r="P40" s="93"/>
      <c r="Q40" s="93"/>
      <c r="R40" s="93"/>
      <c r="S40" s="93"/>
      <c r="T40" s="93"/>
      <c r="U40" s="93"/>
      <c r="V40" s="93"/>
      <c r="W40" s="93"/>
      <c r="X40" s="93"/>
      <c r="Y40" s="93"/>
      <c r="Z40" s="93"/>
      <c r="AJ40" s="93"/>
      <c r="AK40" s="93"/>
      <c r="AL40" s="93"/>
      <c r="AM40" s="93"/>
      <c r="AN40" s="93"/>
      <c r="AO40" s="93"/>
      <c r="AP40" s="93"/>
      <c r="AQ40" s="93"/>
      <c r="AS40" s="93"/>
      <c r="AT40" s="93"/>
      <c r="AU40" s="93"/>
      <c r="AV40" s="93"/>
      <c r="AW40" s="93"/>
      <c r="AX40" s="93"/>
      <c r="AY40" s="93"/>
      <c r="AZ40" s="93"/>
      <c r="BA40" s="93"/>
      <c r="BB40" s="93"/>
      <c r="BC40" s="93"/>
    </row>
    <row r="41" spans="3:55">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93"/>
      <c r="AO41" s="93"/>
      <c r="AP41" s="93"/>
      <c r="AQ41" s="93"/>
      <c r="AS41" s="93"/>
      <c r="AT41" s="93"/>
      <c r="AU41" s="93"/>
      <c r="AV41" s="93"/>
      <c r="AW41" s="93"/>
      <c r="AX41" s="93"/>
      <c r="AY41" s="93"/>
      <c r="AZ41" s="93"/>
      <c r="BA41" s="93"/>
      <c r="BB41" s="93"/>
      <c r="BC41" s="93"/>
    </row>
    <row r="42" spans="3:55" ht="19.5">
      <c r="C42" s="93"/>
      <c r="D42" s="119" t="s">
        <v>3857</v>
      </c>
      <c r="E42" s="119"/>
      <c r="F42" s="119"/>
      <c r="G42" s="119"/>
      <c r="H42" s="119"/>
      <c r="I42" s="119"/>
      <c r="J42" s="871">
        <f>IF(E34,0.27,0)*(('Venting &amp; Fugitives'!M130/IF(E34,'Input data'!D89,'Input data'!D90))+('Venting &amp; Fugitives'!G171-'Venting &amp; Fugitives'!G146)+('Venting &amp; Fugitives'!G236-'Venting &amp; Fugitives'!G196-'Venting &amp; Fugitives'!G201))/1000000</f>
        <v>3.8085111075186258E-2</v>
      </c>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S42" s="93"/>
      <c r="AT42" s="93"/>
      <c r="AU42" s="93"/>
      <c r="AV42" s="93"/>
      <c r="AW42" s="93"/>
      <c r="AX42" s="93"/>
      <c r="AY42" s="93"/>
      <c r="AZ42" s="93"/>
      <c r="BA42" s="93"/>
      <c r="BB42" s="93"/>
      <c r="BC42" s="93"/>
    </row>
    <row r="43" spans="3:55">
      <c r="D43" s="119"/>
      <c r="E43" s="119" t="s">
        <v>3812</v>
      </c>
      <c r="F43" s="872"/>
      <c r="G43" s="872"/>
      <c r="H43" s="872"/>
      <c r="I43" s="119"/>
      <c r="J43" s="119"/>
      <c r="V43" s="93"/>
      <c r="AD43" s="93"/>
    </row>
    <row r="44" spans="3:55">
      <c r="F44" s="458"/>
      <c r="G44" s="458"/>
      <c r="H44" s="458"/>
      <c r="V44" s="93"/>
      <c r="AD44" s="93"/>
    </row>
    <row r="45" spans="3:55">
      <c r="F45" s="458"/>
      <c r="G45" s="458"/>
      <c r="H45" s="458"/>
      <c r="V45" s="93"/>
      <c r="AD45" s="93"/>
    </row>
    <row r="46" spans="3:55">
      <c r="V46" s="93"/>
      <c r="AD46" s="93"/>
    </row>
    <row r="47" spans="3:55">
      <c r="V47" s="93"/>
      <c r="AD47" s="93"/>
    </row>
    <row r="48" spans="3:55">
      <c r="V48" s="93"/>
      <c r="AD48" s="93"/>
    </row>
    <row r="49" spans="22:30">
      <c r="V49" s="93"/>
      <c r="AD49" s="93"/>
    </row>
    <row r="50" spans="22:30">
      <c r="V50" s="93"/>
      <c r="AD50" s="93"/>
    </row>
    <row r="51" spans="22:30">
      <c r="V51" s="93"/>
      <c r="AD51" s="93"/>
    </row>
    <row r="52" spans="22:30">
      <c r="V52" s="93"/>
      <c r="AD52" s="93"/>
    </row>
    <row r="53" spans="22:30">
      <c r="V53" s="93"/>
      <c r="AD53" s="93"/>
    </row>
    <row r="54" spans="22:30">
      <c r="V54" s="93"/>
      <c r="AD54" s="93"/>
    </row>
    <row r="55" spans="22:30">
      <c r="V55" s="93"/>
      <c r="AD55" s="93"/>
    </row>
    <row r="56" spans="22:30">
      <c r="V56" s="93"/>
      <c r="AD56" s="93"/>
    </row>
    <row r="57" spans="22:30">
      <c r="V57" s="93"/>
      <c r="W57" s="93"/>
      <c r="X57" s="93"/>
      <c r="Y57" s="93"/>
      <c r="Z57" s="93"/>
      <c r="AA57" s="93"/>
      <c r="AB57" s="93"/>
      <c r="AC57" s="93"/>
      <c r="AD57" s="93"/>
    </row>
  </sheetData>
  <mergeCells count="5">
    <mergeCell ref="Z24:AA24"/>
    <mergeCell ref="T24:U24"/>
    <mergeCell ref="B24:C24"/>
    <mergeCell ref="A14:B14"/>
    <mergeCell ref="J24:K24"/>
  </mergeCells>
  <pageMargins left="0.7" right="0.7" top="0.75" bottom="0.75" header="0.3" footer="0.3"/>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sheetPr>
  <dimension ref="A1:AA489"/>
  <sheetViews>
    <sheetView workbookViewId="0"/>
  </sheetViews>
  <sheetFormatPr defaultColWidth="8.88671875" defaultRowHeight="15"/>
  <cols>
    <col min="1" max="4" width="8.88671875" style="460" customWidth="1"/>
    <col min="5" max="5" width="10.44140625" style="460" customWidth="1"/>
    <col min="6" max="8" width="8.88671875" style="460" customWidth="1"/>
    <col min="9" max="9" width="10.5546875" style="460" customWidth="1"/>
    <col min="10" max="12" width="8.88671875" style="460" customWidth="1"/>
    <col min="13" max="13" width="11.88671875" style="460" customWidth="1"/>
    <col min="14" max="14" width="10.44140625" style="460" customWidth="1"/>
    <col min="15" max="16" width="8.88671875" style="460"/>
    <col min="17" max="17" width="9.88671875" style="460" customWidth="1"/>
    <col min="18" max="18" width="10.44140625" style="460" customWidth="1"/>
    <col min="19" max="16384" width="8.88671875" style="460"/>
  </cols>
  <sheetData>
    <row r="1" spans="1:24" s="6" customFormat="1" ht="24" customHeight="1">
      <c r="A1" s="6" t="s">
        <v>894</v>
      </c>
    </row>
    <row r="2" spans="1:24" s="459" customFormat="1"/>
    <row r="3" spans="1:24" s="459" customFormat="1" ht="17.100000000000001" customHeight="1">
      <c r="A3" s="117" t="s">
        <v>895</v>
      </c>
    </row>
    <row r="4" spans="1:24" s="459" customFormat="1"/>
    <row r="5" spans="1:24" s="459" customFormat="1"/>
    <row r="6" spans="1:24" s="9" customFormat="1" ht="15.75">
      <c r="A6" s="9" t="s">
        <v>1376</v>
      </c>
    </row>
    <row r="7" spans="1:24" s="115" customFormat="1" ht="15.75">
      <c r="A7" s="105"/>
      <c r="B7" s="460"/>
      <c r="C7" s="460"/>
      <c r="D7" s="460"/>
      <c r="E7" s="460"/>
      <c r="F7" s="460"/>
      <c r="G7" s="460"/>
      <c r="H7" s="460"/>
      <c r="I7" s="460"/>
      <c r="J7" s="460"/>
      <c r="K7" s="460"/>
      <c r="L7" s="460"/>
      <c r="W7" s="460"/>
      <c r="X7" s="460"/>
    </row>
    <row r="8" spans="1:24" s="102" customFormat="1">
      <c r="M8" s="460" t="s">
        <v>222</v>
      </c>
      <c r="N8" s="460" t="s">
        <v>221</v>
      </c>
      <c r="O8" s="460" t="s">
        <v>165</v>
      </c>
      <c r="P8" s="460"/>
      <c r="Q8" s="460" t="s">
        <v>168</v>
      </c>
      <c r="R8" s="460"/>
      <c r="S8" s="460" t="s">
        <v>167</v>
      </c>
      <c r="T8" s="460"/>
      <c r="U8" s="460"/>
      <c r="V8" s="460" t="s">
        <v>348</v>
      </c>
    </row>
    <row r="9" spans="1:24" ht="15.75">
      <c r="A9" s="227" t="s">
        <v>1449</v>
      </c>
      <c r="M9" s="105"/>
      <c r="N9" s="105"/>
      <c r="O9" s="105"/>
      <c r="P9" s="105"/>
      <c r="Q9" s="105"/>
      <c r="R9" s="105"/>
      <c r="S9" s="105"/>
      <c r="T9" s="105"/>
      <c r="U9" s="105"/>
      <c r="V9" s="461"/>
    </row>
    <row r="10" spans="1:24" s="115" customFormat="1">
      <c r="B10" s="460" t="s">
        <v>1450</v>
      </c>
      <c r="C10" s="460"/>
      <c r="E10" s="460"/>
      <c r="F10" s="460"/>
      <c r="G10" s="460"/>
      <c r="H10" s="460"/>
      <c r="I10" s="460"/>
      <c r="J10" s="460"/>
      <c r="K10" s="460"/>
      <c r="L10" s="460"/>
      <c r="M10" s="14" t="str">
        <f>'Production &amp; Extraction'!M31</f>
        <v>Cantarell</v>
      </c>
      <c r="N10" s="210" t="s">
        <v>208</v>
      </c>
      <c r="O10" s="666" t="s">
        <v>237</v>
      </c>
      <c r="P10" s="460"/>
      <c r="Q10" s="460"/>
      <c r="R10" s="460"/>
      <c r="S10" s="460"/>
      <c r="T10" s="460"/>
      <c r="U10" s="460"/>
      <c r="V10" s="462"/>
      <c r="W10" s="460"/>
      <c r="X10" s="460"/>
    </row>
    <row r="11" spans="1:24" s="115" customFormat="1">
      <c r="B11" s="460" t="s">
        <v>1555</v>
      </c>
      <c r="C11" s="460"/>
      <c r="E11" s="460"/>
      <c r="F11" s="460"/>
      <c r="G11" s="460"/>
      <c r="H11" s="460"/>
      <c r="I11" s="460"/>
      <c r="J11" s="460"/>
      <c r="K11" s="460"/>
      <c r="L11" s="460"/>
      <c r="M11" s="14">
        <f>'User Inputs &amp; Results'!J78</f>
        <v>22</v>
      </c>
      <c r="N11" s="210">
        <f>'User Inputs &amp; Results'!K78</f>
        <v>30</v>
      </c>
      <c r="O11" s="666" t="s">
        <v>2119</v>
      </c>
      <c r="P11" s="460"/>
      <c r="Q11" s="460"/>
      <c r="R11" s="460"/>
      <c r="S11" s="460"/>
      <c r="T11" s="460"/>
      <c r="U11" s="460"/>
      <c r="V11" s="462"/>
      <c r="W11" s="460"/>
      <c r="X11" s="460"/>
    </row>
    <row r="12" spans="1:24" s="115" customFormat="1">
      <c r="B12" s="460" t="s">
        <v>1635</v>
      </c>
      <c r="C12" s="460"/>
      <c r="E12" s="460"/>
      <c r="F12" s="460"/>
      <c r="G12" s="460"/>
      <c r="H12" s="460"/>
      <c r="I12" s="460"/>
      <c r="J12" s="460"/>
      <c r="K12" s="460"/>
      <c r="L12" s="463"/>
      <c r="M12" s="14">
        <f>'Production &amp; Extraction'!M35</f>
        <v>750000</v>
      </c>
      <c r="N12" s="210">
        <f>'User Inputs &amp; Results'!K70</f>
        <v>1500</v>
      </c>
      <c r="O12" s="460" t="s">
        <v>209</v>
      </c>
      <c r="P12" s="460"/>
      <c r="Q12" s="460"/>
      <c r="R12" s="460"/>
      <c r="S12" s="460"/>
      <c r="T12" s="460"/>
      <c r="U12" s="460"/>
      <c r="V12" s="462"/>
      <c r="W12" s="460"/>
      <c r="X12" s="460"/>
    </row>
    <row r="13" spans="1:24" s="115" customFormat="1">
      <c r="B13" s="460"/>
      <c r="C13" s="460"/>
      <c r="E13" s="460"/>
      <c r="F13" s="460"/>
      <c r="G13" s="460"/>
      <c r="H13" s="460"/>
      <c r="I13" s="460"/>
      <c r="J13" s="460"/>
      <c r="K13" s="460"/>
      <c r="L13" s="463"/>
      <c r="M13" s="460"/>
      <c r="N13" s="460"/>
      <c r="O13" s="460"/>
      <c r="P13" s="460"/>
      <c r="Q13" s="460"/>
      <c r="R13" s="460"/>
      <c r="S13" s="460"/>
      <c r="T13" s="460"/>
      <c r="U13" s="460"/>
      <c r="V13" s="462"/>
      <c r="W13" s="460"/>
      <c r="X13" s="460"/>
    </row>
    <row r="14" spans="1:24">
      <c r="B14" s="460" t="s">
        <v>1681</v>
      </c>
      <c r="L14" s="384"/>
      <c r="M14" s="14">
        <f>'Production &amp; Extraction'!M218</f>
        <v>3</v>
      </c>
      <c r="N14" s="210">
        <v>3</v>
      </c>
      <c r="O14" s="100" t="s">
        <v>1348</v>
      </c>
      <c r="V14" s="462"/>
    </row>
    <row r="15" spans="1:24">
      <c r="B15" s="460" t="s">
        <v>1710</v>
      </c>
      <c r="M15" s="14">
        <f>M14*M12</f>
        <v>2250000</v>
      </c>
      <c r="N15" s="210">
        <f>N14*N12</f>
        <v>4500</v>
      </c>
      <c r="O15" s="460" t="s">
        <v>352</v>
      </c>
      <c r="V15" s="462" t="s">
        <v>353</v>
      </c>
    </row>
    <row r="16" spans="1:24">
      <c r="V16" s="462"/>
    </row>
    <row r="17" spans="1:22">
      <c r="B17" s="460" t="s">
        <v>1727</v>
      </c>
      <c r="V17" s="462"/>
    </row>
    <row r="18" spans="1:22">
      <c r="C18" s="460" t="s">
        <v>1451</v>
      </c>
      <c r="M18" s="663">
        <f>1-M19</f>
        <v>1</v>
      </c>
      <c r="N18" s="662">
        <f>1-N19</f>
        <v>1</v>
      </c>
      <c r="O18" s="666" t="s">
        <v>2119</v>
      </c>
      <c r="V18" s="462" t="s">
        <v>581</v>
      </c>
    </row>
    <row r="19" spans="1:22">
      <c r="C19" s="460" t="s">
        <v>1452</v>
      </c>
      <c r="M19" s="663">
        <f>'User Inputs &amp; Results'!J99</f>
        <v>0</v>
      </c>
      <c r="N19" s="662">
        <f>'User Inputs &amp; Results'!K99</f>
        <v>0</v>
      </c>
      <c r="O19" s="666" t="s">
        <v>2119</v>
      </c>
      <c r="V19" s="462" t="s">
        <v>581</v>
      </c>
    </row>
    <row r="20" spans="1:22">
      <c r="L20" s="387" t="s">
        <v>375</v>
      </c>
      <c r="M20" s="460" t="str">
        <f>IF(SUM(M18:M19)=1,"OK","ERROR")</f>
        <v>OK</v>
      </c>
      <c r="V20" s="462" t="s">
        <v>356</v>
      </c>
    </row>
    <row r="21" spans="1:22">
      <c r="V21" s="462"/>
    </row>
    <row r="22" spans="1:22" s="464" customFormat="1">
      <c r="V22" s="465"/>
    </row>
    <row r="23" spans="1:22" ht="15.75">
      <c r="A23" s="227" t="s">
        <v>1556</v>
      </c>
      <c r="M23" s="105"/>
      <c r="N23" s="105"/>
      <c r="O23" s="105"/>
      <c r="P23" s="105"/>
      <c r="Q23" s="105"/>
      <c r="R23" s="105"/>
      <c r="S23" s="105"/>
      <c r="T23" s="105"/>
      <c r="U23" s="105"/>
      <c r="V23" s="461"/>
    </row>
    <row r="24" spans="1:22">
      <c r="M24" s="466" t="s">
        <v>222</v>
      </c>
      <c r="N24" s="466" t="s">
        <v>221</v>
      </c>
      <c r="O24" s="466" t="s">
        <v>165</v>
      </c>
      <c r="P24" s="466"/>
      <c r="Q24" s="466" t="s">
        <v>168</v>
      </c>
      <c r="R24" s="466"/>
      <c r="S24" s="466" t="s">
        <v>167</v>
      </c>
      <c r="T24" s="466"/>
      <c r="U24" s="466"/>
      <c r="V24" s="466" t="s">
        <v>348</v>
      </c>
    </row>
    <row r="25" spans="1:22">
      <c r="B25" s="227" t="s">
        <v>1453</v>
      </c>
      <c r="M25" s="20">
        <v>140</v>
      </c>
      <c r="N25" s="21">
        <v>140</v>
      </c>
      <c r="O25" s="460" t="s">
        <v>383</v>
      </c>
      <c r="V25" s="462"/>
    </row>
    <row r="26" spans="1:22">
      <c r="C26" s="227" t="s">
        <v>1454</v>
      </c>
      <c r="L26" s="463"/>
      <c r="M26" s="14">
        <f>CEILING(M25-10,20)</f>
        <v>140</v>
      </c>
      <c r="N26" s="210">
        <f>CEILING(N25-10,20)</f>
        <v>140</v>
      </c>
      <c r="O26" s="460" t="s">
        <v>383</v>
      </c>
      <c r="V26" s="462" t="s">
        <v>1085</v>
      </c>
    </row>
    <row r="27" spans="1:22">
      <c r="L27" s="463"/>
      <c r="M27" s="102"/>
      <c r="N27" s="102"/>
      <c r="V27" s="462"/>
    </row>
    <row r="28" spans="1:22">
      <c r="B28" s="227" t="s">
        <v>1557</v>
      </c>
      <c r="L28" s="463"/>
      <c r="M28" s="14">
        <f>M38</f>
        <v>1835</v>
      </c>
      <c r="N28" s="210">
        <f>N38</f>
        <v>625</v>
      </c>
      <c r="O28" s="460" t="s">
        <v>236</v>
      </c>
      <c r="V28" s="462"/>
    </row>
    <row r="29" spans="1:22">
      <c r="C29" s="227" t="s">
        <v>1455</v>
      </c>
      <c r="L29" s="463"/>
      <c r="M29" s="14">
        <f>MIN(MAX(CEILING(M28-50,100),100),1500)</f>
        <v>1500</v>
      </c>
      <c r="N29" s="210">
        <f>CEILING(N28-50,100)</f>
        <v>600</v>
      </c>
      <c r="O29" s="460" t="s">
        <v>236</v>
      </c>
      <c r="V29" s="632" t="s">
        <v>2275</v>
      </c>
    </row>
    <row r="30" spans="1:22">
      <c r="M30" s="102"/>
      <c r="N30" s="102"/>
      <c r="V30" s="462"/>
    </row>
    <row r="31" spans="1:22">
      <c r="B31" s="227" t="s">
        <v>1636</v>
      </c>
      <c r="L31" s="463"/>
      <c r="M31" s="35">
        <f>N31</f>
        <v>350.43119999999999</v>
      </c>
      <c r="N31" s="39">
        <f>'Input data'!E204</f>
        <v>350.43119999999999</v>
      </c>
      <c r="O31" s="460" t="s">
        <v>384</v>
      </c>
      <c r="V31" s="462" t="s">
        <v>385</v>
      </c>
    </row>
    <row r="32" spans="1:22">
      <c r="B32" s="227" t="s">
        <v>1682</v>
      </c>
      <c r="L32" s="463"/>
      <c r="M32" s="206">
        <f>M15*M31</f>
        <v>788470200</v>
      </c>
      <c r="N32" s="210">
        <f>N15*N18*N31</f>
        <v>1576940.4</v>
      </c>
      <c r="O32" s="460" t="s">
        <v>1771</v>
      </c>
      <c r="V32" s="462"/>
    </row>
    <row r="33" spans="1:22">
      <c r="B33" s="227" t="s">
        <v>1711</v>
      </c>
      <c r="L33" s="463"/>
      <c r="M33" s="14">
        <f t="array" ref="M33">INDEX('Input data'!F761:F1878,MATCH(1,(M29='Input data'!B761:B1878)*('Steam Injection'!M25='Input data'!C761:C1878),0))</f>
        <v>111.7</v>
      </c>
      <c r="N33" s="210">
        <f t="array" ref="N33">INDEX('Input data'!F761:F1878,MATCH(1,('Steam Injection'!N29='Input data'!B761:B1878)*('Steam Injection'!N25='Input data'!C761:C1878),0))</f>
        <v>109.5</v>
      </c>
      <c r="O33" s="460" t="s">
        <v>1772</v>
      </c>
      <c r="V33" s="462"/>
    </row>
    <row r="34" spans="1:22">
      <c r="L34" s="102"/>
      <c r="M34" s="102"/>
      <c r="N34" s="102"/>
      <c r="V34" s="462"/>
    </row>
    <row r="35" spans="1:22">
      <c r="B35" s="227" t="s">
        <v>1728</v>
      </c>
      <c r="M35" s="14">
        <f>'User Inputs &amp; Results'!J75</f>
        <v>1470</v>
      </c>
      <c r="N35" s="210">
        <v>500</v>
      </c>
      <c r="O35" s="460" t="s">
        <v>236</v>
      </c>
      <c r="S35" s="666" t="s">
        <v>2449</v>
      </c>
      <c r="V35" s="462" t="s">
        <v>2457</v>
      </c>
    </row>
    <row r="36" spans="1:22">
      <c r="B36" s="227" t="s">
        <v>1736</v>
      </c>
      <c r="L36" s="384"/>
      <c r="M36" s="122">
        <v>1.25</v>
      </c>
      <c r="N36" s="326">
        <v>1.25</v>
      </c>
      <c r="O36" s="59" t="s">
        <v>1130</v>
      </c>
      <c r="S36" s="460" t="s">
        <v>1086</v>
      </c>
      <c r="V36" s="462" t="s">
        <v>1087</v>
      </c>
    </row>
    <row r="37" spans="1:22">
      <c r="B37" s="227" t="s">
        <v>1741</v>
      </c>
      <c r="M37" s="14">
        <f>M35*M36</f>
        <v>1837.5</v>
      </c>
      <c r="N37" s="210">
        <f>N35*N36</f>
        <v>625</v>
      </c>
      <c r="O37" s="460" t="s">
        <v>236</v>
      </c>
      <c r="V37" s="462" t="s">
        <v>386</v>
      </c>
    </row>
    <row r="38" spans="1:22">
      <c r="B38" s="59"/>
      <c r="C38" s="227" t="s">
        <v>1456</v>
      </c>
      <c r="L38" s="463"/>
      <c r="M38" s="14">
        <f>CEILING(M37-2.5,5)</f>
        <v>1835</v>
      </c>
      <c r="N38" s="210">
        <f>CEILING(N37-2.5,5)</f>
        <v>625</v>
      </c>
      <c r="O38" s="460" t="s">
        <v>236</v>
      </c>
      <c r="V38" s="462" t="s">
        <v>1088</v>
      </c>
    </row>
    <row r="39" spans="1:22">
      <c r="M39" s="102"/>
      <c r="N39" s="102"/>
      <c r="V39" s="462"/>
    </row>
    <row r="40" spans="1:22">
      <c r="B40" s="227" t="s">
        <v>1743</v>
      </c>
      <c r="L40" s="463"/>
      <c r="M40" s="20">
        <v>0.8</v>
      </c>
      <c r="N40" s="21">
        <v>0.8</v>
      </c>
      <c r="O40" s="460" t="s">
        <v>387</v>
      </c>
      <c r="V40" s="462"/>
    </row>
    <row r="41" spans="1:22">
      <c r="B41" s="227" t="s">
        <v>1744</v>
      </c>
      <c r="L41" s="463"/>
      <c r="M41" s="14">
        <f>VLOOKUP(M37,'Input data'!B257:K754,2)</f>
        <v>623.70000000000005</v>
      </c>
      <c r="N41" s="210">
        <f>VLOOKUP(N37,'Input data'!B258:K753,2)</f>
        <v>490.7</v>
      </c>
      <c r="O41" s="460" t="s">
        <v>383</v>
      </c>
      <c r="V41" s="462"/>
    </row>
    <row r="42" spans="1:22">
      <c r="B42" s="227" t="s">
        <v>1745</v>
      </c>
      <c r="L42" s="463"/>
      <c r="M42" s="14">
        <f>VLOOKUP(M41,'Input data'!C257:K754,4)</f>
        <v>652.4</v>
      </c>
      <c r="N42" s="210">
        <f>VLOOKUP(N41,'Input data'!C258:K754,4)</f>
        <v>476.9</v>
      </c>
      <c r="O42" s="460" t="s">
        <v>1772</v>
      </c>
      <c r="Q42" s="213"/>
      <c r="V42" s="462"/>
    </row>
    <row r="43" spans="1:22">
      <c r="B43" s="227" t="s">
        <v>1746</v>
      </c>
      <c r="L43" s="463"/>
      <c r="M43" s="14">
        <f>VLOOKUP(M41,'Input data'!C257:K754,8)</f>
        <v>1148</v>
      </c>
      <c r="N43" s="210">
        <f>VLOOKUP(N37,'Input data'!C257:K754,8)</f>
        <v>1147</v>
      </c>
      <c r="O43" s="460" t="s">
        <v>1772</v>
      </c>
      <c r="V43" s="462" t="s">
        <v>388</v>
      </c>
    </row>
    <row r="44" spans="1:22">
      <c r="B44" s="227" t="s">
        <v>1747</v>
      </c>
      <c r="L44" s="463"/>
      <c r="M44" s="14">
        <f>M40*M43+((1-M40)*M42)</f>
        <v>1048.8800000000001</v>
      </c>
      <c r="N44" s="210">
        <f>N40*N43+((1-N40)*N42)</f>
        <v>1012.98</v>
      </c>
      <c r="O44" s="460" t="s">
        <v>1772</v>
      </c>
      <c r="V44" s="462"/>
    </row>
    <row r="45" spans="1:22">
      <c r="B45" s="227" t="s">
        <v>1748</v>
      </c>
      <c r="L45" s="463"/>
      <c r="M45" s="14">
        <f>M44-M33</f>
        <v>937.18000000000006</v>
      </c>
      <c r="N45" s="210">
        <f>N44-N33</f>
        <v>903.48</v>
      </c>
      <c r="O45" s="460" t="s">
        <v>1772</v>
      </c>
      <c r="V45" s="462"/>
    </row>
    <row r="46" spans="1:22">
      <c r="V46" s="462"/>
    </row>
    <row r="47" spans="1:22">
      <c r="A47" s="227" t="s">
        <v>1637</v>
      </c>
      <c r="V47" s="462"/>
    </row>
    <row r="48" spans="1:22" ht="19.5">
      <c r="B48" s="227" t="s">
        <v>1457</v>
      </c>
      <c r="L48" s="460" t="s">
        <v>389</v>
      </c>
      <c r="M48" s="693">
        <f>'Input data'!E104</f>
        <v>0.77439599999999997</v>
      </c>
      <c r="N48" s="209">
        <f>'Input data'!E94</f>
        <v>0.79020000000000001</v>
      </c>
      <c r="O48" s="460" t="s">
        <v>1749</v>
      </c>
      <c r="V48" s="462"/>
    </row>
    <row r="49" spans="2:22" ht="19.5">
      <c r="L49" s="460" t="s">
        <v>390</v>
      </c>
      <c r="M49" s="693">
        <f>'Input data'!E105</f>
        <v>0.20530999999999999</v>
      </c>
      <c r="N49" s="209">
        <f>'Input data'!E95</f>
        <v>0.20949999999999999</v>
      </c>
      <c r="O49" s="460" t="s">
        <v>1749</v>
      </c>
      <c r="V49" s="462"/>
    </row>
    <row r="50" spans="2:22" ht="19.5">
      <c r="L50" s="460" t="s">
        <v>215</v>
      </c>
      <c r="M50" s="693">
        <f>'Input data'!E106</f>
        <v>2.9399999999999999E-4</v>
      </c>
      <c r="N50" s="209">
        <f>'Input data'!E96</f>
        <v>2.9999999999999997E-4</v>
      </c>
      <c r="O50" s="460" t="s">
        <v>1749</v>
      </c>
      <c r="V50" s="462"/>
    </row>
    <row r="51" spans="2:22" ht="19.5">
      <c r="L51" s="460" t="s">
        <v>391</v>
      </c>
      <c r="M51" s="693">
        <f>'Input data'!E107</f>
        <v>0.02</v>
      </c>
      <c r="N51" s="209">
        <f>'Input data'!E97</f>
        <v>0</v>
      </c>
      <c r="O51" s="460" t="s">
        <v>1749</v>
      </c>
      <c r="V51" s="462"/>
    </row>
    <row r="52" spans="2:22" ht="19.5">
      <c r="L52" s="460" t="s">
        <v>392</v>
      </c>
      <c r="M52" s="693">
        <v>0</v>
      </c>
      <c r="N52" s="209">
        <v>0</v>
      </c>
      <c r="O52" s="460" t="s">
        <v>1749</v>
      </c>
      <c r="V52" s="462"/>
    </row>
    <row r="53" spans="2:22" ht="19.5">
      <c r="L53" s="460" t="s">
        <v>393</v>
      </c>
      <c r="M53" s="693">
        <v>0</v>
      </c>
      <c r="N53" s="209">
        <v>0</v>
      </c>
      <c r="O53" s="460" t="s">
        <v>1749</v>
      </c>
      <c r="V53" s="462"/>
    </row>
    <row r="54" spans="2:22" ht="19.5">
      <c r="L54" s="460" t="s">
        <v>394</v>
      </c>
      <c r="M54" s="693">
        <v>0</v>
      </c>
      <c r="N54" s="209">
        <v>0</v>
      </c>
      <c r="O54" s="460" t="s">
        <v>1749</v>
      </c>
      <c r="V54" s="462"/>
    </row>
    <row r="55" spans="2:22" ht="19.5">
      <c r="L55" s="460" t="s">
        <v>395</v>
      </c>
      <c r="M55" s="693">
        <v>0</v>
      </c>
      <c r="N55" s="209">
        <v>0</v>
      </c>
      <c r="O55" s="460" t="s">
        <v>1749</v>
      </c>
      <c r="V55" s="462"/>
    </row>
    <row r="56" spans="2:22">
      <c r="L56" s="460" t="s">
        <v>396</v>
      </c>
      <c r="M56" s="693">
        <v>0</v>
      </c>
      <c r="N56" s="209">
        <v>0</v>
      </c>
      <c r="O56" s="460" t="s">
        <v>1749</v>
      </c>
      <c r="V56" s="462"/>
    </row>
    <row r="57" spans="2:22" ht="19.5">
      <c r="L57" s="460" t="s">
        <v>397</v>
      </c>
      <c r="M57" s="693">
        <v>0</v>
      </c>
      <c r="N57" s="209">
        <v>0</v>
      </c>
      <c r="O57" s="460" t="s">
        <v>1749</v>
      </c>
      <c r="V57" s="462"/>
    </row>
    <row r="58" spans="2:22" ht="19.5">
      <c r="L58" s="460" t="s">
        <v>214</v>
      </c>
      <c r="M58" s="693">
        <v>0</v>
      </c>
      <c r="N58" s="209">
        <v>0</v>
      </c>
      <c r="O58" s="460" t="s">
        <v>1749</v>
      </c>
      <c r="V58" s="462"/>
    </row>
    <row r="59" spans="2:22" ht="19.5">
      <c r="L59" s="460" t="s">
        <v>398</v>
      </c>
      <c r="M59" s="693">
        <v>0</v>
      </c>
      <c r="N59" s="209">
        <v>0</v>
      </c>
      <c r="O59" s="460" t="s">
        <v>1749</v>
      </c>
      <c r="V59" s="462"/>
    </row>
    <row r="60" spans="2:22">
      <c r="M60" s="460" t="str">
        <f>IF(SUM(M48:M59)=1,"OK","ERROR")</f>
        <v>OK</v>
      </c>
      <c r="V60" s="462"/>
    </row>
    <row r="61" spans="2:22">
      <c r="V61" s="462" t="s">
        <v>399</v>
      </c>
    </row>
    <row r="62" spans="2:22">
      <c r="B62" s="227" t="s">
        <v>1558</v>
      </c>
      <c r="M62" s="693">
        <f>SUMPRODUCT(M48:M59,'Fuel Specs'!E148:E159)</f>
        <v>28.625943999999997</v>
      </c>
      <c r="N62" s="210">
        <f>SUMPRODUCT(N48:N59,'Fuel Specs'!E148:E159)</f>
        <v>28.8428</v>
      </c>
      <c r="O62" s="460" t="s">
        <v>1750</v>
      </c>
      <c r="V62" s="462"/>
    </row>
    <row r="63" spans="2:22" ht="15.75">
      <c r="M63" s="102"/>
      <c r="N63" s="467"/>
      <c r="Q63" s="213"/>
      <c r="V63" s="462"/>
    </row>
    <row r="64" spans="2:22" ht="15.75">
      <c r="M64" s="102"/>
      <c r="N64" s="467"/>
      <c r="Q64" s="213"/>
      <c r="V64" s="462"/>
    </row>
    <row r="65" spans="1:22" s="459" customFormat="1">
      <c r="A65" s="10" t="s">
        <v>1683</v>
      </c>
      <c r="K65" s="468" t="s">
        <v>1802</v>
      </c>
      <c r="M65" s="459" t="str">
        <f>IF(M20="OK",IF(M74="OK",IF(M78="OK",IF(G111="OK",IF(G132="OK",IF(G328="OK",IF(O328="OK",IF(G357="OK",IF(M153="OK",IF(O357="OK",IF(M60="OK",IF(M302="OK",IF(M382="OK","OK","ERROR"),"ERROR"),"ERROR"),"ERROR"),"ERROR"),"ERROR"),"ERROR"),"ERROR"),"ERROR"),"ERROR"),"ERROR"),"ERROR"),"ERROR")</f>
        <v>OK</v>
      </c>
      <c r="V65" s="469" t="s">
        <v>349</v>
      </c>
    </row>
    <row r="66" spans="1:22">
      <c r="V66" s="462"/>
    </row>
    <row r="67" spans="1:22">
      <c r="V67" s="462"/>
    </row>
    <row r="68" spans="1:22" s="9" customFormat="1" ht="15.95" customHeight="1">
      <c r="A68" s="9" t="s">
        <v>1377</v>
      </c>
    </row>
    <row r="69" spans="1:22" ht="15.75">
      <c r="A69" s="105"/>
      <c r="V69" s="462"/>
    </row>
    <row r="70" spans="1:22">
      <c r="A70" s="227" t="s">
        <v>1458</v>
      </c>
      <c r="V70" s="462"/>
    </row>
    <row r="71" spans="1:22" ht="15.75">
      <c r="B71" s="227" t="s">
        <v>1459</v>
      </c>
      <c r="M71" s="105"/>
      <c r="N71" s="105"/>
      <c r="O71" s="105"/>
      <c r="P71" s="105"/>
      <c r="Q71" s="105"/>
      <c r="R71" s="105"/>
      <c r="S71" s="105"/>
      <c r="T71" s="105"/>
      <c r="U71" s="105"/>
      <c r="V71" s="461"/>
    </row>
    <row r="72" spans="1:22">
      <c r="C72" s="227" t="s">
        <v>1460</v>
      </c>
      <c r="M72" s="20">
        <v>1</v>
      </c>
      <c r="N72" s="21">
        <v>1</v>
      </c>
      <c r="O72" s="460" t="s">
        <v>354</v>
      </c>
      <c r="V72" s="462" t="s">
        <v>1089</v>
      </c>
    </row>
    <row r="73" spans="1:22">
      <c r="C73" s="227" t="s">
        <v>1559</v>
      </c>
      <c r="M73" s="20">
        <v>0</v>
      </c>
      <c r="N73" s="21">
        <v>0</v>
      </c>
      <c r="V73" s="462"/>
    </row>
    <row r="74" spans="1:22">
      <c r="L74" s="387" t="s">
        <v>1803</v>
      </c>
      <c r="M74" s="460" t="str">
        <f>IF(SUM(M72:M73)=1,"OK","ERROR")</f>
        <v>OK</v>
      </c>
    </row>
    <row r="75" spans="1:22">
      <c r="B75" s="227" t="s">
        <v>1560</v>
      </c>
      <c r="V75" s="462"/>
    </row>
    <row r="76" spans="1:22">
      <c r="C76" s="227" t="s">
        <v>1461</v>
      </c>
      <c r="M76" s="20">
        <v>1</v>
      </c>
      <c r="N76" s="21">
        <v>1</v>
      </c>
      <c r="V76" s="462" t="s">
        <v>1090</v>
      </c>
    </row>
    <row r="77" spans="1:22">
      <c r="C77" s="227" t="s">
        <v>1561</v>
      </c>
      <c r="M77" s="20">
        <v>0</v>
      </c>
      <c r="N77" s="21">
        <v>0</v>
      </c>
      <c r="V77" s="462" t="s">
        <v>1090</v>
      </c>
    </row>
    <row r="78" spans="1:22">
      <c r="L78" s="387" t="s">
        <v>1803</v>
      </c>
      <c r="M78" s="460" t="str">
        <f>IF(SUM(M76:M77)=1,"OK","ERROR")</f>
        <v>OK</v>
      </c>
      <c r="V78" s="462"/>
    </row>
    <row r="79" spans="1:22">
      <c r="V79" s="462"/>
    </row>
    <row r="80" spans="1:22">
      <c r="B80" s="227" t="s">
        <v>1638</v>
      </c>
      <c r="M80" s="20">
        <v>1.2</v>
      </c>
      <c r="N80" s="21">
        <v>1.2</v>
      </c>
      <c r="O80" s="460" t="s">
        <v>1751</v>
      </c>
      <c r="V80" s="462" t="s">
        <v>1349</v>
      </c>
    </row>
    <row r="81" spans="1:27">
      <c r="M81" s="102"/>
      <c r="N81" s="102"/>
      <c r="V81" s="462"/>
    </row>
    <row r="82" spans="1:27">
      <c r="B82" s="227" t="s">
        <v>1684</v>
      </c>
      <c r="M82" s="20">
        <v>80.33</v>
      </c>
      <c r="N82" s="21">
        <v>80.33</v>
      </c>
      <c r="O82" s="460" t="s">
        <v>383</v>
      </c>
      <c r="V82" s="462"/>
    </row>
    <row r="83" spans="1:27">
      <c r="V83" s="462"/>
    </row>
    <row r="84" spans="1:27">
      <c r="B84" s="227" t="s">
        <v>1712</v>
      </c>
      <c r="M84" s="20">
        <v>350</v>
      </c>
      <c r="N84" s="21">
        <v>350</v>
      </c>
      <c r="O84" s="460" t="s">
        <v>383</v>
      </c>
      <c r="T84" s="102"/>
      <c r="U84" s="102"/>
      <c r="V84" s="102"/>
      <c r="W84" s="102"/>
      <c r="X84" s="102"/>
      <c r="Y84" s="102"/>
      <c r="Z84" s="102"/>
      <c r="AA84" s="102"/>
    </row>
    <row r="85" spans="1:27">
      <c r="B85" s="227"/>
      <c r="M85" s="20"/>
      <c r="N85" s="21"/>
      <c r="T85" s="102"/>
      <c r="U85" s="102"/>
      <c r="V85" s="102"/>
      <c r="W85" s="102"/>
      <c r="X85" s="102"/>
      <c r="Y85" s="102"/>
      <c r="Z85" s="102"/>
      <c r="AA85" s="102"/>
    </row>
    <row r="86" spans="1:27">
      <c r="B86" s="214" t="s">
        <v>1927</v>
      </c>
      <c r="V86" s="462"/>
    </row>
    <row r="87" spans="1:27">
      <c r="C87" s="214" t="s">
        <v>1928</v>
      </c>
      <c r="M87" s="20">
        <v>0.04</v>
      </c>
      <c r="N87" s="21">
        <v>0.04</v>
      </c>
      <c r="O87" s="460" t="s">
        <v>402</v>
      </c>
      <c r="V87" s="462"/>
    </row>
    <row r="88" spans="1:27">
      <c r="C88" s="214" t="s">
        <v>1929</v>
      </c>
      <c r="L88" s="470"/>
      <c r="M88" s="20">
        <v>5000</v>
      </c>
      <c r="N88" s="21">
        <v>5000</v>
      </c>
      <c r="O88" s="460" t="s">
        <v>1754</v>
      </c>
      <c r="V88" s="462" t="s">
        <v>403</v>
      </c>
    </row>
    <row r="89" spans="1:27">
      <c r="C89" s="214" t="s">
        <v>1930</v>
      </c>
      <c r="L89" s="470"/>
      <c r="M89" s="20">
        <v>250</v>
      </c>
      <c r="N89" s="21">
        <v>250</v>
      </c>
      <c r="O89" s="460" t="s">
        <v>1782</v>
      </c>
      <c r="V89" s="462"/>
    </row>
    <row r="90" spans="1:27">
      <c r="M90" s="102"/>
      <c r="N90" s="102"/>
      <c r="T90" s="102"/>
      <c r="U90" s="102"/>
      <c r="V90" s="102"/>
      <c r="W90" s="102"/>
      <c r="X90" s="102"/>
      <c r="Y90" s="102"/>
      <c r="Z90" s="102"/>
      <c r="AA90" s="102"/>
    </row>
    <row r="91" spans="1:27" ht="15.75">
      <c r="A91" s="105"/>
      <c r="V91" s="462"/>
    </row>
    <row r="92" spans="1:27">
      <c r="A92" s="227" t="s">
        <v>1562</v>
      </c>
      <c r="V92" s="462"/>
    </row>
    <row r="93" spans="1:27" ht="15.75">
      <c r="A93" s="105"/>
      <c r="V93" s="462"/>
    </row>
    <row r="94" spans="1:27" s="241" customFormat="1">
      <c r="A94" s="471"/>
      <c r="M94" s="102"/>
      <c r="N94" s="102"/>
      <c r="O94" s="102"/>
      <c r="P94" s="102"/>
      <c r="Q94" s="102"/>
      <c r="V94" s="472"/>
    </row>
    <row r="95" spans="1:27" s="241" customFormat="1">
      <c r="A95" s="471"/>
      <c r="D95" s="473">
        <f>D97/'Input data'!E18</f>
        <v>357745099.81851178</v>
      </c>
      <c r="E95" s="474"/>
      <c r="F95" s="475"/>
      <c r="G95" s="475"/>
      <c r="H95" s="475"/>
      <c r="I95" s="476"/>
      <c r="J95" s="477">
        <f>J97/'Input data'!E18</f>
        <v>357745099.81851178</v>
      </c>
      <c r="M95" s="102"/>
      <c r="N95" s="102"/>
      <c r="O95" s="102"/>
      <c r="P95" s="102"/>
      <c r="Q95" s="102"/>
      <c r="V95" s="472"/>
    </row>
    <row r="96" spans="1:27" s="241" customFormat="1">
      <c r="A96" s="471"/>
      <c r="C96" s="478" t="s">
        <v>357</v>
      </c>
      <c r="D96" s="479" t="s">
        <v>358</v>
      </c>
      <c r="E96" s="480"/>
      <c r="F96" s="481"/>
      <c r="G96" s="481"/>
      <c r="H96" s="481"/>
      <c r="I96" s="482"/>
      <c r="J96" s="477" t="s">
        <v>358</v>
      </c>
      <c r="K96" s="241" t="s">
        <v>359</v>
      </c>
      <c r="M96" s="102"/>
      <c r="N96" s="102"/>
      <c r="O96" s="102"/>
      <c r="P96" s="102"/>
      <c r="Q96" s="102"/>
      <c r="V96" s="472"/>
    </row>
    <row r="97" spans="1:22" s="241" customFormat="1">
      <c r="A97" s="471"/>
      <c r="D97" s="473">
        <f>M32</f>
        <v>788470200</v>
      </c>
      <c r="E97" s="480"/>
      <c r="F97" s="481"/>
      <c r="G97" s="481"/>
      <c r="H97" s="481"/>
      <c r="I97" s="482"/>
      <c r="J97" s="473">
        <f>M32</f>
        <v>788470200</v>
      </c>
      <c r="M97" s="102"/>
      <c r="N97" s="102"/>
      <c r="O97" s="102"/>
      <c r="P97" s="102"/>
      <c r="Q97" s="102"/>
      <c r="V97" s="472"/>
    </row>
    <row r="98" spans="1:22" s="241" customFormat="1" ht="18">
      <c r="A98" s="471"/>
      <c r="C98" s="483"/>
      <c r="D98" s="479" t="str">
        <f>O32</f>
        <v>lbm/d</v>
      </c>
      <c r="E98" s="480"/>
      <c r="F98" s="481"/>
      <c r="G98" s="484" t="s">
        <v>360</v>
      </c>
      <c r="H98" s="481"/>
      <c r="I98" s="482"/>
      <c r="J98" s="479" t="str">
        <f>D98</f>
        <v>lbm/d</v>
      </c>
      <c r="K98" s="485"/>
      <c r="M98" s="102"/>
      <c r="N98" s="102"/>
      <c r="O98" s="102"/>
      <c r="P98" s="102"/>
      <c r="Q98" s="102"/>
      <c r="V98" s="472"/>
    </row>
    <row r="99" spans="1:22" s="241" customFormat="1" ht="18">
      <c r="A99" s="471"/>
      <c r="E99" s="480"/>
      <c r="F99" s="481"/>
      <c r="G99" s="484"/>
      <c r="H99" s="481"/>
      <c r="I99" s="482"/>
      <c r="M99" s="102"/>
      <c r="N99" s="102"/>
      <c r="O99" s="102"/>
      <c r="P99" s="102"/>
      <c r="Q99" s="102"/>
      <c r="V99" s="472"/>
    </row>
    <row r="100" spans="1:22" s="241" customFormat="1" ht="18">
      <c r="A100" s="471"/>
      <c r="D100" s="477">
        <f>D102/'Input data'!E18</f>
        <v>371582396.87706077</v>
      </c>
      <c r="E100" s="480"/>
      <c r="F100" s="481"/>
      <c r="G100" s="484" t="s">
        <v>361</v>
      </c>
      <c r="H100" s="481"/>
      <c r="I100" s="482"/>
      <c r="J100" s="473">
        <f>J102/'Input data'!E18</f>
        <v>389435983.0018363</v>
      </c>
      <c r="M100" s="102"/>
      <c r="N100" s="102"/>
      <c r="O100" s="102"/>
      <c r="P100" s="102"/>
      <c r="Q100" s="102"/>
      <c r="V100" s="472"/>
    </row>
    <row r="101" spans="1:22" s="241" customFormat="1" ht="18">
      <c r="A101" s="471"/>
      <c r="C101" s="478" t="s">
        <v>362</v>
      </c>
      <c r="D101" s="477" t="s">
        <v>358</v>
      </c>
      <c r="E101" s="480"/>
      <c r="F101" s="481"/>
      <c r="G101" s="486"/>
      <c r="H101" s="481"/>
      <c r="I101" s="482"/>
      <c r="J101" s="479" t="s">
        <v>358</v>
      </c>
      <c r="K101" s="241" t="s">
        <v>363</v>
      </c>
      <c r="M101" s="102"/>
      <c r="N101" s="102"/>
      <c r="O101" s="102"/>
      <c r="P101" s="102"/>
      <c r="Q101" s="102"/>
      <c r="V101" s="472"/>
    </row>
    <row r="102" spans="1:22" s="241" customFormat="1" ht="18">
      <c r="A102" s="471"/>
      <c r="D102" s="473">
        <f>SUM(M72:M72)*SUM(M174:M185)*M62*M277+M73*SUM(M194:M205)*M62*M278</f>
        <v>818967602.71704197</v>
      </c>
      <c r="E102" s="480"/>
      <c r="F102" s="481"/>
      <c r="G102" s="486"/>
      <c r="H102" s="481"/>
      <c r="I102" s="482"/>
      <c r="J102" s="477">
        <f>SUM(M72:M72)*SUM(M213:M224)*M227*M277+M73*SUM(M235:M246)*M249*M278</f>
        <v>858316906.53604722</v>
      </c>
      <c r="M102" s="102"/>
      <c r="N102" s="102"/>
      <c r="O102" s="102"/>
      <c r="P102" s="102"/>
      <c r="Q102" s="102"/>
      <c r="V102" s="472"/>
    </row>
    <row r="103" spans="1:22" s="241" customFormat="1" ht="18">
      <c r="A103" s="471"/>
      <c r="C103" s="483"/>
      <c r="D103" s="479" t="s">
        <v>1771</v>
      </c>
      <c r="E103" s="480"/>
      <c r="F103" s="481"/>
      <c r="G103" s="484" t="s">
        <v>364</v>
      </c>
      <c r="H103" s="481"/>
      <c r="I103" s="482"/>
      <c r="J103" s="477" t="s">
        <v>365</v>
      </c>
      <c r="K103" s="485"/>
      <c r="V103" s="472"/>
    </row>
    <row r="104" spans="1:22" s="241" customFormat="1" ht="12.75">
      <c r="A104" s="471"/>
      <c r="E104" s="480"/>
      <c r="F104" s="481"/>
      <c r="G104" s="481"/>
      <c r="H104" s="481"/>
      <c r="I104" s="482"/>
      <c r="V104" s="472"/>
    </row>
    <row r="105" spans="1:22" s="241" customFormat="1" ht="12.75">
      <c r="A105" s="471"/>
      <c r="D105" s="473">
        <f>D107/'Input data'!E18</f>
        <v>17974803.489347138</v>
      </c>
      <c r="E105" s="480"/>
      <c r="F105" s="481"/>
      <c r="G105" s="481"/>
      <c r="H105" s="481"/>
      <c r="I105" s="482"/>
      <c r="V105" s="472"/>
    </row>
    <row r="106" spans="1:22" s="241" customFormat="1" ht="12.75">
      <c r="A106" s="471"/>
      <c r="C106" s="478" t="s">
        <v>366</v>
      </c>
      <c r="D106" s="479" t="s">
        <v>358</v>
      </c>
      <c r="E106" s="480"/>
      <c r="F106" s="481"/>
      <c r="G106" s="481"/>
      <c r="H106" s="481"/>
      <c r="I106" s="482"/>
      <c r="L106" s="473"/>
      <c r="V106" s="472"/>
    </row>
    <row r="107" spans="1:22" s="241" customFormat="1" ht="12.75">
      <c r="A107" s="471"/>
      <c r="D107" s="473">
        <f>SUM(M72:M72)*M155*M277+M73*M278</f>
        <v>39616466.890521094</v>
      </c>
      <c r="E107" s="487"/>
      <c r="F107" s="488"/>
      <c r="G107" s="488"/>
      <c r="H107" s="488"/>
      <c r="I107" s="489"/>
      <c r="L107" s="473"/>
      <c r="V107" s="472"/>
    </row>
    <row r="108" spans="1:22" s="241" customFormat="1">
      <c r="A108" s="471"/>
      <c r="C108" s="483"/>
      <c r="D108" s="479" t="s">
        <v>1771</v>
      </c>
      <c r="V108" s="472"/>
    </row>
    <row r="109" spans="1:22" ht="15.75">
      <c r="A109" s="105"/>
      <c r="V109" s="462"/>
    </row>
    <row r="110" spans="1:22" ht="15.75">
      <c r="A110" s="105"/>
      <c r="E110" s="463" t="s">
        <v>367</v>
      </c>
      <c r="G110" s="460" t="s">
        <v>355</v>
      </c>
      <c r="I110" s="463" t="s">
        <v>368</v>
      </c>
      <c r="V110" s="462"/>
    </row>
    <row r="111" spans="1:22" ht="15.75">
      <c r="A111" s="105"/>
      <c r="E111" s="490">
        <f>SUM(D95,D100,D105)/1000</f>
        <v>747302.30018491973</v>
      </c>
      <c r="F111" s="460" t="s">
        <v>1091</v>
      </c>
      <c r="G111" s="460" t="str">
        <f>IF(ABS((E111-I111)/E111)&lt;=0.02,"OK","ERROR")</f>
        <v>OK</v>
      </c>
      <c r="I111" s="491">
        <f>SUM(J95,J100)/1000</f>
        <v>747181.08282034798</v>
      </c>
      <c r="J111" s="460" t="s">
        <v>1091</v>
      </c>
      <c r="K111" s="492"/>
      <c r="V111" s="462"/>
    </row>
    <row r="112" spans="1:22" ht="15.75">
      <c r="A112" s="105"/>
      <c r="V112" s="462"/>
    </row>
    <row r="113" spans="1:22" ht="15.75">
      <c r="A113" s="105"/>
      <c r="V113" s="462"/>
    </row>
    <row r="114" spans="1:22" ht="15.75">
      <c r="A114" s="105"/>
      <c r="V114" s="462"/>
    </row>
    <row r="115" spans="1:22" s="241" customFormat="1" ht="12.75">
      <c r="A115" s="471"/>
      <c r="V115" s="472"/>
    </row>
    <row r="116" spans="1:22" s="241" customFormat="1" ht="12.75">
      <c r="A116" s="471"/>
      <c r="D116" s="473">
        <f>D118*1055.05/1000</f>
        <v>92920491.619766995</v>
      </c>
      <c r="E116" s="474"/>
      <c r="F116" s="475"/>
      <c r="G116" s="475"/>
      <c r="H116" s="475"/>
      <c r="I116" s="476"/>
      <c r="J116" s="477">
        <f>J118*1055.05/1000</f>
        <v>872537558.19284892</v>
      </c>
      <c r="V116" s="472"/>
    </row>
    <row r="117" spans="1:22" s="241" customFormat="1" ht="12.75">
      <c r="A117" s="471"/>
      <c r="C117" s="493" t="s">
        <v>370</v>
      </c>
      <c r="D117" s="479" t="s">
        <v>351</v>
      </c>
      <c r="E117" s="480"/>
      <c r="F117" s="481"/>
      <c r="G117" s="481"/>
      <c r="H117" s="481"/>
      <c r="I117" s="482"/>
      <c r="J117" s="477" t="s">
        <v>351</v>
      </c>
      <c r="K117" s="241" t="s">
        <v>359</v>
      </c>
      <c r="V117" s="472"/>
    </row>
    <row r="118" spans="1:22" s="241" customFormat="1" ht="12.75">
      <c r="A118" s="471"/>
      <c r="D118" s="473">
        <f>M33*M32/1000</f>
        <v>88072121.340000004</v>
      </c>
      <c r="E118" s="480"/>
      <c r="F118" s="481"/>
      <c r="G118" s="481"/>
      <c r="H118" s="481"/>
      <c r="I118" s="482"/>
      <c r="J118" s="477">
        <f>M32*M44/1000</f>
        <v>827010623.37600017</v>
      </c>
      <c r="V118" s="472"/>
    </row>
    <row r="119" spans="1:22" s="241" customFormat="1" ht="18">
      <c r="A119" s="471"/>
      <c r="C119" s="102"/>
      <c r="D119" s="479" t="s">
        <v>1345</v>
      </c>
      <c r="E119" s="480"/>
      <c r="F119" s="481"/>
      <c r="G119" s="484" t="s">
        <v>360</v>
      </c>
      <c r="H119" s="481"/>
      <c r="I119" s="482"/>
      <c r="J119" s="477" t="s">
        <v>1345</v>
      </c>
      <c r="K119" s="483"/>
      <c r="V119" s="472"/>
    </row>
    <row r="120" spans="1:22" s="241" customFormat="1" ht="18">
      <c r="A120" s="471"/>
      <c r="E120" s="480"/>
      <c r="F120" s="481"/>
      <c r="G120" s="484"/>
      <c r="H120" s="481"/>
      <c r="I120" s="482"/>
      <c r="V120" s="472"/>
    </row>
    <row r="121" spans="1:22" s="241" customFormat="1" ht="18">
      <c r="A121" s="471"/>
      <c r="D121" s="477">
        <f>D123*1055.05/1000</f>
        <v>0</v>
      </c>
      <c r="E121" s="480"/>
      <c r="F121" s="481"/>
      <c r="G121" s="484" t="s">
        <v>361</v>
      </c>
      <c r="H121" s="481"/>
      <c r="I121" s="482"/>
      <c r="J121" s="473">
        <f>J123*1055.05/1000</f>
        <v>65508906.711571693</v>
      </c>
      <c r="V121" s="472"/>
    </row>
    <row r="122" spans="1:22" s="241" customFormat="1" ht="18">
      <c r="A122" s="471"/>
      <c r="C122" s="478" t="s">
        <v>371</v>
      </c>
      <c r="D122" s="477" t="s">
        <v>351</v>
      </c>
      <c r="E122" s="480"/>
      <c r="F122" s="481"/>
      <c r="G122" s="486"/>
      <c r="H122" s="481"/>
      <c r="I122" s="482"/>
      <c r="J122" s="477" t="s">
        <v>351</v>
      </c>
      <c r="K122" s="241" t="s">
        <v>363</v>
      </c>
      <c r="V122" s="472"/>
    </row>
    <row r="123" spans="1:22" s="241" customFormat="1" ht="18">
      <c r="A123" s="471"/>
      <c r="D123" s="473">
        <f>((M187*M277)+(M207*M278))/1000</f>
        <v>0</v>
      </c>
      <c r="E123" s="480"/>
      <c r="F123" s="481"/>
      <c r="G123" s="486"/>
      <c r="H123" s="481"/>
      <c r="I123" s="482"/>
      <c r="J123" s="473">
        <f>(M231*M277+M253*M278)/1000</f>
        <v>62090807.745198518</v>
      </c>
      <c r="V123" s="472"/>
    </row>
    <row r="124" spans="1:22" s="241" customFormat="1" ht="18">
      <c r="A124" s="471"/>
      <c r="C124" s="102"/>
      <c r="D124" s="479" t="s">
        <v>1345</v>
      </c>
      <c r="E124" s="480"/>
      <c r="F124" s="481"/>
      <c r="G124" s="484" t="s">
        <v>372</v>
      </c>
      <c r="H124" s="481"/>
      <c r="I124" s="482"/>
      <c r="J124" s="477" t="s">
        <v>1345</v>
      </c>
      <c r="K124" s="483"/>
      <c r="V124" s="472"/>
    </row>
    <row r="125" spans="1:22" s="241" customFormat="1" ht="12.75">
      <c r="A125" s="471"/>
      <c r="E125" s="480"/>
      <c r="F125" s="481"/>
      <c r="G125" s="481"/>
      <c r="H125" s="481"/>
      <c r="I125" s="482"/>
      <c r="J125" s="477">
        <f>J128*1055.05/1000</f>
        <v>48321394.655229039</v>
      </c>
      <c r="V125" s="472"/>
    </row>
    <row r="126" spans="1:22" s="241" customFormat="1" ht="12.75">
      <c r="A126" s="471"/>
      <c r="D126" s="473">
        <f>D128*1055.05/1000</f>
        <v>893447367.9398824</v>
      </c>
      <c r="E126" s="480"/>
      <c r="F126" s="481"/>
      <c r="G126" s="481"/>
      <c r="H126" s="481"/>
      <c r="I126" s="482"/>
      <c r="J126" s="477" t="s">
        <v>351</v>
      </c>
      <c r="K126" s="241" t="s">
        <v>373</v>
      </c>
      <c r="V126" s="472"/>
    </row>
    <row r="127" spans="1:22" s="241" customFormat="1">
      <c r="A127" s="471"/>
      <c r="C127" s="512" t="s">
        <v>2437</v>
      </c>
      <c r="D127" s="479" t="s">
        <v>351</v>
      </c>
      <c r="E127" s="480"/>
      <c r="F127" s="481"/>
      <c r="G127" s="481"/>
      <c r="H127" s="481"/>
      <c r="I127" s="482"/>
      <c r="V127" s="472"/>
    </row>
    <row r="128" spans="1:22" s="241" customFormat="1" ht="12.75">
      <c r="A128" s="471"/>
      <c r="D128" s="473">
        <f>(M281+M282)*1000</f>
        <v>846829408.97576654</v>
      </c>
      <c r="E128" s="494"/>
      <c r="F128" s="495"/>
      <c r="G128" s="495"/>
      <c r="H128" s="495"/>
      <c r="I128" s="496"/>
      <c r="J128" s="477">
        <f>(((M262+M88)*M277)+((M263+M89)*M278))/1000</f>
        <v>45800099.194568075</v>
      </c>
      <c r="V128" s="472"/>
    </row>
    <row r="129" spans="1:22" s="241" customFormat="1" ht="16.5">
      <c r="A129" s="471"/>
      <c r="C129" s="692"/>
      <c r="D129" s="479" t="s">
        <v>1345</v>
      </c>
      <c r="J129" s="479" t="s">
        <v>1345</v>
      </c>
      <c r="K129" s="483"/>
      <c r="V129" s="472"/>
    </row>
    <row r="130" spans="1:22" ht="15.75">
      <c r="A130" s="105"/>
      <c r="V130" s="462"/>
    </row>
    <row r="131" spans="1:22" ht="15.75">
      <c r="A131" s="105"/>
      <c r="E131" s="463" t="s">
        <v>374</v>
      </c>
      <c r="G131" s="460" t="s">
        <v>375</v>
      </c>
      <c r="I131" s="463" t="s">
        <v>376</v>
      </c>
      <c r="V131" s="462"/>
    </row>
    <row r="132" spans="1:22" ht="15.75">
      <c r="A132" s="105"/>
      <c r="C132" s="497"/>
      <c r="D132" s="497"/>
      <c r="E132" s="498">
        <f>(D116+D121+D126)/1000</f>
        <v>986367.85955964937</v>
      </c>
      <c r="F132" s="497" t="s">
        <v>1092</v>
      </c>
      <c r="G132" s="497" t="str">
        <f>IF(ABS((E132-I132)/E132)&lt;=0.02,"OK","ERROR")</f>
        <v>OK</v>
      </c>
      <c r="H132" s="497"/>
      <c r="I132" s="499">
        <f>SUM(J116,J121,J125)/1000</f>
        <v>986367.85955964972</v>
      </c>
      <c r="J132" s="497" t="s">
        <v>1092</v>
      </c>
      <c r="V132" s="462"/>
    </row>
    <row r="133" spans="1:22" ht="15.75">
      <c r="A133" s="105"/>
      <c r="V133" s="462"/>
    </row>
    <row r="134" spans="1:22">
      <c r="F134" s="460" t="s">
        <v>1093</v>
      </c>
      <c r="G134" s="500">
        <f>J118/D128</f>
        <v>0.97659648402653254</v>
      </c>
      <c r="H134" s="666" t="s">
        <v>2438</v>
      </c>
      <c r="V134" s="462"/>
    </row>
    <row r="135" spans="1:22">
      <c r="G135" s="500"/>
      <c r="V135" s="462"/>
    </row>
    <row r="136" spans="1:22">
      <c r="G136" s="500"/>
      <c r="V136" s="462"/>
    </row>
    <row r="137" spans="1:22">
      <c r="V137" s="462"/>
    </row>
    <row r="138" spans="1:22">
      <c r="M138" s="666"/>
      <c r="V138" s="462"/>
    </row>
    <row r="139" spans="1:22" ht="15.75">
      <c r="A139" s="227" t="s">
        <v>1639</v>
      </c>
      <c r="M139" s="666"/>
      <c r="Q139" s="105"/>
      <c r="R139" s="105"/>
      <c r="S139" s="105"/>
      <c r="T139" s="105"/>
      <c r="U139" s="105"/>
      <c r="V139" s="461"/>
    </row>
    <row r="140" spans="1:22">
      <c r="B140" s="227" t="s">
        <v>1462</v>
      </c>
      <c r="M140" s="115"/>
      <c r="N140" s="115"/>
      <c r="O140"/>
      <c r="P140"/>
      <c r="Q140"/>
      <c r="R140"/>
      <c r="S140"/>
      <c r="T140"/>
      <c r="V140" s="462"/>
    </row>
    <row r="141" spans="1:22" ht="19.5">
      <c r="C141" s="227" t="s">
        <v>1463</v>
      </c>
      <c r="L141" s="460" t="s">
        <v>389</v>
      </c>
      <c r="M141" s="242">
        <f>M$76*'Fuel Specs'!C227+M$77*'Fuel Specs'!C273</f>
        <v>4.0000000000000001E-3</v>
      </c>
      <c r="N141" s="460" t="s">
        <v>1752</v>
      </c>
      <c r="O141"/>
      <c r="P141"/>
      <c r="Q141"/>
      <c r="R141"/>
      <c r="S141"/>
      <c r="T141"/>
      <c r="V141" s="462" t="s">
        <v>1094</v>
      </c>
    </row>
    <row r="142" spans="1:22" ht="19.5">
      <c r="L142" s="460" t="s">
        <v>390</v>
      </c>
      <c r="M142" s="242">
        <f>M$76*'Fuel Specs'!C228+M$77*'Fuel Specs'!C274</f>
        <v>0</v>
      </c>
      <c r="N142" s="460" t="s">
        <v>1752</v>
      </c>
      <c r="O142"/>
      <c r="P142"/>
      <c r="Q142"/>
      <c r="R142"/>
      <c r="S142"/>
      <c r="T142"/>
      <c r="V142" s="462"/>
    </row>
    <row r="143" spans="1:22" ht="19.5">
      <c r="L143" s="460" t="s">
        <v>215</v>
      </c>
      <c r="M143" s="242">
        <f>M$76*'Fuel Specs'!C229+M$77*'Fuel Specs'!C275</f>
        <v>0</v>
      </c>
      <c r="N143" s="460" t="s">
        <v>1752</v>
      </c>
      <c r="O143"/>
      <c r="P143"/>
      <c r="Q143"/>
      <c r="R143"/>
      <c r="S143"/>
      <c r="T143"/>
      <c r="V143" s="462"/>
    </row>
    <row r="144" spans="1:22" ht="19.5">
      <c r="L144" s="460" t="s">
        <v>391</v>
      </c>
      <c r="M144" s="242">
        <f>M$76*'Fuel Specs'!C230+M$77*'Fuel Specs'!C276</f>
        <v>0</v>
      </c>
      <c r="N144" s="460" t="s">
        <v>1752</v>
      </c>
      <c r="O144"/>
      <c r="P144"/>
      <c r="Q144"/>
      <c r="R144"/>
      <c r="S144"/>
      <c r="T144"/>
      <c r="V144" s="462"/>
    </row>
    <row r="145" spans="2:22" ht="19.5">
      <c r="L145" s="460" t="s">
        <v>392</v>
      </c>
      <c r="M145" s="242">
        <f>M$76*'Fuel Specs'!C231+M$77*'Fuel Specs'!C277</f>
        <v>0.96599999999999997</v>
      </c>
      <c r="N145" s="460" t="s">
        <v>1752</v>
      </c>
      <c r="O145"/>
      <c r="P145"/>
      <c r="Q145"/>
      <c r="R145"/>
      <c r="S145"/>
      <c r="T145"/>
      <c r="V145" s="462"/>
    </row>
    <row r="146" spans="2:22" ht="19.5">
      <c r="L146" s="460" t="s">
        <v>393</v>
      </c>
      <c r="M146" s="242">
        <f>M$76*'Fuel Specs'!C232+M$77*'Fuel Specs'!C278</f>
        <v>0.02</v>
      </c>
      <c r="N146" s="460" t="s">
        <v>1752</v>
      </c>
      <c r="O146"/>
      <c r="P146"/>
      <c r="Q146"/>
      <c r="R146"/>
      <c r="S146"/>
      <c r="T146"/>
      <c r="V146" s="462"/>
    </row>
    <row r="147" spans="2:22" ht="19.5">
      <c r="L147" s="460" t="s">
        <v>394</v>
      </c>
      <c r="M147" s="242">
        <f>M$76*'Fuel Specs'!C233+M$77*'Fuel Specs'!C279</f>
        <v>0.01</v>
      </c>
      <c r="N147" s="460" t="s">
        <v>1752</v>
      </c>
      <c r="O147"/>
      <c r="P147"/>
      <c r="Q147"/>
      <c r="R147"/>
      <c r="S147"/>
      <c r="T147"/>
      <c r="V147" s="462"/>
    </row>
    <row r="148" spans="2:22" ht="19.5">
      <c r="L148" s="460" t="s">
        <v>395</v>
      </c>
      <c r="M148" s="242">
        <f>M$76*'Fuel Specs'!C234+M$77*'Fuel Specs'!C280</f>
        <v>0</v>
      </c>
      <c r="N148" s="460" t="s">
        <v>1752</v>
      </c>
      <c r="O148"/>
      <c r="P148"/>
      <c r="Q148"/>
      <c r="R148"/>
      <c r="S148"/>
      <c r="T148"/>
      <c r="V148" s="462"/>
    </row>
    <row r="149" spans="2:22">
      <c r="L149" s="460" t="s">
        <v>396</v>
      </c>
      <c r="M149" s="242">
        <f>M$76*'Fuel Specs'!C235+M$77*'Fuel Specs'!C281</f>
        <v>0</v>
      </c>
      <c r="N149" s="460" t="s">
        <v>1752</v>
      </c>
      <c r="O149"/>
      <c r="P149"/>
      <c r="Q149"/>
      <c r="R149"/>
      <c r="S149"/>
      <c r="T149"/>
      <c r="V149" s="462"/>
    </row>
    <row r="150" spans="2:22" ht="19.5">
      <c r="L150" s="460" t="s">
        <v>397</v>
      </c>
      <c r="M150" s="242">
        <f>M$76*'Fuel Specs'!C236+M$77*'Fuel Specs'!C282</f>
        <v>0</v>
      </c>
      <c r="N150" s="460" t="s">
        <v>1752</v>
      </c>
      <c r="O150"/>
      <c r="P150"/>
      <c r="Q150"/>
      <c r="R150"/>
      <c r="S150"/>
      <c r="T150"/>
      <c r="V150" s="462"/>
    </row>
    <row r="151" spans="2:22" ht="19.5">
      <c r="L151" s="460" t="s">
        <v>214</v>
      </c>
      <c r="M151" s="242">
        <f>M$76*'Fuel Specs'!C237+M$77*'Fuel Specs'!C283</f>
        <v>0</v>
      </c>
      <c r="N151" s="460" t="s">
        <v>1752</v>
      </c>
      <c r="O151"/>
      <c r="P151"/>
      <c r="Q151"/>
      <c r="R151"/>
      <c r="S151"/>
      <c r="T151"/>
      <c r="V151" s="462"/>
    </row>
    <row r="152" spans="2:22" ht="19.5">
      <c r="L152" s="460" t="s">
        <v>398</v>
      </c>
      <c r="M152" s="242">
        <f>M$76*'Fuel Specs'!C238+M$77*'Fuel Specs'!C284</f>
        <v>0</v>
      </c>
      <c r="N152" s="460" t="s">
        <v>1752</v>
      </c>
      <c r="O152"/>
      <c r="P152"/>
      <c r="Q152"/>
      <c r="R152"/>
      <c r="S152"/>
      <c r="T152"/>
      <c r="V152" s="462"/>
    </row>
    <row r="153" spans="2:22">
      <c r="L153" s="460" t="s">
        <v>355</v>
      </c>
      <c r="M153" s="460" t="str">
        <f>IF(M76+M77=1,IF(SUM(M141:M152)=1,"OK","ERROR"),"OK")</f>
        <v>OK</v>
      </c>
      <c r="O153"/>
      <c r="P153"/>
      <c r="Q153"/>
      <c r="R153"/>
      <c r="S153"/>
      <c r="T153"/>
      <c r="V153" s="462" t="s">
        <v>1095</v>
      </c>
    </row>
    <row r="154" spans="2:22">
      <c r="M154" s="115"/>
      <c r="O154"/>
      <c r="P154"/>
      <c r="Q154"/>
      <c r="R154"/>
      <c r="S154"/>
      <c r="T154"/>
      <c r="V154" s="462"/>
    </row>
    <row r="155" spans="2:22">
      <c r="C155" s="227" t="s">
        <v>1563</v>
      </c>
      <c r="M155" s="14">
        <f>SUMPRODUCT(M141:M152,'Fuel Specs'!E148:E159)</f>
        <v>16.608000000000001</v>
      </c>
      <c r="N155" s="460" t="s">
        <v>240</v>
      </c>
      <c r="V155" s="462"/>
    </row>
    <row r="156" spans="2:22">
      <c r="V156" s="462"/>
    </row>
    <row r="157" spans="2:22">
      <c r="C157" s="666" t="s">
        <v>2441</v>
      </c>
      <c r="L157" s="460" t="s">
        <v>400</v>
      </c>
      <c r="M157" s="14">
        <f>SUMPRODUCT(M141:M152,'Fuel Specs'!N128:N139)</f>
        <v>355007.49885484145</v>
      </c>
      <c r="N157" s="666" t="s">
        <v>2439</v>
      </c>
      <c r="V157" s="462"/>
    </row>
    <row r="158" spans="2:22">
      <c r="L158" s="460" t="s">
        <v>172</v>
      </c>
      <c r="M158" s="14">
        <f>M157*1055.05/1000000</f>
        <v>374.55066166680047</v>
      </c>
      <c r="N158" s="666" t="s">
        <v>2440</v>
      </c>
      <c r="V158" s="462"/>
    </row>
    <row r="159" spans="2:22">
      <c r="V159" s="462"/>
    </row>
    <row r="160" spans="2:22">
      <c r="B160" s="227" t="s">
        <v>1564</v>
      </c>
      <c r="V160" s="462"/>
    </row>
    <row r="161" spans="1:22">
      <c r="C161" s="666" t="s">
        <v>2442</v>
      </c>
      <c r="M161" s="206">
        <f>VLOOKUP(M11,'Fuel Specs'!B21:O62,3)</f>
        <v>17730</v>
      </c>
      <c r="N161" s="460" t="s">
        <v>2448</v>
      </c>
      <c r="V161" s="462" t="s">
        <v>1773</v>
      </c>
    </row>
    <row r="162" spans="1:22">
      <c r="C162" s="227" t="s">
        <v>1565</v>
      </c>
      <c r="M162" s="17">
        <f>VLOOKUP(M11,'Fuel Specs'!B70:L111,3)/100</f>
        <v>0.85427361563517923</v>
      </c>
      <c r="N162" s="460" t="s">
        <v>1774</v>
      </c>
      <c r="S162" s="102"/>
      <c r="V162" s="462" t="s">
        <v>1096</v>
      </c>
    </row>
    <row r="163" spans="1:22">
      <c r="S163" s="102"/>
      <c r="V163" s="462"/>
    </row>
    <row r="164" spans="1:22">
      <c r="C164" s="227" t="s">
        <v>1640</v>
      </c>
      <c r="L164" s="460" t="s">
        <v>381</v>
      </c>
      <c r="M164" s="242">
        <f>VLOOKUP(M11,'Fuel Specs'!B70:Q111,12)</f>
        <v>7.1189467969598269E-2</v>
      </c>
      <c r="N164" s="460" t="s">
        <v>1775</v>
      </c>
      <c r="S164" s="102"/>
      <c r="V164" s="462"/>
    </row>
    <row r="165" spans="1:22">
      <c r="L165" s="460" t="s">
        <v>380</v>
      </c>
      <c r="M165" s="242">
        <f>VLOOKUP(M11,'Fuel Specs'!B70:Q111,13)</f>
        <v>0.11372638436482084</v>
      </c>
      <c r="N165" s="460" t="s">
        <v>1775</v>
      </c>
      <c r="S165" s="102"/>
      <c r="V165" s="462"/>
    </row>
    <row r="166" spans="1:22">
      <c r="L166" s="460" t="s">
        <v>382</v>
      </c>
      <c r="M166" s="242">
        <f>VLOOKUP(M11,'Fuel Specs'!B70:Q111,14)</f>
        <v>9.3749999999999997E-4</v>
      </c>
      <c r="N166" s="460" t="s">
        <v>1775</v>
      </c>
      <c r="S166" s="102"/>
      <c r="V166" s="462"/>
    </row>
    <row r="167" spans="1:22">
      <c r="L167" s="460" t="s">
        <v>378</v>
      </c>
      <c r="M167" s="242">
        <f>VLOOKUP(M11,'Fuel Specs'!B70:Q111,15)</f>
        <v>1.4285714285714287E-4</v>
      </c>
      <c r="N167" s="460" t="s">
        <v>1775</v>
      </c>
      <c r="S167" s="102"/>
      <c r="V167" s="462" t="s">
        <v>1350</v>
      </c>
    </row>
    <row r="168" spans="1:22">
      <c r="S168" s="102"/>
      <c r="T168" s="666"/>
      <c r="U168" s="462"/>
    </row>
    <row r="169" spans="1:22">
      <c r="C169" s="227" t="s">
        <v>1685</v>
      </c>
      <c r="M169" s="17">
        <f>VLOOKUP(M11,'Fuel Specs'!B70:L111,11)</f>
        <v>1.4125483295330623</v>
      </c>
      <c r="N169" s="460" t="s">
        <v>1753</v>
      </c>
      <c r="S169" s="102"/>
      <c r="U169" s="462"/>
    </row>
    <row r="170" spans="1:22">
      <c r="S170" s="102"/>
      <c r="U170" s="462"/>
    </row>
    <row r="171" spans="1:22">
      <c r="P171"/>
      <c r="Q171"/>
      <c r="R171"/>
      <c r="S171"/>
      <c r="T171"/>
      <c r="U171" s="462"/>
    </row>
    <row r="172" spans="1:22">
      <c r="A172" s="227" t="s">
        <v>1686</v>
      </c>
      <c r="P172"/>
      <c r="Q172"/>
      <c r="R172"/>
      <c r="S172"/>
      <c r="T172"/>
      <c r="U172" s="462"/>
    </row>
    <row r="173" spans="1:22">
      <c r="B173" s="227" t="s">
        <v>1464</v>
      </c>
      <c r="P173"/>
      <c r="Q173"/>
      <c r="R173"/>
      <c r="S173"/>
      <c r="T173"/>
      <c r="U173" s="462"/>
    </row>
    <row r="174" spans="1:22" ht="19.5">
      <c r="B174" s="503"/>
      <c r="C174" s="227" t="s">
        <v>1465</v>
      </c>
      <c r="L174" s="460" t="s">
        <v>389</v>
      </c>
      <c r="M174" s="75">
        <f>(M$76*'Fuel Specs'!D256+M$77*'Fuel Specs'!D302)*(M$80)*$M$72</f>
        <v>9.2877731742243448</v>
      </c>
      <c r="N174" s="460" t="s">
        <v>1752</v>
      </c>
      <c r="O174" s="504"/>
      <c r="P174"/>
      <c r="Q174"/>
      <c r="R174"/>
      <c r="S174"/>
      <c r="T174"/>
      <c r="U174" s="462"/>
    </row>
    <row r="175" spans="1:22" ht="19.5">
      <c r="L175" s="460" t="s">
        <v>390</v>
      </c>
      <c r="M175" s="75">
        <f>(M$76*'Fuel Specs'!D257+M$77*'Fuel Specs'!D303)*(M$80)*$M$72</f>
        <v>2.4623999999999993</v>
      </c>
      <c r="N175" s="460" t="s">
        <v>1752</v>
      </c>
      <c r="O175" s="504"/>
      <c r="P175"/>
      <c r="Q175"/>
      <c r="R175"/>
      <c r="S175"/>
      <c r="T175"/>
      <c r="U175" s="462"/>
    </row>
    <row r="176" spans="1:22" ht="19.5">
      <c r="L176" s="460" t="s">
        <v>215</v>
      </c>
      <c r="M176" s="75">
        <f>(M$76*'Fuel Specs'!D258+M$77*'Fuel Specs'!D304)*(M$80)*$M$72</f>
        <v>3.5261097852028632E-3</v>
      </c>
      <c r="N176" s="460" t="s">
        <v>1752</v>
      </c>
      <c r="O176" s="504"/>
      <c r="P176"/>
      <c r="Q176"/>
      <c r="R176"/>
      <c r="S176"/>
      <c r="T176"/>
      <c r="U176" s="462"/>
    </row>
    <row r="177" spans="2:26" ht="19.5">
      <c r="L177" s="460" t="s">
        <v>391</v>
      </c>
      <c r="M177" s="75">
        <f>(M$76*'Fuel Specs'!D259+M$77*'Fuel Specs'!D305)*(M$80)*$M$72</f>
        <v>0.2398714139593785</v>
      </c>
      <c r="N177" s="460" t="s">
        <v>1752</v>
      </c>
      <c r="O177" s="504"/>
      <c r="P177"/>
      <c r="Q177"/>
      <c r="R177"/>
      <c r="S177"/>
      <c r="T177"/>
      <c r="U177" s="462"/>
    </row>
    <row r="178" spans="2:26" ht="19.5">
      <c r="L178" s="460" t="s">
        <v>392</v>
      </c>
      <c r="M178" s="75">
        <f>(M$76*'Fuel Specs'!D260+M$77*'Fuel Specs'!D306)*(M$80)*$M$72</f>
        <v>0</v>
      </c>
      <c r="N178" s="460" t="s">
        <v>1752</v>
      </c>
      <c r="O178" s="504"/>
      <c r="P178"/>
      <c r="Q178"/>
      <c r="R178"/>
      <c r="S178"/>
      <c r="T178"/>
      <c r="U178" s="462"/>
    </row>
    <row r="179" spans="2:26" ht="19.5">
      <c r="L179" s="460" t="s">
        <v>393</v>
      </c>
      <c r="M179" s="75">
        <f>(M$76*'Fuel Specs'!D261+M$77*'Fuel Specs'!D307)*(M$80)*$M$72</f>
        <v>0</v>
      </c>
      <c r="N179" s="460" t="s">
        <v>1752</v>
      </c>
      <c r="O179" s="504"/>
      <c r="P179"/>
      <c r="Q179"/>
      <c r="R179"/>
      <c r="S179"/>
      <c r="T179"/>
      <c r="U179" s="462"/>
    </row>
    <row r="180" spans="2:26" ht="19.5">
      <c r="L180" s="460" t="s">
        <v>394</v>
      </c>
      <c r="M180" s="75">
        <f>(M$76*'Fuel Specs'!D262+M$77*'Fuel Specs'!D308)*(M$80)*$M$72</f>
        <v>0</v>
      </c>
      <c r="N180" s="460" t="s">
        <v>1752</v>
      </c>
      <c r="O180" s="504"/>
      <c r="P180"/>
      <c r="Q180"/>
      <c r="R180"/>
      <c r="S180"/>
      <c r="T180"/>
      <c r="U180" s="462"/>
    </row>
    <row r="181" spans="2:26" ht="19.5">
      <c r="L181" s="460" t="s">
        <v>395</v>
      </c>
      <c r="M181" s="75">
        <f>(M$76*'Fuel Specs'!D263+M$77*'Fuel Specs'!D309)*(M$80)*$M$72</f>
        <v>0</v>
      </c>
      <c r="N181" s="460" t="s">
        <v>1752</v>
      </c>
      <c r="O181" s="504"/>
      <c r="P181"/>
      <c r="Q181"/>
      <c r="R181"/>
      <c r="S181"/>
      <c r="T181"/>
      <c r="U181" s="462"/>
    </row>
    <row r="182" spans="2:26">
      <c r="L182" s="460" t="s">
        <v>396</v>
      </c>
      <c r="M182" s="75">
        <f>(M$76*'Fuel Specs'!D264+M$77*'Fuel Specs'!D310)*(M$80)*$M$72</f>
        <v>0</v>
      </c>
      <c r="N182" s="460" t="s">
        <v>1752</v>
      </c>
      <c r="O182" s="504"/>
      <c r="P182"/>
      <c r="Q182"/>
      <c r="R182"/>
      <c r="S182"/>
      <c r="T182"/>
      <c r="U182" s="462"/>
    </row>
    <row r="183" spans="2:26" ht="19.5">
      <c r="L183" s="460" t="s">
        <v>397</v>
      </c>
      <c r="M183" s="75">
        <f>(M$76*'Fuel Specs'!D265+M$77*'Fuel Specs'!D311)*(M$80)*$M$72</f>
        <v>0</v>
      </c>
      <c r="N183" s="460" t="s">
        <v>1752</v>
      </c>
      <c r="O183" s="504"/>
      <c r="P183"/>
      <c r="Q183"/>
      <c r="R183"/>
      <c r="S183"/>
      <c r="T183"/>
      <c r="U183" s="462"/>
    </row>
    <row r="184" spans="2:26" ht="19.5">
      <c r="L184" s="460" t="s">
        <v>214</v>
      </c>
      <c r="M184" s="75">
        <f>(M$76*'Fuel Specs'!D266+M$77*'Fuel Specs'!D312)*(M$80)*$M$72</f>
        <v>0</v>
      </c>
      <c r="N184" s="460" t="s">
        <v>1752</v>
      </c>
      <c r="O184" s="504"/>
      <c r="P184"/>
      <c r="Q184"/>
      <c r="R184"/>
      <c r="S184"/>
      <c r="T184"/>
      <c r="U184" s="462"/>
    </row>
    <row r="185" spans="2:26" ht="19.5">
      <c r="L185" s="460" t="s">
        <v>398</v>
      </c>
      <c r="M185" s="75">
        <f>(M$76*'Fuel Specs'!D267+M$77*'Fuel Specs'!D313)*(M$80)*$M$72</f>
        <v>0</v>
      </c>
      <c r="N185" s="460" t="s">
        <v>1752</v>
      </c>
      <c r="O185" s="504"/>
      <c r="P185"/>
      <c r="Q185"/>
      <c r="R185"/>
      <c r="S185"/>
      <c r="T185"/>
      <c r="U185" s="462"/>
    </row>
    <row r="186" spans="2:26">
      <c r="O186" s="504"/>
      <c r="P186"/>
      <c r="Q186"/>
      <c r="R186"/>
      <c r="S186"/>
      <c r="T186"/>
      <c r="U186" s="462"/>
    </row>
    <row r="187" spans="2:26">
      <c r="B187" s="100"/>
      <c r="C187" s="227" t="s">
        <v>1566</v>
      </c>
      <c r="L187" s="463"/>
      <c r="M187" s="14">
        <f>M174*'Input data'!$C$167+M175*'Input data'!$D$167+M176*'Input data'!$E$167+M177*('Input data'!$I$167)+1*'Input data'!$J$167</f>
        <v>0</v>
      </c>
      <c r="N187" s="460" t="s">
        <v>1754</v>
      </c>
      <c r="O187" s="504"/>
      <c r="U187" s="462"/>
      <c r="V187" s="462" t="s">
        <v>2456</v>
      </c>
    </row>
    <row r="188" spans="2:26">
      <c r="O188" s="504"/>
      <c r="U188" s="462"/>
    </row>
    <row r="189" spans="2:26">
      <c r="O189" s="504"/>
      <c r="S189" s="102"/>
      <c r="T189" s="102"/>
      <c r="U189" s="102"/>
      <c r="V189" s="102"/>
      <c r="W189" s="102"/>
      <c r="X189" s="102"/>
      <c r="Y189" s="102"/>
      <c r="Z189" s="102"/>
    </row>
    <row r="190" spans="2:26">
      <c r="B190" s="227" t="s">
        <v>1466</v>
      </c>
      <c r="O190" s="504"/>
      <c r="S190" s="102"/>
      <c r="T190" s="102"/>
      <c r="U190" s="102"/>
      <c r="V190" s="102"/>
      <c r="W190" s="102"/>
      <c r="X190" s="102"/>
      <c r="Y190" s="102"/>
      <c r="Z190" s="102"/>
    </row>
    <row r="191" spans="2:26">
      <c r="B191" s="100"/>
      <c r="C191" s="227" t="s">
        <v>1467</v>
      </c>
      <c r="M191" s="75">
        <f>(M164+1/4*M165+M166)*M73</f>
        <v>0</v>
      </c>
      <c r="N191" s="460" t="s">
        <v>1776</v>
      </c>
      <c r="O191" s="504"/>
      <c r="S191" s="102"/>
      <c r="T191" s="102"/>
      <c r="U191" s="102"/>
      <c r="V191" s="102"/>
      <c r="W191" s="102"/>
      <c r="X191" s="102"/>
      <c r="Y191" s="102"/>
      <c r="Z191" s="102"/>
    </row>
    <row r="192" spans="2:26">
      <c r="B192" s="100"/>
      <c r="C192" s="227" t="s">
        <v>1567</v>
      </c>
      <c r="M192" s="75">
        <f>(M191*M80)</f>
        <v>0</v>
      </c>
      <c r="N192" s="460" t="s">
        <v>1777</v>
      </c>
      <c r="O192" s="504"/>
      <c r="S192" s="102"/>
      <c r="T192" s="102"/>
      <c r="U192" s="102"/>
      <c r="V192" s="102"/>
      <c r="W192" s="102"/>
      <c r="X192" s="102"/>
      <c r="Y192" s="102"/>
      <c r="Z192" s="102"/>
    </row>
    <row r="193" spans="2:26">
      <c r="O193" s="504"/>
      <c r="S193" s="102"/>
      <c r="T193" s="102"/>
      <c r="U193" s="102"/>
      <c r="V193" s="102"/>
      <c r="W193" s="102"/>
      <c r="X193" s="102"/>
      <c r="Y193" s="102"/>
      <c r="Z193" s="102"/>
    </row>
    <row r="194" spans="2:26" ht="19.5">
      <c r="B194" s="100"/>
      <c r="C194" s="227" t="s">
        <v>1641</v>
      </c>
      <c r="L194" s="460" t="s">
        <v>389</v>
      </c>
      <c r="M194" s="242">
        <f t="shared" ref="M194:M205" si="0">$M$192*M48/$M$49</f>
        <v>0</v>
      </c>
      <c r="N194" s="460" t="s">
        <v>1778</v>
      </c>
      <c r="O194" s="504"/>
      <c r="S194" s="102"/>
      <c r="T194" s="102"/>
      <c r="U194" s="102"/>
      <c r="V194" s="102"/>
      <c r="W194" s="102"/>
      <c r="X194" s="102"/>
      <c r="Y194" s="102"/>
      <c r="Z194" s="102"/>
    </row>
    <row r="195" spans="2:26" ht="19.5">
      <c r="L195" s="460" t="s">
        <v>390</v>
      </c>
      <c r="M195" s="242">
        <f t="shared" si="0"/>
        <v>0</v>
      </c>
      <c r="N195" s="460" t="s">
        <v>1778</v>
      </c>
      <c r="O195" s="504"/>
      <c r="S195" s="102"/>
      <c r="T195" s="102"/>
      <c r="U195" s="102"/>
      <c r="V195" s="102"/>
      <c r="W195" s="102"/>
      <c r="X195" s="102"/>
      <c r="Y195" s="102"/>
      <c r="Z195" s="102"/>
    </row>
    <row r="196" spans="2:26" ht="19.5">
      <c r="L196" s="460" t="s">
        <v>215</v>
      </c>
      <c r="M196" s="242">
        <f t="shared" si="0"/>
        <v>0</v>
      </c>
      <c r="N196" s="460" t="s">
        <v>1778</v>
      </c>
      <c r="O196" s="504"/>
      <c r="S196" s="102"/>
      <c r="T196" s="102"/>
      <c r="U196" s="102"/>
      <c r="V196" s="102"/>
      <c r="W196" s="102"/>
      <c r="X196" s="102"/>
      <c r="Y196" s="102"/>
      <c r="Z196" s="102"/>
    </row>
    <row r="197" spans="2:26" ht="19.5">
      <c r="L197" s="460" t="s">
        <v>391</v>
      </c>
      <c r="M197" s="242">
        <f t="shared" si="0"/>
        <v>0</v>
      </c>
      <c r="N197" s="460" t="s">
        <v>1778</v>
      </c>
      <c r="O197" s="504"/>
      <c r="S197" s="102"/>
      <c r="T197" s="102"/>
      <c r="U197" s="102"/>
      <c r="V197" s="102"/>
      <c r="W197" s="102"/>
      <c r="X197" s="102"/>
      <c r="Y197" s="102"/>
      <c r="Z197" s="102"/>
    </row>
    <row r="198" spans="2:26" ht="19.5">
      <c r="L198" s="460" t="s">
        <v>392</v>
      </c>
      <c r="M198" s="242">
        <f t="shared" si="0"/>
        <v>0</v>
      </c>
      <c r="N198" s="460" t="s">
        <v>1778</v>
      </c>
      <c r="O198" s="504"/>
      <c r="S198" s="102"/>
      <c r="T198" s="102"/>
      <c r="U198" s="102"/>
      <c r="V198" s="102"/>
      <c r="W198" s="102"/>
      <c r="X198" s="102"/>
      <c r="Y198" s="102"/>
      <c r="Z198" s="102"/>
    </row>
    <row r="199" spans="2:26" ht="19.5">
      <c r="L199" s="460" t="s">
        <v>393</v>
      </c>
      <c r="M199" s="242">
        <f t="shared" si="0"/>
        <v>0</v>
      </c>
      <c r="N199" s="460" t="s">
        <v>1778</v>
      </c>
      <c r="O199" s="504"/>
      <c r="S199" s="102"/>
      <c r="T199" s="102"/>
      <c r="U199" s="102"/>
      <c r="V199" s="102"/>
      <c r="W199" s="102"/>
      <c r="X199" s="102"/>
      <c r="Y199" s="102"/>
      <c r="Z199" s="102"/>
    </row>
    <row r="200" spans="2:26" ht="19.5">
      <c r="L200" s="460" t="s">
        <v>394</v>
      </c>
      <c r="M200" s="242">
        <f t="shared" si="0"/>
        <v>0</v>
      </c>
      <c r="N200" s="460" t="s">
        <v>1778</v>
      </c>
      <c r="O200" s="504"/>
      <c r="S200" s="102"/>
      <c r="T200" s="102"/>
      <c r="U200" s="102"/>
      <c r="V200" s="102"/>
      <c r="W200" s="102"/>
      <c r="X200" s="102"/>
      <c r="Y200" s="102"/>
      <c r="Z200" s="102"/>
    </row>
    <row r="201" spans="2:26" ht="19.5">
      <c r="L201" s="460" t="s">
        <v>395</v>
      </c>
      <c r="M201" s="242">
        <f t="shared" si="0"/>
        <v>0</v>
      </c>
      <c r="N201" s="460" t="s">
        <v>1778</v>
      </c>
      <c r="O201" s="504"/>
      <c r="S201" s="102"/>
      <c r="T201" s="102"/>
      <c r="U201" s="102"/>
      <c r="V201" s="102"/>
      <c r="W201" s="102"/>
      <c r="X201" s="102"/>
      <c r="Y201" s="102"/>
      <c r="Z201" s="102"/>
    </row>
    <row r="202" spans="2:26">
      <c r="L202" s="460" t="s">
        <v>396</v>
      </c>
      <c r="M202" s="242">
        <f t="shared" si="0"/>
        <v>0</v>
      </c>
      <c r="N202" s="460" t="s">
        <v>1778</v>
      </c>
      <c r="O202" s="504"/>
      <c r="S202" s="102"/>
      <c r="T202" s="102"/>
      <c r="U202" s="102"/>
      <c r="V202" s="102"/>
      <c r="W202" s="102"/>
      <c r="X202" s="102"/>
      <c r="Y202" s="102"/>
      <c r="Z202" s="102"/>
    </row>
    <row r="203" spans="2:26" ht="19.5">
      <c r="L203" s="460" t="s">
        <v>397</v>
      </c>
      <c r="M203" s="242">
        <f t="shared" si="0"/>
        <v>0</v>
      </c>
      <c r="N203" s="460" t="s">
        <v>1778</v>
      </c>
      <c r="O203" s="504"/>
      <c r="S203" s="102"/>
      <c r="T203" s="102"/>
      <c r="U203" s="102"/>
      <c r="V203" s="102"/>
      <c r="W203" s="102"/>
      <c r="X203" s="102"/>
      <c r="Y203" s="102"/>
      <c r="Z203" s="102"/>
    </row>
    <row r="204" spans="2:26" ht="19.5">
      <c r="L204" s="460" t="s">
        <v>214</v>
      </c>
      <c r="M204" s="242">
        <f t="shared" si="0"/>
        <v>0</v>
      </c>
      <c r="N204" s="460" t="s">
        <v>1778</v>
      </c>
      <c r="O204" s="504"/>
      <c r="S204" s="102"/>
      <c r="T204" s="102"/>
      <c r="U204" s="102"/>
      <c r="V204" s="102"/>
      <c r="W204" s="102"/>
      <c r="X204" s="102"/>
      <c r="Y204" s="102"/>
      <c r="Z204" s="102"/>
    </row>
    <row r="205" spans="2:26" ht="19.5">
      <c r="L205" s="460" t="s">
        <v>398</v>
      </c>
      <c r="M205" s="242">
        <f t="shared" si="0"/>
        <v>0</v>
      </c>
      <c r="N205" s="460" t="s">
        <v>1778</v>
      </c>
      <c r="O205" s="504"/>
      <c r="S205" s="102"/>
      <c r="T205" s="102"/>
      <c r="U205" s="102"/>
      <c r="V205" s="102"/>
      <c r="W205" s="102"/>
      <c r="X205" s="102"/>
      <c r="Y205" s="102"/>
      <c r="Z205" s="102"/>
    </row>
    <row r="206" spans="2:26">
      <c r="O206" s="504"/>
      <c r="S206" s="102"/>
      <c r="T206" s="102"/>
      <c r="U206" s="102"/>
      <c r="V206" s="102"/>
      <c r="W206" s="102"/>
      <c r="X206" s="102"/>
      <c r="Y206" s="102"/>
      <c r="Z206" s="102"/>
    </row>
    <row r="207" spans="2:26" ht="19.5">
      <c r="B207" s="100"/>
      <c r="C207" s="227" t="s">
        <v>1687</v>
      </c>
      <c r="L207" s="463" t="s">
        <v>1097</v>
      </c>
      <c r="M207" s="14">
        <f>M194*'Input data'!$C$167+M195*'Input data'!$D$167+M196*'Input data'!$E$167+M197*('Input data'!$I$167)+1*'Input data'!$J$167</f>
        <v>0</v>
      </c>
      <c r="N207" s="460" t="s">
        <v>1779</v>
      </c>
      <c r="O207" s="504"/>
      <c r="S207" s="102"/>
      <c r="T207" s="102"/>
      <c r="U207" s="102"/>
      <c r="V207" s="462" t="s">
        <v>2456</v>
      </c>
      <c r="W207" s="102"/>
      <c r="X207" s="102"/>
      <c r="Y207" s="102"/>
      <c r="Z207" s="102"/>
    </row>
    <row r="208" spans="2:26">
      <c r="O208" s="504"/>
      <c r="S208" s="102"/>
      <c r="T208" s="102"/>
      <c r="U208" s="102"/>
      <c r="V208" s="102"/>
      <c r="W208" s="102"/>
      <c r="X208" s="102"/>
      <c r="Y208" s="102"/>
      <c r="Z208" s="102"/>
    </row>
    <row r="209" spans="1:26">
      <c r="A209" s="227" t="s">
        <v>1713</v>
      </c>
      <c r="O209" s="504"/>
      <c r="T209" s="102"/>
      <c r="U209" s="102"/>
      <c r="V209" s="102"/>
      <c r="W209" s="102"/>
      <c r="X209" s="102"/>
      <c r="Y209" s="102"/>
      <c r="Z209" s="102"/>
    </row>
    <row r="210" spans="1:26">
      <c r="B210" s="227" t="s">
        <v>1468</v>
      </c>
      <c r="O210" s="504"/>
      <c r="P210"/>
      <c r="Q210"/>
      <c r="R210"/>
      <c r="S210"/>
      <c r="T210" s="102"/>
      <c r="U210" s="102"/>
      <c r="V210" s="102"/>
      <c r="W210" s="102"/>
      <c r="X210" s="102"/>
      <c r="Y210" s="102"/>
      <c r="Z210" s="102"/>
    </row>
    <row r="211" spans="1:26">
      <c r="P211"/>
      <c r="Q211"/>
      <c r="R211"/>
      <c r="S211"/>
    </row>
    <row r="212" spans="1:26">
      <c r="M212" s="466"/>
      <c r="N212" s="466"/>
      <c r="O212" s="466"/>
      <c r="P212"/>
      <c r="Q212"/>
      <c r="R212"/>
      <c r="S212"/>
      <c r="T212" s="102"/>
      <c r="U212" s="102"/>
      <c r="V212" s="102"/>
      <c r="W212" s="102"/>
      <c r="X212" s="102"/>
      <c r="Y212" s="102"/>
      <c r="Z212" s="102"/>
    </row>
    <row r="213" spans="1:26" ht="19.5">
      <c r="C213" s="227" t="s">
        <v>1469</v>
      </c>
      <c r="J213" s="500"/>
      <c r="L213" s="460" t="s">
        <v>389</v>
      </c>
      <c r="M213" s="75">
        <f>M174*M72</f>
        <v>9.2877731742243448</v>
      </c>
      <c r="N213" s="460" t="s">
        <v>1752</v>
      </c>
      <c r="P213"/>
      <c r="Q213"/>
      <c r="R213"/>
      <c r="S213"/>
      <c r="T213" s="102"/>
      <c r="U213" s="102"/>
      <c r="V213" s="102"/>
      <c r="W213" s="102"/>
      <c r="X213" s="102"/>
      <c r="Y213" s="102"/>
      <c r="Z213" s="102"/>
    </row>
    <row r="214" spans="1:26" ht="19.5">
      <c r="L214" s="460" t="s">
        <v>390</v>
      </c>
      <c r="M214" s="75">
        <f>((M$76*'Fuel Specs'!$E257+M$77*'Fuel Specs'!$E303)+(($M$80-1)/$M$80)*M175)*M$72</f>
        <v>0.41039999999999976</v>
      </c>
      <c r="N214" s="460" t="s">
        <v>1752</v>
      </c>
      <c r="P214"/>
      <c r="Q214"/>
      <c r="R214"/>
      <c r="S214"/>
      <c r="T214" s="102"/>
      <c r="U214" s="102"/>
      <c r="V214" s="102"/>
      <c r="W214" s="102"/>
      <c r="X214" s="102"/>
      <c r="Y214" s="102"/>
      <c r="Z214" s="102"/>
    </row>
    <row r="215" spans="1:26" ht="19.5">
      <c r="L215" s="460" t="s">
        <v>215</v>
      </c>
      <c r="M215" s="75">
        <f>((M$76*'Fuel Specs'!$E258+M$77*'Fuel Specs'!$E304)+(($M$80-1)/$M$80)*M176)*M$72</f>
        <v>1.0395261097852029</v>
      </c>
      <c r="N215" s="460" t="s">
        <v>1752</v>
      </c>
      <c r="P215"/>
      <c r="Q215"/>
      <c r="R215"/>
      <c r="S215"/>
      <c r="T215" s="102"/>
      <c r="U215" s="102"/>
      <c r="V215" s="102"/>
      <c r="W215" s="102"/>
      <c r="X215" s="102"/>
      <c r="Y215" s="102"/>
      <c r="Z215" s="102"/>
    </row>
    <row r="216" spans="1:26" ht="19.5">
      <c r="L216" s="460" t="s">
        <v>391</v>
      </c>
      <c r="M216" s="75">
        <f>((M$76*'Fuel Specs'!$E259+M$77*'Fuel Specs'!$E305)+(($M$80-1)/$M$80)*M177)*M$72</f>
        <v>2.2718714139593787</v>
      </c>
      <c r="N216" s="460" t="s">
        <v>1752</v>
      </c>
      <c r="P216"/>
      <c r="Q216"/>
      <c r="R216"/>
      <c r="S216"/>
      <c r="T216" s="102"/>
      <c r="U216" s="102"/>
      <c r="V216" s="102"/>
      <c r="W216" s="102"/>
      <c r="X216" s="102"/>
      <c r="Y216" s="102"/>
      <c r="Z216" s="102"/>
    </row>
    <row r="217" spans="1:26" ht="19.5">
      <c r="L217" s="460" t="s">
        <v>392</v>
      </c>
      <c r="M217" s="242">
        <f>((M$76*'Fuel Specs'!$E260+M$77*'Fuel Specs'!$E306)+(($M$80-1)/$M$80)*M178)*M$72</f>
        <v>0</v>
      </c>
      <c r="N217" s="460" t="s">
        <v>1752</v>
      </c>
      <c r="P217"/>
      <c r="Q217"/>
      <c r="R217"/>
      <c r="S217"/>
      <c r="T217" s="102"/>
      <c r="U217" s="102"/>
      <c r="V217" s="102"/>
      <c r="W217" s="102"/>
      <c r="X217" s="102"/>
      <c r="Y217" s="102"/>
      <c r="Z217" s="102"/>
    </row>
    <row r="218" spans="1:26" ht="19.5">
      <c r="L218" s="460" t="s">
        <v>393</v>
      </c>
      <c r="M218" s="242">
        <f>((M$76*'Fuel Specs'!$E261+M$77*'Fuel Specs'!$E307)+(($M$80-1)/$M$80)*M179)*M$72</f>
        <v>0</v>
      </c>
      <c r="N218" s="460" t="s">
        <v>1752</v>
      </c>
      <c r="P218"/>
      <c r="Q218"/>
      <c r="R218"/>
      <c r="S218"/>
      <c r="T218" s="102"/>
      <c r="U218" s="102"/>
      <c r="V218" s="102"/>
      <c r="W218" s="102"/>
      <c r="X218" s="102"/>
      <c r="Y218" s="102"/>
      <c r="Z218" s="102"/>
    </row>
    <row r="219" spans="1:26" ht="19.5">
      <c r="L219" s="460" t="s">
        <v>394</v>
      </c>
      <c r="M219" s="242">
        <f>((M$76*'Fuel Specs'!$E262+M$77*'Fuel Specs'!$E308)+(($M$80-1)/$M$80)*M180)*M$72</f>
        <v>0</v>
      </c>
      <c r="N219" s="460" t="s">
        <v>1752</v>
      </c>
      <c r="P219"/>
      <c r="Q219"/>
      <c r="R219"/>
      <c r="S219"/>
      <c r="T219" s="102"/>
      <c r="U219" s="102"/>
      <c r="V219" s="102"/>
      <c r="W219" s="102"/>
      <c r="X219" s="102"/>
      <c r="Y219" s="102"/>
      <c r="Z219" s="102"/>
    </row>
    <row r="220" spans="1:26" ht="19.5">
      <c r="L220" s="460" t="s">
        <v>395</v>
      </c>
      <c r="M220" s="242">
        <f>((M$76*'Fuel Specs'!$E263+M$77*'Fuel Specs'!$E309)+(($M$80-1)/$M$80)*M181)*M$72</f>
        <v>0</v>
      </c>
      <c r="N220" s="460" t="s">
        <v>1752</v>
      </c>
      <c r="P220"/>
      <c r="Q220"/>
      <c r="R220"/>
      <c r="S220"/>
      <c r="T220" s="102"/>
      <c r="U220" s="102"/>
      <c r="V220" s="102"/>
      <c r="W220" s="102"/>
      <c r="X220" s="102"/>
      <c r="Y220" s="102"/>
      <c r="Z220" s="102"/>
    </row>
    <row r="221" spans="1:26">
      <c r="L221" s="460" t="s">
        <v>396</v>
      </c>
      <c r="M221" s="242">
        <f>((M$76*'Fuel Specs'!$E264+M$77*'Fuel Specs'!$E310)+(($M$80-1)/$M$80)*M182)*M$72</f>
        <v>0</v>
      </c>
      <c r="N221" s="460" t="s">
        <v>1752</v>
      </c>
      <c r="P221"/>
      <c r="Q221"/>
      <c r="R221"/>
      <c r="S221"/>
      <c r="T221" s="102"/>
      <c r="U221" s="102"/>
      <c r="V221" s="102"/>
      <c r="W221" s="102"/>
      <c r="X221" s="102"/>
      <c r="Y221" s="102"/>
      <c r="Z221" s="102"/>
    </row>
    <row r="222" spans="1:26" ht="19.5">
      <c r="L222" s="460" t="s">
        <v>397</v>
      </c>
      <c r="M222" s="242">
        <f>((M$76*'Fuel Specs'!$E265+M$77*'Fuel Specs'!$E311)+(($M$80-1)/$M$80)*M183)*M$72</f>
        <v>0</v>
      </c>
      <c r="N222" s="460" t="s">
        <v>1752</v>
      </c>
      <c r="P222"/>
      <c r="Q222"/>
      <c r="R222"/>
      <c r="S222"/>
      <c r="T222" s="102"/>
      <c r="U222" s="102"/>
      <c r="V222" s="102"/>
      <c r="W222" s="102"/>
      <c r="X222" s="102"/>
      <c r="Y222" s="102"/>
      <c r="Z222" s="102"/>
    </row>
    <row r="223" spans="1:26" ht="19.5">
      <c r="L223" s="460" t="s">
        <v>214</v>
      </c>
      <c r="M223" s="242">
        <f>((M$76*'Fuel Specs'!$E266+M$77*'Fuel Specs'!$E312)+(($M$80-1)/$M$80)*M184)*M$72</f>
        <v>0</v>
      </c>
      <c r="N223" s="460" t="s">
        <v>1752</v>
      </c>
      <c r="P223"/>
      <c r="Q223"/>
      <c r="R223"/>
      <c r="S223"/>
      <c r="T223" s="102"/>
      <c r="U223" s="102"/>
      <c r="V223" s="102"/>
      <c r="W223" s="102"/>
      <c r="X223" s="102"/>
      <c r="Y223" s="102"/>
      <c r="Z223" s="102"/>
    </row>
    <row r="224" spans="1:26" ht="19.5">
      <c r="L224" s="460" t="s">
        <v>398</v>
      </c>
      <c r="M224" s="242">
        <f>((M$76*'Fuel Specs'!$E267+M$77*'Fuel Specs'!$E313)+(($M$80-1)/$M$80)*M185)*M$72</f>
        <v>0</v>
      </c>
      <c r="N224" s="460" t="s">
        <v>1752</v>
      </c>
      <c r="P224"/>
      <c r="Q224"/>
      <c r="R224"/>
      <c r="S224"/>
      <c r="T224" s="102"/>
      <c r="U224" s="102"/>
      <c r="V224" s="102"/>
      <c r="W224" s="102"/>
      <c r="X224" s="102"/>
      <c r="Y224" s="102"/>
      <c r="Z224" s="102"/>
    </row>
    <row r="225" spans="2:26">
      <c r="P225"/>
      <c r="Q225"/>
      <c r="R225"/>
      <c r="S225"/>
      <c r="T225" s="102"/>
      <c r="U225" s="102"/>
      <c r="V225" s="102"/>
      <c r="W225" s="102"/>
      <c r="X225" s="102"/>
      <c r="Y225" s="102"/>
      <c r="Z225" s="102"/>
    </row>
    <row r="226" spans="2:26">
      <c r="P226"/>
      <c r="Q226"/>
      <c r="R226"/>
      <c r="S226"/>
      <c r="T226" s="102"/>
      <c r="U226" s="102"/>
      <c r="V226" s="102"/>
      <c r="W226" s="102"/>
      <c r="X226" s="102"/>
      <c r="Y226" s="102"/>
      <c r="Z226" s="102"/>
    </row>
    <row r="227" spans="2:26">
      <c r="C227" s="227" t="s">
        <v>1568</v>
      </c>
      <c r="M227" s="14">
        <f>IFERROR(SUMPRODUCT(M213:M224,'Fuel Specs'!E148:E159)/SUM(M213:M224),0)</f>
        <v>27.658351802206322</v>
      </c>
      <c r="N227" s="460" t="s">
        <v>1755</v>
      </c>
      <c r="P227"/>
      <c r="Q227"/>
      <c r="R227"/>
      <c r="S227"/>
      <c r="T227" s="102"/>
      <c r="U227" s="102"/>
      <c r="V227" s="102"/>
      <c r="W227" s="102"/>
      <c r="X227" s="102"/>
      <c r="Y227" s="102"/>
      <c r="Z227" s="102"/>
    </row>
    <row r="228" spans="2:26">
      <c r="P228"/>
      <c r="Q228"/>
      <c r="R228"/>
      <c r="S228"/>
      <c r="T228" s="102"/>
      <c r="U228" s="102"/>
      <c r="V228" s="102"/>
      <c r="W228" s="102"/>
      <c r="X228" s="102"/>
      <c r="Y228" s="102"/>
      <c r="Z228" s="102"/>
    </row>
    <row r="229" spans="2:26">
      <c r="C229" s="227" t="s">
        <v>1642</v>
      </c>
      <c r="M229" s="14">
        <f>IFERROR(M215/SUM(M213:M224),0)</f>
        <v>7.990472044919171E-2</v>
      </c>
      <c r="N229" s="460" t="s">
        <v>1756</v>
      </c>
      <c r="P229"/>
      <c r="Q229"/>
      <c r="R229"/>
      <c r="S229"/>
      <c r="T229" s="102"/>
      <c r="U229" s="102"/>
      <c r="V229" s="102"/>
      <c r="W229" s="102"/>
      <c r="X229" s="102"/>
      <c r="Y229" s="102"/>
      <c r="Z229" s="102"/>
    </row>
    <row r="230" spans="2:26">
      <c r="P230"/>
      <c r="Q230"/>
      <c r="R230"/>
      <c r="S230"/>
      <c r="T230" s="102"/>
      <c r="U230" s="102"/>
      <c r="V230" s="102"/>
      <c r="W230" s="102"/>
      <c r="X230" s="102"/>
      <c r="Y230" s="102"/>
      <c r="Z230" s="102"/>
    </row>
    <row r="231" spans="2:26">
      <c r="C231" s="227" t="s">
        <v>1688</v>
      </c>
      <c r="L231" s="463"/>
      <c r="M231" s="14">
        <f>M213*'Input data'!$C$176+M214*'Input data'!$D$176+M215*'Input data'!$E$176+M216*('Input data'!$I$176)+M224*'Input data'!F176</f>
        <v>26029.684521892334</v>
      </c>
      <c r="N231" s="460" t="s">
        <v>1754</v>
      </c>
      <c r="S231" s="102"/>
      <c r="T231" s="102"/>
      <c r="U231" s="102"/>
      <c r="V231" s="462" t="s">
        <v>2456</v>
      </c>
      <c r="W231" s="102"/>
      <c r="X231" s="102"/>
      <c r="Y231" s="102"/>
      <c r="Z231" s="102"/>
    </row>
    <row r="232" spans="2:26">
      <c r="S232" s="102"/>
      <c r="T232" s="102"/>
      <c r="U232" s="102"/>
      <c r="V232" s="102"/>
      <c r="W232" s="102"/>
      <c r="X232" s="102"/>
      <c r="Y232" s="102"/>
      <c r="Z232" s="102"/>
    </row>
    <row r="233" spans="2:26">
      <c r="S233" s="102"/>
      <c r="T233" s="102"/>
      <c r="U233" s="102"/>
      <c r="V233" s="102"/>
      <c r="W233" s="102"/>
      <c r="X233" s="102"/>
      <c r="Y233" s="102"/>
      <c r="Z233" s="102"/>
    </row>
    <row r="234" spans="2:26">
      <c r="B234" s="227" t="s">
        <v>1569</v>
      </c>
      <c r="O234" s="504"/>
      <c r="S234" s="102"/>
      <c r="T234" s="102"/>
      <c r="U234" s="102"/>
      <c r="V234" s="102"/>
      <c r="W234" s="102"/>
      <c r="X234" s="102"/>
      <c r="Y234" s="102"/>
      <c r="Z234" s="102"/>
    </row>
    <row r="235" spans="2:26" ht="19.5">
      <c r="C235" s="227" t="s">
        <v>1780</v>
      </c>
      <c r="J235" s="500"/>
      <c r="L235" s="460" t="s">
        <v>389</v>
      </c>
      <c r="M235" s="75">
        <f>(M194+M167/2)*M73</f>
        <v>0</v>
      </c>
      <c r="N235" s="460" t="s">
        <v>1781</v>
      </c>
      <c r="S235" s="102"/>
      <c r="T235" s="102"/>
      <c r="U235" s="102"/>
      <c r="V235" s="102"/>
      <c r="W235" s="102"/>
      <c r="X235" s="102"/>
      <c r="Y235" s="102"/>
      <c r="Z235" s="102"/>
    </row>
    <row r="236" spans="2:26" ht="19.5">
      <c r="K236" s="505"/>
      <c r="L236" s="460" t="s">
        <v>390</v>
      </c>
      <c r="M236" s="75">
        <f>(M195-M164-1/4*M165-M166)*M73</f>
        <v>0</v>
      </c>
      <c r="N236" s="460" t="s">
        <v>1781</v>
      </c>
      <c r="S236" s="102"/>
      <c r="T236" s="102"/>
      <c r="U236" s="102"/>
      <c r="V236" s="102"/>
      <c r="W236" s="102"/>
      <c r="X236" s="102"/>
      <c r="Y236" s="102"/>
      <c r="Z236" s="102"/>
    </row>
    <row r="237" spans="2:26" ht="19.5">
      <c r="K237" s="492"/>
      <c r="L237" s="460" t="s">
        <v>215</v>
      </c>
      <c r="M237" s="75">
        <f>(M196+M164)*M73</f>
        <v>0</v>
      </c>
      <c r="N237" s="460" t="s">
        <v>1781</v>
      </c>
      <c r="S237" s="102"/>
      <c r="T237" s="102"/>
      <c r="U237" s="102"/>
      <c r="V237" s="102"/>
      <c r="W237" s="102"/>
      <c r="X237" s="102"/>
      <c r="Y237" s="102"/>
      <c r="Z237" s="102"/>
    </row>
    <row r="238" spans="2:26" ht="19.5">
      <c r="H238" s="506"/>
      <c r="I238" s="505"/>
      <c r="J238" s="505"/>
      <c r="L238" s="460" t="s">
        <v>391</v>
      </c>
      <c r="M238" s="75">
        <f>(M197+M165/2)*M73</f>
        <v>0</v>
      </c>
      <c r="N238" s="460" t="s">
        <v>1781</v>
      </c>
      <c r="S238" s="102"/>
      <c r="T238" s="102"/>
      <c r="U238" s="102"/>
      <c r="V238" s="102"/>
      <c r="W238" s="102"/>
      <c r="X238" s="102"/>
      <c r="Y238" s="102"/>
      <c r="Z238" s="102"/>
    </row>
    <row r="239" spans="2:26" ht="19.5">
      <c r="L239" s="460" t="s">
        <v>392</v>
      </c>
      <c r="M239" s="75">
        <f>M198*M73</f>
        <v>0</v>
      </c>
      <c r="N239" s="460" t="s">
        <v>1781</v>
      </c>
      <c r="S239" s="102"/>
      <c r="T239" s="102"/>
      <c r="U239" s="102"/>
      <c r="V239" s="102"/>
      <c r="W239" s="102"/>
      <c r="X239" s="102"/>
      <c r="Y239" s="102"/>
      <c r="Z239" s="102"/>
    </row>
    <row r="240" spans="2:26" ht="19.5">
      <c r="L240" s="460" t="s">
        <v>393</v>
      </c>
      <c r="M240" s="75">
        <f>M199*M73</f>
        <v>0</v>
      </c>
      <c r="N240" s="460" t="s">
        <v>1781</v>
      </c>
      <c r="S240" s="102"/>
      <c r="T240" s="102"/>
      <c r="U240" s="102"/>
      <c r="V240" s="102"/>
      <c r="W240" s="102"/>
      <c r="X240" s="102"/>
      <c r="Y240" s="102"/>
      <c r="Z240" s="102"/>
    </row>
    <row r="241" spans="1:26" ht="19.5">
      <c r="L241" s="460" t="s">
        <v>394</v>
      </c>
      <c r="M241" s="75">
        <f>M200*M73</f>
        <v>0</v>
      </c>
      <c r="N241" s="460" t="s">
        <v>1781</v>
      </c>
      <c r="S241" s="102"/>
      <c r="T241" s="102"/>
      <c r="U241" s="102"/>
      <c r="V241" s="102"/>
      <c r="W241" s="102"/>
      <c r="X241" s="102"/>
      <c r="Y241" s="102"/>
      <c r="Z241" s="102"/>
    </row>
    <row r="242" spans="1:26" ht="19.5">
      <c r="L242" s="460" t="s">
        <v>395</v>
      </c>
      <c r="M242" s="75">
        <f>M201*M73</f>
        <v>0</v>
      </c>
      <c r="N242" s="460" t="s">
        <v>1781</v>
      </c>
      <c r="S242" s="102"/>
      <c r="T242" s="102"/>
      <c r="U242" s="102"/>
      <c r="V242" s="102"/>
      <c r="W242" s="102"/>
      <c r="X242" s="102"/>
      <c r="Y242" s="102"/>
      <c r="Z242" s="102"/>
    </row>
    <row r="243" spans="1:26">
      <c r="L243" s="460" t="s">
        <v>396</v>
      </c>
      <c r="M243" s="75">
        <f>M202*M73</f>
        <v>0</v>
      </c>
      <c r="N243" s="460" t="s">
        <v>1781</v>
      </c>
      <c r="S243" s="102"/>
      <c r="T243" s="102"/>
      <c r="U243" s="102"/>
      <c r="V243" s="102"/>
      <c r="W243" s="102"/>
      <c r="X243" s="102"/>
      <c r="Y243" s="102"/>
      <c r="Z243" s="102"/>
    </row>
    <row r="244" spans="1:26" ht="19.5">
      <c r="L244" s="460" t="s">
        <v>397</v>
      </c>
      <c r="M244" s="75">
        <f>M203*M73</f>
        <v>0</v>
      </c>
      <c r="N244" s="460" t="s">
        <v>1781</v>
      </c>
      <c r="S244" s="102"/>
      <c r="T244" s="102"/>
      <c r="U244" s="102"/>
      <c r="V244" s="102"/>
      <c r="W244" s="102"/>
      <c r="X244" s="102"/>
      <c r="Y244" s="102"/>
      <c r="Z244" s="102"/>
    </row>
    <row r="245" spans="1:26" ht="19.5">
      <c r="L245" s="460" t="s">
        <v>214</v>
      </c>
      <c r="M245" s="75">
        <f>M204*M73</f>
        <v>0</v>
      </c>
      <c r="N245" s="460" t="s">
        <v>1781</v>
      </c>
      <c r="S245" s="102"/>
      <c r="T245" s="102"/>
      <c r="U245" s="102"/>
      <c r="V245" s="102"/>
      <c r="W245" s="102"/>
      <c r="X245" s="102"/>
      <c r="Y245" s="102"/>
      <c r="Z245" s="102"/>
    </row>
    <row r="246" spans="1:26" ht="19.5">
      <c r="L246" s="460" t="s">
        <v>398</v>
      </c>
      <c r="M246" s="75">
        <f>(M205+M166)*M73</f>
        <v>0</v>
      </c>
      <c r="N246" s="460" t="s">
        <v>1781</v>
      </c>
      <c r="S246" s="102"/>
      <c r="T246" s="102"/>
      <c r="U246" s="102"/>
      <c r="V246" s="102"/>
      <c r="W246" s="102"/>
      <c r="X246" s="102"/>
      <c r="Y246" s="102"/>
      <c r="Z246" s="102"/>
    </row>
    <row r="247" spans="1:26">
      <c r="S247" s="102"/>
      <c r="T247" s="102"/>
      <c r="U247" s="102"/>
      <c r="V247" s="102"/>
      <c r="W247" s="102"/>
      <c r="X247" s="102"/>
      <c r="Y247" s="102"/>
      <c r="Z247" s="102"/>
    </row>
    <row r="248" spans="1:26">
      <c r="S248" s="102"/>
      <c r="T248" s="102"/>
      <c r="U248" s="102"/>
      <c r="V248" s="102"/>
      <c r="W248" s="102"/>
      <c r="X248" s="102"/>
      <c r="Y248" s="102"/>
      <c r="Z248" s="102"/>
    </row>
    <row r="249" spans="1:26">
      <c r="C249" s="227" t="s">
        <v>1570</v>
      </c>
      <c r="M249" s="14">
        <f>IFERROR(SUMPRODUCT(M235:M246,'Fuel Specs'!E148:E159)/SUM(M235:M246),0)</f>
        <v>0</v>
      </c>
      <c r="N249" s="460" t="s">
        <v>1755</v>
      </c>
      <c r="S249" s="102"/>
      <c r="T249" s="102"/>
      <c r="U249" s="102"/>
      <c r="V249" s="102"/>
      <c r="W249" s="102"/>
      <c r="X249" s="102"/>
      <c r="Y249" s="102"/>
      <c r="Z249" s="102"/>
    </row>
    <row r="250" spans="1:26">
      <c r="S250" s="102"/>
      <c r="T250" s="102"/>
      <c r="U250" s="102"/>
      <c r="V250" s="102"/>
      <c r="W250" s="102"/>
      <c r="X250" s="102"/>
      <c r="Y250" s="102"/>
      <c r="Z250" s="102"/>
    </row>
    <row r="251" spans="1:26">
      <c r="C251" s="227" t="s">
        <v>1643</v>
      </c>
      <c r="M251" s="15">
        <f>IFERROR(M237/SUM(M235:M246),0)</f>
        <v>0</v>
      </c>
      <c r="N251" s="460" t="s">
        <v>1756</v>
      </c>
      <c r="S251" s="102"/>
      <c r="T251" s="102"/>
      <c r="U251" s="102"/>
      <c r="V251" s="102"/>
      <c r="W251" s="102"/>
      <c r="X251" s="102"/>
      <c r="Y251" s="102"/>
      <c r="Z251" s="102"/>
    </row>
    <row r="252" spans="1:26">
      <c r="S252" s="102"/>
      <c r="T252" s="102"/>
      <c r="U252" s="102"/>
      <c r="V252" s="102"/>
      <c r="W252" s="102"/>
      <c r="X252" s="102"/>
      <c r="Y252" s="102"/>
      <c r="Z252" s="102"/>
    </row>
    <row r="253" spans="1:26">
      <c r="C253" s="227" t="s">
        <v>1689</v>
      </c>
      <c r="L253" s="463"/>
      <c r="M253" s="14">
        <f>M235*'Input data'!$C$176+M236*'Input data'!$D$176+M237*'Input data'!$E$176+M238*('Input data'!$I$176)+M246*'Input data'!F176</f>
        <v>0</v>
      </c>
      <c r="N253" s="460" t="s">
        <v>1782</v>
      </c>
      <c r="S253" s="102"/>
      <c r="T253" s="102"/>
      <c r="U253" s="102"/>
      <c r="V253" s="462" t="s">
        <v>2456</v>
      </c>
      <c r="W253" s="102"/>
      <c r="X253" s="102"/>
      <c r="Y253" s="102"/>
      <c r="Z253" s="102"/>
    </row>
    <row r="254" spans="1:26">
      <c r="V254" s="462"/>
    </row>
    <row r="255" spans="1:26">
      <c r="V255" s="462"/>
    </row>
    <row r="256" spans="1:26">
      <c r="A256" s="227" t="s">
        <v>1729</v>
      </c>
      <c r="U256" s="462"/>
    </row>
    <row r="257" spans="2:21">
      <c r="B257" s="227" t="s">
        <v>1470</v>
      </c>
      <c r="U257" s="462"/>
    </row>
    <row r="258" spans="2:21">
      <c r="C258" s="227" t="s">
        <v>1471</v>
      </c>
      <c r="M258" s="14">
        <f>(M187+M157-M231)*M$72</f>
        <v>328977.81433294911</v>
      </c>
      <c r="N258" s="460" t="s">
        <v>1754</v>
      </c>
      <c r="U258" s="462"/>
    </row>
    <row r="259" spans="2:21">
      <c r="C259" s="227" t="s">
        <v>1571</v>
      </c>
      <c r="M259" s="14">
        <f>(M207+M161-M253)*M73</f>
        <v>0</v>
      </c>
      <c r="N259" s="460" t="s">
        <v>1782</v>
      </c>
      <c r="U259" s="462"/>
    </row>
    <row r="260" spans="2:21" ht="15.75">
      <c r="M260" s="467"/>
      <c r="U260" s="462"/>
    </row>
    <row r="261" spans="2:21">
      <c r="B261" s="227" t="s">
        <v>1572</v>
      </c>
      <c r="U261" s="462"/>
    </row>
    <row r="262" spans="2:21">
      <c r="C262" s="214" t="s">
        <v>1931</v>
      </c>
      <c r="L262" s="463"/>
      <c r="M262" s="14">
        <f>(M87*M157)*M$72</f>
        <v>14200.299954193659</v>
      </c>
      <c r="N262" s="460" t="s">
        <v>1754</v>
      </c>
      <c r="U262" s="462"/>
    </row>
    <row r="263" spans="2:21">
      <c r="C263" s="214" t="s">
        <v>1932</v>
      </c>
      <c r="K263" s="463"/>
      <c r="L263" s="470"/>
      <c r="M263" s="14">
        <f>(M87*M161)*M73</f>
        <v>0</v>
      </c>
      <c r="N263" s="460" t="s">
        <v>1782</v>
      </c>
      <c r="U263" s="462"/>
    </row>
    <row r="264" spans="2:21">
      <c r="U264" s="462"/>
    </row>
    <row r="265" spans="2:21">
      <c r="U265" s="462"/>
    </row>
    <row r="266" spans="2:21">
      <c r="B266" s="214" t="s">
        <v>1933</v>
      </c>
      <c r="U266" s="462"/>
    </row>
    <row r="267" spans="2:21">
      <c r="C267" s="214" t="s">
        <v>1934</v>
      </c>
      <c r="L267" s="463"/>
      <c r="M267" s="14">
        <f>MAX(M258-M262-M88,0)</f>
        <v>309777.51437875547</v>
      </c>
      <c r="N267" s="460" t="s">
        <v>1754</v>
      </c>
      <c r="U267" s="462"/>
    </row>
    <row r="268" spans="2:21">
      <c r="C268" s="214" t="s">
        <v>1935</v>
      </c>
      <c r="L268" s="463"/>
      <c r="M268" s="14">
        <f>MAX((M259-M263-M89),0)</f>
        <v>0</v>
      </c>
      <c r="N268" s="460" t="s">
        <v>1782</v>
      </c>
      <c r="U268" s="462"/>
    </row>
    <row r="269" spans="2:21">
      <c r="U269" s="462"/>
    </row>
    <row r="270" spans="2:21">
      <c r="B270" s="214" t="s">
        <v>1936</v>
      </c>
      <c r="L270" s="463"/>
      <c r="M270" s="17">
        <f>IF(M72=1,(M267/M157),(M268/M161))</f>
        <v>0.87259428428417507</v>
      </c>
      <c r="N270" s="666" t="s">
        <v>2443</v>
      </c>
      <c r="U270" s="462"/>
    </row>
    <row r="271" spans="2:21">
      <c r="U271" s="462"/>
    </row>
    <row r="272" spans="2:21">
      <c r="U272" s="462"/>
    </row>
    <row r="273" spans="1:22">
      <c r="A273" s="227" t="s">
        <v>1737</v>
      </c>
      <c r="U273" s="462"/>
    </row>
    <row r="274" spans="1:22">
      <c r="B274" s="227" t="s">
        <v>1472</v>
      </c>
      <c r="M274" s="14">
        <f>M45*M32/1000000</f>
        <v>738938.50203600002</v>
      </c>
      <c r="N274" s="100" t="s">
        <v>1347</v>
      </c>
      <c r="U274" s="462"/>
    </row>
    <row r="275" spans="1:22">
      <c r="U275" s="462"/>
    </row>
    <row r="276" spans="1:22">
      <c r="B276" s="227" t="s">
        <v>1573</v>
      </c>
      <c r="U276" s="462"/>
    </row>
    <row r="277" spans="1:22">
      <c r="B277" s="100"/>
      <c r="C277" s="227" t="s">
        <v>1473</v>
      </c>
      <c r="L277" s="463"/>
      <c r="M277" s="14">
        <f>IFERROR((M274*1000000)/M267,0)</f>
        <v>2385384.5671074837</v>
      </c>
      <c r="N277" s="460" t="s">
        <v>1757</v>
      </c>
      <c r="U277" s="462"/>
    </row>
    <row r="278" spans="1:22">
      <c r="B278" s="100"/>
      <c r="C278" s="227" t="s">
        <v>1574</v>
      </c>
      <c r="L278" s="463"/>
      <c r="M278" s="14">
        <f>IFERROR((M274*1000000)/M268,0)</f>
        <v>0</v>
      </c>
      <c r="N278" s="460" t="s">
        <v>1771</v>
      </c>
      <c r="U278" s="462"/>
    </row>
    <row r="279" spans="1:22">
      <c r="U279" s="462"/>
    </row>
    <row r="280" spans="1:22">
      <c r="B280" s="227" t="s">
        <v>1644</v>
      </c>
      <c r="U280" s="462"/>
    </row>
    <row r="281" spans="1:22">
      <c r="B281" s="100"/>
      <c r="C281" s="227" t="s">
        <v>1474</v>
      </c>
      <c r="M281" s="14">
        <f>M277*M157/1000000</f>
        <v>846829.40897576651</v>
      </c>
      <c r="N281" s="100" t="s">
        <v>1351</v>
      </c>
      <c r="U281" s="462"/>
    </row>
    <row r="282" spans="1:22" ht="15.75">
      <c r="B282" s="100"/>
      <c r="C282" s="227" t="s">
        <v>1575</v>
      </c>
      <c r="M282" s="206">
        <f>M278*M161/1000000</f>
        <v>0</v>
      </c>
      <c r="N282" s="100" t="s">
        <v>268</v>
      </c>
      <c r="U282" s="461"/>
    </row>
    <row r="283" spans="1:22" ht="15.75">
      <c r="M283" s="102"/>
      <c r="U283" s="461"/>
    </row>
    <row r="284" spans="1:22" ht="15.75">
      <c r="M284" s="102"/>
      <c r="U284" s="461"/>
    </row>
    <row r="285" spans="1:22" ht="15.75">
      <c r="V285" s="461"/>
    </row>
    <row r="286" spans="1:22" ht="15.75">
      <c r="V286" s="461"/>
    </row>
    <row r="287" spans="1:22" s="9" customFormat="1" ht="15.75">
      <c r="A287" s="9" t="s">
        <v>1378</v>
      </c>
    </row>
    <row r="288" spans="1:22" ht="15.75">
      <c r="V288" s="461"/>
    </row>
    <row r="289" spans="1:22" ht="15.75">
      <c r="A289" s="483" t="s">
        <v>1379</v>
      </c>
      <c r="V289" s="461"/>
    </row>
    <row r="290" spans="1:22" ht="15.75">
      <c r="V290" s="461"/>
    </row>
    <row r="291" spans="1:22" ht="15.75">
      <c r="V291" s="461"/>
    </row>
    <row r="292" spans="1:22">
      <c r="V292" s="462"/>
    </row>
    <row r="293" spans="1:22" s="9" customFormat="1" ht="15.75">
      <c r="A293" s="9" t="s">
        <v>404</v>
      </c>
    </row>
    <row r="294" spans="1:22" ht="15.75">
      <c r="A294" s="105"/>
      <c r="V294" s="462"/>
    </row>
    <row r="295" spans="1:22" ht="15.75">
      <c r="A295" s="105"/>
      <c r="V295" s="462"/>
    </row>
    <row r="296" spans="1:22">
      <c r="A296" s="227" t="s">
        <v>1475</v>
      </c>
      <c r="V296" s="462"/>
    </row>
    <row r="297" spans="1:22">
      <c r="B297" s="227" t="s">
        <v>1476</v>
      </c>
      <c r="V297" s="462" t="s">
        <v>1047</v>
      </c>
    </row>
    <row r="298" spans="1:22">
      <c r="C298" s="227" t="s">
        <v>1477</v>
      </c>
      <c r="M298" s="20" t="s">
        <v>381</v>
      </c>
      <c r="N298" s="31" t="s">
        <v>381</v>
      </c>
      <c r="O298" s="460" t="s">
        <v>237</v>
      </c>
      <c r="V298" s="462"/>
    </row>
    <row r="299" spans="1:22" ht="15.75">
      <c r="C299" s="227" t="s">
        <v>1576</v>
      </c>
      <c r="M299" s="105"/>
      <c r="N299" s="105"/>
      <c r="O299" s="105"/>
      <c r="P299" s="105"/>
      <c r="Q299" s="105"/>
      <c r="R299" s="105"/>
      <c r="S299" s="105"/>
      <c r="T299" s="105"/>
      <c r="U299" s="105"/>
      <c r="V299" s="461"/>
    </row>
    <row r="300" spans="1:22">
      <c r="D300" s="227" t="s">
        <v>1478</v>
      </c>
      <c r="M300" s="20">
        <v>1</v>
      </c>
      <c r="N300" s="21">
        <v>1</v>
      </c>
      <c r="O300" s="460" t="s">
        <v>354</v>
      </c>
      <c r="V300" s="462"/>
    </row>
    <row r="301" spans="1:22">
      <c r="D301" s="227" t="s">
        <v>1479</v>
      </c>
      <c r="M301" s="20">
        <v>0</v>
      </c>
      <c r="N301" s="21">
        <v>0</v>
      </c>
      <c r="O301" s="460" t="s">
        <v>354</v>
      </c>
      <c r="V301" s="462"/>
    </row>
    <row r="302" spans="1:22">
      <c r="L302" s="460" t="s">
        <v>355</v>
      </c>
      <c r="M302" s="460" t="str">
        <f>IF(SUM(M300:M301)=1,"OK","ERROR")</f>
        <v>OK</v>
      </c>
      <c r="V302" s="462" t="s">
        <v>412</v>
      </c>
    </row>
    <row r="303" spans="1:22">
      <c r="B303" s="227" t="s">
        <v>1577</v>
      </c>
    </row>
    <row r="304" spans="1:22">
      <c r="C304" s="227" t="s">
        <v>1480</v>
      </c>
      <c r="M304" s="20">
        <v>350</v>
      </c>
      <c r="N304" s="21">
        <v>350</v>
      </c>
      <c r="O304" s="460" t="s">
        <v>383</v>
      </c>
      <c r="V304" s="462"/>
    </row>
    <row r="305" spans="1:22">
      <c r="C305" s="227" t="s">
        <v>1578</v>
      </c>
      <c r="M305" s="20">
        <v>0.05</v>
      </c>
      <c r="N305" s="21">
        <v>0.05</v>
      </c>
      <c r="O305" s="460" t="s">
        <v>402</v>
      </c>
      <c r="S305" s="460" t="s">
        <v>419</v>
      </c>
      <c r="V305" s="462"/>
    </row>
    <row r="306" spans="1:22">
      <c r="V306" s="462"/>
    </row>
    <row r="307" spans="1:22">
      <c r="V307" s="462"/>
    </row>
    <row r="308" spans="1:22">
      <c r="V308" s="462"/>
    </row>
    <row r="309" spans="1:22">
      <c r="V309" s="462"/>
    </row>
    <row r="310" spans="1:22">
      <c r="A310" s="227" t="s">
        <v>1579</v>
      </c>
      <c r="V310" s="462"/>
    </row>
    <row r="311" spans="1:22" ht="15.75">
      <c r="A311" s="105"/>
      <c r="B311" s="241"/>
      <c r="C311" s="241"/>
      <c r="D311" s="473"/>
      <c r="E311" s="241"/>
      <c r="F311" s="241"/>
      <c r="G311" s="241"/>
      <c r="H311" s="241"/>
      <c r="I311" s="241"/>
      <c r="J311" s="241"/>
      <c r="K311" s="241"/>
      <c r="L311" s="473"/>
      <c r="M311" s="241"/>
      <c r="N311" s="241"/>
      <c r="O311" s="241"/>
      <c r="P311" s="241"/>
      <c r="Q311" s="241"/>
      <c r="R311" s="241"/>
      <c r="S311" s="241"/>
      <c r="T311" s="241"/>
      <c r="V311" s="462"/>
    </row>
    <row r="312" spans="1:22" ht="15.75">
      <c r="A312" s="105"/>
      <c r="B312" s="241"/>
      <c r="C312" s="241"/>
      <c r="D312" s="473">
        <f>D314/'Input data'!E18</f>
        <v>2216490350.1284261</v>
      </c>
      <c r="E312" s="241"/>
      <c r="F312" s="241"/>
      <c r="G312" s="241"/>
      <c r="H312" s="241"/>
      <c r="I312" s="241"/>
      <c r="J312" s="477"/>
      <c r="K312" s="241"/>
      <c r="L312" s="507">
        <f>L314*'Input data'!E19</f>
        <v>357644066.69237399</v>
      </c>
      <c r="M312" s="241"/>
      <c r="N312" s="241"/>
      <c r="O312" s="241"/>
      <c r="P312" s="241"/>
      <c r="Q312" s="241"/>
      <c r="R312" s="507">
        <f>R314*'Input data'!E19</f>
        <v>357644066.69237399</v>
      </c>
      <c r="S312" s="241" t="s">
        <v>359</v>
      </c>
      <c r="T312" s="241"/>
      <c r="V312" s="462"/>
    </row>
    <row r="313" spans="1:22" ht="15.75">
      <c r="A313" s="105"/>
      <c r="B313" s="241"/>
      <c r="C313" s="478" t="s">
        <v>362</v>
      </c>
      <c r="D313" s="479" t="s">
        <v>358</v>
      </c>
      <c r="E313" s="474"/>
      <c r="F313" s="475"/>
      <c r="G313" s="475"/>
      <c r="H313" s="475"/>
      <c r="I313" s="476"/>
      <c r="J313" s="241"/>
      <c r="K313" s="241" t="s">
        <v>357</v>
      </c>
      <c r="L313" s="479" t="s">
        <v>358</v>
      </c>
      <c r="M313" s="474"/>
      <c r="N313" s="475"/>
      <c r="O313" s="475"/>
      <c r="P313" s="475"/>
      <c r="Q313" s="476"/>
      <c r="R313" s="479" t="s">
        <v>358</v>
      </c>
      <c r="S313" s="241"/>
      <c r="T313" s="241"/>
      <c r="V313" s="462"/>
    </row>
    <row r="314" spans="1:22" ht="15.75">
      <c r="A314" s="105"/>
      <c r="B314" s="241"/>
      <c r="C314" s="241"/>
      <c r="D314" s="473">
        <f>M406*M479</f>
        <v>4885144731.6830511</v>
      </c>
      <c r="E314" s="480"/>
      <c r="F314" s="481"/>
      <c r="G314" s="481"/>
      <c r="H314" s="481"/>
      <c r="I314" s="482"/>
      <c r="J314" s="473"/>
      <c r="K314" s="241"/>
      <c r="L314" s="473">
        <f>M32</f>
        <v>788470200</v>
      </c>
      <c r="M314" s="480"/>
      <c r="N314" s="481"/>
      <c r="O314" s="481"/>
      <c r="P314" s="481"/>
      <c r="Q314" s="482"/>
      <c r="R314" s="473">
        <f>M32</f>
        <v>788470200</v>
      </c>
      <c r="S314" s="241"/>
      <c r="T314" s="241"/>
      <c r="V314" s="462"/>
    </row>
    <row r="315" spans="1:22" ht="15.75">
      <c r="A315" s="105"/>
      <c r="B315" s="241"/>
      <c r="C315" s="241"/>
      <c r="D315" s="479" t="s">
        <v>1771</v>
      </c>
      <c r="E315" s="480"/>
      <c r="F315" s="481"/>
      <c r="G315" s="481"/>
      <c r="H315" s="481"/>
      <c r="I315" s="482"/>
      <c r="J315" s="241"/>
      <c r="K315" s="241"/>
      <c r="L315" s="479" t="s">
        <v>1771</v>
      </c>
      <c r="M315" s="480"/>
      <c r="N315" s="481"/>
      <c r="O315" s="481"/>
      <c r="P315" s="481"/>
      <c r="Q315" s="482"/>
      <c r="R315" s="479" t="s">
        <v>1771</v>
      </c>
      <c r="S315" s="473"/>
      <c r="T315" s="241"/>
      <c r="V315" s="462"/>
    </row>
    <row r="316" spans="1:22" ht="15.75">
      <c r="A316" s="105"/>
      <c r="B316" s="241"/>
      <c r="C316" s="241"/>
      <c r="D316" s="241"/>
      <c r="E316" s="480"/>
      <c r="F316" s="481"/>
      <c r="G316" s="481"/>
      <c r="H316" s="481"/>
      <c r="I316" s="482"/>
      <c r="J316" s="241"/>
      <c r="K316" s="241"/>
      <c r="L316" s="241"/>
      <c r="M316" s="480"/>
      <c r="N316" s="481"/>
      <c r="O316" s="481"/>
      <c r="P316" s="481"/>
      <c r="Q316" s="482"/>
      <c r="R316" s="241"/>
      <c r="S316" s="241"/>
      <c r="T316" s="241"/>
      <c r="V316" s="462"/>
    </row>
    <row r="317" spans="1:22" ht="18">
      <c r="A317" s="105"/>
      <c r="B317" s="241"/>
      <c r="C317" s="241"/>
      <c r="D317" s="473">
        <f>D319/'Input data'!E18</f>
        <v>36761063.400604084</v>
      </c>
      <c r="E317" s="480"/>
      <c r="F317" s="481"/>
      <c r="G317" s="484" t="s">
        <v>405</v>
      </c>
      <c r="H317" s="481"/>
      <c r="I317" s="482"/>
      <c r="J317" s="473">
        <f>J319/'Input data'!E18</f>
        <v>2253251413.5290303</v>
      </c>
      <c r="K317" s="241"/>
      <c r="L317" s="241"/>
      <c r="M317" s="480"/>
      <c r="N317" s="481"/>
      <c r="O317" s="484" t="s">
        <v>406</v>
      </c>
      <c r="P317" s="481"/>
      <c r="Q317" s="482"/>
      <c r="R317" s="241"/>
      <c r="S317" s="241"/>
      <c r="T317" s="241"/>
      <c r="V317" s="462"/>
    </row>
    <row r="318" spans="1:22" ht="18">
      <c r="A318" s="105"/>
      <c r="B318" s="241"/>
      <c r="C318" s="478" t="s">
        <v>366</v>
      </c>
      <c r="D318" s="477" t="s">
        <v>358</v>
      </c>
      <c r="E318" s="480"/>
      <c r="F318" s="481"/>
      <c r="G318" s="484"/>
      <c r="H318" s="481"/>
      <c r="I318" s="482"/>
      <c r="J318" s="477" t="s">
        <v>358</v>
      </c>
      <c r="K318" s="478" t="s">
        <v>407</v>
      </c>
      <c r="L318" s="241"/>
      <c r="M318" s="480"/>
      <c r="N318" s="481"/>
      <c r="O318" s="484"/>
      <c r="P318" s="481"/>
      <c r="Q318" s="482"/>
      <c r="R318" s="507">
        <f>R320/'Input data'!E18</f>
        <v>2253251413.5290303</v>
      </c>
      <c r="S318" s="241" t="s">
        <v>408</v>
      </c>
      <c r="T318" s="241"/>
      <c r="V318" s="462"/>
    </row>
    <row r="319" spans="1:22" ht="18">
      <c r="A319" s="105"/>
      <c r="B319" s="241"/>
      <c r="C319" s="241"/>
      <c r="D319" s="473">
        <f>M479*M384</f>
        <v>81021383.734931409</v>
      </c>
      <c r="E319" s="480"/>
      <c r="F319" s="481"/>
      <c r="G319" s="484"/>
      <c r="H319" s="481"/>
      <c r="I319" s="482"/>
      <c r="J319" s="477">
        <f>M430*M479</f>
        <v>4966166115.4179831</v>
      </c>
      <c r="K319" s="241"/>
      <c r="L319" s="241"/>
      <c r="M319" s="480"/>
      <c r="N319" s="481"/>
      <c r="O319" s="484"/>
      <c r="P319" s="481"/>
      <c r="Q319" s="482"/>
      <c r="R319" s="479" t="s">
        <v>358</v>
      </c>
      <c r="S319" s="241"/>
      <c r="T319" s="241"/>
      <c r="V319" s="462"/>
    </row>
    <row r="320" spans="1:22" ht="18">
      <c r="A320" s="105"/>
      <c r="B320" s="241"/>
      <c r="C320" s="241"/>
      <c r="D320" s="479" t="s">
        <v>1771</v>
      </c>
      <c r="E320" s="480"/>
      <c r="F320" s="481"/>
      <c r="G320" s="484" t="s">
        <v>364</v>
      </c>
      <c r="H320" s="481"/>
      <c r="I320" s="482"/>
      <c r="J320" s="479" t="s">
        <v>1771</v>
      </c>
      <c r="K320" s="241"/>
      <c r="L320" s="241"/>
      <c r="M320" s="480"/>
      <c r="N320" s="481"/>
      <c r="O320" s="484" t="s">
        <v>364</v>
      </c>
      <c r="P320" s="481"/>
      <c r="Q320" s="482"/>
      <c r="R320" s="507">
        <f>M462*M479</f>
        <v>4966166115.4179831</v>
      </c>
      <c r="S320" s="241"/>
      <c r="T320" s="241"/>
      <c r="V320" s="462"/>
    </row>
    <row r="321" spans="1:22" ht="15.75">
      <c r="A321" s="105"/>
      <c r="B321" s="241"/>
      <c r="C321" s="241"/>
      <c r="D321" s="241"/>
      <c r="E321" s="480"/>
      <c r="F321" s="481"/>
      <c r="G321" s="481"/>
      <c r="H321" s="481"/>
      <c r="I321" s="482"/>
      <c r="J321" s="241"/>
      <c r="K321" s="241"/>
      <c r="L321" s="477">
        <v>0</v>
      </c>
      <c r="M321" s="480"/>
      <c r="N321" s="481"/>
      <c r="O321" s="481"/>
      <c r="P321" s="481"/>
      <c r="Q321" s="482"/>
      <c r="R321" s="477" t="s">
        <v>1771</v>
      </c>
      <c r="S321" s="241"/>
      <c r="T321" s="241"/>
      <c r="V321" s="462"/>
    </row>
    <row r="322" spans="1:22" ht="15.75">
      <c r="A322" s="105"/>
      <c r="B322" s="241"/>
      <c r="C322" s="241"/>
      <c r="D322" s="241"/>
      <c r="E322" s="480"/>
      <c r="F322" s="481"/>
      <c r="G322" s="481"/>
      <c r="H322" s="481"/>
      <c r="I322" s="482"/>
      <c r="J322" s="241"/>
      <c r="K322" s="478" t="s">
        <v>366</v>
      </c>
      <c r="L322" s="477" t="s">
        <v>358</v>
      </c>
      <c r="M322" s="480"/>
      <c r="N322" s="481"/>
      <c r="O322" s="481"/>
      <c r="P322" s="481"/>
      <c r="Q322" s="482"/>
      <c r="R322" s="241"/>
      <c r="S322" s="241"/>
      <c r="T322" s="241"/>
      <c r="V322" s="462"/>
    </row>
    <row r="323" spans="1:22" ht="15.75">
      <c r="A323" s="105"/>
      <c r="B323" s="241"/>
      <c r="C323" s="241"/>
      <c r="D323" s="508"/>
      <c r="E323" s="480"/>
      <c r="F323" s="481"/>
      <c r="G323" s="481"/>
      <c r="H323" s="481"/>
      <c r="I323" s="482"/>
      <c r="J323" s="241"/>
      <c r="K323" s="241"/>
      <c r="L323" s="473">
        <v>0</v>
      </c>
      <c r="M323" s="480"/>
      <c r="N323" s="481"/>
      <c r="O323" s="481"/>
      <c r="P323" s="481"/>
      <c r="Q323" s="482"/>
      <c r="R323" s="241"/>
      <c r="S323" s="241"/>
      <c r="T323" s="241"/>
      <c r="V323" s="462"/>
    </row>
    <row r="324" spans="1:22" ht="15.75">
      <c r="A324" s="105"/>
      <c r="B324" s="241"/>
      <c r="C324" s="478"/>
      <c r="D324" s="479"/>
      <c r="E324" s="480"/>
      <c r="F324" s="481"/>
      <c r="G324" s="481"/>
      <c r="H324" s="481"/>
      <c r="I324" s="482"/>
      <c r="J324" s="241"/>
      <c r="K324" s="241"/>
      <c r="L324" s="479" t="s">
        <v>1771</v>
      </c>
      <c r="M324" s="480"/>
      <c r="N324" s="481"/>
      <c r="O324" s="481"/>
      <c r="P324" s="481"/>
      <c r="Q324" s="482"/>
      <c r="R324" s="241"/>
      <c r="S324" s="241"/>
      <c r="T324" s="241"/>
      <c r="V324" s="462"/>
    </row>
    <row r="325" spans="1:22" ht="15.75">
      <c r="A325" s="105"/>
      <c r="B325" s="241"/>
      <c r="C325" s="241"/>
      <c r="D325" s="507"/>
      <c r="E325" s="487"/>
      <c r="F325" s="488"/>
      <c r="G325" s="488"/>
      <c r="H325" s="488"/>
      <c r="I325" s="489"/>
      <c r="J325" s="241"/>
      <c r="K325" s="241"/>
      <c r="L325" s="241"/>
      <c r="M325" s="487"/>
      <c r="N325" s="488"/>
      <c r="O325" s="488"/>
      <c r="P325" s="488"/>
      <c r="Q325" s="489"/>
      <c r="R325" s="241"/>
      <c r="S325" s="241"/>
      <c r="T325" s="241"/>
      <c r="V325" s="462"/>
    </row>
    <row r="326" spans="1:22" ht="15.75">
      <c r="A326" s="105"/>
      <c r="D326" s="479"/>
      <c r="V326" s="462"/>
    </row>
    <row r="327" spans="1:22" ht="15.75">
      <c r="A327" s="105"/>
      <c r="E327" s="463" t="s">
        <v>367</v>
      </c>
      <c r="G327" s="460" t="s">
        <v>355</v>
      </c>
      <c r="I327" s="463" t="s">
        <v>368</v>
      </c>
      <c r="M327" s="463" t="s">
        <v>367</v>
      </c>
      <c r="O327" s="460" t="s">
        <v>355</v>
      </c>
      <c r="Q327" s="463" t="s">
        <v>368</v>
      </c>
      <c r="V327" s="462"/>
    </row>
    <row r="328" spans="1:22">
      <c r="A328" s="102"/>
      <c r="B328" s="102"/>
      <c r="C328" s="102"/>
      <c r="E328" s="509">
        <f>D312+D317</f>
        <v>2253251413.5290303</v>
      </c>
      <c r="F328" s="460" t="s">
        <v>369</v>
      </c>
      <c r="G328" s="460" t="str">
        <f>IFERROR(IF((ABS(E328-I328))/E328&lt;=0.02,"OK","ERROR"),"OK")</f>
        <v>OK</v>
      </c>
      <c r="I328" s="510">
        <f>SUM(J317)</f>
        <v>2253251413.5290303</v>
      </c>
      <c r="J328" s="460" t="s">
        <v>369</v>
      </c>
      <c r="M328" s="509">
        <f>L312+J317+L321</f>
        <v>2610895480.2214041</v>
      </c>
      <c r="N328" s="460" t="s">
        <v>369</v>
      </c>
      <c r="O328" s="460" t="str">
        <f>IFERROR(IF((ABS(M328-Q328))/M328&lt;=0.02,"OK","ERROR"),"OK")</f>
        <v>OK</v>
      </c>
      <c r="Q328" s="510">
        <f>SUM(R312,R318)</f>
        <v>2610895480.2214041</v>
      </c>
      <c r="R328" s="460" t="s">
        <v>369</v>
      </c>
      <c r="V328" s="462"/>
    </row>
    <row r="329" spans="1:22">
      <c r="A329" s="102"/>
      <c r="B329" s="102"/>
      <c r="C329" s="102"/>
      <c r="V329" s="462"/>
    </row>
    <row r="330" spans="1:22">
      <c r="A330" s="102"/>
      <c r="B330" s="102"/>
      <c r="C330" s="102"/>
      <c r="V330" s="462"/>
    </row>
    <row r="331" spans="1:22" s="241" customFormat="1">
      <c r="A331" s="102"/>
      <c r="B331" s="102"/>
      <c r="C331" s="102"/>
      <c r="V331" s="472"/>
    </row>
    <row r="332" spans="1:22" s="241" customFormat="1" ht="12.75">
      <c r="A332" s="471"/>
      <c r="I332" s="241" t="s">
        <v>409</v>
      </c>
      <c r="V332" s="472"/>
    </row>
    <row r="333" spans="1:22" s="241" customFormat="1" ht="12.75">
      <c r="A333" s="471"/>
      <c r="H333" s="477">
        <f>I333*1055.05/1000</f>
        <v>565147893.8542881</v>
      </c>
      <c r="I333" s="477">
        <f>M486*1000</f>
        <v>535659820.72346157</v>
      </c>
      <c r="V333" s="472"/>
    </row>
    <row r="334" spans="1:22" s="241" customFormat="1" ht="12.75">
      <c r="A334" s="471"/>
      <c r="H334" s="477" t="s">
        <v>351</v>
      </c>
      <c r="I334" s="477" t="s">
        <v>1345</v>
      </c>
      <c r="V334" s="472"/>
    </row>
    <row r="335" spans="1:22" s="241" customFormat="1" ht="12.75">
      <c r="A335" s="471"/>
      <c r="V335" s="472"/>
    </row>
    <row r="336" spans="1:22" s="241" customFormat="1" ht="12.75">
      <c r="A336" s="471"/>
      <c r="D336" s="473">
        <f>D338*1055.05/1000</f>
        <v>0</v>
      </c>
      <c r="E336" s="474"/>
      <c r="F336" s="475"/>
      <c r="G336" s="475"/>
      <c r="H336" s="475"/>
      <c r="I336" s="476"/>
      <c r="L336" s="511">
        <f>L338*1055.05/1000</f>
        <v>92920491.619766995</v>
      </c>
      <c r="M336" s="474"/>
      <c r="N336" s="475"/>
      <c r="O336" s="475"/>
      <c r="P336" s="475"/>
      <c r="Q336" s="476"/>
      <c r="R336" s="477">
        <f>R338*1055.05/1000</f>
        <v>872537558.19284892</v>
      </c>
      <c r="V336" s="472"/>
    </row>
    <row r="337" spans="1:23" s="241" customFormat="1" ht="12.75">
      <c r="A337" s="471"/>
      <c r="C337" s="493" t="s">
        <v>371</v>
      </c>
      <c r="D337" s="479" t="s">
        <v>351</v>
      </c>
      <c r="E337" s="480"/>
      <c r="F337" s="481"/>
      <c r="G337" s="481"/>
      <c r="H337" s="481"/>
      <c r="I337" s="482"/>
      <c r="K337" s="241" t="s">
        <v>357</v>
      </c>
      <c r="L337" s="479" t="s">
        <v>351</v>
      </c>
      <c r="M337" s="480"/>
      <c r="N337" s="481"/>
      <c r="O337" s="481"/>
      <c r="P337" s="481"/>
      <c r="Q337" s="482"/>
      <c r="R337" s="477" t="s">
        <v>351</v>
      </c>
      <c r="S337" s="241" t="s">
        <v>359</v>
      </c>
      <c r="V337" s="472"/>
    </row>
    <row r="338" spans="1:23" s="241" customFormat="1" ht="12.75">
      <c r="A338" s="471"/>
      <c r="D338" s="473">
        <f>M479*M408/1000</f>
        <v>0</v>
      </c>
      <c r="E338" s="480"/>
      <c r="F338" s="481"/>
      <c r="G338" s="481"/>
      <c r="H338" s="481"/>
      <c r="I338" s="482"/>
      <c r="L338" s="507">
        <f>M32*M33/1000</f>
        <v>88072121.340000004</v>
      </c>
      <c r="M338" s="480"/>
      <c r="N338" s="481"/>
      <c r="O338" s="481"/>
      <c r="P338" s="481"/>
      <c r="Q338" s="482"/>
      <c r="R338" s="477">
        <f>M32*M44/1000</f>
        <v>827010623.37600017</v>
      </c>
      <c r="V338" s="472"/>
    </row>
    <row r="339" spans="1:23" s="241" customFormat="1" ht="12.75">
      <c r="A339" s="471"/>
      <c r="D339" s="479" t="s">
        <v>1345</v>
      </c>
      <c r="E339" s="480"/>
      <c r="F339" s="481"/>
      <c r="G339" s="481"/>
      <c r="H339" s="481"/>
      <c r="I339" s="482"/>
      <c r="L339" s="479" t="s">
        <v>1345</v>
      </c>
      <c r="M339" s="480"/>
      <c r="N339" s="481"/>
      <c r="O339" s="481"/>
      <c r="P339" s="481"/>
      <c r="Q339" s="482"/>
      <c r="R339" s="479" t="s">
        <v>1345</v>
      </c>
      <c r="V339" s="472"/>
    </row>
    <row r="340" spans="1:23" s="241" customFormat="1" ht="18">
      <c r="A340" s="471"/>
      <c r="E340" s="480"/>
      <c r="F340" s="481"/>
      <c r="G340" s="484" t="s">
        <v>405</v>
      </c>
      <c r="H340" s="481"/>
      <c r="I340" s="482"/>
      <c r="J340" s="473">
        <f>J342*1055.05/1000</f>
        <v>1199146533.1062303</v>
      </c>
      <c r="M340" s="480"/>
      <c r="N340" s="481"/>
      <c r="O340" s="484" t="s">
        <v>406</v>
      </c>
      <c r="P340" s="481"/>
      <c r="Q340" s="482"/>
      <c r="V340" s="472"/>
    </row>
    <row r="341" spans="1:23" s="241" customFormat="1" ht="18">
      <c r="A341" s="471"/>
      <c r="D341" s="477">
        <f>D343*1055.05/1000</f>
        <v>1827228617.9599173</v>
      </c>
      <c r="E341" s="480"/>
      <c r="F341" s="481"/>
      <c r="G341" s="484"/>
      <c r="H341" s="481"/>
      <c r="I341" s="482"/>
      <c r="J341" s="477" t="s">
        <v>351</v>
      </c>
      <c r="K341" s="241" t="s">
        <v>410</v>
      </c>
      <c r="M341" s="480"/>
      <c r="N341" s="481"/>
      <c r="O341" s="484"/>
      <c r="P341" s="481"/>
      <c r="Q341" s="482"/>
      <c r="R341" s="477">
        <f>R343*1055.05/1000</f>
        <v>359572139.87783706</v>
      </c>
      <c r="V341" s="472"/>
    </row>
    <row r="342" spans="1:23" s="241" customFormat="1" ht="18">
      <c r="A342" s="471"/>
      <c r="C342" s="512" t="s">
        <v>2437</v>
      </c>
      <c r="D342" s="477" t="s">
        <v>351</v>
      </c>
      <c r="E342" s="480"/>
      <c r="F342" s="481"/>
      <c r="G342" s="484" t="s">
        <v>372</v>
      </c>
      <c r="H342" s="481"/>
      <c r="I342" s="482"/>
      <c r="J342" s="473">
        <f>M436*M479/1000</f>
        <v>1136577918.6827452</v>
      </c>
      <c r="M342" s="480"/>
      <c r="N342" s="481"/>
      <c r="O342" s="484" t="s">
        <v>372</v>
      </c>
      <c r="P342" s="481"/>
      <c r="Q342" s="482"/>
      <c r="R342" s="477" t="s">
        <v>351</v>
      </c>
      <c r="S342" s="241" t="s">
        <v>363</v>
      </c>
      <c r="V342" s="472"/>
      <c r="W342" s="477"/>
    </row>
    <row r="343" spans="1:23" s="241" customFormat="1" ht="18">
      <c r="A343" s="471"/>
      <c r="D343" s="473">
        <f>M479*M386/1000</f>
        <v>1731888173.9821973</v>
      </c>
      <c r="E343" s="480"/>
      <c r="F343" s="481"/>
      <c r="G343" s="484"/>
      <c r="H343" s="481"/>
      <c r="I343" s="482"/>
      <c r="J343" s="477" t="s">
        <v>1345</v>
      </c>
      <c r="M343" s="480"/>
      <c r="N343" s="481"/>
      <c r="O343" s="484"/>
      <c r="P343" s="481"/>
      <c r="Q343" s="482"/>
      <c r="R343" s="477">
        <f>M468*M479/1000</f>
        <v>340810520.71260798</v>
      </c>
      <c r="V343" s="472"/>
    </row>
    <row r="344" spans="1:23" s="241" customFormat="1" ht="12.75">
      <c r="A344" s="471"/>
      <c r="D344" s="479" t="s">
        <v>1345</v>
      </c>
      <c r="E344" s="480"/>
      <c r="F344" s="481"/>
      <c r="G344" s="481"/>
      <c r="H344" s="481"/>
      <c r="I344" s="482"/>
      <c r="M344" s="480"/>
      <c r="N344" s="481"/>
      <c r="O344" s="481"/>
      <c r="P344" s="481"/>
      <c r="Q344" s="482"/>
      <c r="R344" s="479" t="s">
        <v>1345</v>
      </c>
      <c r="V344" s="472"/>
      <c r="W344" s="479"/>
    </row>
    <row r="345" spans="1:23" s="241" customFormat="1" ht="12.75">
      <c r="A345" s="471"/>
      <c r="E345" s="480"/>
      <c r="H345" s="481"/>
      <c r="I345" s="482"/>
      <c r="M345" s="480"/>
      <c r="P345" s="481"/>
      <c r="Q345" s="482"/>
    </row>
    <row r="346" spans="1:23" s="241" customFormat="1">
      <c r="A346" s="471"/>
      <c r="D346" s="473"/>
      <c r="E346" s="480"/>
      <c r="F346" s="481" t="s">
        <v>1098</v>
      </c>
      <c r="G346" s="481">
        <f>H333/D341</f>
        <v>0.30929238317494728</v>
      </c>
      <c r="H346" s="481"/>
      <c r="I346" s="482"/>
      <c r="L346" s="477">
        <v>0</v>
      </c>
      <c r="M346" s="480"/>
      <c r="N346" s="481" t="s">
        <v>1098</v>
      </c>
      <c r="O346" s="481">
        <f>R336/J340</f>
        <v>0.72763214011273158</v>
      </c>
      <c r="P346" s="481"/>
      <c r="Q346" s="482"/>
      <c r="R346" s="483" t="s">
        <v>1099</v>
      </c>
      <c r="T346" s="513">
        <f>(R336+H333)/D341</f>
        <v>0.78681202664847627</v>
      </c>
      <c r="V346" s="472"/>
    </row>
    <row r="347" spans="1:23" s="241" customFormat="1" ht="12.75">
      <c r="A347" s="471"/>
      <c r="C347" s="478"/>
      <c r="D347" s="479"/>
      <c r="E347" s="480"/>
      <c r="F347" s="481"/>
      <c r="G347" s="481"/>
      <c r="H347" s="481"/>
      <c r="I347" s="482"/>
      <c r="K347" s="478" t="s">
        <v>366</v>
      </c>
      <c r="L347" s="477" t="s">
        <v>351</v>
      </c>
      <c r="M347" s="480"/>
      <c r="N347" s="481"/>
      <c r="O347" s="481"/>
      <c r="P347" s="481"/>
      <c r="Q347" s="482"/>
      <c r="V347" s="472"/>
    </row>
    <row r="348" spans="1:23" s="241" customFormat="1" ht="13.5" thickBot="1">
      <c r="A348" s="471"/>
      <c r="D348" s="473"/>
      <c r="E348" s="487"/>
      <c r="F348" s="488"/>
      <c r="G348" s="488"/>
      <c r="H348" s="488"/>
      <c r="I348" s="489"/>
      <c r="L348" s="477">
        <v>0</v>
      </c>
      <c r="M348" s="487"/>
      <c r="N348" s="488"/>
      <c r="O348" s="488"/>
      <c r="P348" s="488"/>
      <c r="Q348" s="489"/>
      <c r="V348" s="472"/>
    </row>
    <row r="349" spans="1:23" s="241" customFormat="1" ht="12.75">
      <c r="A349" s="471"/>
      <c r="D349" s="479"/>
      <c r="E349" s="514"/>
      <c r="F349" s="514"/>
      <c r="G349" s="514"/>
      <c r="H349" s="514"/>
      <c r="I349" s="514"/>
      <c r="L349" s="479" t="s">
        <v>1345</v>
      </c>
      <c r="V349" s="472"/>
    </row>
    <row r="350" spans="1:23" s="241" customFormat="1" ht="12.75">
      <c r="A350" s="471"/>
      <c r="V350" s="472"/>
    </row>
    <row r="351" spans="1:23" s="241" customFormat="1" ht="12.75">
      <c r="A351" s="471"/>
      <c r="H351" s="477">
        <f>I351*1055.05/1000</f>
        <v>57730700.423277333</v>
      </c>
      <c r="I351" s="477">
        <f>M440*M479/1000</f>
        <v>54718449.763781182</v>
      </c>
      <c r="O351" s="477">
        <f>P351*1055.05/1000</f>
        <v>59957326.655311517</v>
      </c>
      <c r="P351" s="477">
        <f>M471*M479/1000</f>
        <v>56828895.934137262</v>
      </c>
      <c r="V351" s="472"/>
    </row>
    <row r="352" spans="1:23" s="241" customFormat="1" ht="12.75">
      <c r="A352" s="471"/>
      <c r="H352" s="477" t="s">
        <v>351</v>
      </c>
      <c r="I352" s="479" t="s">
        <v>1345</v>
      </c>
      <c r="O352" s="477" t="s">
        <v>351</v>
      </c>
      <c r="P352" s="479" t="s">
        <v>1345</v>
      </c>
      <c r="V352" s="472"/>
    </row>
    <row r="353" spans="1:22" s="241" customFormat="1" ht="12.75">
      <c r="A353" s="471"/>
      <c r="V353" s="472"/>
    </row>
    <row r="354" spans="1:22" s="241" customFormat="1" ht="12.75">
      <c r="A354" s="471"/>
      <c r="I354" s="241" t="s">
        <v>373</v>
      </c>
      <c r="P354" s="241" t="s">
        <v>373</v>
      </c>
      <c r="V354" s="472"/>
    </row>
    <row r="355" spans="1:22" ht="15.75">
      <c r="A355" s="105"/>
      <c r="V355" s="462"/>
    </row>
    <row r="356" spans="1:22" ht="15.75">
      <c r="A356" s="105"/>
      <c r="E356" s="463" t="s">
        <v>374</v>
      </c>
      <c r="G356" s="460" t="s">
        <v>375</v>
      </c>
      <c r="I356" s="463" t="s">
        <v>376</v>
      </c>
      <c r="M356" s="463" t="s">
        <v>374</v>
      </c>
      <c r="O356" s="460" t="s">
        <v>355</v>
      </c>
      <c r="Q356" s="463" t="s">
        <v>376</v>
      </c>
      <c r="V356" s="462"/>
    </row>
    <row r="357" spans="1:22" ht="15.75">
      <c r="A357" s="105"/>
      <c r="E357" s="509">
        <f>(D336+D341+D346)/1000</f>
        <v>1827228.6179599173</v>
      </c>
      <c r="F357" s="460" t="s">
        <v>1100</v>
      </c>
      <c r="G357" s="460" t="str">
        <f>IFERROR(IF((ABS(E357-I357))/E357&lt;=0.02,"OK","ERROR"),"OK")</f>
        <v>OK</v>
      </c>
      <c r="I357" s="510">
        <f>SUM(H333,J340,H351)/1000</f>
        <v>1822025.1273837958</v>
      </c>
      <c r="J357" s="460" t="s">
        <v>172</v>
      </c>
      <c r="M357" s="509">
        <f>(L336+J340)/1000</f>
        <v>1292067.0247259971</v>
      </c>
      <c r="N357" s="460" t="s">
        <v>172</v>
      </c>
      <c r="O357" s="460" t="str">
        <f>IFERROR(IF((ABS(M357-Q357))/M357&lt;=0.02,"OK","ERROR"),"OK")</f>
        <v>OK</v>
      </c>
      <c r="Q357" s="510">
        <f>(R336+R341+O351)/1000</f>
        <v>1292067.0247259974</v>
      </c>
      <c r="R357" s="460" t="s">
        <v>172</v>
      </c>
      <c r="V357" s="462"/>
    </row>
    <row r="358" spans="1:22" ht="15.75">
      <c r="A358" s="105"/>
      <c r="E358" s="492"/>
      <c r="V358" s="462" t="s">
        <v>411</v>
      </c>
    </row>
    <row r="359" spans="1:22" ht="15.75">
      <c r="A359" s="105"/>
      <c r="E359" s="102"/>
      <c r="V359" s="462"/>
    </row>
    <row r="360" spans="1:22" ht="15.75">
      <c r="A360" s="105"/>
      <c r="V360" s="462"/>
    </row>
    <row r="361" spans="1:22" ht="15.75">
      <c r="M361" s="515"/>
      <c r="N361" s="515"/>
      <c r="V361" s="462"/>
    </row>
    <row r="362" spans="1:22">
      <c r="A362" s="227" t="s">
        <v>1645</v>
      </c>
      <c r="V362" s="462"/>
    </row>
    <row r="363" spans="1:22">
      <c r="B363" s="227" t="s">
        <v>1481</v>
      </c>
      <c r="V363" s="462"/>
    </row>
    <row r="364" spans="1:22">
      <c r="C364" s="227" t="s">
        <v>1482</v>
      </c>
      <c r="M364" s="210">
        <v>1</v>
      </c>
      <c r="N364" s="460" t="s">
        <v>354</v>
      </c>
      <c r="V364" s="462"/>
    </row>
    <row r="365" spans="1:22">
      <c r="C365" s="227" t="s">
        <v>1580</v>
      </c>
      <c r="J365" s="491"/>
      <c r="L365" s="463"/>
      <c r="M365" s="17">
        <f>IF(M298="A",'Input data'!G127,IF(M298="B",'Input data'!H127,IF(M298="C",'Input data'!I127,IF(M298="D",'Input data'!J127,"ERROR"))))</f>
        <v>0.30929238317494734</v>
      </c>
      <c r="N365" s="460" t="s">
        <v>1101</v>
      </c>
      <c r="S365" s="460" t="s">
        <v>1102</v>
      </c>
      <c r="V365" s="462" t="s">
        <v>1103</v>
      </c>
    </row>
    <row r="366" spans="1:22">
      <c r="C366" s="227" t="s">
        <v>1646</v>
      </c>
      <c r="M366" s="242">
        <f>IF(M298="A",'Input data'!G130,IF(M298="B",'Input data'!H130,IF(M298="C",'Input data'!I130,IF(M298="D",'Input data'!J130,"ERROR"))))</f>
        <v>3.159467833189538E-2</v>
      </c>
      <c r="N366" s="460" t="s">
        <v>1104</v>
      </c>
      <c r="S366" s="460" t="s">
        <v>1102</v>
      </c>
      <c r="V366" s="462" t="s">
        <v>1103</v>
      </c>
    </row>
    <row r="367" spans="1:22">
      <c r="C367" s="227" t="s">
        <v>1690</v>
      </c>
      <c r="M367" s="17">
        <f>M364-M365-M366</f>
        <v>0.65911293849315733</v>
      </c>
      <c r="N367" s="460" t="s">
        <v>1105</v>
      </c>
      <c r="V367" s="462"/>
    </row>
    <row r="368" spans="1:22">
      <c r="V368" s="462"/>
    </row>
    <row r="369" spans="2:22" ht="14.1" customHeight="1">
      <c r="B369" s="227" t="s">
        <v>1581</v>
      </c>
      <c r="M369" s="105"/>
      <c r="N369" s="105"/>
      <c r="O369" s="105"/>
      <c r="P369" s="105"/>
      <c r="Q369" s="105"/>
      <c r="S369" s="105"/>
      <c r="T369" s="105"/>
      <c r="U369" s="105"/>
      <c r="V369" s="461"/>
    </row>
    <row r="370" spans="2:22" ht="19.5">
      <c r="B370" s="100"/>
      <c r="C370" s="227" t="s">
        <v>1483</v>
      </c>
      <c r="L370" s="460" t="s">
        <v>389</v>
      </c>
      <c r="M370" s="75">
        <f>M$300*'Fuel Specs'!C227+M$301*'Fuel Specs'!C273</f>
        <v>4.0000000000000001E-3</v>
      </c>
      <c r="N370" s="460" t="s">
        <v>1752</v>
      </c>
      <c r="V370" s="462" t="s">
        <v>413</v>
      </c>
    </row>
    <row r="371" spans="2:22" ht="19.5">
      <c r="L371" s="460" t="s">
        <v>390</v>
      </c>
      <c r="M371" s="75">
        <f>M$300*'Fuel Specs'!C228+M$301*'Fuel Specs'!C274</f>
        <v>0</v>
      </c>
      <c r="N371" s="460" t="s">
        <v>1752</v>
      </c>
      <c r="V371" s="462"/>
    </row>
    <row r="372" spans="2:22" ht="19.5">
      <c r="L372" s="460" t="s">
        <v>215</v>
      </c>
      <c r="M372" s="75">
        <f>M$300*'Fuel Specs'!C229+M$301*'Fuel Specs'!C275</f>
        <v>0</v>
      </c>
      <c r="N372" s="460" t="s">
        <v>1752</v>
      </c>
      <c r="V372" s="462"/>
    </row>
    <row r="373" spans="2:22" ht="19.5">
      <c r="L373" s="460" t="s">
        <v>391</v>
      </c>
      <c r="M373" s="75">
        <f>M$300*'Fuel Specs'!C230+M$301*'Fuel Specs'!C276</f>
        <v>0</v>
      </c>
      <c r="N373" s="460" t="s">
        <v>1752</v>
      </c>
      <c r="V373" s="462"/>
    </row>
    <row r="374" spans="2:22" ht="19.5">
      <c r="L374" s="460" t="s">
        <v>392</v>
      </c>
      <c r="M374" s="75">
        <f>M$300*'Fuel Specs'!C231+M$301*'Fuel Specs'!C277</f>
        <v>0.96599999999999997</v>
      </c>
      <c r="N374" s="460" t="s">
        <v>1752</v>
      </c>
      <c r="V374" s="462"/>
    </row>
    <row r="375" spans="2:22" ht="19.5">
      <c r="L375" s="460" t="s">
        <v>393</v>
      </c>
      <c r="M375" s="75">
        <f>M$300*'Fuel Specs'!C232+M$301*'Fuel Specs'!C278</f>
        <v>0.02</v>
      </c>
      <c r="N375" s="460" t="s">
        <v>1752</v>
      </c>
      <c r="V375" s="462"/>
    </row>
    <row r="376" spans="2:22" ht="19.5">
      <c r="L376" s="460" t="s">
        <v>394</v>
      </c>
      <c r="M376" s="75">
        <f>M$300*'Fuel Specs'!C233+M$301*'Fuel Specs'!C279</f>
        <v>0.01</v>
      </c>
      <c r="N376" s="460" t="s">
        <v>1752</v>
      </c>
      <c r="V376" s="462"/>
    </row>
    <row r="377" spans="2:22" ht="19.5">
      <c r="L377" s="460" t="s">
        <v>395</v>
      </c>
      <c r="M377" s="75">
        <f>M$300*'Fuel Specs'!C234+M$301*'Fuel Specs'!C280</f>
        <v>0</v>
      </c>
      <c r="N377" s="460" t="s">
        <v>1752</v>
      </c>
      <c r="V377" s="462"/>
    </row>
    <row r="378" spans="2:22">
      <c r="L378" s="460" t="s">
        <v>396</v>
      </c>
      <c r="M378" s="75">
        <f>M$300*'Fuel Specs'!C235+M$301*'Fuel Specs'!C281</f>
        <v>0</v>
      </c>
      <c r="N378" s="460" t="s">
        <v>1752</v>
      </c>
      <c r="V378" s="462"/>
    </row>
    <row r="379" spans="2:22" ht="19.5">
      <c r="L379" s="460" t="s">
        <v>397</v>
      </c>
      <c r="M379" s="75">
        <f>M$300*'Fuel Specs'!C236+M$301*'Fuel Specs'!C282</f>
        <v>0</v>
      </c>
      <c r="N379" s="460" t="s">
        <v>1752</v>
      </c>
      <c r="O379" s="501"/>
      <c r="V379" s="462"/>
    </row>
    <row r="380" spans="2:22" ht="19.5">
      <c r="L380" s="460" t="s">
        <v>214</v>
      </c>
      <c r="M380" s="75">
        <f>M$300*'Fuel Specs'!C237+M$301*'Fuel Specs'!C283</f>
        <v>0</v>
      </c>
      <c r="N380" s="460" t="s">
        <v>1752</v>
      </c>
      <c r="O380" s="502"/>
      <c r="V380" s="462"/>
    </row>
    <row r="381" spans="2:22" ht="19.5">
      <c r="L381" s="460" t="s">
        <v>398</v>
      </c>
      <c r="M381" s="75">
        <f>M$300*'Fuel Specs'!C238+M$301*'Fuel Specs'!C284</f>
        <v>0</v>
      </c>
      <c r="N381" s="460" t="s">
        <v>1752</v>
      </c>
      <c r="O381" s="501"/>
      <c r="V381" s="462"/>
    </row>
    <row r="382" spans="2:22">
      <c r="L382" s="460" t="s">
        <v>355</v>
      </c>
      <c r="M382" s="460" t="str">
        <f>IF(SUM(M370:M378)=1,"OK","ERROR")</f>
        <v>OK</v>
      </c>
      <c r="V382" s="462" t="s">
        <v>399</v>
      </c>
    </row>
    <row r="383" spans="2:22">
      <c r="M383" s="115"/>
      <c r="V383" s="462"/>
    </row>
    <row r="384" spans="2:22">
      <c r="B384" s="100"/>
      <c r="C384" s="227" t="s">
        <v>1389</v>
      </c>
      <c r="M384" s="14">
        <f>SUMPRODUCT(M370:M381,'Fuel Specs'!E148:E159)</f>
        <v>16.608000000000001</v>
      </c>
      <c r="N384" s="460" t="s">
        <v>240</v>
      </c>
      <c r="V384" s="462"/>
    </row>
    <row r="385" spans="2:22">
      <c r="M385" s="102"/>
      <c r="V385" s="462"/>
    </row>
    <row r="386" spans="2:22">
      <c r="B386" s="100"/>
      <c r="C386" s="227" t="s">
        <v>2444</v>
      </c>
      <c r="L386" s="460" t="s">
        <v>400</v>
      </c>
      <c r="M386" s="14">
        <f>SUMPRODUCT(M370:M381,'Fuel Specs'!N128:N139)</f>
        <v>355007.49885484145</v>
      </c>
      <c r="N386" s="460" t="s">
        <v>2445</v>
      </c>
      <c r="V386" s="462"/>
    </row>
    <row r="387" spans="2:22">
      <c r="L387" s="460" t="s">
        <v>172</v>
      </c>
      <c r="M387" s="14">
        <f>M386*1055.05/1000000</f>
        <v>374.55066166680047</v>
      </c>
      <c r="N387" s="460" t="s">
        <v>1106</v>
      </c>
      <c r="V387" s="462"/>
    </row>
    <row r="388" spans="2:22">
      <c r="V388" s="462"/>
    </row>
    <row r="389" spans="2:22">
      <c r="B389" s="227" t="s">
        <v>1647</v>
      </c>
      <c r="V389" s="462"/>
    </row>
    <row r="390" spans="2:22" ht="19.5">
      <c r="C390" s="227" t="s">
        <v>1484</v>
      </c>
      <c r="L390" s="463"/>
      <c r="M390" s="17">
        <f>IF(M298="A",'Input data'!G129,IF(M298="B",'Input data'!H129,IF(M298="C",'Input data'!I129,IF(M298="D",'Input data'!J129,"ERROR"))))</f>
        <v>3.5</v>
      </c>
      <c r="N390" s="460" t="s">
        <v>414</v>
      </c>
      <c r="S390" s="460" t="s">
        <v>1107</v>
      </c>
      <c r="V390" s="462" t="s">
        <v>1108</v>
      </c>
    </row>
    <row r="391" spans="2:22">
      <c r="M391" s="102"/>
      <c r="P391" s="213"/>
      <c r="V391" s="462"/>
    </row>
    <row r="392" spans="2:22">
      <c r="B392" s="227" t="s">
        <v>1691</v>
      </c>
      <c r="V392" s="462"/>
    </row>
    <row r="393" spans="2:22" ht="19.5">
      <c r="B393" s="100"/>
      <c r="C393" s="227" t="s">
        <v>1485</v>
      </c>
      <c r="L393" s="460" t="s">
        <v>389</v>
      </c>
      <c r="M393" s="75">
        <f>(M$300*'Fuel Specs'!D256+M$301*'Fuel Specs'!D302)*(M$390)</f>
        <v>27.089338424821005</v>
      </c>
      <c r="N393" s="460" t="s">
        <v>1752</v>
      </c>
      <c r="O393" s="504"/>
      <c r="V393" s="462"/>
    </row>
    <row r="394" spans="2:22" ht="19.5">
      <c r="L394" s="460" t="s">
        <v>390</v>
      </c>
      <c r="M394" s="75">
        <f>(M$300*'Fuel Specs'!D257+M$301*'Fuel Specs'!D303)*(M$390)</f>
        <v>7.1819999999999986</v>
      </c>
      <c r="N394" s="460" t="s">
        <v>1752</v>
      </c>
      <c r="O394" s="504"/>
      <c r="V394" s="462"/>
    </row>
    <row r="395" spans="2:22" ht="19.5">
      <c r="L395" s="460" t="s">
        <v>215</v>
      </c>
      <c r="M395" s="75">
        <f>(M$300*'Fuel Specs'!D258+M$301*'Fuel Specs'!D304)*(M$390)</f>
        <v>1.0284486873508351E-2</v>
      </c>
      <c r="N395" s="460" t="s">
        <v>1752</v>
      </c>
      <c r="O395" s="504"/>
      <c r="V395" s="462"/>
    </row>
    <row r="396" spans="2:22" ht="19.5">
      <c r="L396" s="460" t="s">
        <v>391</v>
      </c>
      <c r="M396" s="75">
        <f>(M$300*'Fuel Specs'!D259+M$301*'Fuel Specs'!D305)*(M$390)</f>
        <v>0.69962495738152064</v>
      </c>
      <c r="N396" s="460" t="s">
        <v>1752</v>
      </c>
      <c r="O396" s="504"/>
      <c r="Q396" s="516"/>
      <c r="V396" s="462"/>
    </row>
    <row r="397" spans="2:22" ht="19.5">
      <c r="L397" s="460" t="s">
        <v>392</v>
      </c>
      <c r="M397" s="75">
        <f>(M$300*'Fuel Specs'!D260+M$301*'Fuel Specs'!D306)*(M$390)</f>
        <v>0</v>
      </c>
      <c r="N397" s="460" t="s">
        <v>1752</v>
      </c>
      <c r="O397" s="504"/>
      <c r="V397" s="462"/>
    </row>
    <row r="398" spans="2:22" ht="19.5">
      <c r="L398" s="460" t="s">
        <v>393</v>
      </c>
      <c r="M398" s="75">
        <f>(M$300*'Fuel Specs'!D261+M$301*'Fuel Specs'!D307)*(M$390)</f>
        <v>0</v>
      </c>
      <c r="N398" s="460" t="s">
        <v>1752</v>
      </c>
      <c r="O398" s="504"/>
      <c r="V398" s="462"/>
    </row>
    <row r="399" spans="2:22" ht="19.5">
      <c r="L399" s="460" t="s">
        <v>394</v>
      </c>
      <c r="M399" s="75">
        <f>(M$300*'Fuel Specs'!D262+M$301*'Fuel Specs'!D308)*(M$390)</f>
        <v>0</v>
      </c>
      <c r="N399" s="460" t="s">
        <v>1752</v>
      </c>
      <c r="O399" s="504"/>
      <c r="V399" s="462"/>
    </row>
    <row r="400" spans="2:22" ht="19.5">
      <c r="L400" s="460" t="s">
        <v>395</v>
      </c>
      <c r="M400" s="75">
        <f>(M$300*'Fuel Specs'!D263+M$301*'Fuel Specs'!D309)*(M$390)</f>
        <v>0</v>
      </c>
      <c r="N400" s="460" t="s">
        <v>1752</v>
      </c>
      <c r="O400" s="504"/>
      <c r="V400" s="462"/>
    </row>
    <row r="401" spans="2:22">
      <c r="L401" s="460" t="s">
        <v>396</v>
      </c>
      <c r="M401" s="75">
        <f>(M$300*'Fuel Specs'!D264+M$301*'Fuel Specs'!D310)*(M$390)</f>
        <v>0</v>
      </c>
      <c r="N401" s="460" t="s">
        <v>1752</v>
      </c>
      <c r="O401" s="504"/>
      <c r="V401" s="462"/>
    </row>
    <row r="402" spans="2:22" ht="19.5">
      <c r="L402" s="460" t="s">
        <v>397</v>
      </c>
      <c r="M402" s="75">
        <f>(M$300*'Fuel Specs'!D265+M$301*'Fuel Specs'!D311)*(M$390)</f>
        <v>0</v>
      </c>
      <c r="N402" s="460" t="s">
        <v>1752</v>
      </c>
      <c r="O402" s="504"/>
      <c r="V402" s="462"/>
    </row>
    <row r="403" spans="2:22" ht="19.5">
      <c r="L403" s="460" t="s">
        <v>214</v>
      </c>
      <c r="M403" s="75">
        <f>(M$300*'Fuel Specs'!D266+M$301*'Fuel Specs'!D312)*(M$390)</f>
        <v>0</v>
      </c>
      <c r="N403" s="460" t="s">
        <v>1752</v>
      </c>
      <c r="O403" s="504"/>
      <c r="V403" s="462"/>
    </row>
    <row r="404" spans="2:22" ht="19.5">
      <c r="L404" s="460" t="s">
        <v>398</v>
      </c>
      <c r="M404" s="75">
        <f>(M$300*'Fuel Specs'!D267+M$301*'Fuel Specs'!D313)*(M$390)</f>
        <v>0</v>
      </c>
      <c r="N404" s="460" t="s">
        <v>1752</v>
      </c>
      <c r="O404" s="504"/>
      <c r="V404" s="462"/>
    </row>
    <row r="405" spans="2:22">
      <c r="O405" s="504"/>
      <c r="V405" s="462"/>
    </row>
    <row r="406" spans="2:22">
      <c r="B406" s="100"/>
      <c r="C406" s="227" t="s">
        <v>1582</v>
      </c>
      <c r="M406" s="14">
        <f>SUM(M393:M404)*M62</f>
        <v>1001.3712425502898</v>
      </c>
      <c r="N406" s="460" t="s">
        <v>1758</v>
      </c>
      <c r="O406" s="504"/>
      <c r="V406" s="462"/>
    </row>
    <row r="407" spans="2:22">
      <c r="O407" s="504"/>
      <c r="V407" s="462"/>
    </row>
    <row r="408" spans="2:22">
      <c r="B408" s="100"/>
      <c r="C408" s="227" t="s">
        <v>1648</v>
      </c>
      <c r="L408" s="463"/>
      <c r="M408" s="14">
        <f>M393*'Input data'!$C$167+M394*'Input data'!$D$167+M395*'Input data'!$E$167+M396*('Input data'!$I$167)+1*'Input data'!$J$167</f>
        <v>0</v>
      </c>
      <c r="N408" s="460" t="s">
        <v>1754</v>
      </c>
      <c r="O408" s="504"/>
      <c r="V408" s="462"/>
    </row>
    <row r="409" spans="2:22">
      <c r="O409" s="504"/>
      <c r="V409" s="462"/>
    </row>
    <row r="410" spans="2:22">
      <c r="O410" s="504"/>
      <c r="P410" s="102"/>
      <c r="Q410" s="102"/>
      <c r="S410" s="102"/>
      <c r="T410" s="102"/>
      <c r="U410" s="102"/>
      <c r="V410" s="462"/>
    </row>
    <row r="411" spans="2:22">
      <c r="B411" s="227" t="s">
        <v>1714</v>
      </c>
      <c r="O411" s="504"/>
      <c r="P411" s="102"/>
      <c r="Q411" s="102"/>
      <c r="S411" s="102"/>
      <c r="T411" s="102"/>
      <c r="U411" s="102"/>
      <c r="V411" s="462"/>
    </row>
    <row r="412" spans="2:22">
      <c r="C412" s="227" t="s">
        <v>1486</v>
      </c>
      <c r="M412" s="14">
        <f>IF(M298="A",'Input data'!G126,IF(M298="B",'Input data'!H126,IF(M298="C",'Input data'!I126,IF(M298="D",'Input data'!J126,"ERROR"))))</f>
        <v>949.99</v>
      </c>
      <c r="N412" s="460" t="s">
        <v>383</v>
      </c>
      <c r="P412" s="102"/>
      <c r="Q412" s="102"/>
      <c r="S412" s="102"/>
      <c r="T412" s="102"/>
      <c r="U412" s="102"/>
      <c r="V412" s="462" t="s">
        <v>1109</v>
      </c>
    </row>
    <row r="413" spans="2:22">
      <c r="M413" s="466"/>
      <c r="N413" s="466"/>
      <c r="O413" s="466"/>
      <c r="P413" s="102"/>
      <c r="Q413" s="102"/>
      <c r="S413" s="102"/>
      <c r="T413" s="102"/>
      <c r="U413" s="102"/>
      <c r="V413" s="517"/>
    </row>
    <row r="414" spans="2:22" ht="19.5">
      <c r="C414" s="227" t="s">
        <v>1583</v>
      </c>
      <c r="J414" s="500"/>
      <c r="L414" s="460" t="s">
        <v>389</v>
      </c>
      <c r="M414" s="14">
        <f>(M$300*'Fuel Specs'!$E256+M$301*'Fuel Specs'!$E302)+(($M$390-1)/$M$390)*M393</f>
        <v>27.093338424821006</v>
      </c>
      <c r="N414" s="460" t="s">
        <v>1752</v>
      </c>
      <c r="P414" s="102"/>
      <c r="Q414" s="102"/>
      <c r="S414" s="102"/>
      <c r="T414" s="102"/>
      <c r="U414" s="102"/>
      <c r="V414" s="462"/>
    </row>
    <row r="415" spans="2:22" ht="19.5">
      <c r="L415" s="460" t="s">
        <v>390</v>
      </c>
      <c r="M415" s="14">
        <f>(M$300*'Fuel Specs'!$E257+M$301*'Fuel Specs'!$E303)+(($M$390-1)/$M$390)*M394</f>
        <v>5.129999999999999</v>
      </c>
      <c r="N415" s="460" t="s">
        <v>1752</v>
      </c>
      <c r="P415" s="102"/>
      <c r="Q415" s="102"/>
      <c r="S415" s="102"/>
      <c r="T415" s="102"/>
      <c r="U415" s="102"/>
      <c r="V415" s="462"/>
    </row>
    <row r="416" spans="2:22" ht="19.5">
      <c r="L416" s="460" t="s">
        <v>215</v>
      </c>
      <c r="M416" s="14">
        <f>(M$300*'Fuel Specs'!$E258+M$301*'Fuel Specs'!$E304)+(($M$390-1)/$M$390)*M395</f>
        <v>1.0462844868735082</v>
      </c>
      <c r="N416" s="460" t="s">
        <v>1752</v>
      </c>
      <c r="P416" s="102"/>
      <c r="Q416" s="102"/>
      <c r="S416" s="102"/>
      <c r="T416" s="102"/>
      <c r="U416" s="102"/>
      <c r="V416" s="462"/>
    </row>
    <row r="417" spans="3:22" ht="19.5">
      <c r="L417" s="460" t="s">
        <v>391</v>
      </c>
      <c r="M417" s="14">
        <f>(M$300*'Fuel Specs'!$E259+M$301*'Fuel Specs'!$E305)+(($M$390-1)/$M$390)*M396</f>
        <v>2.7316249573815208</v>
      </c>
      <c r="N417" s="460" t="s">
        <v>1752</v>
      </c>
      <c r="P417" s="102"/>
      <c r="Q417" s="102"/>
      <c r="S417" s="102"/>
      <c r="T417" s="102"/>
      <c r="U417" s="102"/>
      <c r="V417" s="462"/>
    </row>
    <row r="418" spans="3:22" ht="19.5">
      <c r="L418" s="460" t="s">
        <v>392</v>
      </c>
      <c r="M418" s="14">
        <f>(M$300*'Fuel Specs'!$E260+M$301*'Fuel Specs'!$E306)+(($M$390-1)/$M$390)*M397</f>
        <v>0</v>
      </c>
      <c r="N418" s="460" t="s">
        <v>1752</v>
      </c>
      <c r="P418" s="102"/>
      <c r="Q418" s="102"/>
      <c r="S418" s="102"/>
      <c r="T418" s="102"/>
      <c r="U418" s="102"/>
      <c r="V418" s="462"/>
    </row>
    <row r="419" spans="3:22" ht="19.5">
      <c r="L419" s="460" t="s">
        <v>393</v>
      </c>
      <c r="M419" s="14">
        <f>(M$300*'Fuel Specs'!$E261+M$301*'Fuel Specs'!$E307)+(($M$390-1)/$M$390)*M398</f>
        <v>0</v>
      </c>
      <c r="N419" s="460" t="s">
        <v>1752</v>
      </c>
      <c r="P419" s="102"/>
      <c r="Q419" s="102"/>
      <c r="S419" s="102"/>
      <c r="T419" s="102"/>
      <c r="U419" s="102"/>
      <c r="V419" s="462"/>
    </row>
    <row r="420" spans="3:22" ht="19.5">
      <c r="L420" s="460" t="s">
        <v>394</v>
      </c>
      <c r="M420" s="14">
        <f>(M$300*'Fuel Specs'!$E262+M$301*'Fuel Specs'!$E308)+(($M$390-1)/$M$390)*M399</f>
        <v>0</v>
      </c>
      <c r="N420" s="460" t="s">
        <v>1752</v>
      </c>
      <c r="V420" s="462"/>
    </row>
    <row r="421" spans="3:22" ht="19.5">
      <c r="L421" s="460" t="s">
        <v>395</v>
      </c>
      <c r="M421" s="14">
        <f>(M$300*'Fuel Specs'!$E263+M$301*'Fuel Specs'!$E309)+(($M$390-1)/$M$390)*M400</f>
        <v>0</v>
      </c>
      <c r="N421" s="460" t="s">
        <v>1752</v>
      </c>
      <c r="V421" s="462"/>
    </row>
    <row r="422" spans="3:22">
      <c r="L422" s="460" t="s">
        <v>396</v>
      </c>
      <c r="M422" s="14">
        <f>(M$300*'Fuel Specs'!$E264+M$301*'Fuel Specs'!$E310)+(($M$390-1)/$M$390)*M401</f>
        <v>0</v>
      </c>
      <c r="N422" s="460" t="s">
        <v>1752</v>
      </c>
      <c r="V422" s="462"/>
    </row>
    <row r="423" spans="3:22" ht="19.5">
      <c r="L423" s="460" t="s">
        <v>397</v>
      </c>
      <c r="M423" s="14">
        <f>(M$300*'Fuel Specs'!$E265+M$301*'Fuel Specs'!$E311)+(($M$390-1)/$M$390)*M402</f>
        <v>0</v>
      </c>
      <c r="N423" s="460" t="s">
        <v>1752</v>
      </c>
      <c r="V423" s="462"/>
    </row>
    <row r="424" spans="3:22" ht="19.5">
      <c r="L424" s="460" t="s">
        <v>214</v>
      </c>
      <c r="M424" s="14">
        <f>(M$300*'Fuel Specs'!$E266+M$301*'Fuel Specs'!$E312)+(($M$390-1)/$M$390)*M403</f>
        <v>0</v>
      </c>
      <c r="N424" s="460" t="s">
        <v>1752</v>
      </c>
      <c r="V424" s="462"/>
    </row>
    <row r="425" spans="3:22" ht="19.5">
      <c r="L425" s="460" t="s">
        <v>398</v>
      </c>
      <c r="M425" s="14">
        <f>(M$300*'Fuel Specs'!$E267+M$301*'Fuel Specs'!$E313)+(($M$390-1)/$M$390)*M404</f>
        <v>0</v>
      </c>
      <c r="N425" s="460" t="s">
        <v>1752</v>
      </c>
      <c r="V425" s="462"/>
    </row>
    <row r="426" spans="3:22">
      <c r="V426" s="462"/>
    </row>
    <row r="427" spans="3:22">
      <c r="V427" s="462"/>
    </row>
    <row r="428" spans="3:22">
      <c r="C428" s="227" t="s">
        <v>1649</v>
      </c>
      <c r="M428" s="14">
        <f>SUMPRODUCT(M414:M425,'Fuel Specs'!E148:E159)/SUM(M414:M425)</f>
        <v>28.276221042457326</v>
      </c>
      <c r="N428" s="460" t="s">
        <v>1759</v>
      </c>
      <c r="V428" s="462"/>
    </row>
    <row r="429" spans="3:22">
      <c r="V429" s="462"/>
    </row>
    <row r="430" spans="3:22">
      <c r="C430" s="227" t="s">
        <v>1692</v>
      </c>
      <c r="M430" s="14">
        <f>M428*(SUM(M414:M425))</f>
        <v>1017.9792425502899</v>
      </c>
      <c r="N430" s="460" t="s">
        <v>1760</v>
      </c>
      <c r="V430" s="462"/>
    </row>
    <row r="431" spans="3:22">
      <c r="V431" s="462"/>
    </row>
    <row r="432" spans="3:22">
      <c r="C432" s="227" t="s">
        <v>1715</v>
      </c>
      <c r="M432" s="17">
        <f>M386*M365/M430</f>
        <v>107.86184116162559</v>
      </c>
      <c r="N432" s="460" t="s">
        <v>415</v>
      </c>
      <c r="V432" s="462"/>
    </row>
    <row r="433" spans="1:22">
      <c r="V433" s="462"/>
    </row>
    <row r="434" spans="1:22">
      <c r="C434" s="227" t="s">
        <v>1730</v>
      </c>
      <c r="M434" s="75">
        <f>M416/SUM(M414:M425)</f>
        <v>2.9062450576115565E-2</v>
      </c>
      <c r="N434" s="460" t="s">
        <v>416</v>
      </c>
      <c r="V434" s="462"/>
    </row>
    <row r="435" spans="1:22">
      <c r="V435" s="462"/>
    </row>
    <row r="436" spans="1:22">
      <c r="C436" s="227" t="s">
        <v>1738</v>
      </c>
      <c r="L436" s="463"/>
      <c r="M436" s="14">
        <f>M414*'Input data'!$C$185+M415*'Input data'!$D$185+M416*'Input data'!$E$185+M417*('Input data'!$I$185)</f>
        <v>232979.0630981873</v>
      </c>
      <c r="N436" s="460" t="s">
        <v>1754</v>
      </c>
      <c r="V436" s="462"/>
    </row>
    <row r="437" spans="1:22">
      <c r="V437" s="462"/>
    </row>
    <row r="438" spans="1:22">
      <c r="C438" s="227" t="s">
        <v>1742</v>
      </c>
      <c r="V438" s="462"/>
    </row>
    <row r="439" spans="1:22">
      <c r="D439" s="227" t="s">
        <v>1487</v>
      </c>
      <c r="M439" s="17">
        <f>M366</f>
        <v>3.159467833189538E-2</v>
      </c>
      <c r="N439" s="460" t="s">
        <v>402</v>
      </c>
      <c r="V439" s="462"/>
    </row>
    <row r="440" spans="1:22">
      <c r="D440" s="227" t="s">
        <v>1584</v>
      </c>
      <c r="L440" s="463"/>
      <c r="M440" s="17">
        <f>M439*M386</f>
        <v>11216.347731729433</v>
      </c>
      <c r="N440" s="460" t="s">
        <v>1754</v>
      </c>
      <c r="V440" s="462"/>
    </row>
    <row r="441" spans="1:22">
      <c r="V441" s="462"/>
    </row>
    <row r="442" spans="1:22">
      <c r="V442" s="462"/>
    </row>
    <row r="443" spans="1:22">
      <c r="A443" s="227" t="s">
        <v>1693</v>
      </c>
      <c r="V443" s="462"/>
    </row>
    <row r="444" spans="1:22">
      <c r="B444" s="227" t="s">
        <v>1488</v>
      </c>
      <c r="V444" s="462"/>
    </row>
    <row r="445" spans="1:22">
      <c r="C445" s="227" t="s">
        <v>1489</v>
      </c>
      <c r="M445" s="14">
        <f>M412</f>
        <v>949.99</v>
      </c>
      <c r="N445" s="460" t="s">
        <v>383</v>
      </c>
      <c r="V445" s="462" t="s">
        <v>1054</v>
      </c>
    </row>
    <row r="446" spans="1:22">
      <c r="M446" s="466"/>
      <c r="N446" s="466"/>
      <c r="O446" s="466"/>
      <c r="P446" s="466"/>
      <c r="Q446" s="466"/>
      <c r="S446" s="466"/>
      <c r="T446" s="466"/>
      <c r="U446" s="466"/>
      <c r="V446" s="517"/>
    </row>
    <row r="447" spans="1:22" ht="19.5">
      <c r="C447" s="227" t="s">
        <v>1585</v>
      </c>
      <c r="J447" s="500"/>
      <c r="L447" s="460" t="s">
        <v>389</v>
      </c>
      <c r="M447" s="14">
        <f t="shared" ref="M447:M458" si="1">M414</f>
        <v>27.093338424821006</v>
      </c>
      <c r="N447" s="460" t="s">
        <v>1761</v>
      </c>
      <c r="V447" s="462"/>
    </row>
    <row r="448" spans="1:22" ht="19.5">
      <c r="L448" s="460" t="s">
        <v>390</v>
      </c>
      <c r="M448" s="14">
        <f t="shared" si="1"/>
        <v>5.129999999999999</v>
      </c>
      <c r="N448" s="460" t="s">
        <v>1761</v>
      </c>
      <c r="V448" s="462"/>
    </row>
    <row r="449" spans="3:22" ht="19.5">
      <c r="L449" s="460" t="s">
        <v>215</v>
      </c>
      <c r="M449" s="14">
        <f t="shared" si="1"/>
        <v>1.0462844868735082</v>
      </c>
      <c r="N449" s="460" t="s">
        <v>1761</v>
      </c>
      <c r="V449" s="462"/>
    </row>
    <row r="450" spans="3:22" ht="19.5">
      <c r="L450" s="460" t="s">
        <v>391</v>
      </c>
      <c r="M450" s="14">
        <f t="shared" si="1"/>
        <v>2.7316249573815208</v>
      </c>
      <c r="N450" s="460" t="s">
        <v>1761</v>
      </c>
      <c r="V450" s="462"/>
    </row>
    <row r="451" spans="3:22" ht="19.5">
      <c r="L451" s="460" t="s">
        <v>392</v>
      </c>
      <c r="M451" s="14">
        <f t="shared" si="1"/>
        <v>0</v>
      </c>
      <c r="N451" s="460" t="s">
        <v>1761</v>
      </c>
      <c r="V451" s="462"/>
    </row>
    <row r="452" spans="3:22" ht="19.5">
      <c r="L452" s="460" t="s">
        <v>393</v>
      </c>
      <c r="M452" s="14">
        <f t="shared" si="1"/>
        <v>0</v>
      </c>
      <c r="N452" s="460" t="s">
        <v>1761</v>
      </c>
      <c r="V452" s="462"/>
    </row>
    <row r="453" spans="3:22" ht="19.5">
      <c r="L453" s="460" t="s">
        <v>394</v>
      </c>
      <c r="M453" s="14">
        <f t="shared" si="1"/>
        <v>0</v>
      </c>
      <c r="N453" s="460" t="s">
        <v>1761</v>
      </c>
      <c r="V453" s="462"/>
    </row>
    <row r="454" spans="3:22" ht="19.5">
      <c r="L454" s="460" t="s">
        <v>395</v>
      </c>
      <c r="M454" s="14">
        <f t="shared" si="1"/>
        <v>0</v>
      </c>
      <c r="N454" s="460" t="s">
        <v>1761</v>
      </c>
      <c r="V454" s="462"/>
    </row>
    <row r="455" spans="3:22">
      <c r="L455" s="460" t="s">
        <v>396</v>
      </c>
      <c r="M455" s="14">
        <f t="shared" si="1"/>
        <v>0</v>
      </c>
      <c r="N455" s="460" t="s">
        <v>1761</v>
      </c>
      <c r="V455" s="462"/>
    </row>
    <row r="456" spans="3:22" ht="19.5">
      <c r="L456" s="460" t="s">
        <v>397</v>
      </c>
      <c r="M456" s="14">
        <f t="shared" si="1"/>
        <v>0</v>
      </c>
      <c r="N456" s="460" t="s">
        <v>1761</v>
      </c>
      <c r="V456" s="462"/>
    </row>
    <row r="457" spans="3:22" ht="19.5">
      <c r="L457" s="460" t="s">
        <v>214</v>
      </c>
      <c r="M457" s="14">
        <f t="shared" si="1"/>
        <v>0</v>
      </c>
      <c r="N457" s="460" t="s">
        <v>1761</v>
      </c>
      <c r="V457" s="462"/>
    </row>
    <row r="458" spans="3:22" ht="19.5">
      <c r="L458" s="460" t="s">
        <v>398</v>
      </c>
      <c r="M458" s="14">
        <f t="shared" si="1"/>
        <v>0</v>
      </c>
      <c r="N458" s="460" t="s">
        <v>1761</v>
      </c>
      <c r="V458" s="462"/>
    </row>
    <row r="459" spans="3:22">
      <c r="V459" s="462"/>
    </row>
    <row r="460" spans="3:22">
      <c r="V460" s="462"/>
    </row>
    <row r="461" spans="3:22">
      <c r="C461" s="227" t="s">
        <v>1650</v>
      </c>
      <c r="M461" s="14">
        <f>SUMPRODUCT(M447:M458,'Fuel Specs'!E148:E159)/SUM(M447:M458)</f>
        <v>28.276221042457326</v>
      </c>
      <c r="N461" s="460" t="s">
        <v>1759</v>
      </c>
      <c r="V461" s="462"/>
    </row>
    <row r="462" spans="3:22">
      <c r="C462" s="227" t="s">
        <v>1694</v>
      </c>
      <c r="M462" s="14">
        <f>M461*(SUM(M447:M458))</f>
        <v>1017.9792425502899</v>
      </c>
      <c r="N462" s="460" t="s">
        <v>1762</v>
      </c>
      <c r="V462" s="462"/>
    </row>
    <row r="463" spans="3:22">
      <c r="C463" s="227" t="s">
        <v>1716</v>
      </c>
      <c r="L463" s="463"/>
      <c r="M463" s="14">
        <f>M447*'Input data'!$C$185+M448*'Input data'!$D$185+M449*'Input data'!$E$185+M450*('Input data'!$I$185)</f>
        <v>232979.0630981873</v>
      </c>
      <c r="N463" s="460" t="s">
        <v>1754</v>
      </c>
      <c r="V463" s="462"/>
    </row>
    <row r="464" spans="3:22">
      <c r="V464" s="462"/>
    </row>
    <row r="465" spans="1:22">
      <c r="B465" s="227" t="s">
        <v>1586</v>
      </c>
      <c r="V465" s="462"/>
    </row>
    <row r="466" spans="1:22">
      <c r="C466" s="227" t="s">
        <v>1490</v>
      </c>
      <c r="M466" s="460" t="s">
        <v>417</v>
      </c>
      <c r="V466" s="462"/>
    </row>
    <row r="468" spans="1:22">
      <c r="B468" s="100"/>
      <c r="C468" s="227" t="s">
        <v>1587</v>
      </c>
      <c r="L468" s="463"/>
      <c r="M468" s="14">
        <f>M447*'Input data'!$C$194+M448*'Input data'!$D$194+M449*'Input data'!$E$194+M450*('Input data'!$I$194)</f>
        <v>69860.336457752608</v>
      </c>
      <c r="N468" s="460" t="s">
        <v>1754</v>
      </c>
      <c r="V468" s="462"/>
    </row>
    <row r="469" spans="1:22">
      <c r="V469" s="462"/>
    </row>
    <row r="470" spans="1:22">
      <c r="B470" s="227" t="s">
        <v>1651</v>
      </c>
      <c r="V470" s="462"/>
    </row>
    <row r="471" spans="1:22">
      <c r="C471" s="227" t="s">
        <v>1491</v>
      </c>
      <c r="L471" s="463"/>
      <c r="M471" s="14">
        <f>M305*M463</f>
        <v>11648.953154909366</v>
      </c>
      <c r="N471" s="460" t="s">
        <v>1754</v>
      </c>
      <c r="V471" s="462"/>
    </row>
    <row r="472" spans="1:22">
      <c r="V472" s="462"/>
    </row>
    <row r="473" spans="1:22">
      <c r="B473" s="227" t="s">
        <v>1695</v>
      </c>
      <c r="V473" s="462"/>
    </row>
    <row r="474" spans="1:22">
      <c r="B474" s="102"/>
      <c r="C474" s="227" t="s">
        <v>1492</v>
      </c>
      <c r="L474" s="463"/>
      <c r="M474" s="14">
        <f>M463-M468-M471</f>
        <v>151469.77348552534</v>
      </c>
      <c r="N474" s="460" t="s">
        <v>1763</v>
      </c>
      <c r="V474" s="462"/>
    </row>
    <row r="475" spans="1:22">
      <c r="B475" s="102"/>
      <c r="C475" s="227" t="s">
        <v>1588</v>
      </c>
      <c r="L475" s="463"/>
      <c r="M475" s="17">
        <f>M474/M463</f>
        <v>0.6501432852860668</v>
      </c>
      <c r="N475" s="460" t="s">
        <v>420</v>
      </c>
      <c r="V475" s="462"/>
    </row>
    <row r="476" spans="1:22">
      <c r="V476" s="462"/>
    </row>
    <row r="477" spans="1:22">
      <c r="V477" s="462"/>
    </row>
    <row r="478" spans="1:22">
      <c r="A478" s="227" t="s">
        <v>1717</v>
      </c>
      <c r="V478" s="462"/>
    </row>
    <row r="479" spans="1:22">
      <c r="B479" s="227" t="s">
        <v>1493</v>
      </c>
      <c r="M479" s="14">
        <f>M45*M32/M474</f>
        <v>4878455.1863518432</v>
      </c>
      <c r="N479" s="100" t="s">
        <v>1764</v>
      </c>
      <c r="V479" s="462"/>
    </row>
    <row r="480" spans="1:22">
      <c r="M480" s="510"/>
      <c r="V480" s="462"/>
    </row>
    <row r="481" spans="2:22">
      <c r="B481" s="227" t="s">
        <v>1589</v>
      </c>
      <c r="V481" s="462"/>
    </row>
    <row r="482" spans="2:22">
      <c r="B482" s="518"/>
      <c r="C482" s="227" t="s">
        <v>2446</v>
      </c>
      <c r="M482" s="14">
        <f>M479*M386/1000000</f>
        <v>1731888.1739821972</v>
      </c>
      <c r="N482" s="100" t="s">
        <v>268</v>
      </c>
      <c r="V482" s="462"/>
    </row>
    <row r="483" spans="2:22">
      <c r="B483" s="518"/>
      <c r="V483" s="462"/>
    </row>
    <row r="484" spans="2:22">
      <c r="B484" s="518"/>
      <c r="C484" s="227" t="s">
        <v>1590</v>
      </c>
      <c r="M484" s="14">
        <f>M474*M479/1000000</f>
        <v>738938.50203600002</v>
      </c>
      <c r="N484" s="100" t="s">
        <v>1347</v>
      </c>
      <c r="V484" s="462"/>
    </row>
    <row r="485" spans="2:22">
      <c r="B485" s="518"/>
      <c r="V485" s="462"/>
    </row>
    <row r="486" spans="2:22">
      <c r="B486" s="518"/>
      <c r="C486" s="227" t="s">
        <v>1652</v>
      </c>
      <c r="M486" s="14">
        <f>M479*M386*M365/1000000</f>
        <v>535659.82072346157</v>
      </c>
      <c r="N486" s="100" t="s">
        <v>268</v>
      </c>
      <c r="V486" s="462"/>
    </row>
    <row r="487" spans="2:22">
      <c r="V487" s="462"/>
    </row>
    <row r="488" spans="2:22">
      <c r="B488" s="227" t="s">
        <v>1653</v>
      </c>
      <c r="L488" s="463"/>
      <c r="M488" s="242">
        <f>IFERROR((M484+M486)/M482,"NA")</f>
        <v>0.73595878874138199</v>
      </c>
      <c r="N488" s="460" t="s">
        <v>2447</v>
      </c>
      <c r="V488" s="462"/>
    </row>
    <row r="489" spans="2:22">
      <c r="V489" s="462"/>
    </row>
  </sheetData>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AP361"/>
  <sheetViews>
    <sheetView workbookViewId="0"/>
  </sheetViews>
  <sheetFormatPr defaultColWidth="8.88671875" defaultRowHeight="15"/>
  <cols>
    <col min="1" max="3" width="8.88671875" style="102"/>
    <col min="4" max="4" width="8.88671875" style="102" customWidth="1"/>
    <col min="5" max="5" width="10" style="102" customWidth="1"/>
    <col min="6" max="6" width="11.33203125" style="102" customWidth="1"/>
    <col min="7" max="7" width="10.88671875" style="102" customWidth="1"/>
    <col min="8" max="8" width="10" style="102" customWidth="1"/>
    <col min="9" max="9" width="9.44140625" style="102" customWidth="1"/>
    <col min="10" max="11" width="8.88671875" style="102"/>
    <col min="12" max="12" width="11" style="102" customWidth="1"/>
    <col min="13" max="13" width="9" style="102" customWidth="1"/>
    <col min="14" max="14" width="8.88671875" style="102"/>
    <col min="15" max="15" width="8.44140625" style="102" customWidth="1"/>
    <col min="16" max="16" width="8.88671875" style="102"/>
    <col min="17" max="17" width="8.88671875" style="102" customWidth="1"/>
    <col min="18" max="18" width="10.88671875" style="102" customWidth="1"/>
    <col min="19" max="19" width="10.44140625" style="102" customWidth="1"/>
    <col min="20" max="16384" width="8.88671875" style="102"/>
  </cols>
  <sheetData>
    <row r="1" spans="1:27" s="6" customFormat="1" ht="24" customHeight="1">
      <c r="A1" s="6" t="s">
        <v>3673</v>
      </c>
    </row>
    <row r="2" spans="1:27" customFormat="1"/>
    <row r="3" spans="1:27" customFormat="1">
      <c r="A3" t="s">
        <v>3674</v>
      </c>
    </row>
    <row r="4" spans="1:27" customFormat="1"/>
    <row r="5" spans="1:27" s="9" customFormat="1" ht="15.75">
      <c r="A5" s="9" t="s">
        <v>3282</v>
      </c>
    </row>
    <row r="6" spans="1:27">
      <c r="A6" s="93"/>
      <c r="B6" s="93"/>
      <c r="C6" s="93"/>
      <c r="D6" s="93"/>
      <c r="E6" s="556"/>
      <c r="F6" s="405"/>
      <c r="G6" s="93"/>
      <c r="H6" s="93"/>
      <c r="I6" s="93"/>
      <c r="J6" s="93"/>
      <c r="K6" s="520"/>
      <c r="L6" s="520"/>
      <c r="M6" s="520"/>
    </row>
    <row r="7" spans="1:27">
      <c r="A7" s="93"/>
      <c r="B7" s="93"/>
      <c r="C7" s="93"/>
      <c r="D7" s="93"/>
      <c r="E7" s="93"/>
      <c r="F7" s="93"/>
      <c r="G7" s="93"/>
      <c r="H7" s="93"/>
      <c r="I7" s="93"/>
      <c r="J7" s="93"/>
      <c r="K7" s="93"/>
      <c r="L7" s="93"/>
      <c r="M7" s="93" t="s">
        <v>164</v>
      </c>
      <c r="N7" s="93" t="s">
        <v>221</v>
      </c>
      <c r="O7" s="93" t="s">
        <v>239</v>
      </c>
      <c r="Q7" s="93" t="s">
        <v>167</v>
      </c>
      <c r="R7" s="93"/>
      <c r="T7" s="93"/>
      <c r="U7" s="93" t="s">
        <v>647</v>
      </c>
      <c r="V7" s="93"/>
      <c r="X7" s="72" t="s">
        <v>348</v>
      </c>
      <c r="Y7" s="93"/>
      <c r="Z7" s="93"/>
      <c r="AA7" s="93"/>
    </row>
    <row r="8" spans="1:27">
      <c r="A8" s="643" t="s">
        <v>3587</v>
      </c>
      <c r="B8" s="93"/>
      <c r="C8" s="93"/>
      <c r="D8" s="93"/>
      <c r="E8" s="93"/>
      <c r="F8" s="93"/>
      <c r="G8" s="93"/>
      <c r="H8" s="93"/>
      <c r="I8" s="93"/>
      <c r="J8" s="93"/>
      <c r="K8" s="93"/>
      <c r="L8" s="93"/>
      <c r="M8" s="93"/>
      <c r="N8" s="93"/>
      <c r="O8" s="93"/>
      <c r="Q8" s="76"/>
      <c r="R8" s="93"/>
      <c r="S8" s="93"/>
      <c r="T8" s="93"/>
      <c r="U8" s="520"/>
      <c r="V8" s="93"/>
      <c r="X8" s="72"/>
      <c r="Y8" s="93"/>
      <c r="Z8" s="93"/>
      <c r="AA8" s="93"/>
    </row>
    <row r="9" spans="1:27">
      <c r="A9" s="93"/>
      <c r="B9" s="643" t="s">
        <v>3764</v>
      </c>
      <c r="C9" s="93"/>
      <c r="D9" s="93"/>
      <c r="E9" s="93"/>
      <c r="F9" s="93"/>
      <c r="G9" s="93"/>
      <c r="H9" s="93"/>
      <c r="I9" s="93"/>
      <c r="J9" s="93"/>
      <c r="K9" s="93"/>
      <c r="L9" s="93"/>
      <c r="M9" s="15">
        <f>('User Inputs &amp; Results'!J108/1000000)*'Production &amp; Extraction'!M35</f>
        <v>0</v>
      </c>
      <c r="N9" s="210">
        <f>('User Inputs &amp; Results'!K108/1000000)*'Production &amp; Extraction'!N35</f>
        <v>0</v>
      </c>
      <c r="O9" s="93" t="s">
        <v>273</v>
      </c>
      <c r="Q9" s="76"/>
      <c r="R9" s="93"/>
      <c r="S9" s="93"/>
      <c r="T9" s="93"/>
      <c r="U9" s="520"/>
      <c r="V9" s="93"/>
      <c r="X9" s="72" t="s">
        <v>648</v>
      </c>
      <c r="Y9" s="93"/>
      <c r="Z9" s="93"/>
      <c r="AA9" s="93"/>
    </row>
    <row r="10" spans="1:27">
      <c r="A10" s="93"/>
      <c r="B10" s="643" t="s">
        <v>3588</v>
      </c>
      <c r="C10" s="93"/>
      <c r="D10" s="93"/>
      <c r="E10" s="93"/>
      <c r="F10" s="93"/>
      <c r="G10" s="93"/>
      <c r="H10" s="93"/>
      <c r="I10" s="93"/>
      <c r="J10" s="93"/>
      <c r="K10" s="93"/>
      <c r="L10" s="93"/>
      <c r="M10" s="558"/>
      <c r="N10" s="559"/>
      <c r="Q10" s="76"/>
      <c r="R10" s="93"/>
      <c r="S10" s="93"/>
      <c r="T10" s="93"/>
      <c r="U10" s="520"/>
      <c r="V10" s="93"/>
      <c r="X10" s="72"/>
      <c r="Y10" s="93"/>
      <c r="Z10" s="93"/>
      <c r="AA10" s="93"/>
    </row>
    <row r="11" spans="1:27">
      <c r="A11" s="93"/>
      <c r="B11" s="93"/>
      <c r="C11" s="643" t="s">
        <v>3589</v>
      </c>
      <c r="D11" s="93"/>
      <c r="E11" s="93"/>
      <c r="F11" s="93"/>
      <c r="G11" s="93"/>
      <c r="H11" s="93"/>
      <c r="I11" s="93"/>
      <c r="J11" s="93"/>
      <c r="K11" s="93"/>
      <c r="L11" s="93"/>
      <c r="M11" s="14">
        <f>'Gas Balance'!M23*365</f>
        <v>573614.76795869996</v>
      </c>
      <c r="N11" s="210">
        <f>'Gas Balance'!M23*365</f>
        <v>573614.76795869996</v>
      </c>
      <c r="O11" s="93" t="s">
        <v>724</v>
      </c>
      <c r="Q11" s="76" t="s">
        <v>1154</v>
      </c>
      <c r="R11" s="93"/>
      <c r="S11" s="93"/>
      <c r="T11" s="93"/>
      <c r="U11" s="93"/>
      <c r="V11" s="93"/>
      <c r="X11" s="72"/>
      <c r="Y11" s="93"/>
      <c r="Z11" s="93"/>
      <c r="AA11" s="93"/>
    </row>
    <row r="12" spans="1:27">
      <c r="A12" s="93"/>
      <c r="B12" s="93"/>
      <c r="C12" s="119" t="s">
        <v>4008</v>
      </c>
      <c r="D12" s="93"/>
      <c r="E12" s="93"/>
      <c r="F12" s="93"/>
      <c r="G12" s="93"/>
      <c r="H12" s="93"/>
      <c r="I12" s="93"/>
      <c r="J12" s="93"/>
      <c r="K12" s="93"/>
      <c r="L12" s="93"/>
      <c r="M12" s="119"/>
      <c r="N12" s="119"/>
      <c r="Q12" s="76"/>
      <c r="R12" s="93"/>
      <c r="S12" s="93"/>
      <c r="T12" s="93"/>
      <c r="U12" s="520"/>
      <c r="V12" s="93"/>
      <c r="X12" s="72"/>
      <c r="Y12" s="93"/>
      <c r="Z12" s="93"/>
      <c r="AA12" s="93"/>
    </row>
    <row r="13" spans="1:27">
      <c r="A13" s="93"/>
      <c r="B13" s="93"/>
      <c r="C13" s="93"/>
      <c r="D13" s="119" t="s">
        <v>4009</v>
      </c>
      <c r="E13" s="93"/>
      <c r="F13" s="93"/>
      <c r="G13" s="93"/>
      <c r="H13" s="93"/>
      <c r="I13" s="93"/>
      <c r="J13" s="93"/>
      <c r="K13" s="93"/>
      <c r="L13" s="93"/>
      <c r="M13" s="75">
        <f>N13</f>
        <v>1.4799999999999999E-4</v>
      </c>
      <c r="N13" s="212">
        <f>'Emissions Factors'!G40/1000000</f>
        <v>1.4799999999999999E-4</v>
      </c>
      <c r="O13" s="93" t="s">
        <v>727</v>
      </c>
      <c r="Q13" s="76"/>
      <c r="R13" s="93"/>
      <c r="S13" s="93"/>
      <c r="T13" s="93"/>
      <c r="U13" s="520"/>
      <c r="V13" s="93"/>
      <c r="X13" s="72"/>
      <c r="Y13" s="93"/>
      <c r="Z13" s="93"/>
      <c r="AA13" s="93"/>
    </row>
    <row r="14" spans="1:27">
      <c r="A14" s="93"/>
      <c r="B14" s="93"/>
      <c r="C14" s="93"/>
      <c r="D14" s="119" t="s">
        <v>4010</v>
      </c>
      <c r="E14" s="93"/>
      <c r="F14" s="93"/>
      <c r="G14" s="93"/>
      <c r="H14" s="93"/>
      <c r="I14" s="93"/>
      <c r="J14" s="93"/>
      <c r="K14" s="93"/>
      <c r="L14" s="93"/>
      <c r="M14" s="75">
        <f>N14</f>
        <v>1.3677E-2</v>
      </c>
      <c r="N14" s="212">
        <f>'Emissions Factors'!H40/1000000</f>
        <v>1.3677E-2</v>
      </c>
      <c r="O14" s="93" t="s">
        <v>727</v>
      </c>
      <c r="Q14" s="76"/>
      <c r="R14" s="93"/>
      <c r="S14" s="93"/>
      <c r="T14" s="93"/>
      <c r="U14" s="520"/>
      <c r="V14" s="93"/>
      <c r="X14" s="72"/>
      <c r="Y14" s="93"/>
      <c r="Z14" s="93"/>
      <c r="AA14" s="93"/>
    </row>
    <row r="15" spans="1:27">
      <c r="A15" s="93"/>
      <c r="B15" s="93"/>
      <c r="C15" s="93"/>
      <c r="D15" s="93"/>
      <c r="E15" s="93"/>
      <c r="F15" s="93"/>
      <c r="G15" s="93"/>
      <c r="H15" s="93"/>
      <c r="I15" s="93"/>
      <c r="J15" s="93"/>
      <c r="K15" s="93"/>
      <c r="L15" s="93"/>
      <c r="M15" s="562"/>
      <c r="N15" s="563"/>
      <c r="O15" s="93"/>
      <c r="Q15" s="126"/>
      <c r="R15" s="93"/>
      <c r="S15" s="93"/>
      <c r="T15" s="93"/>
      <c r="U15" s="520"/>
      <c r="V15" s="93"/>
      <c r="X15" s="72"/>
      <c r="Y15" s="93"/>
      <c r="Z15" s="93"/>
      <c r="AA15" s="93"/>
    </row>
    <row r="16" spans="1:27">
      <c r="A16" s="93"/>
      <c r="B16" s="643" t="s">
        <v>3590</v>
      </c>
      <c r="C16" s="93"/>
      <c r="D16" s="93"/>
      <c r="E16" s="93"/>
      <c r="F16" s="93"/>
      <c r="G16" s="93"/>
      <c r="H16" s="93"/>
      <c r="I16" s="93"/>
      <c r="J16" s="93"/>
      <c r="K16" s="93"/>
      <c r="L16" s="93"/>
      <c r="M16" s="17">
        <f>IF('Surface Processing'!M58=1,1*('Gas Balance'!N30-(('Venting &amp; Fugitives'!M128/'Input data'!D83)+('Venting &amp; Fugitives'!E136+'Venting &amp; Fugitives'!E151+'Venting &amp; Fugitives'!E156)+('Venting &amp; Fugitives'!E236-'Venting &amp; Fugitives'!E196-'Venting &amp; Fugitives'!E201))/1000000),0)</f>
        <v>10.97010889606228</v>
      </c>
      <c r="N16" s="209">
        <f>M16</f>
        <v>10.97010889606228</v>
      </c>
      <c r="O16" s="76" t="s">
        <v>273</v>
      </c>
      <c r="P16" s="93"/>
      <c r="Q16" s="253" t="s">
        <v>1154</v>
      </c>
      <c r="R16" s="93"/>
      <c r="S16" s="93"/>
      <c r="T16" s="93"/>
      <c r="U16" s="520"/>
      <c r="V16" s="93"/>
      <c r="X16" s="72" t="s">
        <v>649</v>
      </c>
      <c r="Y16" s="93"/>
      <c r="Z16" s="93"/>
      <c r="AA16" s="93"/>
    </row>
    <row r="17" spans="1:27" ht="15.75" customHeight="1">
      <c r="A17" s="93"/>
      <c r="B17" s="93" t="s">
        <v>3591</v>
      </c>
      <c r="C17" s="93"/>
      <c r="D17" s="93"/>
      <c r="E17" s="93"/>
      <c r="F17" s="93"/>
      <c r="G17" s="93"/>
      <c r="H17" s="93"/>
      <c r="I17" s="93"/>
      <c r="J17" s="93"/>
      <c r="K17" s="93"/>
      <c r="L17" s="93"/>
      <c r="M17" s="93"/>
      <c r="N17" s="93"/>
      <c r="O17" s="93"/>
      <c r="P17" s="93"/>
      <c r="Q17" s="76"/>
      <c r="R17" s="93"/>
      <c r="S17" s="93"/>
      <c r="T17" s="93"/>
      <c r="U17" s="520"/>
      <c r="V17" s="93"/>
      <c r="X17" s="72"/>
      <c r="Y17" s="93"/>
      <c r="Z17" s="93"/>
      <c r="AA17" s="93"/>
    </row>
    <row r="18" spans="1:27">
      <c r="A18" s="93"/>
      <c r="B18" s="93"/>
      <c r="C18" s="93" t="s">
        <v>3592</v>
      </c>
      <c r="D18" s="93"/>
      <c r="E18" s="93"/>
      <c r="M18" s="119"/>
      <c r="Q18" s="126"/>
      <c r="U18" s="520"/>
      <c r="Y18" s="93"/>
      <c r="Z18" s="93"/>
      <c r="AA18" s="93"/>
    </row>
    <row r="19" spans="1:27">
      <c r="A19" s="93"/>
      <c r="B19" s="93"/>
      <c r="C19" s="93"/>
      <c r="D19" s="93" t="s">
        <v>3593</v>
      </c>
      <c r="E19" s="93"/>
      <c r="F19" s="93"/>
      <c r="G19" s="93"/>
      <c r="H19" s="93"/>
      <c r="I19" s="93"/>
      <c r="J19" s="93"/>
      <c r="K19" s="93"/>
      <c r="L19" s="93"/>
      <c r="M19" s="206">
        <f>N19</f>
        <v>24134</v>
      </c>
      <c r="N19" s="207">
        <f>ROUND((IF('User Inputs &amp; Results'!J78&lt;10,0,IF(AND('User Inputs &amp; Results'!J78&gt;=10,'User Inputs &amp; Results'!J78&lt;20),12889/156304520,IF(AND('User Inputs &amp; Results'!J78&gt;=20,'User Inputs &amp; Results'!J78&lt;30),5424/61524698,599/15649398)))*'Production &amp; Extraction'!M35*365),0)</f>
        <v>24134</v>
      </c>
      <c r="O19" s="93" t="s">
        <v>650</v>
      </c>
      <c r="P19" s="93"/>
      <c r="Q19" s="76" t="s">
        <v>652</v>
      </c>
      <c r="R19" s="93"/>
      <c r="S19" s="93"/>
      <c r="T19" s="93"/>
      <c r="U19" s="520"/>
      <c r="V19" s="93"/>
      <c r="X19" s="72"/>
      <c r="Y19" s="93"/>
      <c r="Z19" s="93"/>
      <c r="AA19" s="93"/>
    </row>
    <row r="20" spans="1:27">
      <c r="A20" s="93"/>
      <c r="B20" s="93"/>
      <c r="C20" s="93"/>
      <c r="D20" s="93" t="s">
        <v>3594</v>
      </c>
      <c r="E20" s="93"/>
      <c r="F20" s="93"/>
      <c r="G20" s="93"/>
      <c r="H20" s="93"/>
      <c r="I20" s="93"/>
      <c r="J20" s="93"/>
      <c r="K20" s="93"/>
      <c r="L20" s="93"/>
      <c r="M20" s="119"/>
      <c r="N20" s="240"/>
      <c r="Q20" s="76"/>
      <c r="R20" s="93"/>
      <c r="S20" s="93"/>
      <c r="T20" s="93"/>
      <c r="U20" s="520"/>
      <c r="V20" s="93"/>
      <c r="X20" s="72"/>
      <c r="Y20" s="93"/>
      <c r="Z20" s="93"/>
      <c r="AA20" s="93"/>
    </row>
    <row r="21" spans="1:27">
      <c r="A21" s="93"/>
      <c r="B21" s="93"/>
      <c r="C21" s="93"/>
      <c r="D21" s="93"/>
      <c r="E21" s="643" t="s">
        <v>3595</v>
      </c>
      <c r="F21" s="93"/>
      <c r="G21" s="93"/>
      <c r="H21" s="93"/>
      <c r="I21" s="93"/>
      <c r="J21" s="93"/>
      <c r="K21" s="93"/>
      <c r="L21" s="93"/>
      <c r="M21" s="122">
        <f>N21</f>
        <v>4.1482300884955754E-2</v>
      </c>
      <c r="N21" s="326">
        <f>IF('User Inputs &amp; Results'!J78&lt;10,'Emissions Factors'!G24,IF(AND('User Inputs &amp; Results'!J78&gt;=10,'User Inputs &amp; Results'!J78&lt;20),'Emissions Factors'!G25,IF(AND('User Inputs &amp; Results'!J78&gt;=20,'User Inputs &amp; Results'!J78&lt;30),'Emissions Factors'!G26,'Emissions Factors'!G27)))/1000000</f>
        <v>4.1482300884955754E-2</v>
      </c>
      <c r="O21" s="93" t="s">
        <v>728</v>
      </c>
      <c r="Q21" s="76"/>
      <c r="R21" s="93"/>
      <c r="S21" s="93"/>
      <c r="T21" s="93"/>
      <c r="U21" s="520"/>
      <c r="V21" s="93"/>
      <c r="X21" s="72"/>
      <c r="Y21" s="93"/>
      <c r="Z21" s="93"/>
      <c r="AA21" s="93"/>
    </row>
    <row r="22" spans="1:27">
      <c r="A22" s="93"/>
      <c r="B22" s="93"/>
      <c r="C22" s="93"/>
      <c r="D22" s="93"/>
      <c r="E22" s="643" t="s">
        <v>3596</v>
      </c>
      <c r="F22" s="93"/>
      <c r="G22" s="93"/>
      <c r="H22" s="93"/>
      <c r="I22" s="93"/>
      <c r="J22" s="93"/>
      <c r="K22" s="93"/>
      <c r="L22" s="93"/>
      <c r="M22" s="122">
        <f>N22</f>
        <v>0.10601032448377581</v>
      </c>
      <c r="N22" s="326">
        <f>IF('User Inputs &amp; Results'!J78&lt;10,'Emissions Factors'!H24,IF(AND('User Inputs &amp; Results'!J78&gt;=10,'User Inputs &amp; Results'!J78&lt;20),'Emissions Factors'!H25,IF(AND('User Inputs &amp; Results'!J78&gt;=20,'User Inputs &amp; Results'!J78&lt;30),'Emissions Factors'!H26,'Emissions Factors'!H27)))/1000000</f>
        <v>0.10601032448377581</v>
      </c>
      <c r="O22" s="93" t="s">
        <v>728</v>
      </c>
      <c r="Q22" s="76"/>
      <c r="R22" s="93"/>
      <c r="S22" s="93"/>
      <c r="T22" s="93"/>
      <c r="U22" s="520"/>
      <c r="V22" s="93"/>
      <c r="X22" s="72"/>
      <c r="Y22" s="93"/>
      <c r="Z22" s="93"/>
      <c r="AA22" s="93"/>
    </row>
    <row r="23" spans="1:27">
      <c r="A23" s="93"/>
      <c r="B23" s="93"/>
      <c r="C23" s="93" t="s">
        <v>3597</v>
      </c>
      <c r="D23" s="93"/>
      <c r="E23" s="93"/>
      <c r="F23" s="93"/>
      <c r="G23" s="93"/>
      <c r="H23" s="93"/>
      <c r="I23" s="93"/>
      <c r="J23" s="93"/>
      <c r="K23" s="93"/>
      <c r="L23" s="93"/>
      <c r="M23" s="564"/>
      <c r="N23" s="565"/>
      <c r="O23" s="93"/>
      <c r="P23" s="93"/>
      <c r="Q23" s="76"/>
      <c r="R23" s="93"/>
      <c r="S23" s="93"/>
      <c r="T23" s="93"/>
      <c r="U23" s="93"/>
      <c r="V23" s="93"/>
      <c r="W23" s="93"/>
      <c r="X23" s="93"/>
      <c r="Y23" s="93"/>
      <c r="Z23" s="93"/>
      <c r="AA23" s="93"/>
    </row>
    <row r="24" spans="1:27">
      <c r="A24" s="93"/>
      <c r="B24" s="93"/>
      <c r="C24" s="93"/>
      <c r="D24" s="643" t="s">
        <v>3598</v>
      </c>
      <c r="E24" s="93"/>
      <c r="F24" s="93"/>
      <c r="G24" s="93"/>
      <c r="H24" s="93"/>
      <c r="I24" s="93"/>
      <c r="J24" s="93"/>
      <c r="K24" s="93"/>
      <c r="L24" s="93"/>
      <c r="M24" s="14">
        <f>N24</f>
        <v>8797</v>
      </c>
      <c r="N24" s="210">
        <f>ROUND((IF('User Inputs &amp; Results'!J78&lt;10,0,IF(AND('User Inputs &amp; Results'!J78&gt;=10,'User Inputs &amp; Results'!J78&lt;20),956/156304520,IF(AND('User Inputs &amp; Results'!J78&gt;=20,'User Inputs &amp; Results'!J78&lt;30),1977/61524698,187/15649398)))*'Production &amp; Extraction'!M35*365),0)</f>
        <v>8797</v>
      </c>
      <c r="O24" s="93" t="s">
        <v>650</v>
      </c>
      <c r="P24" s="93"/>
      <c r="Q24" s="76" t="s">
        <v>653</v>
      </c>
      <c r="R24" s="93"/>
      <c r="S24" s="93"/>
      <c r="T24" s="93"/>
      <c r="U24" s="93"/>
      <c r="V24" s="93"/>
      <c r="W24" s="93"/>
      <c r="X24" s="72"/>
      <c r="Y24" s="93"/>
      <c r="Z24" s="93"/>
      <c r="AA24" s="93"/>
    </row>
    <row r="25" spans="1:27">
      <c r="A25" s="93"/>
      <c r="B25" s="93"/>
      <c r="C25" s="93"/>
      <c r="D25" s="643" t="s">
        <v>3599</v>
      </c>
      <c r="E25" s="93"/>
      <c r="F25" s="93"/>
      <c r="G25" s="93"/>
      <c r="H25" s="93"/>
      <c r="I25" s="93"/>
      <c r="J25" s="93"/>
      <c r="K25" s="93"/>
      <c r="L25" s="93"/>
      <c r="M25" s="119"/>
      <c r="N25" s="240"/>
      <c r="Q25" s="76"/>
      <c r="R25" s="93"/>
      <c r="S25" s="93"/>
      <c r="T25" s="93"/>
      <c r="U25" s="93"/>
      <c r="V25" s="93"/>
      <c r="W25" s="93"/>
      <c r="X25" s="72"/>
      <c r="Y25" s="93"/>
      <c r="Z25" s="93"/>
      <c r="AA25" s="93"/>
    </row>
    <row r="26" spans="1:27">
      <c r="A26" s="93"/>
      <c r="B26" s="93"/>
      <c r="C26" s="93"/>
      <c r="D26" s="93"/>
      <c r="E26" s="643" t="s">
        <v>3600</v>
      </c>
      <c r="F26" s="93"/>
      <c r="G26" s="93"/>
      <c r="H26" s="93"/>
      <c r="I26" s="93"/>
      <c r="J26" s="93"/>
      <c r="K26" s="93"/>
      <c r="L26" s="93"/>
      <c r="M26" s="122">
        <f>N26</f>
        <v>5.7157309054122411E-2</v>
      </c>
      <c r="N26" s="326">
        <f>IF('User Inputs &amp; Results'!J78&lt;10,'Emissions Factors'!G29,IF(AND('User Inputs &amp; Results'!J78&gt;=10,'User Inputs &amp; Results'!J78&lt;20),'Emissions Factors'!G30,IF(AND('User Inputs &amp; Results'!J78&gt;=20,'User Inputs &amp; Results'!J78&lt;30),'Emissions Factors'!G31,'Emissions Factors'!G32)))/1000000</f>
        <v>5.7157309054122411E-2</v>
      </c>
      <c r="O26" s="93" t="s">
        <v>728</v>
      </c>
      <c r="Q26" s="76"/>
      <c r="R26" s="93"/>
      <c r="S26" s="93"/>
      <c r="T26" s="93"/>
      <c r="U26" s="93"/>
      <c r="V26" s="93"/>
      <c r="W26" s="93"/>
      <c r="X26" s="72"/>
      <c r="Y26" s="93"/>
      <c r="Z26" s="93"/>
      <c r="AA26" s="93"/>
    </row>
    <row r="27" spans="1:27">
      <c r="A27" s="93"/>
      <c r="B27" s="93"/>
      <c r="C27" s="93"/>
      <c r="D27" s="93"/>
      <c r="E27" s="643" t="s">
        <v>3601</v>
      </c>
      <c r="F27" s="93"/>
      <c r="G27" s="93"/>
      <c r="H27" s="93"/>
      <c r="I27" s="93"/>
      <c r="J27" s="93"/>
      <c r="K27" s="93"/>
      <c r="L27" s="93"/>
      <c r="M27" s="122">
        <f>N27</f>
        <v>0.10166919575113809</v>
      </c>
      <c r="N27" s="326">
        <f>IF('User Inputs &amp; Results'!J78&lt;10,'Emissions Factors'!H29,IF(AND('User Inputs &amp; Results'!J78&gt;=10,'User Inputs &amp; Results'!J78&lt;20),'Emissions Factors'!H30,IF(AND('User Inputs &amp; Results'!J78&gt;=20,'User Inputs &amp; Results'!J78&lt;30),'Emissions Factors'!H31,'Emissions Factors'!H32)))/1000000</f>
        <v>0.10166919575113809</v>
      </c>
      <c r="O27" s="93" t="s">
        <v>728</v>
      </c>
      <c r="Q27" s="76"/>
      <c r="R27" s="93"/>
      <c r="S27" s="93"/>
      <c r="T27" s="93"/>
      <c r="U27" s="93"/>
      <c r="V27" s="93"/>
      <c r="W27" s="93"/>
      <c r="X27" s="72"/>
      <c r="Y27" s="93"/>
      <c r="Z27" s="93"/>
      <c r="AA27" s="93"/>
    </row>
    <row r="28" spans="1:27">
      <c r="A28" s="93"/>
      <c r="B28" s="93" t="s">
        <v>3602</v>
      </c>
      <c r="C28" s="93"/>
      <c r="D28" s="93"/>
      <c r="E28" s="93"/>
      <c r="F28" s="93"/>
      <c r="G28" s="93"/>
      <c r="H28" s="93"/>
      <c r="I28" s="93"/>
      <c r="J28" s="93"/>
      <c r="K28" s="93"/>
      <c r="L28" s="93"/>
      <c r="M28" s="93"/>
      <c r="N28" s="94"/>
      <c r="O28" s="93"/>
      <c r="P28" s="93"/>
      <c r="Q28" s="76"/>
      <c r="R28" s="93"/>
      <c r="S28" s="93"/>
      <c r="T28" s="93"/>
      <c r="U28" s="93"/>
      <c r="V28" s="93"/>
      <c r="W28" s="93"/>
      <c r="X28" s="93"/>
      <c r="Y28" s="93"/>
      <c r="Z28" s="93"/>
      <c r="AA28" s="93"/>
    </row>
    <row r="29" spans="1:27">
      <c r="A29" s="93"/>
      <c r="B29" s="93"/>
      <c r="C29" s="93" t="s">
        <v>3603</v>
      </c>
      <c r="D29" s="93"/>
      <c r="E29" s="93"/>
      <c r="M29" s="119"/>
      <c r="N29" s="406"/>
      <c r="P29" s="93"/>
      <c r="Q29" s="76"/>
      <c r="R29" s="93"/>
      <c r="S29" s="93"/>
      <c r="T29" s="93"/>
      <c r="U29" s="93"/>
      <c r="V29" s="93"/>
      <c r="W29" s="93"/>
      <c r="X29" s="93"/>
      <c r="Y29" s="93"/>
      <c r="Z29" s="93"/>
      <c r="AA29" s="93"/>
    </row>
    <row r="30" spans="1:27">
      <c r="A30" s="93"/>
      <c r="B30" s="93"/>
      <c r="C30" s="93"/>
      <c r="D30" s="93" t="s">
        <v>3604</v>
      </c>
      <c r="E30" s="93"/>
      <c r="F30" s="93"/>
      <c r="G30" s="93"/>
      <c r="H30" s="93"/>
      <c r="I30" s="93"/>
      <c r="J30" s="93"/>
      <c r="K30" s="93"/>
      <c r="L30" s="93"/>
      <c r="M30" s="14">
        <f>N30</f>
        <v>1573.9150649194214</v>
      </c>
      <c r="N30" s="995">
        <f>F326*'Gas Balance'!M23*365*1000</f>
        <v>1573.9150649194214</v>
      </c>
      <c r="O30" s="93" t="s">
        <v>719</v>
      </c>
      <c r="P30" s="93"/>
      <c r="Q30" s="76" t="s">
        <v>4059</v>
      </c>
      <c r="R30" s="93"/>
      <c r="S30" s="93"/>
      <c r="T30" s="93"/>
      <c r="U30" s="93"/>
      <c r="V30" s="93"/>
      <c r="W30" s="93"/>
      <c r="X30" s="72"/>
      <c r="Y30" s="93"/>
      <c r="Z30" s="93"/>
      <c r="AA30" s="93"/>
    </row>
    <row r="31" spans="1:27">
      <c r="A31" s="93"/>
      <c r="B31" s="93"/>
      <c r="C31" s="93"/>
      <c r="D31" s="93" t="s">
        <v>3605</v>
      </c>
      <c r="E31" s="93"/>
      <c r="F31" s="93"/>
      <c r="G31" s="93"/>
      <c r="H31" s="93"/>
      <c r="I31" s="93"/>
      <c r="J31" s="93"/>
      <c r="K31" s="93"/>
      <c r="L31" s="93"/>
      <c r="M31" s="119"/>
      <c r="N31" s="240"/>
      <c r="P31" s="93"/>
      <c r="Q31" s="76"/>
      <c r="R31" s="93"/>
      <c r="S31" s="93"/>
      <c r="T31" s="93"/>
      <c r="U31" s="93"/>
      <c r="V31" s="93"/>
      <c r="W31" s="93"/>
      <c r="X31" s="93"/>
      <c r="Y31" s="93"/>
      <c r="Z31" s="93"/>
      <c r="AA31" s="93"/>
    </row>
    <row r="32" spans="1:27">
      <c r="A32" s="93"/>
      <c r="B32" s="93"/>
      <c r="C32" s="93"/>
      <c r="D32" s="93"/>
      <c r="E32" s="643" t="s">
        <v>3606</v>
      </c>
      <c r="F32" s="93"/>
      <c r="G32" s="93"/>
      <c r="H32" s="93"/>
      <c r="I32" s="93"/>
      <c r="J32" s="93"/>
      <c r="K32" s="93"/>
      <c r="L32" s="93"/>
      <c r="M32" s="566">
        <f>N32</f>
        <v>3.7348272642390287E-3</v>
      </c>
      <c r="N32" s="567">
        <f>'Emissions Factors'!G34/1000000</f>
        <v>3.7348272642390287E-3</v>
      </c>
      <c r="O32" s="93" t="s">
        <v>729</v>
      </c>
      <c r="P32" s="93"/>
      <c r="Q32" s="76"/>
      <c r="R32" s="93"/>
      <c r="S32" s="93"/>
      <c r="T32" s="93"/>
      <c r="U32" s="93"/>
      <c r="V32" s="93"/>
      <c r="W32" s="93"/>
      <c r="X32" s="93"/>
      <c r="Y32" s="93"/>
      <c r="Z32" s="93"/>
      <c r="AA32" s="93"/>
    </row>
    <row r="33" spans="1:27">
      <c r="A33" s="93"/>
      <c r="B33" s="93"/>
      <c r="C33" s="93"/>
      <c r="D33" s="93"/>
      <c r="E33" s="643" t="s">
        <v>3607</v>
      </c>
      <c r="F33" s="93"/>
      <c r="G33" s="93"/>
      <c r="H33" s="93"/>
      <c r="I33" s="93"/>
      <c r="J33" s="93"/>
      <c r="K33" s="93"/>
      <c r="L33" s="93"/>
      <c r="M33" s="566">
        <f>N33</f>
        <v>6.4425770308123242E-2</v>
      </c>
      <c r="N33" s="567">
        <f>'Emissions Factors'!H34/1000000</f>
        <v>6.4425770308123242E-2</v>
      </c>
      <c r="O33" s="93" t="s">
        <v>729</v>
      </c>
      <c r="P33" s="93"/>
      <c r="Q33" s="76"/>
      <c r="R33" s="93"/>
      <c r="S33" s="93"/>
      <c r="T33" s="93"/>
      <c r="U33" s="93"/>
      <c r="V33" s="93"/>
      <c r="W33" s="93"/>
      <c r="X33" s="93"/>
      <c r="Y33" s="93"/>
      <c r="Z33" s="93"/>
      <c r="AA33" s="93"/>
    </row>
    <row r="34" spans="1:27">
      <c r="A34" s="93"/>
      <c r="B34" s="93"/>
      <c r="C34" s="93" t="s">
        <v>3608</v>
      </c>
      <c r="D34" s="93"/>
      <c r="E34" s="93"/>
      <c r="F34" s="93"/>
      <c r="G34" s="93"/>
      <c r="H34" s="93"/>
      <c r="I34" s="93"/>
      <c r="J34" s="93"/>
      <c r="K34" s="93"/>
      <c r="L34" s="93"/>
      <c r="M34" s="93"/>
      <c r="N34" s="93"/>
      <c r="O34" s="93"/>
      <c r="P34" s="93"/>
      <c r="Q34" s="76"/>
      <c r="R34" s="93"/>
      <c r="S34" s="93"/>
      <c r="T34" s="93"/>
      <c r="U34" s="93"/>
      <c r="V34" s="93"/>
      <c r="W34" s="93"/>
      <c r="X34" s="93"/>
      <c r="Y34" s="93"/>
      <c r="Z34" s="93"/>
      <c r="AA34" s="93"/>
    </row>
    <row r="35" spans="1:27">
      <c r="A35" s="93"/>
      <c r="B35" s="93"/>
      <c r="C35" s="93"/>
      <c r="D35" s="643" t="s">
        <v>3609</v>
      </c>
      <c r="E35" s="93"/>
      <c r="F35" s="93"/>
      <c r="G35" s="93"/>
      <c r="H35" s="93"/>
      <c r="I35" s="93"/>
      <c r="J35" s="93"/>
      <c r="K35" s="93"/>
      <c r="L35" s="93"/>
      <c r="M35" s="14">
        <f>N35</f>
        <v>1573.9150649194214</v>
      </c>
      <c r="N35" s="210">
        <f>N30</f>
        <v>1573.9150649194214</v>
      </c>
      <c r="O35" s="93" t="s">
        <v>719</v>
      </c>
      <c r="P35" s="93"/>
      <c r="Q35" s="76" t="s">
        <v>4059</v>
      </c>
      <c r="R35" s="93"/>
      <c r="S35" s="93"/>
      <c r="T35" s="93"/>
      <c r="U35" s="93"/>
      <c r="V35" s="93"/>
      <c r="W35" s="93"/>
      <c r="X35" s="72"/>
      <c r="Y35" s="93"/>
      <c r="Z35" s="93"/>
      <c r="AA35" s="93"/>
    </row>
    <row r="36" spans="1:27">
      <c r="A36" s="93"/>
      <c r="B36" s="93"/>
      <c r="C36" s="93"/>
      <c r="D36" s="643" t="s">
        <v>3610</v>
      </c>
      <c r="E36" s="93"/>
      <c r="F36" s="93"/>
      <c r="G36" s="93"/>
      <c r="H36" s="93"/>
      <c r="I36" s="93"/>
      <c r="J36" s="93"/>
      <c r="K36" s="93"/>
      <c r="L36" s="93"/>
      <c r="M36" s="119"/>
      <c r="N36" s="119"/>
      <c r="P36" s="93"/>
      <c r="Q36" s="76"/>
      <c r="R36" s="93"/>
      <c r="S36" s="93"/>
      <c r="T36" s="93"/>
      <c r="U36" s="93"/>
      <c r="V36" s="93"/>
      <c r="W36" s="93"/>
      <c r="X36" s="93"/>
      <c r="Y36" s="93"/>
      <c r="Z36" s="93"/>
      <c r="AA36" s="93"/>
    </row>
    <row r="37" spans="1:27">
      <c r="A37" s="93"/>
      <c r="B37" s="93"/>
      <c r="C37" s="93"/>
      <c r="D37" s="93"/>
      <c r="E37" s="643" t="s">
        <v>3611</v>
      </c>
      <c r="F37" s="93"/>
      <c r="G37" s="93"/>
      <c r="H37" s="93"/>
      <c r="I37" s="93"/>
      <c r="J37" s="93"/>
      <c r="K37" s="93"/>
      <c r="L37" s="93"/>
      <c r="M37" s="122">
        <f>N37</f>
        <v>0.16059757236227823</v>
      </c>
      <c r="N37" s="326">
        <f>'Emissions Factors'!G35/1000000</f>
        <v>0.16059757236227823</v>
      </c>
      <c r="O37" s="93" t="s">
        <v>729</v>
      </c>
      <c r="P37" s="93"/>
      <c r="Q37" s="76"/>
      <c r="R37" s="93"/>
      <c r="S37" s="93"/>
      <c r="T37" s="93"/>
      <c r="U37" s="93"/>
      <c r="V37" s="93"/>
      <c r="W37" s="93"/>
      <c r="X37" s="93"/>
      <c r="Y37" s="93"/>
      <c r="Z37" s="93"/>
      <c r="AA37" s="93"/>
    </row>
    <row r="38" spans="1:27">
      <c r="A38" s="93"/>
      <c r="B38" s="93"/>
      <c r="C38" s="93"/>
      <c r="D38" s="93"/>
      <c r="E38" s="643" t="s">
        <v>3612</v>
      </c>
      <c r="F38" s="93"/>
      <c r="G38" s="93"/>
      <c r="H38" s="93"/>
      <c r="I38" s="93"/>
      <c r="J38" s="93"/>
      <c r="K38" s="93"/>
      <c r="L38" s="93"/>
      <c r="M38" s="122">
        <f>N38</f>
        <v>3.0233426704014938</v>
      </c>
      <c r="N38" s="326">
        <f>'Emissions Factors'!H35/1000000</f>
        <v>3.0233426704014938</v>
      </c>
      <c r="O38" s="93" t="s">
        <v>729</v>
      </c>
      <c r="P38" s="93"/>
      <c r="Q38" s="76"/>
      <c r="R38" s="93"/>
      <c r="S38" s="93"/>
      <c r="T38" s="93"/>
      <c r="U38" s="93"/>
      <c r="V38" s="93"/>
      <c r="W38" s="93"/>
      <c r="X38" s="93"/>
      <c r="Y38" s="93"/>
      <c r="Z38" s="93"/>
      <c r="AA38" s="93"/>
    </row>
    <row r="39" spans="1:27">
      <c r="A39" s="93"/>
      <c r="B39" s="93" t="s">
        <v>3613</v>
      </c>
      <c r="C39" s="93"/>
      <c r="D39" s="93"/>
      <c r="E39" s="93"/>
      <c r="F39" s="93"/>
      <c r="G39" s="93"/>
      <c r="H39" s="93"/>
      <c r="I39" s="93"/>
      <c r="J39" s="93"/>
      <c r="K39" s="93"/>
      <c r="L39" s="93"/>
      <c r="M39" s="93"/>
      <c r="N39" s="93"/>
      <c r="O39" s="93"/>
      <c r="P39" s="93"/>
      <c r="Q39" s="76"/>
      <c r="R39" s="93"/>
      <c r="S39" s="93"/>
      <c r="T39" s="93"/>
      <c r="U39" s="93"/>
      <c r="V39" s="93"/>
      <c r="W39" s="93"/>
      <c r="X39" s="93"/>
      <c r="Y39" s="93"/>
      <c r="Z39" s="93"/>
      <c r="AA39" s="93"/>
    </row>
    <row r="40" spans="1:27">
      <c r="A40" s="93"/>
      <c r="B40" s="93"/>
      <c r="C40" s="93" t="s">
        <v>3614</v>
      </c>
      <c r="D40" s="93"/>
      <c r="E40" s="93"/>
      <c r="M40" s="119"/>
      <c r="P40" s="93"/>
      <c r="Q40" s="76"/>
      <c r="R40" s="93"/>
      <c r="S40" s="93"/>
      <c r="T40" s="93"/>
      <c r="U40" s="93"/>
      <c r="V40" s="93"/>
      <c r="W40" s="93"/>
      <c r="X40" s="93"/>
      <c r="Y40" s="93"/>
      <c r="Z40" s="93"/>
      <c r="AA40" s="93"/>
    </row>
    <row r="41" spans="1:27">
      <c r="A41" s="93"/>
      <c r="B41" s="93"/>
      <c r="C41" s="93"/>
      <c r="D41" s="93" t="s">
        <v>3615</v>
      </c>
      <c r="E41" s="93"/>
      <c r="F41" s="93"/>
      <c r="G41" s="93"/>
      <c r="H41" s="93"/>
      <c r="I41" s="93"/>
      <c r="J41" s="93"/>
      <c r="K41" s="93"/>
      <c r="L41" s="93"/>
      <c r="M41" s="14">
        <f>N41</f>
        <v>1424.335943934901</v>
      </c>
      <c r="N41" s="210">
        <f>((0.75*1124+321+54)/234093299)*'Production &amp; Extraction'!M35*365</f>
        <v>1424.335943934901</v>
      </c>
      <c r="O41" s="93" t="s">
        <v>720</v>
      </c>
      <c r="P41" s="93"/>
      <c r="Q41" s="76" t="s">
        <v>722</v>
      </c>
      <c r="R41" s="93"/>
      <c r="S41" s="93"/>
      <c r="T41" s="93"/>
      <c r="U41" s="93"/>
      <c r="V41" s="93"/>
      <c r="W41" s="93"/>
      <c r="X41" s="93"/>
      <c r="Y41" s="93"/>
      <c r="Z41" s="93"/>
      <c r="AA41" s="93"/>
    </row>
    <row r="42" spans="1:27">
      <c r="A42" s="93"/>
      <c r="B42" s="93"/>
      <c r="C42" s="93"/>
      <c r="D42" s="93" t="s">
        <v>3616</v>
      </c>
      <c r="E42" s="93"/>
      <c r="F42" s="93"/>
      <c r="G42" s="93"/>
      <c r="H42" s="93"/>
      <c r="I42" s="93"/>
      <c r="J42" s="93"/>
      <c r="K42" s="93"/>
      <c r="L42" s="93"/>
      <c r="M42" s="119"/>
      <c r="N42" s="240"/>
      <c r="P42" s="93"/>
      <c r="Q42" s="76"/>
      <c r="R42" s="93"/>
      <c r="S42" s="93"/>
      <c r="T42" s="93"/>
      <c r="U42" s="93"/>
      <c r="V42" s="93"/>
      <c r="W42" s="93"/>
      <c r="X42" s="93"/>
      <c r="Y42" s="93"/>
      <c r="Z42" s="93"/>
      <c r="AA42" s="93"/>
    </row>
    <row r="43" spans="1:27">
      <c r="A43" s="93"/>
      <c r="B43" s="93"/>
      <c r="C43" s="93"/>
      <c r="D43" s="93"/>
      <c r="E43" s="643" t="s">
        <v>3618</v>
      </c>
      <c r="F43" s="93"/>
      <c r="G43" s="93"/>
      <c r="H43" s="93"/>
      <c r="I43" s="93"/>
      <c r="J43" s="93"/>
      <c r="K43" s="93"/>
      <c r="L43" s="93"/>
      <c r="M43" s="566">
        <f>N43</f>
        <v>1.1586056644880174</v>
      </c>
      <c r="N43" s="567">
        <f>'Emissions Factors'!G37/1000000</f>
        <v>1.1586056644880174</v>
      </c>
      <c r="O43" s="93" t="s">
        <v>730</v>
      </c>
      <c r="P43" s="93"/>
      <c r="Q43" s="76"/>
      <c r="R43" s="93"/>
      <c r="S43" s="93"/>
      <c r="T43" s="93"/>
      <c r="U43" s="93"/>
      <c r="V43" s="93"/>
      <c r="W43" s="93"/>
      <c r="X43" s="93"/>
      <c r="Y43" s="93"/>
      <c r="Z43" s="93"/>
      <c r="AA43" s="93"/>
    </row>
    <row r="44" spans="1:27">
      <c r="A44" s="93"/>
      <c r="B44" s="93"/>
      <c r="C44" s="93"/>
      <c r="D44" s="93"/>
      <c r="E44" s="643" t="s">
        <v>3617</v>
      </c>
      <c r="F44" s="93"/>
      <c r="G44" s="93"/>
      <c r="H44" s="93"/>
      <c r="I44" s="93"/>
      <c r="J44" s="93"/>
      <c r="K44" s="93"/>
      <c r="L44" s="93"/>
      <c r="M44" s="566">
        <f>N44</f>
        <v>1.0849673202614378</v>
      </c>
      <c r="N44" s="567">
        <f>'Emissions Factors'!H37/1000000</f>
        <v>1.0849673202614378</v>
      </c>
      <c r="O44" s="93" t="s">
        <v>730</v>
      </c>
      <c r="P44" s="93"/>
      <c r="Q44" s="76"/>
      <c r="R44" s="93"/>
      <c r="S44" s="93"/>
      <c r="T44" s="93"/>
      <c r="U44" s="93"/>
      <c r="V44" s="93"/>
      <c r="W44" s="93"/>
      <c r="X44" s="93"/>
      <c r="Y44" s="93"/>
      <c r="Z44" s="93"/>
      <c r="AA44" s="93"/>
    </row>
    <row r="45" spans="1:27">
      <c r="A45" s="93"/>
      <c r="B45" s="93"/>
      <c r="C45" s="119" t="s">
        <v>4089</v>
      </c>
      <c r="D45" s="93"/>
      <c r="E45" s="93"/>
      <c r="M45" s="119"/>
      <c r="N45" s="406"/>
      <c r="P45" s="93"/>
      <c r="Q45" s="76"/>
      <c r="R45" s="93"/>
      <c r="S45" s="93"/>
      <c r="T45" s="93"/>
      <c r="U45" s="93"/>
      <c r="V45" s="93"/>
      <c r="W45" s="93"/>
      <c r="X45" s="93"/>
      <c r="Y45" s="93"/>
      <c r="Z45" s="93"/>
      <c r="AA45" s="93"/>
    </row>
    <row r="46" spans="1:27">
      <c r="A46" s="93"/>
      <c r="B46" s="93"/>
      <c r="C46" s="93"/>
      <c r="D46" s="119" t="s">
        <v>4090</v>
      </c>
      <c r="E46" s="93"/>
      <c r="F46" s="93"/>
      <c r="G46" s="93"/>
      <c r="H46" s="93"/>
      <c r="I46" s="93"/>
      <c r="J46" s="93"/>
      <c r="K46" s="93"/>
      <c r="L46" s="93"/>
      <c r="M46" s="14">
        <f>N46</f>
        <v>994.22858746588895</v>
      </c>
      <c r="N46" s="210">
        <f>(0.6*1417/234093299)*'Production &amp; Extraction'!M35*365</f>
        <v>994.22858746588895</v>
      </c>
      <c r="O46" s="93" t="s">
        <v>721</v>
      </c>
      <c r="P46" s="93"/>
      <c r="Q46" s="76" t="s">
        <v>723</v>
      </c>
      <c r="R46" s="93"/>
      <c r="S46" s="93"/>
      <c r="T46" s="93"/>
      <c r="U46" s="93"/>
      <c r="V46" s="93"/>
      <c r="W46" s="93"/>
      <c r="X46" s="72" t="s">
        <v>770</v>
      </c>
      <c r="Y46" s="93"/>
      <c r="Z46" s="93"/>
      <c r="AA46" s="93"/>
    </row>
    <row r="47" spans="1:27">
      <c r="A47" s="93"/>
      <c r="B47" s="93"/>
      <c r="C47" s="93"/>
      <c r="D47" s="119" t="s">
        <v>4091</v>
      </c>
      <c r="E47" s="93"/>
      <c r="F47" s="93"/>
      <c r="G47" s="93"/>
      <c r="H47" s="93"/>
      <c r="I47" s="93"/>
      <c r="J47" s="93"/>
      <c r="K47" s="93"/>
      <c r="L47" s="93"/>
      <c r="M47" s="119"/>
      <c r="N47" s="240"/>
      <c r="P47" s="93"/>
      <c r="Q47" s="76"/>
      <c r="R47" s="93"/>
      <c r="S47" s="93"/>
      <c r="T47" s="93"/>
      <c r="U47" s="93"/>
      <c r="V47" s="93"/>
      <c r="W47" s="93"/>
      <c r="X47" s="93"/>
      <c r="Y47" s="93"/>
      <c r="Z47" s="93"/>
      <c r="AA47" s="93"/>
    </row>
    <row r="48" spans="1:27">
      <c r="A48" s="93"/>
      <c r="B48" s="93"/>
      <c r="C48" s="93"/>
      <c r="D48" s="93"/>
      <c r="E48" s="119" t="s">
        <v>4092</v>
      </c>
      <c r="F48" s="93"/>
      <c r="G48" s="93"/>
      <c r="H48" s="93"/>
      <c r="I48" s="93"/>
      <c r="J48" s="93"/>
      <c r="K48" s="93"/>
      <c r="L48" s="93"/>
      <c r="M48" s="560">
        <f>N48</f>
        <v>7.3394495412844027E-2</v>
      </c>
      <c r="N48" s="561">
        <f>'Emissions Factors'!G38/1000000</f>
        <v>7.3394495412844027E-2</v>
      </c>
      <c r="O48" s="93" t="s">
        <v>728</v>
      </c>
      <c r="P48" s="93"/>
      <c r="Q48" s="76"/>
      <c r="R48" s="93"/>
      <c r="S48" s="93"/>
      <c r="T48" s="93"/>
      <c r="U48" s="93"/>
      <c r="V48" s="93"/>
      <c r="W48" s="93"/>
      <c r="X48" s="93"/>
      <c r="Y48" s="93"/>
      <c r="Z48" s="93"/>
      <c r="AA48" s="93"/>
    </row>
    <row r="49" spans="1:27">
      <c r="A49" s="93"/>
      <c r="B49" s="93"/>
      <c r="C49" s="93"/>
      <c r="D49" s="93"/>
      <c r="E49" s="119" t="s">
        <v>4093</v>
      </c>
      <c r="F49" s="93"/>
      <c r="G49" s="93"/>
      <c r="H49" s="93"/>
      <c r="I49" s="93"/>
      <c r="J49" s="93"/>
      <c r="K49" s="93"/>
      <c r="L49" s="93"/>
      <c r="M49" s="560">
        <f>N49</f>
        <v>3.5285815102328866E-3</v>
      </c>
      <c r="N49" s="561">
        <f>'Emissions Factors'!H38/1000000</f>
        <v>3.5285815102328866E-3</v>
      </c>
      <c r="O49" s="93" t="s">
        <v>728</v>
      </c>
      <c r="P49" s="93"/>
      <c r="Q49" s="76"/>
      <c r="R49" s="93"/>
      <c r="S49" s="93"/>
      <c r="T49" s="93"/>
      <c r="U49" s="93"/>
      <c r="V49" s="93"/>
      <c r="W49" s="93"/>
      <c r="X49" s="93"/>
      <c r="Y49" s="93"/>
      <c r="Z49" s="93"/>
      <c r="AA49" s="93"/>
    </row>
    <row r="50" spans="1:27">
      <c r="A50" s="93"/>
      <c r="B50" s="119" t="s">
        <v>4088</v>
      </c>
      <c r="C50" s="93"/>
      <c r="D50" s="93"/>
      <c r="E50" s="643"/>
      <c r="F50" s="93"/>
      <c r="G50" s="93"/>
      <c r="H50" s="93"/>
      <c r="I50" s="93"/>
      <c r="J50" s="93"/>
      <c r="K50" s="93"/>
      <c r="L50" s="93"/>
      <c r="M50" s="93"/>
      <c r="N50" s="93"/>
      <c r="O50" s="93"/>
      <c r="P50" s="93"/>
      <c r="Q50" s="76"/>
      <c r="R50" s="93"/>
      <c r="S50" s="93"/>
      <c r="T50" s="93"/>
      <c r="U50" s="93"/>
      <c r="V50" s="93"/>
      <c r="W50" s="93"/>
      <c r="X50" s="93"/>
      <c r="Y50" s="93"/>
      <c r="Z50" s="93"/>
      <c r="AA50" s="93"/>
    </row>
    <row r="51" spans="1:27">
      <c r="A51" s="93"/>
      <c r="B51" s="93"/>
      <c r="C51" s="119" t="s">
        <v>4094</v>
      </c>
      <c r="D51" s="93"/>
      <c r="E51" s="643"/>
      <c r="F51" s="93"/>
      <c r="G51" s="93"/>
      <c r="H51" s="93"/>
      <c r="I51" s="93"/>
      <c r="J51" s="93"/>
      <c r="K51" s="93"/>
      <c r="L51" s="93"/>
      <c r="M51" s="206">
        <f>N51</f>
        <v>39031.162083553674</v>
      </c>
      <c r="N51" s="207">
        <f>N341*'User Inputs &amp; Results'!J70</f>
        <v>39031.162083553674</v>
      </c>
      <c r="O51" s="119" t="s">
        <v>4125</v>
      </c>
      <c r="P51" s="93"/>
      <c r="Q51" s="76"/>
      <c r="R51" s="93"/>
      <c r="S51" s="93"/>
      <c r="T51" s="93"/>
      <c r="U51" s="93"/>
      <c r="V51" s="93"/>
      <c r="W51" s="93"/>
      <c r="X51" s="93"/>
      <c r="Y51" s="93"/>
      <c r="Z51" s="93"/>
      <c r="AA51" s="93"/>
    </row>
    <row r="52" spans="1:27">
      <c r="A52" s="93"/>
      <c r="B52" s="93"/>
      <c r="C52" s="119" t="s">
        <v>4095</v>
      </c>
      <c r="D52" s="93"/>
      <c r="E52" s="643"/>
      <c r="F52" s="93"/>
      <c r="G52" s="93"/>
      <c r="H52" s="93"/>
      <c r="I52" s="93"/>
      <c r="J52" s="93"/>
      <c r="K52" s="93"/>
      <c r="L52" s="93"/>
      <c r="M52" s="206">
        <f>N52</f>
        <v>21016.790719196193</v>
      </c>
      <c r="N52" s="207">
        <f>N340*'User Inputs &amp; Results'!J70</f>
        <v>21016.790719196193</v>
      </c>
      <c r="O52" s="119" t="s">
        <v>4125</v>
      </c>
      <c r="P52" s="93"/>
      <c r="Q52" s="76"/>
      <c r="R52" s="93"/>
      <c r="S52" s="93"/>
      <c r="T52" s="93"/>
      <c r="U52" s="93"/>
      <c r="V52" s="93"/>
      <c r="W52" s="93"/>
      <c r="X52" s="93"/>
      <c r="Y52" s="93"/>
      <c r="Z52" s="93"/>
      <c r="AA52" s="93"/>
    </row>
    <row r="53" spans="1:27">
      <c r="A53" s="93"/>
      <c r="B53" s="93"/>
      <c r="C53" s="119" t="s">
        <v>4096</v>
      </c>
      <c r="D53" s="93"/>
      <c r="E53" s="643"/>
      <c r="F53" s="93"/>
      <c r="G53" s="93"/>
      <c r="H53" s="93"/>
      <c r="I53" s="93"/>
      <c r="J53" s="93"/>
      <c r="K53" s="93"/>
      <c r="L53" s="93"/>
      <c r="M53" s="93"/>
      <c r="N53" s="93"/>
      <c r="O53" s="93"/>
      <c r="P53" s="93"/>
      <c r="Q53" s="76"/>
      <c r="R53" s="93"/>
      <c r="S53" s="93"/>
      <c r="T53" s="93"/>
      <c r="U53" s="93"/>
      <c r="V53" s="93"/>
      <c r="W53" s="93"/>
      <c r="X53" s="93"/>
      <c r="Y53" s="93"/>
      <c r="Z53" s="93"/>
      <c r="AA53" s="93"/>
    </row>
    <row r="54" spans="1:27">
      <c r="A54" s="93"/>
      <c r="B54" s="93"/>
      <c r="C54" s="93"/>
      <c r="D54" s="119" t="s">
        <v>4097</v>
      </c>
      <c r="E54" s="93"/>
      <c r="F54" s="93"/>
      <c r="G54" s="93"/>
      <c r="H54" s="93"/>
      <c r="I54" s="93"/>
      <c r="J54" s="93"/>
      <c r="K54" s="93"/>
      <c r="L54" s="93"/>
      <c r="M54" s="93"/>
      <c r="N54" s="93"/>
      <c r="O54" s="93"/>
      <c r="P54" s="93"/>
      <c r="Q54" s="76"/>
      <c r="R54" s="93"/>
      <c r="S54" s="93"/>
      <c r="T54" s="93"/>
      <c r="U54" s="93"/>
      <c r="V54" s="93"/>
      <c r="W54" s="93"/>
      <c r="X54" s="93"/>
      <c r="Y54" s="93"/>
      <c r="Z54" s="93"/>
      <c r="AA54" s="93"/>
    </row>
    <row r="55" spans="1:27">
      <c r="A55" s="93"/>
      <c r="B55" s="93"/>
      <c r="C55" s="93"/>
      <c r="D55" s="119"/>
      <c r="E55" s="119" t="s">
        <v>4099</v>
      </c>
      <c r="F55" s="93"/>
      <c r="G55" s="93"/>
      <c r="H55" s="93"/>
      <c r="I55" s="93"/>
      <c r="J55" s="93"/>
      <c r="K55" s="93"/>
      <c r="L55" s="93"/>
      <c r="M55" s="122">
        <f>N55</f>
        <v>2.0274905964993033E-2</v>
      </c>
      <c r="N55" s="326">
        <f>'Emissions Factors'!G44/1000000</f>
        <v>2.0274905964993033E-2</v>
      </c>
      <c r="O55" s="119" t="s">
        <v>729</v>
      </c>
      <c r="P55" s="93"/>
      <c r="Q55" s="76"/>
      <c r="R55" s="93"/>
      <c r="S55" s="93"/>
      <c r="T55" s="93"/>
      <c r="U55" s="93"/>
      <c r="V55" s="93"/>
      <c r="W55" s="93"/>
      <c r="X55" s="93"/>
      <c r="Y55" s="93"/>
      <c r="Z55" s="93"/>
      <c r="AA55" s="93"/>
    </row>
    <row r="56" spans="1:27">
      <c r="A56" s="93"/>
      <c r="B56" s="93"/>
      <c r="C56" s="93"/>
      <c r="D56" s="119"/>
      <c r="E56" s="119" t="s">
        <v>4100</v>
      </c>
      <c r="F56" s="93"/>
      <c r="G56" s="93"/>
      <c r="H56" s="93"/>
      <c r="I56" s="93"/>
      <c r="J56" s="93"/>
      <c r="K56" s="93"/>
      <c r="L56" s="93"/>
      <c r="M56" s="122">
        <f>N56</f>
        <v>0.36466834292401362</v>
      </c>
      <c r="N56" s="326">
        <f>'Emissions Factors'!H44/1000000</f>
        <v>0.36466834292401362</v>
      </c>
      <c r="O56" s="119" t="s">
        <v>729</v>
      </c>
      <c r="P56" s="93"/>
      <c r="Q56" s="76"/>
      <c r="R56" s="93"/>
      <c r="S56" s="93"/>
      <c r="T56" s="93"/>
      <c r="U56" s="93"/>
      <c r="V56" s="93"/>
      <c r="W56" s="93"/>
      <c r="X56" s="93"/>
      <c r="Y56" s="93"/>
      <c r="Z56" s="93"/>
      <c r="AA56" s="93"/>
    </row>
    <row r="57" spans="1:27">
      <c r="A57" s="93"/>
      <c r="B57" s="93"/>
      <c r="C57" s="93"/>
      <c r="D57" s="119" t="s">
        <v>4098</v>
      </c>
      <c r="E57" s="93"/>
      <c r="F57" s="93"/>
      <c r="G57" s="93"/>
      <c r="H57" s="93"/>
      <c r="I57" s="93"/>
      <c r="J57" s="93"/>
      <c r="K57" s="93"/>
      <c r="L57" s="93"/>
      <c r="M57" s="564"/>
      <c r="N57" s="564"/>
      <c r="O57" s="93"/>
      <c r="P57" s="93"/>
      <c r="Q57" s="76"/>
      <c r="R57" s="93"/>
      <c r="S57" s="93"/>
      <c r="T57" s="93"/>
      <c r="U57" s="93"/>
      <c r="V57" s="93"/>
      <c r="W57" s="93"/>
      <c r="X57" s="93"/>
      <c r="Y57" s="93"/>
      <c r="Z57" s="93"/>
      <c r="AA57" s="93"/>
    </row>
    <row r="58" spans="1:27">
      <c r="A58" s="93"/>
      <c r="B58" s="93"/>
      <c r="C58" s="93"/>
      <c r="D58" s="119"/>
      <c r="E58" s="119" t="s">
        <v>4101</v>
      </c>
      <c r="F58" s="93"/>
      <c r="G58" s="93"/>
      <c r="H58" s="93"/>
      <c r="I58" s="93"/>
      <c r="J58" s="93"/>
      <c r="K58" s="93"/>
      <c r="L58" s="93"/>
      <c r="M58" s="122">
        <f>N58</f>
        <v>0.12937320949090791</v>
      </c>
      <c r="N58" s="326">
        <f>'Emissions Factors'!G45/1000000</f>
        <v>0.12937320949090791</v>
      </c>
      <c r="O58" s="119" t="s">
        <v>729</v>
      </c>
      <c r="P58" s="93"/>
      <c r="Q58" s="76"/>
      <c r="R58" s="93"/>
      <c r="S58" s="93"/>
      <c r="T58" s="93"/>
      <c r="U58" s="93"/>
      <c r="V58" s="93"/>
      <c r="W58" s="93"/>
      <c r="X58" s="93"/>
      <c r="Y58" s="93"/>
      <c r="Z58" s="93"/>
      <c r="AA58" s="93"/>
    </row>
    <row r="59" spans="1:27">
      <c r="A59" s="93"/>
      <c r="B59" s="93"/>
      <c r="C59" s="93"/>
      <c r="D59" s="119"/>
      <c r="E59" s="119" t="s">
        <v>4102</v>
      </c>
      <c r="F59" s="93"/>
      <c r="G59" s="93"/>
      <c r="H59" s="93"/>
      <c r="I59" s="93"/>
      <c r="J59" s="93"/>
      <c r="K59" s="93"/>
      <c r="L59" s="93"/>
      <c r="M59" s="122">
        <f>N59</f>
        <v>2.3142414070177786</v>
      </c>
      <c r="N59" s="326">
        <f>'Emissions Factors'!H45/1000000</f>
        <v>2.3142414070177786</v>
      </c>
      <c r="O59" s="119" t="s">
        <v>729</v>
      </c>
      <c r="P59" s="93"/>
      <c r="Q59" s="76"/>
      <c r="R59" s="93"/>
      <c r="S59" s="93"/>
      <c r="T59" s="93"/>
      <c r="U59" s="93"/>
      <c r="V59" s="93"/>
      <c r="W59" s="93"/>
      <c r="X59" s="93"/>
      <c r="Y59" s="93"/>
      <c r="Z59" s="93"/>
      <c r="AA59" s="93"/>
    </row>
    <row r="60" spans="1:27">
      <c r="A60" s="93"/>
      <c r="B60" s="119" t="s">
        <v>4120</v>
      </c>
      <c r="C60" s="93"/>
      <c r="D60" s="119"/>
      <c r="E60" s="119"/>
      <c r="F60" s="93"/>
      <c r="G60" s="93"/>
      <c r="H60" s="93"/>
      <c r="I60" s="93"/>
      <c r="J60" s="93"/>
      <c r="K60" s="93"/>
      <c r="L60" s="93"/>
      <c r="M60" s="93"/>
      <c r="N60" s="93"/>
      <c r="O60" s="119"/>
      <c r="P60" s="93"/>
      <c r="Q60" s="76"/>
      <c r="R60" s="93"/>
      <c r="S60" s="93"/>
      <c r="T60" s="93"/>
      <c r="U60" s="93"/>
      <c r="V60" s="93"/>
      <c r="W60" s="93"/>
      <c r="X60" s="93"/>
      <c r="Y60" s="93"/>
      <c r="Z60" s="93"/>
      <c r="AA60" s="93"/>
    </row>
    <row r="61" spans="1:27">
      <c r="A61" s="93"/>
      <c r="B61" s="93"/>
      <c r="C61" s="119" t="s">
        <v>4121</v>
      </c>
      <c r="D61" s="119"/>
      <c r="E61" s="119"/>
      <c r="F61" s="93"/>
      <c r="G61" s="93"/>
      <c r="H61" s="93"/>
      <c r="I61" s="93"/>
      <c r="J61" s="93"/>
      <c r="K61" s="93"/>
      <c r="L61" s="93"/>
      <c r="M61" s="206">
        <f>N61</f>
        <v>4155.0356953992596</v>
      </c>
      <c r="N61" s="207">
        <f>M355*'User Inputs &amp; Results'!J70</f>
        <v>4155.0356953992596</v>
      </c>
      <c r="O61" s="119" t="s">
        <v>4125</v>
      </c>
      <c r="P61" s="93"/>
      <c r="Q61" s="76"/>
      <c r="R61" s="93"/>
      <c r="S61" s="93"/>
      <c r="T61" s="93"/>
      <c r="U61" s="93"/>
      <c r="V61" s="93"/>
      <c r="W61" s="93"/>
      <c r="X61" s="93"/>
      <c r="Y61" s="93"/>
      <c r="Z61" s="93"/>
      <c r="AA61" s="93"/>
    </row>
    <row r="62" spans="1:27">
      <c r="A62" s="93"/>
      <c r="B62" s="93"/>
      <c r="C62" s="119" t="s">
        <v>4122</v>
      </c>
      <c r="D62" s="119"/>
      <c r="E62" s="119"/>
      <c r="F62" s="93"/>
      <c r="G62" s="93"/>
      <c r="H62" s="93"/>
      <c r="I62" s="93"/>
      <c r="J62" s="93"/>
      <c r="K62" s="93"/>
      <c r="L62" s="93"/>
      <c r="M62" s="93"/>
      <c r="N62" s="93"/>
      <c r="O62" s="119"/>
      <c r="P62" s="93"/>
      <c r="Q62" s="76"/>
      <c r="R62" s="93"/>
      <c r="S62" s="93"/>
      <c r="T62" s="93"/>
      <c r="U62" s="93"/>
      <c r="V62" s="93"/>
      <c r="W62" s="93"/>
      <c r="X62" s="93"/>
      <c r="Y62" s="93"/>
      <c r="Z62" s="93"/>
      <c r="AA62" s="93"/>
    </row>
    <row r="63" spans="1:27">
      <c r="A63" s="93"/>
      <c r="B63" s="93"/>
      <c r="C63" s="119"/>
      <c r="D63" s="119" t="s">
        <v>4123</v>
      </c>
      <c r="E63" s="119"/>
      <c r="F63" s="93"/>
      <c r="G63" s="93"/>
      <c r="H63" s="93"/>
      <c r="I63" s="93"/>
      <c r="J63" s="93"/>
      <c r="K63" s="93"/>
      <c r="L63" s="93"/>
      <c r="M63" s="122">
        <f>N63</f>
        <v>9.7184382592199928E-2</v>
      </c>
      <c r="N63" s="326">
        <f>'Emissions Factors'!G46/1000000</f>
        <v>9.7184382592199928E-2</v>
      </c>
      <c r="O63" s="119" t="s">
        <v>729</v>
      </c>
      <c r="P63" s="93"/>
      <c r="Q63" s="76"/>
      <c r="R63" s="93"/>
      <c r="S63" s="93"/>
      <c r="T63" s="93"/>
      <c r="U63" s="93"/>
      <c r="V63" s="93"/>
      <c r="W63" s="93"/>
      <c r="X63" s="93"/>
      <c r="Y63" s="93"/>
      <c r="Z63" s="93"/>
      <c r="AA63" s="93"/>
    </row>
    <row r="64" spans="1:27">
      <c r="A64" s="93"/>
      <c r="B64" s="93"/>
      <c r="C64" s="119"/>
      <c r="D64" s="119" t="s">
        <v>4124</v>
      </c>
      <c r="E64" s="119"/>
      <c r="F64" s="93"/>
      <c r="G64" s="93"/>
      <c r="H64" s="93"/>
      <c r="I64" s="93"/>
      <c r="J64" s="93"/>
      <c r="K64" s="93"/>
      <c r="L64" s="93"/>
      <c r="M64" s="122">
        <f>N64</f>
        <v>1.7391874816376034</v>
      </c>
      <c r="N64" s="326">
        <f>'Emissions Factors'!H46/1000000</f>
        <v>1.7391874816376034</v>
      </c>
      <c r="O64" s="119" t="s">
        <v>729</v>
      </c>
      <c r="P64" s="93"/>
      <c r="Q64" s="76"/>
      <c r="R64" s="93"/>
      <c r="S64" s="93"/>
      <c r="T64" s="93"/>
      <c r="U64" s="93"/>
      <c r="V64" s="93"/>
      <c r="W64" s="93"/>
      <c r="X64" s="93"/>
      <c r="Y64" s="93"/>
      <c r="Z64" s="93"/>
      <c r="AA64" s="93"/>
    </row>
    <row r="65" spans="1:27">
      <c r="A65" s="643" t="s">
        <v>3619</v>
      </c>
      <c r="B65" s="93"/>
      <c r="C65" s="93"/>
      <c r="D65" s="93"/>
      <c r="E65" s="93"/>
      <c r="F65" s="93"/>
      <c r="G65" s="93"/>
      <c r="H65" s="93"/>
      <c r="I65" s="93"/>
      <c r="J65" s="93"/>
      <c r="K65" s="93"/>
      <c r="L65" s="93"/>
      <c r="M65" s="93"/>
      <c r="N65" s="93"/>
      <c r="O65" s="93"/>
      <c r="P65" s="93"/>
      <c r="Q65" s="76"/>
      <c r="R65" s="93"/>
      <c r="S65" s="93"/>
      <c r="T65" s="93"/>
      <c r="U65" s="93"/>
      <c r="V65" s="93"/>
      <c r="W65" s="93"/>
      <c r="X65" s="72"/>
      <c r="Y65" s="93"/>
      <c r="Z65" s="93"/>
      <c r="AA65" s="93"/>
    </row>
    <row r="66" spans="1:27">
      <c r="A66" s="93"/>
      <c r="B66" s="93" t="s">
        <v>3620</v>
      </c>
      <c r="C66" s="93"/>
      <c r="D66" s="93"/>
      <c r="E66" s="93"/>
      <c r="F66" s="93"/>
      <c r="G66" s="93"/>
      <c r="H66" s="93"/>
      <c r="I66" s="93"/>
      <c r="J66" s="93"/>
      <c r="K66" s="93"/>
      <c r="L66" s="93"/>
      <c r="M66" s="93"/>
      <c r="N66" s="93"/>
      <c r="O66" s="93"/>
      <c r="P66" s="93"/>
      <c r="Q66" s="76"/>
      <c r="R66" s="93"/>
      <c r="S66" s="93"/>
      <c r="T66" s="93"/>
      <c r="U66" s="93"/>
      <c r="V66" s="93"/>
      <c r="W66" s="93"/>
      <c r="X66" s="72"/>
      <c r="Y66" s="93"/>
      <c r="Z66" s="93"/>
      <c r="AA66" s="93"/>
    </row>
    <row r="67" spans="1:27">
      <c r="A67" s="93"/>
      <c r="B67" s="93"/>
      <c r="C67" s="93" t="s">
        <v>3621</v>
      </c>
      <c r="D67" s="93"/>
      <c r="E67" s="93"/>
      <c r="F67" s="93"/>
      <c r="G67" s="93"/>
      <c r="H67" s="93"/>
      <c r="I67" s="93"/>
      <c r="J67" s="93"/>
      <c r="K67" s="93"/>
      <c r="M67" s="206">
        <f>'User Inputs &amp; Results'!J71</f>
        <v>210</v>
      </c>
      <c r="N67" s="207">
        <f>'User Inputs &amp; Results'!K71</f>
        <v>4098</v>
      </c>
      <c r="O67" s="93" t="s">
        <v>719</v>
      </c>
      <c r="P67" s="93"/>
      <c r="Q67" s="76" t="s">
        <v>725</v>
      </c>
      <c r="R67" s="93"/>
      <c r="S67" s="93"/>
      <c r="T67" s="93"/>
      <c r="U67" s="93"/>
      <c r="V67" s="93"/>
      <c r="W67" s="93"/>
      <c r="X67" s="72"/>
      <c r="Y67" s="93"/>
      <c r="Z67" s="93"/>
      <c r="AA67" s="93"/>
    </row>
    <row r="68" spans="1:27">
      <c r="A68" s="93"/>
      <c r="B68" s="93"/>
      <c r="C68" s="93" t="s">
        <v>3622</v>
      </c>
      <c r="D68" s="93"/>
      <c r="E68" s="93"/>
      <c r="F68" s="93"/>
      <c r="G68" s="93"/>
      <c r="H68" s="93"/>
      <c r="I68" s="93"/>
      <c r="J68" s="93"/>
      <c r="K68" s="93"/>
      <c r="M68" s="119"/>
      <c r="N68" s="119"/>
      <c r="P68" s="93"/>
      <c r="Q68" s="76"/>
      <c r="R68" s="93"/>
      <c r="S68" s="93"/>
      <c r="T68" s="93"/>
      <c r="U68" s="93"/>
      <c r="V68" s="93"/>
      <c r="W68" s="93"/>
      <c r="X68" s="72"/>
      <c r="Y68" s="93"/>
      <c r="Z68" s="93"/>
      <c r="AA68" s="93"/>
    </row>
    <row r="69" spans="1:27">
      <c r="A69" s="93"/>
      <c r="B69" s="93"/>
      <c r="C69" s="93"/>
      <c r="D69" s="93" t="s">
        <v>3623</v>
      </c>
      <c r="E69" s="93"/>
      <c r="F69" s="93"/>
      <c r="G69" s="93"/>
      <c r="H69" s="93"/>
      <c r="I69" s="93"/>
      <c r="J69" s="93"/>
      <c r="K69" s="93"/>
      <c r="M69" s="566">
        <f>N69</f>
        <v>3.2185681228525345E-2</v>
      </c>
      <c r="N69" s="567">
        <f>IF('User Inputs &amp; Results'!$J$78&lt;10,'Emissions Factors'!G56,IF(AND('User Inputs &amp; Results'!$J$78&gt;=10,'User Inputs &amp; Results'!$J$78&lt;20),'Emissions Factors'!G57,IF(AND('User Inputs &amp; Results'!$J$78&gt;=20,'User Inputs &amp; Results'!$J$78&lt;30),'Emissions Factors'!G58,'Emissions Factors'!G59)))/1000000</f>
        <v>3.2185681228525345E-2</v>
      </c>
      <c r="O69" s="93" t="s">
        <v>729</v>
      </c>
      <c r="P69" s="93"/>
      <c r="Q69" s="76"/>
      <c r="R69" s="93"/>
      <c r="S69" s="93"/>
      <c r="T69" s="93"/>
      <c r="U69" s="93"/>
      <c r="V69" s="93"/>
      <c r="W69" s="93"/>
      <c r="X69" s="72"/>
      <c r="Y69" s="93"/>
      <c r="Z69" s="93"/>
      <c r="AA69" s="93"/>
    </row>
    <row r="70" spans="1:27">
      <c r="A70" s="93"/>
      <c r="B70" s="93"/>
      <c r="C70" s="93"/>
      <c r="D70" s="93" t="s">
        <v>3624</v>
      </c>
      <c r="E70" s="93"/>
      <c r="F70" s="93"/>
      <c r="G70" s="93"/>
      <c r="H70" s="93"/>
      <c r="I70" s="93"/>
      <c r="J70" s="93"/>
      <c r="K70" s="93"/>
      <c r="M70" s="566">
        <f>N70</f>
        <v>9.9221653460486642E-2</v>
      </c>
      <c r="N70" s="567">
        <f>IF('User Inputs &amp; Results'!$J$78&lt;10,'Emissions Factors'!H56,IF(AND('User Inputs &amp; Results'!$J$78&gt;=10,'User Inputs &amp; Results'!$J$78&lt;20),'Emissions Factors'!H57,IF(AND('User Inputs &amp; Results'!$J$78&gt;=20,'User Inputs &amp; Results'!$J$78&lt;30),'Emissions Factors'!H58,'Emissions Factors'!H59)))/1000000</f>
        <v>9.9221653460486642E-2</v>
      </c>
      <c r="O70" s="93" t="s">
        <v>729</v>
      </c>
      <c r="P70" s="93"/>
      <c r="Q70" s="76"/>
      <c r="R70" s="93"/>
      <c r="S70" s="93"/>
      <c r="T70" s="93"/>
      <c r="U70" s="93"/>
      <c r="V70" s="93"/>
      <c r="W70" s="93"/>
      <c r="X70" s="72"/>
      <c r="Y70" s="93"/>
      <c r="Z70" s="93"/>
      <c r="AA70" s="93"/>
    </row>
    <row r="71" spans="1:27">
      <c r="A71"/>
      <c r="B71" t="s">
        <v>3625</v>
      </c>
      <c r="C71"/>
      <c r="D71"/>
      <c r="E71"/>
      <c r="F71"/>
      <c r="G71"/>
      <c r="H71"/>
      <c r="I71"/>
      <c r="J71"/>
      <c r="K71"/>
      <c r="L71"/>
      <c r="M71" s="93"/>
      <c r="N71" s="94"/>
      <c r="O71" s="93"/>
      <c r="P71" s="93"/>
      <c r="Q71" s="76"/>
      <c r="R71" s="93"/>
      <c r="S71" s="93"/>
      <c r="T71" s="93"/>
      <c r="U71" s="93"/>
      <c r="V71" s="93"/>
      <c r="W71" s="93"/>
      <c r="X71" s="72"/>
      <c r="Y71" s="93"/>
      <c r="Z71" s="93"/>
      <c r="AA71" s="93"/>
    </row>
    <row r="72" spans="1:27">
      <c r="A72"/>
      <c r="B72"/>
      <c r="C72" t="s">
        <v>3626</v>
      </c>
      <c r="D72"/>
      <c r="E72"/>
      <c r="F72"/>
      <c r="G72"/>
      <c r="H72"/>
      <c r="I72"/>
      <c r="J72"/>
      <c r="K72"/>
      <c r="L72"/>
      <c r="M72" s="206">
        <f>M67</f>
        <v>210</v>
      </c>
      <c r="N72" s="207">
        <f>N67</f>
        <v>4098</v>
      </c>
      <c r="O72" s="93" t="s">
        <v>719</v>
      </c>
      <c r="P72" s="93"/>
      <c r="Q72" s="76" t="s">
        <v>726</v>
      </c>
      <c r="R72" s="93"/>
      <c r="S72" s="93"/>
      <c r="T72" s="93"/>
      <c r="U72" s="93"/>
      <c r="V72" s="93"/>
      <c r="W72" s="93"/>
      <c r="X72" s="72"/>
      <c r="Y72" s="93"/>
      <c r="Z72" s="93"/>
      <c r="AA72" s="93"/>
    </row>
    <row r="73" spans="1:27">
      <c r="A73"/>
      <c r="B73"/>
      <c r="C73" t="s">
        <v>3627</v>
      </c>
      <c r="D73"/>
      <c r="E73"/>
      <c r="F73"/>
      <c r="G73"/>
      <c r="H73"/>
      <c r="I73"/>
      <c r="J73"/>
      <c r="K73"/>
      <c r="L73"/>
      <c r="M73" s="119"/>
      <c r="N73" s="240"/>
      <c r="P73" s="93"/>
      <c r="Q73" s="76"/>
      <c r="R73" s="93"/>
      <c r="S73" s="93"/>
      <c r="T73" s="93"/>
      <c r="U73" s="93"/>
      <c r="V73" s="93"/>
      <c r="W73" s="93"/>
      <c r="X73" s="72"/>
      <c r="Y73" s="93"/>
      <c r="Z73" s="93"/>
      <c r="AA73" s="93"/>
    </row>
    <row r="74" spans="1:27">
      <c r="A74"/>
      <c r="B74"/>
      <c r="C74"/>
      <c r="D74" t="s">
        <v>3628</v>
      </c>
      <c r="E74"/>
      <c r="F74"/>
      <c r="G74"/>
      <c r="H74"/>
      <c r="I74"/>
      <c r="J74"/>
      <c r="K74"/>
      <c r="L74"/>
      <c r="M74" s="20">
        <f>N74</f>
        <v>0</v>
      </c>
      <c r="N74" s="21">
        <v>0</v>
      </c>
      <c r="O74" s="93" t="s">
        <v>729</v>
      </c>
      <c r="P74" s="93"/>
      <c r="Q74" s="76"/>
      <c r="R74" s="93"/>
      <c r="S74" s="93"/>
      <c r="T74" s="93"/>
      <c r="U74" s="93"/>
      <c r="V74" s="93"/>
      <c r="W74" s="93"/>
      <c r="X74" s="72"/>
      <c r="Y74" s="93"/>
      <c r="Z74" s="93"/>
      <c r="AA74" s="93"/>
    </row>
    <row r="75" spans="1:27">
      <c r="A75"/>
      <c r="B75"/>
      <c r="C75"/>
      <c r="D75" t="s">
        <v>3629</v>
      </c>
      <c r="E75"/>
      <c r="F75"/>
      <c r="G75"/>
      <c r="H75"/>
      <c r="I75"/>
      <c r="J75"/>
      <c r="K75"/>
      <c r="L75"/>
      <c r="M75" s="122">
        <f>N75</f>
        <v>0.17006802721088435</v>
      </c>
      <c r="N75" s="326">
        <f>IF('User Inputs &amp; Results'!$J$78&lt;10,'Emissions Factors'!H61,IF(AND('User Inputs &amp; Results'!$J$78&gt;=10,'User Inputs &amp; Results'!$J$78&lt;20),'Emissions Factors'!H62,IF(AND('User Inputs &amp; Results'!$J$78&gt;=20,'User Inputs &amp; Results'!$J$78&lt;30),'Emissions Factors'!H63,'Emissions Factors'!H64)))/1000000</f>
        <v>0.17006802721088435</v>
      </c>
      <c r="O75" s="93" t="s">
        <v>729</v>
      </c>
      <c r="P75" s="93"/>
      <c r="Q75" s="76"/>
      <c r="R75" s="93"/>
      <c r="S75" s="93"/>
      <c r="T75" s="93"/>
      <c r="U75" s="93"/>
      <c r="V75" s="93"/>
      <c r="W75" s="93"/>
      <c r="X75" s="72"/>
      <c r="Y75" s="93"/>
      <c r="Z75" s="93"/>
      <c r="AA75" s="93"/>
    </row>
    <row r="76" spans="1:27">
      <c r="A76"/>
      <c r="B76" t="s">
        <v>3630</v>
      </c>
      <c r="C76"/>
      <c r="D76"/>
      <c r="E76"/>
      <c r="F76"/>
      <c r="G76"/>
      <c r="H76"/>
      <c r="I76"/>
      <c r="J76"/>
      <c r="K76"/>
      <c r="L76"/>
      <c r="M76" s="93"/>
      <c r="N76" s="93"/>
      <c r="O76" s="93"/>
      <c r="P76" s="93"/>
      <c r="Q76" s="76"/>
      <c r="R76" s="93"/>
      <c r="S76" s="93"/>
      <c r="T76" s="93"/>
      <c r="U76" s="93"/>
      <c r="V76" s="93"/>
      <c r="W76" s="93"/>
      <c r="X76" s="72"/>
      <c r="Y76" s="93"/>
      <c r="Z76" s="93"/>
      <c r="AA76" s="93"/>
    </row>
    <row r="77" spans="1:27">
      <c r="A77"/>
      <c r="B77"/>
      <c r="C77" t="s">
        <v>3631</v>
      </c>
      <c r="D77"/>
      <c r="E77"/>
      <c r="F77"/>
      <c r="G77"/>
      <c r="H77"/>
      <c r="I77"/>
      <c r="J77"/>
      <c r="K77"/>
      <c r="L77"/>
      <c r="M77" s="14">
        <f>'Gas Balance'!M23*365</f>
        <v>573614.76795869996</v>
      </c>
      <c r="N77" s="210">
        <f>M77</f>
        <v>573614.76795869996</v>
      </c>
      <c r="O77" t="s">
        <v>724</v>
      </c>
      <c r="P77"/>
      <c r="Q77"/>
      <c r="R77"/>
      <c r="S77" s="93"/>
      <c r="T77" s="93"/>
      <c r="U77" s="93"/>
      <c r="V77" s="93"/>
      <c r="W77" s="93"/>
      <c r="X77" s="72"/>
      <c r="Y77" s="93"/>
      <c r="Z77" s="93"/>
      <c r="AA77" s="93"/>
    </row>
    <row r="78" spans="1:27">
      <c r="A78"/>
      <c r="B78"/>
      <c r="C78" t="s">
        <v>4011</v>
      </c>
      <c r="D78"/>
      <c r="E78"/>
      <c r="F78"/>
      <c r="G78"/>
      <c r="H78"/>
      <c r="I78"/>
      <c r="J78"/>
      <c r="K78"/>
      <c r="L78"/>
      <c r="M78" s="119"/>
      <c r="N78" s="119"/>
      <c r="O78"/>
      <c r="P78"/>
      <c r="Q78"/>
      <c r="R78"/>
      <c r="S78" s="93"/>
      <c r="T78" s="93"/>
      <c r="U78" s="93"/>
      <c r="V78" s="93"/>
      <c r="W78" s="93"/>
      <c r="X78" s="72"/>
      <c r="Y78" s="93"/>
      <c r="Z78" s="93"/>
      <c r="AA78" s="93"/>
    </row>
    <row r="79" spans="1:27">
      <c r="A79"/>
      <c r="B79"/>
      <c r="C79"/>
      <c r="D79" t="s">
        <v>4012</v>
      </c>
      <c r="E79"/>
      <c r="F79"/>
      <c r="G79"/>
      <c r="H79"/>
      <c r="I79"/>
      <c r="J79"/>
      <c r="K79"/>
      <c r="L79"/>
      <c r="M79" s="566">
        <f>N79</f>
        <v>1.7200000000000001E-4</v>
      </c>
      <c r="N79" s="567">
        <f>'Emissions Factors'!G66/1000000</f>
        <v>1.7200000000000001E-4</v>
      </c>
      <c r="O79" t="s">
        <v>727</v>
      </c>
      <c r="P79"/>
      <c r="Q79"/>
      <c r="R79"/>
      <c r="S79" s="93"/>
      <c r="T79" s="93"/>
      <c r="U79" s="93"/>
      <c r="V79" s="93"/>
      <c r="W79" s="93"/>
      <c r="X79" s="72"/>
      <c r="Y79" s="93"/>
      <c r="Z79" s="93"/>
      <c r="AA79" s="93"/>
    </row>
    <row r="80" spans="1:27">
      <c r="A80"/>
      <c r="B80"/>
      <c r="C80"/>
      <c r="D80" t="s">
        <v>4013</v>
      </c>
      <c r="E80"/>
      <c r="F80"/>
      <c r="G80"/>
      <c r="H80"/>
      <c r="I80"/>
      <c r="J80"/>
      <c r="K80"/>
      <c r="L80"/>
      <c r="M80" s="566">
        <f>N80</f>
        <v>3.9249999999999997E-3</v>
      </c>
      <c r="N80" s="567">
        <f>'Emissions Factors'!H66/1000000</f>
        <v>3.9249999999999997E-3</v>
      </c>
      <c r="O80" t="s">
        <v>727</v>
      </c>
      <c r="P80"/>
      <c r="Q80"/>
      <c r="R80"/>
      <c r="S80" s="93"/>
      <c r="T80" s="93"/>
      <c r="U80" s="93"/>
      <c r="V80" s="93"/>
      <c r="W80" s="93"/>
      <c r="X80" s="72"/>
      <c r="Y80" s="93"/>
      <c r="Z80" s="93"/>
      <c r="AA80" s="93"/>
    </row>
    <row r="81" spans="1:27">
      <c r="A81"/>
      <c r="B81" t="s">
        <v>3632</v>
      </c>
      <c r="C81"/>
      <c r="D81"/>
      <c r="E81"/>
      <c r="F81"/>
      <c r="G81"/>
      <c r="H81"/>
      <c r="I81"/>
      <c r="J81"/>
      <c r="K81"/>
      <c r="L81"/>
      <c r="M81" s="94"/>
      <c r="N81" s="94"/>
      <c r="O81"/>
      <c r="P81"/>
      <c r="Q81"/>
      <c r="R81"/>
      <c r="S81" s="93"/>
      <c r="T81" s="93"/>
      <c r="U81" s="93"/>
      <c r="V81" s="93"/>
      <c r="W81" s="93"/>
      <c r="X81" s="72"/>
      <c r="Y81" s="93"/>
      <c r="Z81" s="93"/>
      <c r="AA81" s="93"/>
    </row>
    <row r="82" spans="1:27">
      <c r="A82"/>
      <c r="B82"/>
      <c r="C82" t="s">
        <v>3633</v>
      </c>
      <c r="D82"/>
      <c r="E82"/>
      <c r="F82"/>
      <c r="G82"/>
      <c r="H82"/>
      <c r="I82"/>
      <c r="J82"/>
      <c r="K82"/>
      <c r="L82"/>
      <c r="M82" s="14">
        <f>'Gas Balance'!M23*365</f>
        <v>573614.76795869996</v>
      </c>
      <c r="N82" s="210">
        <f>'Gas Balance'!M23*365</f>
        <v>573614.76795869996</v>
      </c>
      <c r="O82" t="s">
        <v>724</v>
      </c>
      <c r="P82"/>
      <c r="Q82" t="s">
        <v>1154</v>
      </c>
      <c r="R82"/>
      <c r="S82" s="93"/>
      <c r="T82" s="93"/>
      <c r="U82" s="93"/>
      <c r="V82" s="93"/>
      <c r="W82" s="93"/>
      <c r="X82" s="72"/>
      <c r="Y82" s="93"/>
      <c r="Z82" s="93"/>
      <c r="AA82" s="93"/>
    </row>
    <row r="83" spans="1:27">
      <c r="A83"/>
      <c r="B83"/>
      <c r="C83" t="s">
        <v>3634</v>
      </c>
      <c r="D83"/>
      <c r="E83"/>
      <c r="F83"/>
      <c r="G83"/>
      <c r="H83"/>
      <c r="I83"/>
      <c r="J83"/>
      <c r="K83"/>
      <c r="L83"/>
      <c r="M83" s="119"/>
      <c r="N83" s="119"/>
      <c r="O83"/>
      <c r="P83"/>
      <c r="Q83"/>
      <c r="R83"/>
      <c r="S83" s="93"/>
      <c r="T83" s="93"/>
      <c r="U83" s="93"/>
      <c r="V83" s="93"/>
      <c r="W83" s="93"/>
      <c r="X83" s="72"/>
      <c r="Y83" s="93"/>
      <c r="Z83" s="93"/>
      <c r="AA83" s="93"/>
    </row>
    <row r="84" spans="1:27">
      <c r="A84"/>
      <c r="B84"/>
      <c r="C84"/>
      <c r="D84" t="s">
        <v>3635</v>
      </c>
      <c r="E84"/>
      <c r="F84"/>
      <c r="G84"/>
      <c r="H84"/>
      <c r="I84"/>
      <c r="J84"/>
      <c r="K84"/>
      <c r="L84"/>
      <c r="M84" s="35">
        <f>N84</f>
        <v>0</v>
      </c>
      <c r="N84" s="567">
        <f>'Emissions Factors'!G68/1000000</f>
        <v>0</v>
      </c>
      <c r="O84" t="s">
        <v>727</v>
      </c>
      <c r="P84"/>
      <c r="Q84"/>
      <c r="R84"/>
      <c r="S84" s="93"/>
      <c r="T84" s="93"/>
      <c r="U84" s="93"/>
      <c r="V84" s="93"/>
      <c r="W84" s="93"/>
      <c r="X84" s="72"/>
      <c r="Y84" s="93"/>
      <c r="Z84" s="93"/>
      <c r="AA84" s="93"/>
    </row>
    <row r="85" spans="1:27">
      <c r="A85"/>
      <c r="B85"/>
      <c r="C85"/>
      <c r="D85" t="s">
        <v>3636</v>
      </c>
      <c r="E85"/>
      <c r="F85"/>
      <c r="G85"/>
      <c r="H85"/>
      <c r="I85"/>
      <c r="J85"/>
      <c r="K85"/>
      <c r="L85"/>
      <c r="M85" s="35">
        <f>N85</f>
        <v>1.8540829869424295E-2</v>
      </c>
      <c r="N85" s="567">
        <f>'Emissions Factors'!H68/1000000</f>
        <v>1.8540829869424295E-2</v>
      </c>
      <c r="O85" t="s">
        <v>727</v>
      </c>
      <c r="P85"/>
      <c r="Q85"/>
      <c r="R85"/>
      <c r="S85" s="93"/>
      <c r="T85" s="93"/>
      <c r="U85" s="93"/>
      <c r="V85" s="93"/>
      <c r="W85" s="93"/>
      <c r="X85" s="72"/>
      <c r="Y85" s="93"/>
      <c r="Z85" s="93"/>
      <c r="AA85" s="93"/>
    </row>
    <row r="86" spans="1:27">
      <c r="A86"/>
      <c r="B86" t="s">
        <v>3637</v>
      </c>
      <c r="C86"/>
      <c r="D86"/>
      <c r="E86"/>
      <c r="F86"/>
      <c r="G86"/>
      <c r="H86"/>
      <c r="I86"/>
      <c r="J86"/>
      <c r="K86"/>
      <c r="L86"/>
      <c r="M86" s="93"/>
      <c r="N86" s="93"/>
      <c r="O86"/>
      <c r="P86"/>
      <c r="Q86"/>
      <c r="R86"/>
      <c r="S86" s="93"/>
      <c r="T86" s="93"/>
      <c r="U86" s="93"/>
      <c r="V86" s="93"/>
      <c r="W86" s="93"/>
      <c r="X86" s="72"/>
      <c r="Y86" s="93"/>
      <c r="Z86" s="93"/>
      <c r="AA86" s="93"/>
    </row>
    <row r="87" spans="1:27">
      <c r="A87"/>
      <c r="B87"/>
      <c r="C87" t="s">
        <v>3638</v>
      </c>
      <c r="D87"/>
      <c r="E87"/>
      <c r="F87"/>
      <c r="G87"/>
      <c r="H87"/>
      <c r="I87"/>
      <c r="J87"/>
      <c r="K87"/>
      <c r="L87"/>
      <c r="M87" s="14">
        <f>N87</f>
        <v>1424.335943934901</v>
      </c>
      <c r="N87" s="210">
        <f>N41</f>
        <v>1424.335943934901</v>
      </c>
      <c r="O87" s="93" t="s">
        <v>720</v>
      </c>
      <c r="P87" s="93"/>
      <c r="Q87" s="76"/>
      <c r="R87" s="93"/>
      <c r="S87" s="93"/>
      <c r="T87" s="93"/>
      <c r="U87" s="93"/>
      <c r="V87" s="93"/>
      <c r="W87" s="93"/>
      <c r="X87" s="72"/>
      <c r="Y87" s="93"/>
      <c r="Z87" s="93"/>
      <c r="AA87" s="93"/>
    </row>
    <row r="88" spans="1:27">
      <c r="A88"/>
      <c r="B88"/>
      <c r="C88" t="s">
        <v>3639</v>
      </c>
      <c r="D88"/>
      <c r="E88"/>
      <c r="F88"/>
      <c r="G88"/>
      <c r="H88"/>
      <c r="I88"/>
      <c r="J88"/>
      <c r="K88"/>
      <c r="L88"/>
      <c r="M88" s="119"/>
      <c r="N88" s="119"/>
      <c r="P88" s="93"/>
      <c r="Q88" s="76"/>
      <c r="R88" s="93"/>
      <c r="S88" s="93"/>
      <c r="T88" s="93"/>
      <c r="U88" s="93"/>
      <c r="V88" s="93"/>
      <c r="W88" s="93"/>
      <c r="X88" s="72"/>
      <c r="Y88" s="93"/>
      <c r="Z88" s="93"/>
      <c r="AA88" s="93"/>
    </row>
    <row r="89" spans="1:27">
      <c r="A89"/>
      <c r="B89"/>
      <c r="C89"/>
      <c r="D89" t="s">
        <v>3640</v>
      </c>
      <c r="E89"/>
      <c r="F89"/>
      <c r="G89"/>
      <c r="H89"/>
      <c r="I89"/>
      <c r="J89"/>
      <c r="K89"/>
      <c r="L89"/>
      <c r="M89" s="122">
        <f>N89</f>
        <v>0.14248366013071895</v>
      </c>
      <c r="N89" s="326">
        <f>'Emissions Factors'!G69/1000000</f>
        <v>0.14248366013071895</v>
      </c>
      <c r="O89" s="93" t="s">
        <v>730</v>
      </c>
      <c r="P89" s="93"/>
      <c r="Q89" s="76"/>
      <c r="R89" s="93"/>
      <c r="S89" s="93"/>
      <c r="T89" s="93"/>
      <c r="U89" s="93"/>
      <c r="V89" s="93"/>
      <c r="W89" s="93"/>
      <c r="X89" s="72"/>
      <c r="Y89" s="93"/>
      <c r="Z89" s="93"/>
      <c r="AA89" s="93"/>
    </row>
    <row r="90" spans="1:27">
      <c r="A90"/>
      <c r="B90"/>
      <c r="C90"/>
      <c r="D90" t="s">
        <v>3641</v>
      </c>
      <c r="E90"/>
      <c r="F90"/>
      <c r="G90"/>
      <c r="H90"/>
      <c r="I90"/>
      <c r="J90"/>
      <c r="K90"/>
      <c r="L90"/>
      <c r="M90" s="122">
        <f>N90</f>
        <v>0.37777777777777777</v>
      </c>
      <c r="N90" s="326">
        <f>'Emissions Factors'!H69/1000000</f>
        <v>0.37777777777777777</v>
      </c>
      <c r="O90" s="93" t="s">
        <v>730</v>
      </c>
      <c r="P90" s="93"/>
      <c r="Q90" s="76"/>
      <c r="R90" s="93"/>
      <c r="S90" s="93"/>
      <c r="T90" s="93"/>
      <c r="U90" s="93"/>
      <c r="V90" s="93"/>
      <c r="W90" s="93"/>
      <c r="X90" s="72"/>
      <c r="Y90" s="93"/>
      <c r="Z90" s="93"/>
      <c r="AA90" s="93"/>
    </row>
    <row r="91" spans="1:27">
      <c r="A91"/>
      <c r="B91" t="s">
        <v>3642</v>
      </c>
      <c r="C91"/>
      <c r="D91"/>
      <c r="E91"/>
      <c r="F91"/>
      <c r="G91"/>
      <c r="H91"/>
      <c r="I91"/>
      <c r="J91"/>
      <c r="K91"/>
      <c r="L91"/>
      <c r="M91" s="93"/>
      <c r="N91" s="93"/>
      <c r="O91" s="93"/>
      <c r="P91" s="93"/>
      <c r="Q91" s="76"/>
      <c r="R91" s="93"/>
      <c r="S91" s="93"/>
      <c r="T91" s="93"/>
      <c r="U91" s="93"/>
      <c r="V91" s="93"/>
      <c r="W91" s="93"/>
      <c r="X91" s="72"/>
      <c r="Y91" s="93"/>
      <c r="Z91" s="93"/>
      <c r="AA91" s="93"/>
    </row>
    <row r="92" spans="1:27">
      <c r="A92"/>
      <c r="B92"/>
      <c r="C92" t="s">
        <v>3643</v>
      </c>
      <c r="D92"/>
      <c r="E92"/>
      <c r="F92"/>
      <c r="G92"/>
      <c r="H92"/>
      <c r="I92"/>
      <c r="J92"/>
      <c r="K92"/>
      <c r="L92"/>
      <c r="M92" s="206">
        <f>N92</f>
        <v>4160</v>
      </c>
      <c r="N92" s="207">
        <f>ROUND(((0.75*379+3228+40+5)/234093299)*'Production &amp; Extraction'!M35*365,0)</f>
        <v>4160</v>
      </c>
      <c r="O92" s="93" t="s">
        <v>719</v>
      </c>
      <c r="P92" s="93"/>
      <c r="Q92" s="76" t="s">
        <v>731</v>
      </c>
      <c r="R92" s="93"/>
      <c r="S92" s="93"/>
      <c r="T92" s="93"/>
      <c r="U92" s="93"/>
      <c r="V92" s="93"/>
      <c r="W92" s="93"/>
      <c r="X92" s="72"/>
      <c r="Y92" s="93"/>
      <c r="Z92" s="93"/>
      <c r="AA92" s="93"/>
    </row>
    <row r="93" spans="1:27">
      <c r="A93"/>
      <c r="B93"/>
      <c r="C93" t="s">
        <v>3644</v>
      </c>
      <c r="D93"/>
      <c r="E93"/>
      <c r="F93"/>
      <c r="G93"/>
      <c r="H93"/>
      <c r="I93"/>
      <c r="J93"/>
      <c r="K93"/>
      <c r="L93"/>
      <c r="M93" s="119"/>
      <c r="N93" s="119"/>
      <c r="P93" s="93"/>
      <c r="Q93" s="76"/>
      <c r="R93" s="93"/>
      <c r="S93" s="93"/>
      <c r="T93" s="93"/>
      <c r="U93" s="93"/>
      <c r="V93" s="93"/>
      <c r="W93" s="93"/>
      <c r="X93" s="72"/>
      <c r="Y93" s="93"/>
      <c r="Z93" s="93"/>
      <c r="AA93" s="93"/>
    </row>
    <row r="94" spans="1:27">
      <c r="A94"/>
      <c r="B94"/>
      <c r="C94"/>
      <c r="D94" t="s">
        <v>3645</v>
      </c>
      <c r="E94"/>
      <c r="F94"/>
      <c r="G94"/>
      <c r="H94"/>
      <c r="I94"/>
      <c r="J94"/>
      <c r="K94"/>
      <c r="L94"/>
      <c r="M94" s="560">
        <f>N94</f>
        <v>2.3819835426591601E-3</v>
      </c>
      <c r="N94" s="561">
        <f>'Emissions Factors'!G70/1000000</f>
        <v>2.3819835426591601E-3</v>
      </c>
      <c r="O94" s="93" t="s">
        <v>729</v>
      </c>
      <c r="P94" s="93"/>
      <c r="Q94" s="76"/>
      <c r="R94" s="93"/>
      <c r="S94" s="93"/>
      <c r="T94" s="93"/>
      <c r="U94" s="93"/>
      <c r="V94" s="93"/>
      <c r="W94" s="93"/>
      <c r="X94" s="72"/>
      <c r="Y94" s="93"/>
      <c r="Z94" s="93"/>
      <c r="AA94" s="93"/>
    </row>
    <row r="95" spans="1:27">
      <c r="A95" s="93"/>
      <c r="B95" s="93"/>
      <c r="C95" s="93"/>
      <c r="D95" s="93" t="s">
        <v>3646</v>
      </c>
      <c r="E95" s="93"/>
      <c r="F95" s="93"/>
      <c r="G95" s="93"/>
      <c r="H95" s="93"/>
      <c r="I95" s="93"/>
      <c r="J95" s="93"/>
      <c r="K95" s="93"/>
      <c r="M95" s="560">
        <f>N95</f>
        <v>3.6812472932005201E-2</v>
      </c>
      <c r="N95" s="561">
        <f>'Emissions Factors'!H70/1000000</f>
        <v>3.6812472932005201E-2</v>
      </c>
      <c r="O95" s="93" t="s">
        <v>729</v>
      </c>
      <c r="P95" s="93"/>
      <c r="Q95" s="76"/>
      <c r="R95" s="93"/>
      <c r="S95" s="93"/>
      <c r="T95" s="93"/>
      <c r="U95" s="93"/>
      <c r="V95" s="93"/>
      <c r="W95" s="93"/>
      <c r="X95" s="72"/>
      <c r="Y95" s="93"/>
      <c r="Z95" s="93"/>
      <c r="AA95" s="93"/>
    </row>
    <row r="96" spans="1:27">
      <c r="A96" s="93"/>
      <c r="B96" s="93" t="s">
        <v>3647</v>
      </c>
      <c r="C96" s="93"/>
      <c r="D96" s="93"/>
      <c r="E96" s="93"/>
      <c r="F96" s="93"/>
      <c r="G96" s="93"/>
      <c r="H96" s="93"/>
      <c r="I96" s="93"/>
      <c r="J96" s="93"/>
      <c r="K96" s="93"/>
      <c r="L96" s="93"/>
      <c r="M96" s="93"/>
      <c r="N96" s="93"/>
      <c r="O96" s="93"/>
      <c r="P96" s="93"/>
      <c r="Q96" s="76"/>
      <c r="R96" s="93"/>
      <c r="S96" s="93"/>
      <c r="T96" s="93"/>
      <c r="U96" s="93"/>
      <c r="V96" s="93"/>
      <c r="W96" s="93"/>
      <c r="X96" s="72"/>
      <c r="Y96" s="93"/>
      <c r="Z96" s="93"/>
      <c r="AA96" s="93"/>
    </row>
    <row r="97" spans="1:34">
      <c r="A97" s="93"/>
      <c r="B97" s="93"/>
      <c r="C97" s="93" t="s">
        <v>3648</v>
      </c>
      <c r="D97" s="93"/>
      <c r="E97" s="93"/>
      <c r="F97" s="93"/>
      <c r="G97" s="93"/>
      <c r="H97" s="93"/>
      <c r="I97" s="93"/>
      <c r="J97" s="93"/>
      <c r="K97" s="93"/>
      <c r="M97" s="14">
        <f>N97</f>
        <v>292.35138422309132</v>
      </c>
      <c r="N97" s="210">
        <f>(250/234093299)*'Production &amp; Extraction'!M35*365</f>
        <v>292.35138422309132</v>
      </c>
      <c r="O97" s="93" t="s">
        <v>719</v>
      </c>
      <c r="P97" s="93"/>
      <c r="Q97" s="76" t="s">
        <v>732</v>
      </c>
      <c r="R97" s="93"/>
      <c r="S97" s="93"/>
      <c r="T97" s="93"/>
      <c r="U97" s="93"/>
      <c r="V97" s="93"/>
      <c r="W97" s="93"/>
      <c r="X97" s="72"/>
      <c r="Y97" s="93"/>
      <c r="Z97" s="93"/>
      <c r="AA97" s="93"/>
    </row>
    <row r="98" spans="1:34">
      <c r="A98" s="93"/>
      <c r="B98" s="93"/>
      <c r="C98" s="93" t="s">
        <v>3644</v>
      </c>
      <c r="D98" s="93"/>
      <c r="E98" s="93"/>
      <c r="F98" s="93"/>
      <c r="G98" s="93"/>
      <c r="H98" s="93"/>
      <c r="I98" s="93"/>
      <c r="J98" s="93"/>
      <c r="K98" s="93"/>
      <c r="M98" s="119"/>
      <c r="N98" s="119"/>
      <c r="P98" s="93"/>
      <c r="Q98" s="76"/>
      <c r="R98" s="93"/>
      <c r="S98" s="93"/>
      <c r="T98" s="93"/>
      <c r="U98" s="93"/>
      <c r="V98" s="93"/>
      <c r="W98" s="93"/>
      <c r="X98" s="72"/>
      <c r="Y98" s="93"/>
      <c r="Z98" s="93"/>
      <c r="AA98" s="93"/>
    </row>
    <row r="99" spans="1:34">
      <c r="A99" s="93"/>
      <c r="B99" s="93"/>
      <c r="C99" s="93"/>
      <c r="D99" s="93" t="s">
        <v>3645</v>
      </c>
      <c r="E99" s="93"/>
      <c r="F99" s="93"/>
      <c r="G99" s="93"/>
      <c r="H99" s="93"/>
      <c r="I99" s="93"/>
      <c r="J99" s="93"/>
      <c r="K99" s="93"/>
      <c r="M99" s="60">
        <f>N99</f>
        <v>0</v>
      </c>
      <c r="N99" s="50">
        <v>0</v>
      </c>
      <c r="O99" s="93" t="s">
        <v>729</v>
      </c>
      <c r="P99" s="93"/>
      <c r="Q99" s="76"/>
      <c r="R99" s="93"/>
      <c r="S99" s="93"/>
      <c r="T99" s="93"/>
      <c r="U99" s="93"/>
      <c r="V99" s="93"/>
      <c r="W99" s="93"/>
      <c r="X99" s="72"/>
      <c r="Y99" s="93"/>
      <c r="Z99" s="93"/>
      <c r="AA99" s="93"/>
    </row>
    <row r="100" spans="1:34">
      <c r="A100" s="93"/>
      <c r="B100" s="93"/>
      <c r="C100" s="93"/>
      <c r="D100" s="93" t="s">
        <v>3646</v>
      </c>
      <c r="E100" s="93"/>
      <c r="F100" s="93"/>
      <c r="G100" s="93"/>
      <c r="H100" s="93"/>
      <c r="I100" s="93"/>
      <c r="J100" s="93"/>
      <c r="K100" s="93"/>
      <c r="M100" s="122">
        <f>N100</f>
        <v>1.056</v>
      </c>
      <c r="N100" s="326">
        <f>'Emissions Factors'!H71/1000000</f>
        <v>1.056</v>
      </c>
      <c r="O100" s="93" t="s">
        <v>729</v>
      </c>
      <c r="P100" s="93"/>
      <c r="Q100" s="76"/>
      <c r="R100" s="93"/>
      <c r="S100" s="93"/>
      <c r="T100" s="93"/>
      <c r="U100" s="93"/>
      <c r="V100" s="93"/>
      <c r="W100" s="93"/>
      <c r="X100" s="72"/>
      <c r="Y100" s="93"/>
      <c r="Z100" s="93"/>
      <c r="AA100" s="93"/>
    </row>
    <row r="101" spans="1:34">
      <c r="A101" s="93"/>
      <c r="B101" s="93" t="s">
        <v>3649</v>
      </c>
      <c r="C101" s="93"/>
      <c r="D101" s="93"/>
      <c r="E101" s="93"/>
      <c r="F101" s="93"/>
      <c r="G101" s="93"/>
      <c r="H101" s="93"/>
      <c r="I101" s="93"/>
      <c r="J101" s="93"/>
      <c r="K101" s="93"/>
      <c r="L101" s="93"/>
      <c r="M101" s="93"/>
      <c r="N101" s="93"/>
      <c r="O101" s="93"/>
      <c r="P101" s="93"/>
      <c r="Q101" s="76"/>
      <c r="R101" s="93"/>
      <c r="S101" s="93"/>
      <c r="T101" s="93"/>
      <c r="U101" s="93"/>
      <c r="V101" s="93"/>
      <c r="W101" s="93"/>
      <c r="X101" s="72" t="s">
        <v>1358</v>
      </c>
      <c r="Y101" s="93"/>
      <c r="Z101" s="93"/>
      <c r="AA101" s="93"/>
    </row>
    <row r="102" spans="1:34">
      <c r="A102" s="93"/>
      <c r="B102" s="93"/>
      <c r="C102" s="93" t="s">
        <v>3650</v>
      </c>
      <c r="D102" s="93"/>
      <c r="E102" s="93"/>
      <c r="F102" s="93"/>
      <c r="G102" s="93"/>
      <c r="H102" s="93"/>
      <c r="I102" s="93"/>
      <c r="J102" s="93"/>
      <c r="K102" s="564"/>
      <c r="L102" s="93"/>
      <c r="P102" s="93"/>
      <c r="Q102" s="76"/>
      <c r="R102" s="93"/>
      <c r="S102" s="93"/>
      <c r="T102" s="93"/>
      <c r="U102" s="93"/>
      <c r="V102" s="93"/>
      <c r="W102" s="93"/>
      <c r="X102" s="72"/>
      <c r="Y102" s="93"/>
      <c r="Z102" s="93"/>
      <c r="AA102" s="93"/>
    </row>
    <row r="103" spans="1:34">
      <c r="A103" s="93"/>
      <c r="B103" s="93"/>
      <c r="C103" s="93"/>
      <c r="D103" s="93" t="s">
        <v>3651</v>
      </c>
      <c r="E103" s="93"/>
      <c r="F103" s="93"/>
      <c r="G103" s="93"/>
      <c r="H103" s="93"/>
      <c r="I103" s="93"/>
      <c r="J103" s="564"/>
      <c r="K103" s="93"/>
      <c r="L103" s="93"/>
      <c r="M103" s="206">
        <f>N103</f>
        <v>892430</v>
      </c>
      <c r="N103" s="207">
        <f>IF('User Inputs &amp; Results'!J78&lt;=20,ROUND(F299*'Production &amp; Extraction'!M35*365,0),ROUND(F300*'Production &amp; Extraction'!M35*365,0))</f>
        <v>892430</v>
      </c>
      <c r="O103" s="93" t="s">
        <v>719</v>
      </c>
      <c r="P103" s="93" t="s">
        <v>3808</v>
      </c>
      <c r="Q103" s="76" t="s">
        <v>4047</v>
      </c>
      <c r="R103" s="93"/>
      <c r="S103" s="93"/>
      <c r="T103" s="93"/>
      <c r="U103" s="93"/>
      <c r="V103" s="93"/>
      <c r="W103" s="93"/>
      <c r="X103" s="72"/>
      <c r="Y103" s="93"/>
      <c r="Z103" s="93"/>
      <c r="AA103" s="93"/>
    </row>
    <row r="104" spans="1:34" ht="19.5">
      <c r="A104" s="93"/>
      <c r="B104" s="93"/>
      <c r="C104" s="93"/>
      <c r="D104" s="93" t="s">
        <v>3652</v>
      </c>
      <c r="E104" s="93"/>
      <c r="F104" s="93"/>
      <c r="G104" s="93"/>
      <c r="H104" s="93"/>
      <c r="I104" s="93"/>
      <c r="J104" s="93"/>
      <c r="K104" s="93"/>
      <c r="L104" s="93"/>
      <c r="M104" s="20">
        <f>N104</f>
        <v>0.43</v>
      </c>
      <c r="N104" s="21">
        <f>IF('User Inputs &amp; Results'!J78&gt;=25,'Input data'!F1890,IF('User Inputs &amp; Results'!J78&lt;=15,'Input data'!F1896,'Input data'!F1893))</f>
        <v>0.43</v>
      </c>
      <c r="O104" s="93" t="s">
        <v>166</v>
      </c>
      <c r="P104" s="93"/>
      <c r="Q104" s="76" t="s">
        <v>3810</v>
      </c>
      <c r="R104" s="93"/>
      <c r="S104" s="93"/>
      <c r="T104" s="93"/>
      <c r="U104" s="93"/>
      <c r="V104" s="93"/>
      <c r="W104" s="93"/>
      <c r="X104" s="72"/>
      <c r="Y104" s="72"/>
      <c r="Z104" s="72"/>
      <c r="AA104" s="72"/>
      <c r="AB104" s="547"/>
      <c r="AC104" s="547"/>
      <c r="AD104" s="547"/>
      <c r="AE104" s="547"/>
      <c r="AF104" s="547"/>
      <c r="AG104" s="547"/>
      <c r="AH104" s="547"/>
    </row>
    <row r="105" spans="1:34">
      <c r="A105" s="93"/>
      <c r="B105" s="93"/>
      <c r="C105" s="93" t="s">
        <v>3653</v>
      </c>
      <c r="D105" s="93"/>
      <c r="E105" s="93"/>
      <c r="F105" s="93"/>
      <c r="G105" s="93"/>
      <c r="H105" s="93"/>
      <c r="I105" s="93"/>
      <c r="J105" s="93"/>
      <c r="K105" s="93"/>
      <c r="L105" s="93"/>
      <c r="P105" s="93"/>
      <c r="Q105" s="76"/>
      <c r="R105" s="93"/>
      <c r="S105" s="93"/>
      <c r="T105" s="93"/>
      <c r="U105" s="93"/>
      <c r="V105" s="93"/>
      <c r="W105" s="93"/>
      <c r="X105" s="300"/>
      <c r="Y105" s="300"/>
      <c r="Z105" s="300"/>
      <c r="AA105" s="300"/>
      <c r="AB105" s="300"/>
      <c r="AC105" s="300"/>
      <c r="AD105" s="300"/>
      <c r="AE105" s="300"/>
      <c r="AF105" s="300"/>
      <c r="AG105" s="300"/>
      <c r="AH105" s="300"/>
    </row>
    <row r="106" spans="1:34">
      <c r="A106" s="93"/>
      <c r="B106" s="93"/>
      <c r="C106" s="93"/>
      <c r="D106" s="93" t="s">
        <v>3654</v>
      </c>
      <c r="E106" s="93"/>
      <c r="F106" s="93"/>
      <c r="G106" s="93"/>
      <c r="H106" s="93"/>
      <c r="I106" s="93"/>
      <c r="J106" s="93"/>
      <c r="K106" s="93"/>
      <c r="L106" s="93"/>
      <c r="M106" s="206">
        <f>N106</f>
        <v>2974767</v>
      </c>
      <c r="N106" s="207">
        <f>ROUND((N103+N112)*3,0)</f>
        <v>2974767</v>
      </c>
      <c r="O106" s="93" t="s">
        <v>719</v>
      </c>
      <c r="P106" s="93"/>
      <c r="Q106" s="82" t="s">
        <v>737</v>
      </c>
      <c r="R106" s="93"/>
      <c r="S106" s="93"/>
      <c r="T106" s="93"/>
      <c r="U106" s="93"/>
      <c r="V106" s="93"/>
      <c r="W106" s="93"/>
      <c r="X106" s="300" t="s">
        <v>733</v>
      </c>
      <c r="Y106" s="300"/>
      <c r="Z106" s="300"/>
      <c r="AA106" s="300"/>
      <c r="AB106" s="569"/>
      <c r="AC106" s="569"/>
      <c r="AD106" s="570"/>
      <c r="AE106" s="569"/>
      <c r="AF106" s="569"/>
      <c r="AG106" s="570"/>
      <c r="AH106" s="570"/>
    </row>
    <row r="107" spans="1:34" ht="19.5">
      <c r="A107" s="93"/>
      <c r="B107" s="93"/>
      <c r="C107" s="93"/>
      <c r="D107" s="93" t="s">
        <v>3655</v>
      </c>
      <c r="E107" s="93"/>
      <c r="F107" s="93"/>
      <c r="G107" s="93"/>
      <c r="H107" s="93"/>
      <c r="I107" s="93"/>
      <c r="J107" s="93"/>
      <c r="K107" s="93"/>
      <c r="L107" s="93"/>
      <c r="M107" s="20">
        <f>N107</f>
        <v>0.43</v>
      </c>
      <c r="N107" s="21">
        <f>N104</f>
        <v>0.43</v>
      </c>
      <c r="O107" s="93" t="s">
        <v>166</v>
      </c>
      <c r="P107" s="93"/>
      <c r="Q107" s="76"/>
      <c r="R107" s="93"/>
      <c r="S107" s="93"/>
      <c r="T107" s="93"/>
      <c r="U107" s="93"/>
      <c r="V107" s="93"/>
      <c r="W107" s="93"/>
      <c r="X107" s="72"/>
      <c r="Y107" s="72"/>
      <c r="Z107" s="72"/>
      <c r="AA107" s="72"/>
      <c r="AB107" s="72"/>
      <c r="AC107" s="547"/>
      <c r="AD107" s="547"/>
      <c r="AE107" s="547"/>
      <c r="AF107" s="547"/>
      <c r="AG107" s="547"/>
      <c r="AH107" s="547"/>
    </row>
    <row r="108" spans="1:34">
      <c r="A108" s="93"/>
      <c r="B108" s="93"/>
      <c r="C108" s="93" t="s">
        <v>3656</v>
      </c>
      <c r="D108" s="93"/>
      <c r="E108" s="93"/>
      <c r="F108" s="93"/>
      <c r="G108" s="93"/>
      <c r="H108" s="93"/>
      <c r="I108" s="93"/>
      <c r="J108" s="93"/>
      <c r="K108" s="93"/>
      <c r="L108" s="93"/>
      <c r="P108" s="93"/>
      <c r="Q108" s="76"/>
      <c r="R108" s="93"/>
      <c r="S108" s="93"/>
      <c r="T108" s="93"/>
      <c r="U108" s="93"/>
      <c r="V108" s="93"/>
      <c r="W108" s="93"/>
      <c r="X108" s="72"/>
      <c r="Y108" s="93"/>
      <c r="Z108" s="93"/>
      <c r="AA108" s="93"/>
    </row>
    <row r="109" spans="1:34">
      <c r="A109" s="93"/>
      <c r="B109" s="93"/>
      <c r="C109" s="93"/>
      <c r="D109" s="93" t="s">
        <v>3657</v>
      </c>
      <c r="E109" s="93"/>
      <c r="F109" s="93"/>
      <c r="G109" s="93"/>
      <c r="H109" s="93"/>
      <c r="I109" s="93"/>
      <c r="J109" s="93"/>
      <c r="K109" s="93"/>
      <c r="L109" s="93"/>
      <c r="M109" s="206">
        <f>N109</f>
        <v>991589</v>
      </c>
      <c r="N109" s="207">
        <f>ROUND(N103+N112,0)</f>
        <v>991589</v>
      </c>
      <c r="O109" s="93" t="s">
        <v>719</v>
      </c>
      <c r="P109" s="93"/>
      <c r="Q109" s="82" t="s">
        <v>737</v>
      </c>
      <c r="R109" s="93"/>
      <c r="S109" s="93"/>
      <c r="T109" s="93"/>
      <c r="U109" s="93"/>
      <c r="V109" s="93"/>
      <c r="W109" s="93"/>
      <c r="X109" s="72" t="s">
        <v>736</v>
      </c>
      <c r="Y109" s="93"/>
      <c r="Z109" s="93"/>
      <c r="AA109" s="93"/>
    </row>
    <row r="110" spans="1:34">
      <c r="A110" s="93"/>
      <c r="B110" s="93"/>
      <c r="C110" s="93"/>
      <c r="D110" s="93" t="s">
        <v>3658</v>
      </c>
      <c r="E110" s="93"/>
      <c r="F110" s="93"/>
      <c r="G110" s="93"/>
      <c r="H110" s="93"/>
      <c r="I110" s="93"/>
      <c r="J110" s="93"/>
      <c r="K110" s="93"/>
      <c r="L110" s="93"/>
      <c r="M110" s="20">
        <f>N110</f>
        <v>0.43</v>
      </c>
      <c r="N110" s="21">
        <f>N104</f>
        <v>0.43</v>
      </c>
      <c r="O110" s="93" t="s">
        <v>166</v>
      </c>
      <c r="P110" s="93"/>
      <c r="Q110" s="76"/>
      <c r="R110" s="93"/>
      <c r="S110" s="93"/>
      <c r="T110" s="93"/>
      <c r="U110" s="93"/>
      <c r="V110" s="93"/>
      <c r="W110" s="93"/>
      <c r="X110" s="72"/>
      <c r="Y110" s="93"/>
      <c r="Z110" s="93"/>
      <c r="AA110" s="93"/>
    </row>
    <row r="111" spans="1:34">
      <c r="A111" s="93"/>
      <c r="B111" s="93"/>
      <c r="C111" s="93" t="s">
        <v>3659</v>
      </c>
      <c r="D111" s="93"/>
      <c r="E111" s="93"/>
      <c r="F111" s="93"/>
      <c r="G111" s="93"/>
      <c r="H111" s="93"/>
      <c r="I111" s="93"/>
      <c r="J111" s="93"/>
      <c r="K111" s="93"/>
      <c r="L111" s="93"/>
      <c r="P111" s="93"/>
      <c r="Q111" s="76"/>
      <c r="R111" s="93"/>
      <c r="S111" s="93"/>
      <c r="T111" s="93"/>
      <c r="U111" s="93"/>
      <c r="V111" s="93"/>
      <c r="W111" s="93"/>
      <c r="X111" s="72"/>
      <c r="Y111" s="93"/>
      <c r="Z111" s="93"/>
      <c r="AA111" s="93"/>
    </row>
    <row r="112" spans="1:34">
      <c r="A112" s="93"/>
      <c r="B112" s="93"/>
      <c r="C112" s="93"/>
      <c r="D112" s="93" t="s">
        <v>3660</v>
      </c>
      <c r="E112" s="93"/>
      <c r="F112" s="93"/>
      <c r="G112" s="93"/>
      <c r="H112" s="93"/>
      <c r="I112" s="93"/>
      <c r="J112" s="93"/>
      <c r="K112" s="93"/>
      <c r="L112" s="93"/>
      <c r="M112" s="206">
        <f>N112</f>
        <v>99159</v>
      </c>
      <c r="N112" s="207">
        <f>ROUND(N103/9,0)</f>
        <v>99159</v>
      </c>
      <c r="O112" s="93" t="s">
        <v>719</v>
      </c>
      <c r="P112" s="93"/>
      <c r="Q112" s="82" t="s">
        <v>737</v>
      </c>
      <c r="R112" s="93"/>
      <c r="S112" s="93"/>
      <c r="T112" s="93"/>
      <c r="U112" s="93"/>
      <c r="V112" s="93"/>
      <c r="W112" s="93"/>
      <c r="X112" s="72" t="s">
        <v>734</v>
      </c>
      <c r="Y112" s="93"/>
      <c r="Z112" s="93"/>
      <c r="AA112" s="93"/>
    </row>
    <row r="113" spans="1:42">
      <c r="A113" s="93"/>
      <c r="B113" s="93"/>
      <c r="C113" s="93"/>
      <c r="D113" s="93" t="s">
        <v>3661</v>
      </c>
      <c r="E113" s="93"/>
      <c r="F113" s="93"/>
      <c r="G113" s="93"/>
      <c r="H113" s="93"/>
      <c r="I113" s="93"/>
      <c r="J113" s="93"/>
      <c r="K113" s="93"/>
      <c r="L113" s="93"/>
      <c r="M113" s="20">
        <f>N113</f>
        <v>0.43</v>
      </c>
      <c r="N113" s="21">
        <f>N104</f>
        <v>0.43</v>
      </c>
      <c r="O113" s="93" t="s">
        <v>166</v>
      </c>
      <c r="P113" s="93"/>
      <c r="Q113" s="76"/>
      <c r="R113" s="93"/>
      <c r="S113" s="93"/>
      <c r="T113" s="93"/>
      <c r="U113" s="93"/>
      <c r="V113" s="93"/>
      <c r="W113" s="93"/>
      <c r="X113" s="72"/>
      <c r="Y113" s="93"/>
      <c r="Z113" s="93"/>
      <c r="AA113" s="93"/>
    </row>
    <row r="114" spans="1:42">
      <c r="A114" s="93"/>
      <c r="B114" s="93"/>
      <c r="C114" s="93" t="s">
        <v>3662</v>
      </c>
      <c r="D114" s="93"/>
      <c r="E114" s="93"/>
      <c r="F114" s="93"/>
      <c r="G114" s="93"/>
      <c r="H114" s="93"/>
      <c r="I114" s="93"/>
      <c r="J114" s="93"/>
      <c r="K114" s="93"/>
      <c r="L114" s="93"/>
      <c r="P114" s="93"/>
      <c r="Q114" s="76"/>
      <c r="R114" s="93"/>
      <c r="S114" s="93"/>
      <c r="T114" s="93"/>
      <c r="U114" s="93"/>
      <c r="V114" s="93"/>
      <c r="W114" s="93"/>
      <c r="X114" s="72"/>
      <c r="Y114" s="93"/>
      <c r="Z114" s="93"/>
      <c r="AA114" s="93"/>
    </row>
    <row r="115" spans="1:42">
      <c r="A115" s="93"/>
      <c r="B115" s="93"/>
      <c r="C115" s="93"/>
      <c r="D115" s="93" t="s">
        <v>3663</v>
      </c>
      <c r="E115" s="93"/>
      <c r="F115" s="93"/>
      <c r="G115" s="93"/>
      <c r="H115" s="93"/>
      <c r="I115" s="93"/>
      <c r="J115" s="93"/>
      <c r="K115" s="93"/>
      <c r="L115" s="93"/>
      <c r="M115" s="206">
        <f>N115</f>
        <v>11801</v>
      </c>
      <c r="N115" s="207">
        <f>IF('User Inputs &amp; Results'!J78&lt;=20,ROUND(F313*'Production &amp; Extraction'!M35*365,0),ROUND(F314*'Production &amp; Extraction'!M35*365,0))</f>
        <v>11801</v>
      </c>
      <c r="O115" s="93" t="s">
        <v>719</v>
      </c>
      <c r="P115" s="93" t="s">
        <v>3808</v>
      </c>
      <c r="Q115" s="76" t="s">
        <v>4047</v>
      </c>
      <c r="R115" s="93"/>
      <c r="S115" s="93"/>
      <c r="T115" s="93"/>
      <c r="U115" s="93"/>
      <c r="V115" s="93"/>
      <c r="W115" s="93"/>
      <c r="X115" s="72"/>
      <c r="Y115" s="93"/>
      <c r="Z115" s="93"/>
      <c r="AA115" s="93"/>
    </row>
    <row r="116" spans="1:42">
      <c r="A116" s="93"/>
      <c r="B116" s="93"/>
      <c r="C116" s="93"/>
      <c r="D116" s="93" t="s">
        <v>3664</v>
      </c>
      <c r="E116" s="93"/>
      <c r="F116" s="93"/>
      <c r="G116" s="93"/>
      <c r="H116" s="93"/>
      <c r="I116" s="93"/>
      <c r="J116" s="93"/>
      <c r="K116" s="93"/>
      <c r="L116" s="93"/>
      <c r="M116" s="20">
        <f>N116</f>
        <v>0.43</v>
      </c>
      <c r="N116" s="21">
        <f>N104</f>
        <v>0.43</v>
      </c>
      <c r="O116" s="93" t="s">
        <v>166</v>
      </c>
      <c r="P116" s="93"/>
      <c r="Q116" s="76"/>
      <c r="R116" s="93"/>
      <c r="S116" s="93"/>
      <c r="T116" s="93"/>
      <c r="U116" s="93"/>
      <c r="V116" s="93"/>
      <c r="W116" s="93"/>
      <c r="X116" s="72"/>
      <c r="Y116" s="93"/>
      <c r="Z116" s="93"/>
      <c r="AA116" s="93"/>
    </row>
    <row r="117" spans="1:42">
      <c r="A117" s="93"/>
      <c r="B117" s="93"/>
      <c r="C117" s="643" t="s">
        <v>3665</v>
      </c>
      <c r="D117" s="93"/>
      <c r="E117" s="93"/>
      <c r="F117" s="93"/>
      <c r="G117" s="93"/>
      <c r="H117" s="93"/>
      <c r="I117" s="93"/>
      <c r="J117" s="93"/>
      <c r="K117" s="93"/>
      <c r="L117" s="93"/>
      <c r="P117" s="93"/>
      <c r="Q117" s="76"/>
      <c r="R117" s="93"/>
      <c r="S117" s="93"/>
      <c r="T117" s="93"/>
      <c r="U117" s="93"/>
      <c r="V117" s="93"/>
      <c r="W117" s="93"/>
      <c r="X117" s="72"/>
      <c r="Y117" s="93"/>
      <c r="Z117" s="93"/>
      <c r="AA117" s="93"/>
    </row>
    <row r="118" spans="1:42">
      <c r="A118" s="93"/>
      <c r="B118" s="93"/>
      <c r="C118" s="93"/>
      <c r="D118" s="93" t="s">
        <v>3666</v>
      </c>
      <c r="E118" s="93"/>
      <c r="F118" s="93"/>
      <c r="G118" s="93"/>
      <c r="H118" s="93"/>
      <c r="I118" s="93"/>
      <c r="J118" s="93"/>
      <c r="K118" s="93"/>
      <c r="L118" s="93"/>
      <c r="M118" s="206">
        <f>N118</f>
        <v>49579</v>
      </c>
      <c r="N118" s="207">
        <f>ROUND(0.05*(N103+N112),0)</f>
        <v>49579</v>
      </c>
      <c r="O118" s="93" t="s">
        <v>719</v>
      </c>
      <c r="P118" s="93"/>
      <c r="Q118" s="82" t="s">
        <v>737</v>
      </c>
      <c r="R118" s="93"/>
      <c r="S118" s="93"/>
      <c r="T118" s="93"/>
      <c r="U118" s="93"/>
      <c r="V118" s="93"/>
      <c r="W118" s="93"/>
      <c r="X118" s="72" t="s">
        <v>735</v>
      </c>
      <c r="Y118" s="93"/>
      <c r="Z118" s="93"/>
      <c r="AA118" s="93"/>
    </row>
    <row r="119" spans="1:42">
      <c r="A119" s="93"/>
      <c r="B119" s="93"/>
      <c r="C119" s="93"/>
      <c r="D119" s="93" t="s">
        <v>3667</v>
      </c>
      <c r="E119" s="93"/>
      <c r="F119" s="93"/>
      <c r="G119" s="93"/>
      <c r="H119" s="93"/>
      <c r="I119" s="93"/>
      <c r="J119" s="93"/>
      <c r="K119" s="93"/>
      <c r="L119" s="93"/>
      <c r="M119" s="20">
        <f>N119</f>
        <v>0.43</v>
      </c>
      <c r="N119" s="21">
        <f>N104</f>
        <v>0.43</v>
      </c>
      <c r="O119" s="93" t="s">
        <v>166</v>
      </c>
      <c r="P119" s="93"/>
      <c r="Q119" s="76"/>
      <c r="R119" s="93"/>
      <c r="S119" s="93"/>
      <c r="T119" s="93"/>
      <c r="U119" s="93"/>
      <c r="V119" s="93"/>
      <c r="W119" s="93"/>
      <c r="X119" s="72"/>
      <c r="Y119" s="93"/>
      <c r="Z119" s="93"/>
      <c r="AA119" s="93"/>
    </row>
    <row r="120" spans="1:42">
      <c r="A120" s="643" t="s">
        <v>3668</v>
      </c>
      <c r="B120" s="93"/>
      <c r="C120" s="93"/>
      <c r="D120" s="93"/>
      <c r="E120" s="93"/>
      <c r="F120" s="93"/>
      <c r="G120" s="93"/>
      <c r="H120" s="93"/>
      <c r="I120" s="93"/>
      <c r="J120" s="93"/>
      <c r="K120" s="93"/>
      <c r="L120" s="93"/>
      <c r="M120" s="571"/>
      <c r="N120" s="572"/>
      <c r="O120" s="93"/>
      <c r="P120" s="93"/>
      <c r="Q120" s="76"/>
      <c r="R120" s="93"/>
      <c r="S120" s="93"/>
      <c r="T120" s="93"/>
      <c r="U120" s="93"/>
      <c r="V120" s="93"/>
      <c r="W120" s="93"/>
      <c r="X120" s="72"/>
      <c r="Y120" s="93"/>
      <c r="Z120" s="93"/>
      <c r="AA120" s="93"/>
    </row>
    <row r="121" spans="1:42">
      <c r="A121" s="93"/>
      <c r="B121" s="643" t="s">
        <v>3669</v>
      </c>
      <c r="C121" s="93"/>
      <c r="D121" s="93"/>
      <c r="E121" s="93"/>
      <c r="F121" s="93"/>
      <c r="G121" s="93"/>
      <c r="H121" s="93"/>
      <c r="I121" s="93"/>
      <c r="J121" s="93"/>
      <c r="K121" s="93"/>
      <c r="L121" s="93"/>
      <c r="M121" s="20">
        <v>0</v>
      </c>
      <c r="N121" s="21">
        <v>0</v>
      </c>
      <c r="O121" s="93" t="s">
        <v>166</v>
      </c>
      <c r="P121" s="93"/>
      <c r="Q121" s="76"/>
      <c r="R121" s="93"/>
      <c r="S121" s="93"/>
      <c r="T121" s="93"/>
      <c r="U121" s="93"/>
      <c r="V121" s="93"/>
      <c r="W121" s="93"/>
      <c r="X121" s="72" t="s">
        <v>1359</v>
      </c>
      <c r="Y121" s="93"/>
      <c r="Z121" s="93"/>
      <c r="AA121" s="93"/>
    </row>
    <row r="122" spans="1:42">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row>
    <row r="123" spans="1:42" s="9" customFormat="1" ht="15.75">
      <c r="A123" s="9" t="s">
        <v>1178</v>
      </c>
    </row>
    <row r="124" spans="1:42">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row>
    <row r="125" spans="1:42">
      <c r="A125" s="93"/>
      <c r="B125" s="93"/>
      <c r="C125" s="93"/>
      <c r="D125" s="93"/>
      <c r="E125" s="93"/>
      <c r="F125" s="93"/>
      <c r="G125" s="93"/>
      <c r="H125" s="93"/>
      <c r="I125" s="93"/>
      <c r="J125" s="93"/>
      <c r="K125" s="93"/>
      <c r="L125" s="93"/>
      <c r="M125" s="93" t="s">
        <v>164</v>
      </c>
      <c r="N125" s="93" t="s">
        <v>239</v>
      </c>
      <c r="O125" s="93" t="s">
        <v>170</v>
      </c>
      <c r="P125" s="93"/>
      <c r="Q125" s="93"/>
      <c r="R125" s="93"/>
      <c r="S125" s="93"/>
      <c r="T125" s="93"/>
      <c r="V125" s="93"/>
      <c r="W125" s="93"/>
      <c r="X125" s="93"/>
      <c r="Y125" s="93"/>
      <c r="Z125" s="93"/>
      <c r="AA125" s="93"/>
      <c r="AC125" s="93" t="s">
        <v>348</v>
      </c>
      <c r="AP125" s="93" t="s">
        <v>171</v>
      </c>
    </row>
    <row r="126" spans="1:42">
      <c r="A126" s="643" t="s">
        <v>3758</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row>
    <row r="127" spans="1:42">
      <c r="A127" s="93"/>
      <c r="B127" s="643" t="s">
        <v>3765</v>
      </c>
      <c r="C127" s="93"/>
      <c r="D127" s="93"/>
      <c r="E127" s="93"/>
      <c r="F127" s="93"/>
      <c r="G127" s="93"/>
      <c r="H127" s="93"/>
      <c r="I127" s="93"/>
      <c r="J127" s="93"/>
      <c r="K127" s="93"/>
      <c r="L127" s="93"/>
      <c r="M127" s="14">
        <f>(M128+M129*'Input data'!C73+M130*'Input data'!C74)/1000000</f>
        <v>0</v>
      </c>
      <c r="N127" s="93" t="s">
        <v>753</v>
      </c>
      <c r="O127" s="93"/>
      <c r="P127" s="93"/>
      <c r="Q127" s="93"/>
      <c r="R127" s="93"/>
      <c r="S127" s="93"/>
      <c r="T127" s="93"/>
      <c r="U127" s="93"/>
      <c r="V127" s="93"/>
      <c r="W127" s="93"/>
      <c r="X127" s="93"/>
      <c r="Y127" s="93"/>
      <c r="Z127" s="93"/>
      <c r="AA127" s="93"/>
    </row>
    <row r="128" spans="1:42">
      <c r="A128" s="93"/>
      <c r="B128" s="93"/>
      <c r="C128" s="643" t="s">
        <v>3670</v>
      </c>
      <c r="E128" s="93"/>
      <c r="F128" s="93"/>
      <c r="G128" s="93"/>
      <c r="H128" s="93"/>
      <c r="I128" s="93"/>
      <c r="J128" s="93"/>
      <c r="K128" s="93"/>
      <c r="L128" s="93"/>
      <c r="M128" s="14">
        <f>M9*1000000*'Gas Balance'!E30/100*'Input data'!D83</f>
        <v>0</v>
      </c>
      <c r="N128" s="93" t="s">
        <v>747</v>
      </c>
      <c r="O128" s="93"/>
      <c r="P128" s="93"/>
      <c r="Q128" s="93"/>
      <c r="R128" s="93"/>
      <c r="S128" s="93"/>
      <c r="T128" s="93"/>
      <c r="U128" s="93"/>
      <c r="V128" s="93"/>
      <c r="W128" s="93"/>
      <c r="X128" s="93"/>
      <c r="Y128" s="93"/>
      <c r="Z128" s="93"/>
      <c r="AA128" s="93"/>
    </row>
    <row r="129" spans="1:27">
      <c r="A129" s="93"/>
      <c r="B129" s="93"/>
      <c r="C129" s="643" t="s">
        <v>3671</v>
      </c>
      <c r="E129" s="93"/>
      <c r="F129" s="93"/>
      <c r="G129" s="93"/>
      <c r="H129" s="93"/>
      <c r="I129" s="93"/>
      <c r="J129" s="93"/>
      <c r="K129" s="93"/>
      <c r="L129" s="93"/>
      <c r="M129" s="14">
        <f>M9*1000000*'Gas Balance'!E31/100*'Input data'!D84</f>
        <v>0</v>
      </c>
      <c r="N129" s="93" t="s">
        <v>747</v>
      </c>
      <c r="O129" s="93"/>
      <c r="P129" s="93"/>
      <c r="Q129" s="93"/>
      <c r="R129" s="93"/>
      <c r="S129" s="93"/>
      <c r="T129" s="93"/>
      <c r="U129" s="93"/>
      <c r="V129" s="93"/>
      <c r="W129" s="93"/>
      <c r="X129" s="93"/>
      <c r="Y129" s="93"/>
      <c r="Z129" s="93"/>
      <c r="AA129" s="93"/>
    </row>
    <row r="130" spans="1:27">
      <c r="A130" s="93"/>
      <c r="B130" s="93"/>
      <c r="C130" s="643" t="s">
        <v>3672</v>
      </c>
      <c r="E130" s="93"/>
      <c r="F130" s="93"/>
      <c r="G130" s="93"/>
      <c r="H130" s="93"/>
      <c r="I130" s="93"/>
      <c r="J130" s="93"/>
      <c r="K130" s="93"/>
      <c r="L130" s="93"/>
      <c r="M130" s="14">
        <f>M9*1000000*('Gas Balance'!E32/100*'Input data'!D85+'Gas Balance'!E33/100*'Input data'!D86+'Gas Balance'!E34/100*'Input data'!D87)</f>
        <v>0</v>
      </c>
      <c r="N130" s="93" t="s">
        <v>747</v>
      </c>
      <c r="O130" s="93"/>
      <c r="P130" s="93"/>
      <c r="Q130" s="93"/>
      <c r="R130" s="93"/>
      <c r="S130" s="93"/>
      <c r="T130" s="93"/>
      <c r="U130" s="93"/>
      <c r="V130" s="93"/>
      <c r="W130" s="93"/>
      <c r="X130" s="93"/>
      <c r="Y130" s="93"/>
      <c r="Z130" s="93"/>
      <c r="AA130" s="93"/>
    </row>
    <row r="131" spans="1:27" ht="15.75">
      <c r="A131" s="93"/>
      <c r="B131" s="93"/>
      <c r="C131" s="93"/>
      <c r="E131" s="93"/>
      <c r="F131" s="93"/>
      <c r="G131" s="93"/>
      <c r="H131" s="93"/>
      <c r="I131" s="93"/>
      <c r="J131" s="93"/>
      <c r="K131" s="93"/>
      <c r="L131" s="93"/>
      <c r="M131" s="573"/>
      <c r="N131" s="93"/>
      <c r="O131" s="93"/>
      <c r="P131" s="93"/>
      <c r="Q131" s="93"/>
      <c r="R131" s="93"/>
      <c r="S131" s="93"/>
      <c r="T131" s="93"/>
      <c r="U131" s="93"/>
      <c r="V131" s="93"/>
      <c r="W131" s="93"/>
      <c r="X131" s="93"/>
      <c r="Y131" s="93"/>
      <c r="Z131" s="93"/>
      <c r="AA131" s="93"/>
    </row>
    <row r="132" spans="1:27">
      <c r="A132" s="93"/>
      <c r="B132" s="119" t="s">
        <v>4127</v>
      </c>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row>
    <row r="133" spans="1:27">
      <c r="A133" s="93"/>
      <c r="B133" s="652" t="s">
        <v>424</v>
      </c>
      <c r="C133" s="544"/>
      <c r="D133" s="545"/>
      <c r="E133" s="106" t="s">
        <v>627</v>
      </c>
      <c r="F133" s="106" t="s">
        <v>625</v>
      </c>
      <c r="G133" s="106" t="s">
        <v>624</v>
      </c>
      <c r="H133" s="119"/>
      <c r="I133" s="93"/>
      <c r="J133" s="93"/>
      <c r="K133" s="93"/>
      <c r="L133" s="93"/>
      <c r="M133" s="93"/>
      <c r="N133" s="93"/>
      <c r="O133" s="93"/>
      <c r="P133" s="93"/>
      <c r="Q133" s="93"/>
      <c r="R133" s="93"/>
      <c r="S133" s="93"/>
      <c r="T133" s="93"/>
      <c r="U133" s="93"/>
      <c r="V133" s="93"/>
      <c r="W133" s="93"/>
      <c r="X133" s="93"/>
      <c r="Y133" s="93"/>
      <c r="Z133" s="93"/>
    </row>
    <row r="134" spans="1:27">
      <c r="A134" s="93"/>
      <c r="B134" s="531" t="s">
        <v>659</v>
      </c>
      <c r="C134" s="534"/>
      <c r="D134" s="532"/>
      <c r="E134" s="13"/>
      <c r="F134" s="13"/>
      <c r="G134" s="13"/>
      <c r="H134" s="93"/>
      <c r="I134" s="93"/>
      <c r="J134" s="93"/>
      <c r="K134" s="93"/>
      <c r="L134" s="93"/>
      <c r="M134" s="93"/>
      <c r="N134" s="93"/>
      <c r="O134" s="93"/>
      <c r="P134" s="93"/>
      <c r="Q134" s="93"/>
      <c r="R134" s="93"/>
      <c r="S134" s="93"/>
      <c r="T134" s="93"/>
      <c r="U134" s="93"/>
      <c r="V134" s="93"/>
      <c r="W134" s="93"/>
      <c r="X134" s="93"/>
      <c r="Y134" s="93"/>
      <c r="Z134" s="93"/>
    </row>
    <row r="135" spans="1:27">
      <c r="A135" s="93"/>
      <c r="B135" s="531"/>
      <c r="C135" s="534" t="s">
        <v>754</v>
      </c>
      <c r="D135" s="532"/>
      <c r="E135" s="13">
        <f>M11*M13*1000000/365</f>
        <v>232589.00180243177</v>
      </c>
      <c r="F135" s="13">
        <f>M11*M14*1000000/365</f>
        <v>21494052.551701751</v>
      </c>
      <c r="G135" s="13">
        <v>0</v>
      </c>
      <c r="H135" s="119"/>
      <c r="I135" s="93"/>
      <c r="J135" s="93"/>
      <c r="K135" s="93"/>
      <c r="L135" s="93"/>
      <c r="M135" s="93"/>
      <c r="N135" s="93"/>
      <c r="O135" s="93"/>
      <c r="P135" s="93"/>
      <c r="Q135" s="93"/>
      <c r="R135" s="93"/>
      <c r="S135" s="93"/>
      <c r="T135" s="93"/>
      <c r="U135" s="93"/>
      <c r="V135" s="93"/>
      <c r="W135" s="93"/>
      <c r="X135" s="93"/>
      <c r="Y135" s="93"/>
      <c r="Z135" s="93"/>
    </row>
    <row r="136" spans="1:27">
      <c r="A136" s="93"/>
      <c r="B136" s="531"/>
      <c r="C136" s="534" t="s">
        <v>755</v>
      </c>
      <c r="D136" s="532"/>
      <c r="E136" s="13">
        <f>E135/'Input data'!D83</f>
        <v>4396.5547901771797</v>
      </c>
      <c r="F136" s="13">
        <f>F135/'Input data'!D84</f>
        <v>1118707.2454937657</v>
      </c>
      <c r="G136" s="13">
        <v>0</v>
      </c>
      <c r="H136" s="119"/>
      <c r="I136" s="93"/>
      <c r="J136" s="93"/>
      <c r="K136" s="93"/>
      <c r="L136" s="93"/>
      <c r="M136" s="93"/>
      <c r="N136" s="93"/>
      <c r="O136" s="93"/>
      <c r="P136" s="93"/>
      <c r="Q136" s="93"/>
      <c r="R136" s="93"/>
      <c r="S136" s="93"/>
      <c r="T136" s="93"/>
      <c r="U136" s="93"/>
      <c r="V136" s="93"/>
      <c r="W136" s="93"/>
      <c r="X136" s="93"/>
      <c r="Y136" s="93"/>
      <c r="Z136" s="93"/>
    </row>
    <row r="137" spans="1:27">
      <c r="A137" s="93"/>
      <c r="B137" s="531"/>
      <c r="C137" s="534" t="s">
        <v>757</v>
      </c>
      <c r="D137" s="532"/>
      <c r="E137" s="13">
        <v>0</v>
      </c>
      <c r="F137" s="13">
        <f>F136*'Fuel Specs'!G132</f>
        <v>1133250439.6851847</v>
      </c>
      <c r="G137" s="13">
        <v>0</v>
      </c>
      <c r="H137" s="119"/>
      <c r="I137" s="93"/>
      <c r="J137" s="93"/>
      <c r="K137" s="93"/>
      <c r="L137" s="93"/>
      <c r="M137" s="93"/>
      <c r="N137" s="93"/>
      <c r="O137" s="93"/>
      <c r="P137" s="93"/>
      <c r="Q137" s="93"/>
      <c r="R137" s="93"/>
      <c r="S137" s="93"/>
      <c r="T137" s="93"/>
      <c r="U137" s="93"/>
      <c r="V137" s="93"/>
      <c r="W137" s="93"/>
      <c r="X137" s="93"/>
      <c r="Y137" s="93"/>
      <c r="Z137" s="93"/>
    </row>
    <row r="138" spans="1:27">
      <c r="A138" s="93"/>
      <c r="B138" s="531"/>
      <c r="C138" s="534" t="s">
        <v>756</v>
      </c>
      <c r="D138" s="532"/>
      <c r="E138" s="13">
        <v>0</v>
      </c>
      <c r="F138" s="13">
        <f>F136*'Fuel Specs'!H132</f>
        <v>1021379715.1358081</v>
      </c>
      <c r="G138" s="13">
        <v>0</v>
      </c>
      <c r="H138" s="119"/>
      <c r="I138" s="93"/>
      <c r="J138" s="93"/>
      <c r="K138" s="93"/>
      <c r="L138" s="93"/>
      <c r="M138" s="93"/>
      <c r="N138" s="93"/>
      <c r="O138" s="93"/>
      <c r="P138" s="93"/>
      <c r="Q138" s="93"/>
      <c r="R138" s="93"/>
      <c r="S138" s="93"/>
      <c r="T138" s="93"/>
      <c r="U138" s="93"/>
      <c r="V138" s="93"/>
      <c r="W138" s="93"/>
      <c r="X138" s="93"/>
      <c r="Y138" s="93"/>
      <c r="Z138" s="93"/>
    </row>
    <row r="139" spans="1:27">
      <c r="A139" s="93"/>
      <c r="B139" s="531" t="s">
        <v>694</v>
      </c>
      <c r="C139" s="534"/>
      <c r="D139" s="532"/>
      <c r="E139" s="13"/>
      <c r="F139" s="13"/>
      <c r="G139" s="13"/>
      <c r="H139" s="93"/>
      <c r="I139" s="93"/>
      <c r="J139" s="93"/>
      <c r="K139" s="93"/>
      <c r="L139" s="93"/>
      <c r="M139" s="93"/>
      <c r="N139" s="93"/>
      <c r="O139" s="93"/>
      <c r="P139" s="93"/>
      <c r="Q139" s="93"/>
      <c r="R139" s="93"/>
      <c r="S139" s="93"/>
      <c r="T139" s="93"/>
      <c r="U139" s="93"/>
      <c r="V139" s="93"/>
      <c r="W139" s="93"/>
      <c r="X139" s="93"/>
      <c r="Y139" s="93"/>
      <c r="Z139" s="93"/>
    </row>
    <row r="140" spans="1:27">
      <c r="A140" s="93"/>
      <c r="B140" s="531"/>
      <c r="C140" s="534" t="s">
        <v>754</v>
      </c>
      <c r="D140" s="532"/>
      <c r="E140" s="665">
        <f>E141*'Input data'!D83</f>
        <v>580346839.64356494</v>
      </c>
      <c r="F140" s="13">
        <v>0</v>
      </c>
      <c r="G140" s="13">
        <v>0</v>
      </c>
      <c r="H140" s="119"/>
      <c r="I140" s="93"/>
      <c r="J140" s="93"/>
      <c r="K140" s="93"/>
      <c r="L140" s="93"/>
      <c r="M140" s="93"/>
      <c r="N140" s="93"/>
      <c r="O140" s="93"/>
      <c r="P140" s="93"/>
      <c r="Q140" s="93"/>
      <c r="R140" s="93"/>
      <c r="S140" s="93"/>
      <c r="T140" s="93"/>
      <c r="U140" s="93"/>
      <c r="V140" s="93"/>
      <c r="W140" s="93"/>
      <c r="X140" s="93"/>
      <c r="Y140" s="93"/>
      <c r="Z140" s="93"/>
    </row>
    <row r="141" spans="1:27">
      <c r="A141" s="93"/>
      <c r="B141" s="531"/>
      <c r="C141" s="534" t="s">
        <v>755</v>
      </c>
      <c r="D141" s="532"/>
      <c r="E141" s="557">
        <f>M16*1000000</f>
        <v>10970108.896062281</v>
      </c>
      <c r="F141" s="13">
        <v>0</v>
      </c>
      <c r="G141" s="13">
        <v>0</v>
      </c>
      <c r="H141" s="119"/>
      <c r="I141" s="78"/>
      <c r="J141" s="93"/>
      <c r="K141" s="93"/>
      <c r="L141" s="93"/>
      <c r="M141" s="93"/>
      <c r="N141" s="93"/>
      <c r="O141" s="93"/>
      <c r="P141" s="93"/>
      <c r="Q141" s="93"/>
      <c r="R141" s="93"/>
      <c r="S141" s="93"/>
      <c r="T141" s="93"/>
      <c r="U141" s="93"/>
      <c r="V141" s="93"/>
      <c r="W141" s="93"/>
      <c r="X141" s="93"/>
      <c r="Y141" s="93"/>
      <c r="Z141" s="93"/>
    </row>
    <row r="142" spans="1:27">
      <c r="A142" s="93"/>
      <c r="B142" s="531"/>
      <c r="C142" s="534" t="s">
        <v>757</v>
      </c>
      <c r="D142" s="532"/>
      <c r="E142" s="13">
        <v>0</v>
      </c>
      <c r="F142" s="13">
        <v>0</v>
      </c>
      <c r="G142" s="13">
        <v>0</v>
      </c>
      <c r="H142" s="119"/>
      <c r="I142" s="93"/>
      <c r="J142" s="93"/>
      <c r="K142" s="93"/>
      <c r="L142" s="93"/>
      <c r="M142" s="93"/>
      <c r="N142" s="93"/>
      <c r="O142" s="93"/>
      <c r="P142" s="93"/>
      <c r="Q142" s="93"/>
      <c r="R142" s="93"/>
      <c r="S142" s="93"/>
      <c r="T142" s="93"/>
      <c r="U142" s="93"/>
      <c r="V142" s="93"/>
      <c r="W142" s="93"/>
      <c r="X142" s="93"/>
      <c r="Y142" s="93"/>
      <c r="Z142" s="93"/>
    </row>
    <row r="143" spans="1:27">
      <c r="A143" s="93"/>
      <c r="B143" s="531"/>
      <c r="C143" s="534" t="s">
        <v>756</v>
      </c>
      <c r="D143" s="532"/>
      <c r="E143" s="13">
        <v>0</v>
      </c>
      <c r="F143" s="13">
        <v>0</v>
      </c>
      <c r="G143" s="13">
        <v>0</v>
      </c>
      <c r="H143" s="119"/>
      <c r="I143" s="93"/>
      <c r="J143" s="93"/>
      <c r="K143" s="93"/>
      <c r="L143" s="93"/>
      <c r="M143" s="93"/>
      <c r="N143" s="93"/>
      <c r="O143" s="93"/>
      <c r="P143" s="93"/>
      <c r="Q143" s="93"/>
      <c r="R143" s="93"/>
      <c r="S143" s="93"/>
      <c r="T143" s="93"/>
      <c r="U143" s="93"/>
      <c r="V143" s="93"/>
      <c r="W143" s="93"/>
      <c r="X143" s="93"/>
      <c r="Y143" s="93"/>
      <c r="Z143" s="93"/>
    </row>
    <row r="144" spans="1:27">
      <c r="A144" s="93"/>
      <c r="B144" s="531" t="s">
        <v>758</v>
      </c>
      <c r="C144" s="534"/>
      <c r="D144" s="532"/>
      <c r="E144" s="13"/>
      <c r="F144" s="13"/>
      <c r="G144" s="13"/>
      <c r="H144" s="93"/>
      <c r="I144" s="93"/>
      <c r="J144" s="93"/>
      <c r="K144" s="93"/>
      <c r="L144" s="93"/>
      <c r="M144" s="93"/>
      <c r="N144" s="93"/>
      <c r="O144" s="93"/>
      <c r="P144" s="93"/>
      <c r="Q144" s="93"/>
      <c r="R144" s="93"/>
      <c r="S144" s="93"/>
      <c r="T144" s="93"/>
      <c r="U144" s="93"/>
      <c r="V144" s="93"/>
      <c r="W144" s="93"/>
      <c r="X144" s="93"/>
      <c r="Y144" s="93"/>
      <c r="Z144" s="93"/>
    </row>
    <row r="145" spans="1:26">
      <c r="A145" s="93"/>
      <c r="B145" s="531"/>
      <c r="C145" s="534" t="s">
        <v>754</v>
      </c>
      <c r="D145" s="532"/>
      <c r="E145" s="13">
        <f>(M19*M21+M24*M26)*1000000/365</f>
        <v>4120401.9104291419</v>
      </c>
      <c r="F145" s="13">
        <f>(M19*M22+M24*M27)*1000000/365</f>
        <v>9459827.6331896111</v>
      </c>
      <c r="G145" s="13">
        <v>0</v>
      </c>
      <c r="H145" s="119"/>
      <c r="I145" s="93"/>
      <c r="J145" s="93"/>
      <c r="K145" s="93"/>
      <c r="L145" s="93"/>
      <c r="M145" s="93"/>
      <c r="N145" s="93"/>
      <c r="O145" s="93"/>
      <c r="P145" s="93"/>
      <c r="Q145" s="93"/>
      <c r="R145" s="93"/>
      <c r="S145" s="93"/>
      <c r="T145" s="93"/>
      <c r="U145" s="93"/>
      <c r="V145" s="93"/>
      <c r="W145" s="93"/>
      <c r="X145" s="93"/>
      <c r="Y145" s="93"/>
      <c r="Z145" s="93"/>
    </row>
    <row r="146" spans="1:26">
      <c r="A146" s="93"/>
      <c r="B146" s="531"/>
      <c r="C146" s="534" t="s">
        <v>755</v>
      </c>
      <c r="D146" s="532"/>
      <c r="E146" s="13">
        <f>E145/'Input data'!D83</f>
        <v>77886.626695016166</v>
      </c>
      <c r="F146" s="13">
        <f>F145/'Input data'!D84</f>
        <v>492358.41816779628</v>
      </c>
      <c r="G146" s="13">
        <v>0</v>
      </c>
      <c r="H146" s="119"/>
      <c r="I146" s="93"/>
      <c r="J146" s="93"/>
      <c r="K146" s="93"/>
      <c r="L146" s="93"/>
      <c r="M146" s="93"/>
      <c r="N146" s="93"/>
      <c r="O146" s="93"/>
      <c r="P146" s="93"/>
      <c r="Q146" s="93"/>
      <c r="R146" s="93"/>
      <c r="S146" s="93"/>
      <c r="T146" s="93"/>
      <c r="U146" s="93"/>
      <c r="V146" s="93"/>
      <c r="W146" s="93"/>
      <c r="X146" s="93"/>
      <c r="Y146" s="93"/>
      <c r="Z146" s="93"/>
    </row>
    <row r="147" spans="1:26">
      <c r="A147" s="93"/>
      <c r="B147" s="531"/>
      <c r="C147" s="534" t="s">
        <v>757</v>
      </c>
      <c r="D147" s="532"/>
      <c r="E147" s="13">
        <v>0</v>
      </c>
      <c r="F147" s="13">
        <f>F146*'Fuel Specs'!G132</f>
        <v>498759077.60397762</v>
      </c>
      <c r="G147" s="13">
        <v>0</v>
      </c>
      <c r="H147" s="119"/>
      <c r="I147" s="93"/>
      <c r="J147" s="93"/>
      <c r="K147" s="93"/>
      <c r="L147" s="93"/>
      <c r="M147" s="93"/>
      <c r="N147" s="93"/>
      <c r="O147" s="93"/>
      <c r="P147" s="93"/>
      <c r="Q147" s="93"/>
      <c r="R147" s="93"/>
      <c r="S147" s="93"/>
      <c r="T147" s="93"/>
      <c r="U147" s="93"/>
      <c r="V147" s="93"/>
      <c r="W147" s="93"/>
      <c r="X147" s="93"/>
      <c r="Y147" s="93"/>
      <c r="Z147" s="93"/>
    </row>
    <row r="148" spans="1:26">
      <c r="A148" s="93"/>
      <c r="B148" s="531"/>
      <c r="C148" s="534" t="s">
        <v>756</v>
      </c>
      <c r="D148" s="532"/>
      <c r="E148" s="13">
        <v>0</v>
      </c>
      <c r="F148" s="13">
        <f>F146*'Fuel Specs'!H132</f>
        <v>449523235.78719801</v>
      </c>
      <c r="G148" s="13">
        <v>0</v>
      </c>
      <c r="H148" s="119"/>
      <c r="I148" s="93"/>
      <c r="J148" s="93"/>
      <c r="K148" s="93"/>
      <c r="L148" s="93"/>
      <c r="M148" s="93"/>
      <c r="N148" s="93"/>
      <c r="O148" s="93"/>
      <c r="P148" s="93"/>
      <c r="Q148" s="93"/>
      <c r="R148" s="93"/>
      <c r="S148" s="93"/>
      <c r="T148" s="93"/>
      <c r="U148" s="93"/>
      <c r="V148" s="93"/>
      <c r="W148" s="93"/>
      <c r="X148" s="93"/>
      <c r="Y148" s="93"/>
      <c r="Z148" s="93"/>
    </row>
    <row r="149" spans="1:26">
      <c r="A149" s="93"/>
      <c r="B149" s="531" t="s">
        <v>661</v>
      </c>
      <c r="C149" s="534"/>
      <c r="D149" s="532"/>
      <c r="E149" s="13"/>
      <c r="F149" s="13"/>
      <c r="G149" s="13"/>
      <c r="H149" s="93"/>
      <c r="I149" s="93"/>
      <c r="J149" s="93"/>
      <c r="K149" s="93"/>
      <c r="L149" s="93"/>
      <c r="M149" s="93"/>
      <c r="N149" s="93"/>
      <c r="O149" s="93"/>
      <c r="P149" s="93"/>
      <c r="Q149" s="93"/>
      <c r="R149" s="93"/>
      <c r="S149" s="93"/>
      <c r="T149" s="93"/>
      <c r="U149" s="93"/>
      <c r="V149" s="93"/>
      <c r="W149" s="93"/>
      <c r="X149" s="93"/>
      <c r="Y149" s="93"/>
      <c r="Z149" s="93"/>
    </row>
    <row r="150" spans="1:26">
      <c r="A150" s="93"/>
      <c r="B150" s="531"/>
      <c r="C150" s="534" t="s">
        <v>754</v>
      </c>
      <c r="D150" s="532"/>
      <c r="E150" s="13">
        <f>(M30*M32+M35*M37)*1000000/365</f>
        <v>708617.09431927174</v>
      </c>
      <c r="F150" s="13">
        <f>(M30*M33+M35*M38)*1000000/365</f>
        <v>13314754.152919501</v>
      </c>
      <c r="G150" s="13">
        <v>0</v>
      </c>
      <c r="H150" s="119"/>
      <c r="I150" s="93"/>
      <c r="J150" s="93"/>
      <c r="K150" s="93"/>
      <c r="L150" s="93"/>
      <c r="M150" s="93"/>
      <c r="N150" s="93"/>
      <c r="O150" s="93"/>
      <c r="P150" s="93"/>
      <c r="Q150" s="93"/>
      <c r="R150" s="93"/>
      <c r="S150" s="93"/>
      <c r="T150" s="93"/>
      <c r="U150" s="93"/>
      <c r="V150" s="93"/>
      <c r="W150" s="93"/>
      <c r="X150" s="93"/>
      <c r="Y150" s="93"/>
      <c r="Z150" s="93"/>
    </row>
    <row r="151" spans="1:26">
      <c r="A151" s="93"/>
      <c r="B151" s="531"/>
      <c r="C151" s="534" t="s">
        <v>755</v>
      </c>
      <c r="D151" s="532"/>
      <c r="E151" s="13">
        <f>E150/'Input data'!D83</f>
        <v>13394.760097372135</v>
      </c>
      <c r="F151" s="13">
        <f>F150/'Input data'!D84</f>
        <v>692996.90726121096</v>
      </c>
      <c r="G151" s="13">
        <v>0</v>
      </c>
      <c r="H151" s="119"/>
      <c r="I151" s="93"/>
      <c r="J151" s="93"/>
      <c r="K151" s="93"/>
      <c r="L151" s="93"/>
      <c r="M151" s="93"/>
      <c r="N151" s="93"/>
      <c r="O151" s="93"/>
      <c r="P151" s="93"/>
      <c r="Q151" s="93"/>
      <c r="R151" s="93"/>
      <c r="S151" s="93"/>
      <c r="T151" s="93"/>
      <c r="U151" s="93"/>
      <c r="V151" s="93"/>
      <c r="W151" s="93"/>
      <c r="X151" s="93"/>
      <c r="Y151" s="93"/>
      <c r="Z151" s="93"/>
    </row>
    <row r="152" spans="1:26">
      <c r="A152" s="93"/>
      <c r="B152" s="531"/>
      <c r="C152" s="534" t="s">
        <v>757</v>
      </c>
      <c r="D152" s="532"/>
      <c r="E152" s="13">
        <v>0</v>
      </c>
      <c r="F152" s="13">
        <f>F151*'Fuel Specs'!G132</f>
        <v>702005867.05560672</v>
      </c>
      <c r="G152" s="13">
        <v>0</v>
      </c>
      <c r="H152" s="119"/>
      <c r="I152" s="93"/>
      <c r="J152" s="93"/>
      <c r="K152" s="93"/>
      <c r="L152" s="93"/>
      <c r="M152" s="93"/>
      <c r="N152" s="93"/>
      <c r="O152" s="93"/>
      <c r="P152" s="93"/>
      <c r="Q152" s="93"/>
      <c r="R152" s="93"/>
      <c r="S152" s="93"/>
      <c r="T152" s="93"/>
      <c r="U152" s="93"/>
      <c r="V152" s="93"/>
      <c r="W152" s="93"/>
      <c r="X152" s="93"/>
      <c r="Y152" s="93"/>
      <c r="Z152" s="93"/>
    </row>
    <row r="153" spans="1:26">
      <c r="A153" s="93"/>
      <c r="B153" s="531"/>
      <c r="C153" s="534" t="s">
        <v>756</v>
      </c>
      <c r="D153" s="532"/>
      <c r="E153" s="13">
        <v>0</v>
      </c>
      <c r="F153" s="13">
        <f>F151*'Fuel Specs'!H132</f>
        <v>632706176.32948565</v>
      </c>
      <c r="G153" s="13">
        <v>0</v>
      </c>
      <c r="H153" s="119"/>
      <c r="I153" s="93"/>
      <c r="J153" s="93"/>
      <c r="K153" s="93"/>
      <c r="L153" s="93"/>
      <c r="M153" s="93"/>
      <c r="N153" s="93"/>
      <c r="O153" s="93"/>
      <c r="P153" s="93"/>
      <c r="Q153" s="93"/>
      <c r="R153" s="93"/>
      <c r="S153" s="93"/>
      <c r="T153" s="93"/>
      <c r="U153" s="93"/>
      <c r="V153" s="93"/>
      <c r="W153" s="93"/>
      <c r="X153" s="93"/>
      <c r="Y153" s="93"/>
      <c r="Z153" s="93"/>
    </row>
    <row r="154" spans="1:26">
      <c r="A154" s="93"/>
      <c r="B154" s="531" t="s">
        <v>759</v>
      </c>
      <c r="C154" s="534"/>
      <c r="D154" s="532"/>
      <c r="E154" s="13"/>
      <c r="F154" s="13"/>
      <c r="G154" s="13"/>
      <c r="H154" s="93"/>
      <c r="I154" s="93"/>
      <c r="J154" s="93"/>
      <c r="K154" s="93"/>
      <c r="L154" s="93"/>
      <c r="M154" s="93"/>
      <c r="N154" s="93"/>
      <c r="O154" s="93"/>
      <c r="P154" s="93"/>
      <c r="Q154" s="93"/>
      <c r="R154" s="93"/>
      <c r="S154" s="93"/>
      <c r="T154" s="93"/>
      <c r="U154" s="93"/>
      <c r="V154" s="93"/>
      <c r="W154" s="93"/>
      <c r="X154" s="93"/>
      <c r="Y154" s="93"/>
      <c r="Z154" s="93"/>
    </row>
    <row r="155" spans="1:26">
      <c r="A155" s="93"/>
      <c r="B155" s="531"/>
      <c r="C155" s="534" t="s">
        <v>754</v>
      </c>
      <c r="D155" s="532"/>
      <c r="E155" s="13">
        <f>(M41*M43+M46*M48)*1000000/365</f>
        <v>4721135.8856957452</v>
      </c>
      <c r="F155" s="13">
        <f>(M41*M44+M46*M49)*1000000/365</f>
        <v>4243468.9557637591</v>
      </c>
      <c r="G155" s="13">
        <v>0</v>
      </c>
      <c r="H155" s="93"/>
      <c r="I155" s="93"/>
      <c r="J155" s="93"/>
      <c r="K155" s="93"/>
      <c r="L155" s="93"/>
      <c r="M155" s="93"/>
      <c r="N155" s="93"/>
      <c r="O155" s="93"/>
      <c r="P155" s="93"/>
      <c r="Q155" s="93"/>
      <c r="R155" s="93"/>
      <c r="S155" s="93"/>
      <c r="T155" s="93"/>
      <c r="U155" s="93"/>
      <c r="V155" s="93"/>
      <c r="W155" s="93"/>
      <c r="X155" s="93"/>
      <c r="Y155" s="93"/>
      <c r="Z155" s="93"/>
    </row>
    <row r="156" spans="1:26">
      <c r="A156" s="93"/>
      <c r="B156" s="531"/>
      <c r="C156" s="534" t="s">
        <v>755</v>
      </c>
      <c r="D156" s="532"/>
      <c r="E156" s="13">
        <f>E155/'Input data'!D83</f>
        <v>89242.107032061715</v>
      </c>
      <c r="F156" s="13">
        <f>F155/'Input data'!D84</f>
        <v>220861.07100659018</v>
      </c>
      <c r="G156" s="13">
        <v>0</v>
      </c>
      <c r="H156" s="93"/>
      <c r="I156" s="93"/>
      <c r="J156" s="93"/>
      <c r="K156" s="93"/>
      <c r="L156" s="93"/>
      <c r="M156" s="93"/>
      <c r="N156" s="93"/>
      <c r="O156" s="93"/>
      <c r="P156" s="93"/>
      <c r="Q156" s="93"/>
      <c r="R156" s="93"/>
      <c r="S156" s="93"/>
      <c r="T156" s="93"/>
      <c r="U156" s="93"/>
      <c r="V156" s="93"/>
      <c r="W156" s="93"/>
      <c r="X156" s="93"/>
      <c r="Y156" s="93"/>
      <c r="Z156" s="93"/>
    </row>
    <row r="157" spans="1:26">
      <c r="A157" s="93"/>
      <c r="B157" s="531"/>
      <c r="C157" s="534" t="s">
        <v>757</v>
      </c>
      <c r="D157" s="532"/>
      <c r="E157" s="13">
        <v>0</v>
      </c>
      <c r="F157" s="13">
        <f>F156*'Fuel Specs'!G132</f>
        <v>223732264.92967585</v>
      </c>
      <c r="G157" s="13">
        <v>0</v>
      </c>
      <c r="H157" s="93"/>
      <c r="I157" s="93"/>
      <c r="J157" s="93"/>
      <c r="K157" s="93"/>
      <c r="L157" s="93"/>
      <c r="M157" s="93"/>
      <c r="N157" s="93"/>
      <c r="O157" s="93"/>
      <c r="P157" s="93"/>
      <c r="Q157" s="93"/>
      <c r="R157" s="93"/>
      <c r="S157" s="93"/>
      <c r="T157" s="93"/>
      <c r="U157" s="93"/>
      <c r="V157" s="93"/>
      <c r="W157" s="93"/>
      <c r="X157" s="93"/>
      <c r="Y157" s="93"/>
      <c r="Z157" s="93"/>
    </row>
    <row r="158" spans="1:26">
      <c r="A158" s="93"/>
      <c r="B158" s="531"/>
      <c r="C158" s="534" t="s">
        <v>756</v>
      </c>
      <c r="D158" s="532"/>
      <c r="E158" s="13">
        <v>0</v>
      </c>
      <c r="F158" s="13">
        <f>F156*'Fuel Specs'!H132</f>
        <v>201646157.82901683</v>
      </c>
      <c r="G158" s="13">
        <v>0</v>
      </c>
      <c r="H158" s="93"/>
      <c r="I158" s="93"/>
      <c r="J158" s="93"/>
      <c r="K158" s="93"/>
      <c r="L158" s="93"/>
      <c r="M158" s="93"/>
      <c r="N158" s="93"/>
      <c r="O158" s="93"/>
      <c r="P158" s="93"/>
      <c r="Q158" s="93"/>
      <c r="R158" s="93"/>
      <c r="S158" s="93"/>
      <c r="T158" s="93"/>
      <c r="U158" s="93"/>
      <c r="V158" s="93"/>
      <c r="W158" s="93"/>
      <c r="X158" s="93"/>
      <c r="Y158" s="93"/>
      <c r="Z158" s="93"/>
    </row>
    <row r="159" spans="1:26">
      <c r="A159" s="93"/>
      <c r="B159" s="658" t="s">
        <v>4084</v>
      </c>
      <c r="C159" s="659"/>
      <c r="D159" s="660"/>
      <c r="E159" s="13"/>
      <c r="F159" s="13"/>
      <c r="G159" s="13"/>
      <c r="H159" s="93"/>
      <c r="I159" s="93"/>
      <c r="J159" s="93"/>
      <c r="K159" s="93"/>
      <c r="L159" s="93"/>
      <c r="M159" s="93"/>
      <c r="N159" s="93"/>
      <c r="O159" s="93"/>
      <c r="P159" s="93"/>
      <c r="Q159" s="93"/>
      <c r="R159" s="93"/>
      <c r="S159" s="93"/>
      <c r="T159" s="93"/>
      <c r="U159" s="93"/>
      <c r="V159" s="93"/>
      <c r="W159" s="93"/>
      <c r="X159" s="93"/>
      <c r="Y159" s="93"/>
      <c r="Z159" s="93"/>
    </row>
    <row r="160" spans="1:26">
      <c r="A160" s="93"/>
      <c r="B160" s="658"/>
      <c r="C160" s="659" t="s">
        <v>754</v>
      </c>
      <c r="D160" s="660"/>
      <c r="E160" s="401">
        <f>(M55*M51+M58*M52)*1000000/365</f>
        <v>9617432.3547660001</v>
      </c>
      <c r="F160" s="401">
        <f>(M56*M51+M59*M52)*1000000/365</f>
        <v>172250291.8476682</v>
      </c>
      <c r="G160" s="13">
        <v>0</v>
      </c>
      <c r="H160" s="93"/>
      <c r="I160" s="93"/>
      <c r="J160" s="93"/>
      <c r="K160" s="93"/>
      <c r="L160" s="93"/>
      <c r="M160" s="93"/>
      <c r="N160" s="93"/>
      <c r="O160" s="93"/>
      <c r="P160" s="93"/>
      <c r="Q160" s="93"/>
      <c r="R160" s="93"/>
      <c r="S160" s="93"/>
      <c r="T160" s="93"/>
      <c r="U160" s="93"/>
      <c r="V160" s="93"/>
      <c r="W160" s="93"/>
      <c r="X160" s="93"/>
      <c r="Y160" s="93"/>
      <c r="Z160" s="93"/>
    </row>
    <row r="161" spans="1:27">
      <c r="A161" s="93"/>
      <c r="B161" s="658"/>
      <c r="C161" s="659" t="s">
        <v>755</v>
      </c>
      <c r="D161" s="660"/>
      <c r="E161" s="401">
        <f>E160/'Input data'!D83</f>
        <v>181795.21800634585</v>
      </c>
      <c r="F161" s="401">
        <f>F160/'Input data'!D84</f>
        <v>8965161.3656795342</v>
      </c>
      <c r="G161" s="13">
        <v>0</v>
      </c>
      <c r="H161" s="93"/>
      <c r="I161" s="93"/>
      <c r="J161" s="93"/>
      <c r="K161" s="93"/>
      <c r="L161" s="93"/>
      <c r="M161" s="93"/>
      <c r="N161" s="93"/>
      <c r="O161" s="93"/>
      <c r="P161" s="93"/>
      <c r="Q161" s="93"/>
      <c r="R161" s="93"/>
      <c r="S161" s="93"/>
      <c r="T161" s="93"/>
      <c r="U161" s="93"/>
      <c r="V161" s="93"/>
      <c r="W161" s="93"/>
      <c r="X161" s="93"/>
      <c r="Y161" s="93"/>
      <c r="Z161" s="93"/>
    </row>
    <row r="162" spans="1:27">
      <c r="A162" s="93"/>
      <c r="B162" s="658"/>
      <c r="C162" s="659" t="s">
        <v>757</v>
      </c>
      <c r="D162" s="660"/>
      <c r="E162" s="13">
        <v>0</v>
      </c>
      <c r="F162" s="599">
        <f>F161*'Fuel Specs'!G132</f>
        <v>9081708463.4333687</v>
      </c>
      <c r="G162" s="13">
        <v>0</v>
      </c>
      <c r="H162" s="93"/>
      <c r="I162" s="93"/>
      <c r="J162" s="93"/>
      <c r="K162" s="93"/>
      <c r="L162" s="93"/>
      <c r="M162" s="93"/>
      <c r="N162" s="93"/>
      <c r="O162" s="93"/>
      <c r="P162" s="93"/>
      <c r="Q162" s="93"/>
      <c r="R162" s="93"/>
      <c r="S162" s="93"/>
      <c r="T162" s="93"/>
      <c r="U162" s="93"/>
      <c r="V162" s="93"/>
      <c r="W162" s="93"/>
      <c r="X162" s="93"/>
      <c r="Y162" s="93"/>
      <c r="Z162" s="93"/>
    </row>
    <row r="163" spans="1:27">
      <c r="A163" s="93"/>
      <c r="B163" s="658"/>
      <c r="C163" s="659" t="s">
        <v>756</v>
      </c>
      <c r="D163" s="660"/>
      <c r="E163" s="13">
        <v>0</v>
      </c>
      <c r="F163" s="599">
        <f>F161*'Fuel Specs'!H132</f>
        <v>8185192326.8654146</v>
      </c>
      <c r="G163" s="13">
        <v>0</v>
      </c>
      <c r="H163" s="93"/>
      <c r="I163" s="93"/>
      <c r="J163" s="93"/>
      <c r="K163" s="93"/>
      <c r="L163" s="93"/>
      <c r="M163" s="93"/>
      <c r="N163" s="93"/>
      <c r="O163" s="93"/>
      <c r="P163" s="93"/>
      <c r="Q163" s="93"/>
      <c r="R163" s="93"/>
      <c r="S163" s="93"/>
      <c r="T163" s="93"/>
      <c r="U163" s="93"/>
      <c r="V163" s="93"/>
      <c r="W163" s="93"/>
      <c r="X163" s="93"/>
      <c r="Y163" s="93"/>
      <c r="Z163" s="93"/>
    </row>
    <row r="164" spans="1:27">
      <c r="A164" s="93"/>
      <c r="B164" s="658" t="s">
        <v>4111</v>
      </c>
      <c r="C164" s="659"/>
      <c r="D164" s="660"/>
      <c r="E164" s="13"/>
      <c r="F164" s="599"/>
      <c r="G164" s="13"/>
      <c r="H164" s="93"/>
      <c r="I164" s="93"/>
      <c r="J164" s="93"/>
      <c r="K164" s="93"/>
      <c r="L164" s="93"/>
      <c r="M164" s="93"/>
      <c r="N164" s="93"/>
      <c r="O164" s="93"/>
      <c r="P164" s="93"/>
      <c r="Q164" s="93"/>
      <c r="R164" s="93"/>
      <c r="S164" s="93"/>
      <c r="T164" s="93"/>
      <c r="U164" s="93"/>
      <c r="V164" s="93"/>
      <c r="W164" s="93"/>
      <c r="X164" s="93"/>
      <c r="Y164" s="93"/>
      <c r="Z164" s="93"/>
    </row>
    <row r="165" spans="1:27">
      <c r="A165" s="93"/>
      <c r="B165" s="658"/>
      <c r="C165" s="659" t="s">
        <v>754</v>
      </c>
      <c r="D165" s="660"/>
      <c r="E165" s="13">
        <f>M61*M63*1000000/365</f>
        <v>1106313.9142628196</v>
      </c>
      <c r="F165" s="599">
        <f>M61*M64*1000000/365</f>
        <v>19798317.992317222</v>
      </c>
      <c r="G165" s="13">
        <v>0</v>
      </c>
      <c r="H165" s="93"/>
      <c r="I165" s="93"/>
      <c r="J165" s="93"/>
      <c r="K165" s="93"/>
      <c r="L165" s="93"/>
      <c r="M165" s="93"/>
      <c r="N165" s="93"/>
      <c r="O165" s="93"/>
      <c r="P165" s="93"/>
      <c r="Q165" s="93"/>
      <c r="R165" s="93"/>
      <c r="S165" s="93"/>
      <c r="T165" s="93"/>
      <c r="U165" s="93"/>
      <c r="V165" s="93"/>
      <c r="W165" s="93"/>
      <c r="X165" s="93"/>
      <c r="Y165" s="93"/>
      <c r="Z165" s="93"/>
    </row>
    <row r="166" spans="1:27">
      <c r="A166" s="93"/>
      <c r="B166" s="658"/>
      <c r="C166" s="659" t="s">
        <v>755</v>
      </c>
      <c r="D166" s="660"/>
      <c r="E166" s="401">
        <f>E165/'Input data'!D83</f>
        <v>20912.294654944475</v>
      </c>
      <c r="F166" s="13">
        <f>F165/'Input data'!D84</f>
        <v>1030448.8524590163</v>
      </c>
      <c r="G166" s="13">
        <v>0</v>
      </c>
      <c r="H166" s="93"/>
      <c r="I166" s="93"/>
      <c r="J166" s="93"/>
      <c r="K166" s="93"/>
      <c r="L166" s="93"/>
      <c r="M166" s="93"/>
      <c r="N166" s="93"/>
      <c r="O166" s="93"/>
      <c r="P166" s="93"/>
      <c r="Q166" s="93"/>
      <c r="R166" s="93"/>
      <c r="S166" s="93"/>
      <c r="T166" s="93"/>
      <c r="U166" s="93"/>
      <c r="V166" s="93"/>
      <c r="W166" s="93"/>
      <c r="X166" s="93"/>
      <c r="Y166" s="93"/>
      <c r="Z166" s="93"/>
    </row>
    <row r="167" spans="1:27">
      <c r="A167" s="93"/>
      <c r="B167" s="658"/>
      <c r="C167" s="659" t="s">
        <v>757</v>
      </c>
      <c r="D167" s="660"/>
      <c r="E167" s="13">
        <v>0</v>
      </c>
      <c r="F167" s="599">
        <f>F165*'Fuel Specs'!G132</f>
        <v>20055696126.217346</v>
      </c>
      <c r="G167" s="13">
        <v>0</v>
      </c>
      <c r="H167" s="93"/>
      <c r="I167" s="93"/>
      <c r="J167" s="93"/>
      <c r="K167" s="93"/>
      <c r="L167" s="93"/>
      <c r="M167" s="93"/>
      <c r="N167" s="93"/>
      <c r="O167" s="93"/>
      <c r="P167" s="93"/>
      <c r="Q167" s="93"/>
      <c r="R167" s="93"/>
      <c r="S167" s="93"/>
      <c r="T167" s="93"/>
      <c r="U167" s="93"/>
      <c r="V167" s="93"/>
      <c r="W167" s="93"/>
      <c r="X167" s="93"/>
      <c r="Y167" s="93"/>
      <c r="Z167" s="93"/>
    </row>
    <row r="168" spans="1:27">
      <c r="A168" s="93"/>
      <c r="B168" s="658"/>
      <c r="C168" s="659" t="s">
        <v>756</v>
      </c>
      <c r="D168" s="660"/>
      <c r="E168" s="13">
        <v>0</v>
      </c>
      <c r="F168" s="599">
        <f>F166*'Fuel Specs'!H132</f>
        <v>940799802.29508185</v>
      </c>
      <c r="G168" s="13">
        <v>0</v>
      </c>
      <c r="H168" s="93"/>
      <c r="I168" s="93"/>
      <c r="J168" s="93"/>
      <c r="K168" s="93"/>
      <c r="L168" s="93"/>
      <c r="M168" s="93"/>
      <c r="N168" s="93"/>
      <c r="O168" s="93"/>
      <c r="P168" s="93"/>
      <c r="Q168" s="93"/>
      <c r="R168" s="93"/>
      <c r="S168" s="93"/>
      <c r="T168" s="93"/>
      <c r="U168" s="93"/>
      <c r="V168" s="93"/>
      <c r="W168" s="93"/>
      <c r="X168" s="93"/>
      <c r="Y168" s="93"/>
      <c r="Z168" s="93"/>
    </row>
    <row r="169" spans="1:27">
      <c r="A169" s="93"/>
      <c r="B169" s="531" t="s">
        <v>339</v>
      </c>
      <c r="C169" s="534"/>
      <c r="D169" s="532"/>
      <c r="E169" s="13"/>
      <c r="F169" s="13"/>
      <c r="G169" s="13"/>
      <c r="H169" s="93"/>
      <c r="I169" s="93"/>
      <c r="J169" s="93"/>
      <c r="K169" s="93"/>
      <c r="L169" s="93"/>
      <c r="M169" s="94"/>
      <c r="N169" s="93"/>
      <c r="O169" s="93"/>
      <c r="P169" s="93"/>
      <c r="Q169" s="93"/>
      <c r="R169" s="93"/>
      <c r="S169" s="93"/>
      <c r="T169" s="93"/>
      <c r="U169" s="93"/>
      <c r="V169" s="93"/>
      <c r="W169" s="93"/>
      <c r="X169" s="93"/>
      <c r="Y169" s="93"/>
      <c r="Z169" s="93"/>
    </row>
    <row r="170" spans="1:27">
      <c r="A170" s="93"/>
      <c r="B170" s="531"/>
      <c r="C170" s="534" t="s">
        <v>754</v>
      </c>
      <c r="D170" s="532"/>
      <c r="E170" s="108">
        <f>E135+E140+E145+E150+E155+E160+E165</f>
        <v>600853329.80484021</v>
      </c>
      <c r="F170" s="13">
        <f>F135+F145+F150+F155+F160+F165</f>
        <v>240560713.13356003</v>
      </c>
      <c r="G170" s="13">
        <v>0</v>
      </c>
      <c r="H170" s="93"/>
      <c r="I170" s="93"/>
      <c r="J170" s="93"/>
      <c r="K170" s="93"/>
      <c r="L170" s="93"/>
      <c r="M170" s="93"/>
      <c r="N170" s="93"/>
      <c r="O170" s="93"/>
      <c r="P170" s="93"/>
      <c r="Q170" s="93"/>
      <c r="R170" s="93"/>
      <c r="S170" s="93"/>
      <c r="T170" s="93"/>
      <c r="U170" s="93"/>
      <c r="V170" s="93"/>
      <c r="W170" s="93"/>
      <c r="X170" s="93"/>
      <c r="Y170" s="93"/>
      <c r="Z170" s="93"/>
    </row>
    <row r="171" spans="1:27">
      <c r="A171" s="93"/>
      <c r="B171" s="531"/>
      <c r="C171" s="534" t="s">
        <v>755</v>
      </c>
      <c r="D171" s="532"/>
      <c r="E171" s="13">
        <f>E136+E141+E146+E151+E156+E161+E166</f>
        <v>11357736.457338199</v>
      </c>
      <c r="F171" s="13">
        <f>F136+F146+F151+F156+F161+F166</f>
        <v>12520533.860067915</v>
      </c>
      <c r="G171" s="13">
        <v>0</v>
      </c>
      <c r="H171" s="93"/>
      <c r="I171" s="78"/>
      <c r="J171" s="93"/>
      <c r="K171" s="93"/>
      <c r="L171" s="93"/>
      <c r="M171" s="93"/>
      <c r="N171" s="93"/>
      <c r="O171" s="93"/>
      <c r="P171" s="93"/>
      <c r="Q171" s="93"/>
      <c r="R171" s="93"/>
      <c r="S171" s="93"/>
      <c r="T171" s="93"/>
      <c r="U171" s="93"/>
      <c r="V171" s="93"/>
      <c r="W171" s="93"/>
      <c r="X171" s="93"/>
      <c r="Y171" s="93"/>
      <c r="Z171" s="93"/>
    </row>
    <row r="172" spans="1:27">
      <c r="A172" s="93"/>
      <c r="B172" s="531"/>
      <c r="C172" s="534" t="s">
        <v>757</v>
      </c>
      <c r="D172" s="532"/>
      <c r="E172" s="13">
        <v>0</v>
      </c>
      <c r="F172" s="108">
        <f>F137+F147+F152+F157+F162+F167</f>
        <v>31695152238.925159</v>
      </c>
      <c r="G172" s="13">
        <v>0</v>
      </c>
      <c r="H172" s="93"/>
      <c r="I172" s="93"/>
      <c r="J172" s="93"/>
      <c r="K172" s="93"/>
      <c r="L172" s="93"/>
      <c r="M172" s="93"/>
      <c r="N172" s="93"/>
      <c r="O172" s="93"/>
      <c r="P172" s="93"/>
      <c r="Q172" s="93"/>
      <c r="R172" s="93"/>
      <c r="S172" s="93"/>
      <c r="T172" s="93"/>
      <c r="U172" s="93"/>
      <c r="V172" s="93"/>
      <c r="W172" s="93"/>
      <c r="X172" s="93"/>
      <c r="Y172" s="93"/>
      <c r="Z172" s="93"/>
    </row>
    <row r="173" spans="1:27">
      <c r="A173" s="93"/>
      <c r="B173" s="531"/>
      <c r="C173" s="534" t="s">
        <v>756</v>
      </c>
      <c r="D173" s="532"/>
      <c r="E173" s="13">
        <v>0</v>
      </c>
      <c r="F173" s="108">
        <f>F138+F148+F153+F158+F163+F168</f>
        <v>11431247414.242004</v>
      </c>
      <c r="G173" s="13">
        <v>0</v>
      </c>
      <c r="H173" s="93"/>
      <c r="I173" s="93"/>
      <c r="J173" s="93"/>
      <c r="K173" s="93"/>
      <c r="L173" s="93"/>
      <c r="M173" s="93"/>
      <c r="N173" s="93"/>
      <c r="O173" s="93"/>
      <c r="P173" s="93"/>
      <c r="Q173" s="93"/>
      <c r="R173" s="93"/>
      <c r="S173" s="93"/>
      <c r="T173" s="93"/>
      <c r="U173" s="93"/>
      <c r="V173" s="93"/>
      <c r="W173" s="93"/>
      <c r="X173" s="93"/>
      <c r="Y173" s="93"/>
      <c r="Z173" s="93"/>
    </row>
    <row r="174" spans="1:27">
      <c r="A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row>
    <row r="175" spans="1:27" customFormat="1">
      <c r="A175" s="93"/>
      <c r="B175" s="102"/>
      <c r="C175" s="93"/>
      <c r="D175" s="93"/>
      <c r="E175" s="93"/>
      <c r="F175" s="93"/>
      <c r="G175" s="93"/>
    </row>
    <row r="176" spans="1:27" customFormat="1">
      <c r="B176" t="s">
        <v>3759</v>
      </c>
    </row>
    <row r="177" spans="1:27" customFormat="1">
      <c r="B177" s="654" t="s">
        <v>424</v>
      </c>
      <c r="C177" s="655"/>
      <c r="D177" s="656"/>
      <c r="E177" s="652" t="s">
        <v>627</v>
      </c>
      <c r="F177" s="652" t="s">
        <v>625</v>
      </c>
      <c r="G177" s="652" t="s">
        <v>624</v>
      </c>
    </row>
    <row r="178" spans="1:27" customFormat="1">
      <c r="B178" s="548" t="s">
        <v>2282</v>
      </c>
      <c r="C178" s="549"/>
      <c r="D178" s="550"/>
      <c r="E178" s="574"/>
      <c r="F178" s="574"/>
      <c r="G178" s="574"/>
    </row>
    <row r="179" spans="1:27" customFormat="1">
      <c r="B179" s="548"/>
      <c r="C179" s="549" t="s">
        <v>754</v>
      </c>
      <c r="D179" s="550"/>
      <c r="E179" s="574">
        <v>0</v>
      </c>
      <c r="F179" s="574">
        <f>'Emissions Factors'!H42*'Production &amp; Extraction'!M35</f>
        <v>106489688.65418048</v>
      </c>
      <c r="G179" s="574">
        <v>0</v>
      </c>
    </row>
    <row r="180" spans="1:27" customFormat="1">
      <c r="B180" s="548"/>
      <c r="C180" s="549" t="s">
        <v>755</v>
      </c>
      <c r="D180" s="550"/>
      <c r="E180" s="574">
        <v>0</v>
      </c>
      <c r="F180" s="574">
        <f>F179/'Input data'!D84</f>
        <v>5542500</v>
      </c>
      <c r="G180" s="574">
        <v>0</v>
      </c>
    </row>
    <row r="181" spans="1:27" customFormat="1">
      <c r="B181" s="548"/>
      <c r="C181" s="549" t="s">
        <v>757</v>
      </c>
      <c r="D181" s="550"/>
      <c r="E181" s="574">
        <v>0</v>
      </c>
      <c r="F181" s="653">
        <f>F180*'Fuel Specs'!G132</f>
        <v>5614552500</v>
      </c>
      <c r="G181" s="1006">
        <v>0</v>
      </c>
    </row>
    <row r="182" spans="1:27" customFormat="1">
      <c r="B182" s="548"/>
      <c r="C182" s="549" t="s">
        <v>756</v>
      </c>
      <c r="D182" s="550"/>
      <c r="E182" s="574">
        <v>0</v>
      </c>
      <c r="F182" s="653">
        <f>F180*'Fuel Specs'!H132</f>
        <v>5060302500</v>
      </c>
      <c r="G182" s="1006">
        <v>0</v>
      </c>
    </row>
    <row r="183" spans="1:27" customFormat="1">
      <c r="B183" s="548" t="s">
        <v>339</v>
      </c>
      <c r="C183" s="549"/>
      <c r="D183" s="550"/>
      <c r="E183" s="574"/>
      <c r="F183" s="574"/>
      <c r="G183" s="574"/>
    </row>
    <row r="184" spans="1:27" customFormat="1">
      <c r="B184" s="548"/>
      <c r="C184" s="549" t="s">
        <v>754</v>
      </c>
      <c r="D184" s="550"/>
      <c r="E184" s="574">
        <v>0</v>
      </c>
      <c r="F184" s="574">
        <f t="shared" ref="F184:G187" si="0">F179</f>
        <v>106489688.65418048</v>
      </c>
      <c r="G184" s="574">
        <f t="shared" si="0"/>
        <v>0</v>
      </c>
    </row>
    <row r="185" spans="1:27" customFormat="1">
      <c r="B185" s="548"/>
      <c r="C185" s="549" t="s">
        <v>755</v>
      </c>
      <c r="D185" s="550"/>
      <c r="E185" s="574">
        <v>0</v>
      </c>
      <c r="F185" s="574">
        <f t="shared" si="0"/>
        <v>5542500</v>
      </c>
      <c r="G185" s="574">
        <f t="shared" si="0"/>
        <v>0</v>
      </c>
    </row>
    <row r="186" spans="1:27" customFormat="1">
      <c r="B186" s="548"/>
      <c r="C186" s="549" t="s">
        <v>757</v>
      </c>
      <c r="D186" s="550"/>
      <c r="E186" s="574">
        <v>0</v>
      </c>
      <c r="F186" s="653">
        <f t="shared" si="0"/>
        <v>5614552500</v>
      </c>
      <c r="G186" s="1006">
        <f t="shared" si="0"/>
        <v>0</v>
      </c>
    </row>
    <row r="187" spans="1:27" customFormat="1">
      <c r="B187" s="548"/>
      <c r="C187" s="549" t="s">
        <v>756</v>
      </c>
      <c r="D187" s="550"/>
      <c r="E187" s="574">
        <v>0</v>
      </c>
      <c r="F187" s="653">
        <f t="shared" si="0"/>
        <v>5060302500</v>
      </c>
      <c r="G187" s="1006">
        <f t="shared" si="0"/>
        <v>0</v>
      </c>
    </row>
    <row r="188" spans="1:27" customFormat="1">
      <c r="B188" s="93"/>
      <c r="C188" s="93"/>
      <c r="D188" s="93"/>
      <c r="E188" s="93"/>
      <c r="F188" s="93"/>
      <c r="G188" s="93"/>
    </row>
    <row r="189" spans="1:27" customFormat="1">
      <c r="B189" s="93"/>
      <c r="C189" s="93"/>
      <c r="D189" s="93"/>
      <c r="E189" s="93"/>
      <c r="F189" s="93"/>
      <c r="G189" s="93"/>
    </row>
    <row r="190" spans="1:27" customFormat="1">
      <c r="A190" s="643" t="s">
        <v>3760</v>
      </c>
      <c r="B190" s="93"/>
      <c r="C190" s="93"/>
      <c r="D190" s="93"/>
      <c r="E190" s="93"/>
      <c r="F190" s="93"/>
      <c r="G190" s="93"/>
    </row>
    <row r="191" spans="1:27">
      <c r="A191" s="93"/>
      <c r="B191" s="93"/>
      <c r="C191" s="93"/>
      <c r="D191" s="93"/>
      <c r="E191" s="93"/>
      <c r="F191" s="93"/>
      <c r="G191" s="93"/>
      <c r="H191" s="93"/>
      <c r="I191" s="93"/>
      <c r="J191" s="93"/>
      <c r="K191" s="93"/>
      <c r="L191" s="93"/>
      <c r="M191" s="93"/>
      <c r="N191" s="93"/>
      <c r="O191" s="93"/>
      <c r="P191" s="93"/>
      <c r="Q191" s="93"/>
      <c r="R191" s="93"/>
      <c r="S191" s="93"/>
      <c r="T191" s="93"/>
      <c r="U191" s="93"/>
      <c r="V191" s="93"/>
      <c r="W191" s="93"/>
      <c r="X191" s="93"/>
      <c r="Y191" s="93"/>
      <c r="Z191" s="93"/>
      <c r="AA191" s="93"/>
    </row>
    <row r="192" spans="1:27">
      <c r="A192" s="93"/>
      <c r="B192" s="119" t="s">
        <v>4126</v>
      </c>
      <c r="C192" s="93"/>
      <c r="D192" s="93"/>
      <c r="E192" s="93"/>
      <c r="F192" s="93"/>
      <c r="G192" s="93"/>
      <c r="H192" s="93"/>
      <c r="I192" s="93"/>
      <c r="J192" s="93"/>
      <c r="K192" s="93"/>
      <c r="L192" s="93"/>
      <c r="M192" s="93"/>
      <c r="N192" s="93"/>
      <c r="O192" s="93"/>
      <c r="P192" s="93"/>
      <c r="Q192" s="93"/>
      <c r="R192" s="93"/>
      <c r="S192" s="93"/>
      <c r="T192" s="93"/>
      <c r="U192" s="93"/>
      <c r="V192" s="93"/>
      <c r="W192" s="93"/>
      <c r="X192" s="93"/>
      <c r="Y192" s="93"/>
      <c r="Z192" s="93"/>
      <c r="AA192" s="93"/>
    </row>
    <row r="193" spans="1:27">
      <c r="A193" s="93"/>
      <c r="B193" s="543" t="s">
        <v>424</v>
      </c>
      <c r="C193" s="544"/>
      <c r="D193" s="545"/>
      <c r="E193" s="106" t="s">
        <v>627</v>
      </c>
      <c r="F193" s="106" t="s">
        <v>625</v>
      </c>
      <c r="G193" s="106" t="s">
        <v>624</v>
      </c>
      <c r="H193" s="72" t="s">
        <v>613</v>
      </c>
      <c r="I193" s="93"/>
      <c r="J193" s="93"/>
      <c r="K193" s="93"/>
      <c r="L193" s="93"/>
      <c r="M193" s="93"/>
      <c r="N193" s="93"/>
      <c r="O193" s="93"/>
      <c r="P193" s="93"/>
      <c r="Q193" s="93"/>
      <c r="R193" s="93"/>
      <c r="S193" s="93"/>
      <c r="T193" s="93"/>
      <c r="U193" s="93"/>
      <c r="V193" s="93"/>
      <c r="W193" s="93"/>
      <c r="X193" s="93"/>
      <c r="Y193" s="93"/>
      <c r="Z193" s="93"/>
      <c r="AA193" s="93"/>
    </row>
    <row r="194" spans="1:27">
      <c r="A194" s="93"/>
      <c r="B194" s="531" t="s">
        <v>686</v>
      </c>
      <c r="C194" s="534"/>
      <c r="D194" s="532"/>
      <c r="E194" s="13"/>
      <c r="F194" s="13"/>
      <c r="G194" s="13"/>
      <c r="H194" s="93"/>
      <c r="I194" s="93"/>
      <c r="J194" s="93"/>
      <c r="K194" s="93"/>
      <c r="L194" s="93"/>
      <c r="M194" s="93"/>
      <c r="N194" s="93"/>
      <c r="O194" s="93"/>
      <c r="P194" s="93"/>
      <c r="Q194" s="93"/>
      <c r="R194" s="93"/>
      <c r="S194" s="93"/>
      <c r="T194" s="93"/>
      <c r="U194" s="93"/>
      <c r="V194" s="93"/>
      <c r="W194" s="93"/>
      <c r="X194" s="93"/>
      <c r="Y194" s="93"/>
      <c r="Z194" s="93"/>
      <c r="AA194" s="93"/>
    </row>
    <row r="195" spans="1:27">
      <c r="A195" s="93"/>
      <c r="B195" s="531"/>
      <c r="C195" s="534" t="s">
        <v>754</v>
      </c>
      <c r="D195" s="532"/>
      <c r="E195" s="13">
        <f>M67*M69*1000000/365</f>
        <v>18517.789199973486</v>
      </c>
      <c r="F195" s="13">
        <f>M67*M70*1000000/365</f>
        <v>57086.430758088201</v>
      </c>
      <c r="G195" s="13">
        <v>0</v>
      </c>
      <c r="H195" s="93"/>
      <c r="I195" s="93"/>
      <c r="J195" s="93"/>
      <c r="K195" s="93"/>
      <c r="L195" s="93"/>
      <c r="M195" s="93"/>
      <c r="N195" s="93"/>
      <c r="O195" s="93"/>
      <c r="P195" s="93"/>
      <c r="Q195" s="93"/>
      <c r="R195" s="93"/>
      <c r="S195" s="93"/>
      <c r="T195" s="93"/>
      <c r="U195" s="93"/>
      <c r="V195" s="93"/>
      <c r="W195" s="93"/>
      <c r="X195" s="93"/>
      <c r="Y195" s="93"/>
      <c r="Z195" s="93"/>
      <c r="AA195" s="93"/>
    </row>
    <row r="196" spans="1:27">
      <c r="A196" s="93"/>
      <c r="B196" s="531"/>
      <c r="C196" s="534" t="s">
        <v>755</v>
      </c>
      <c r="D196" s="532"/>
      <c r="E196" s="13">
        <f>E195/'Input data'!D83</f>
        <v>350.03578922356189</v>
      </c>
      <c r="F196" s="13">
        <f>F195/'Input data'!D84</f>
        <v>2971.1941735899031</v>
      </c>
      <c r="G196" s="13">
        <v>0</v>
      </c>
      <c r="H196" s="564"/>
      <c r="I196" s="93"/>
      <c r="J196" s="93"/>
      <c r="K196" s="93"/>
      <c r="L196" s="93"/>
      <c r="M196" s="93"/>
      <c r="N196" s="93"/>
      <c r="O196" s="93"/>
      <c r="P196" s="93"/>
      <c r="Q196" s="93"/>
      <c r="R196" s="93"/>
      <c r="S196" s="93"/>
      <c r="T196" s="93"/>
      <c r="U196" s="93"/>
      <c r="V196" s="93"/>
      <c r="W196" s="93"/>
      <c r="X196" s="93"/>
      <c r="Y196" s="93"/>
      <c r="Z196" s="93"/>
      <c r="AA196" s="93"/>
    </row>
    <row r="197" spans="1:27">
      <c r="A197" s="93"/>
      <c r="B197" s="531"/>
      <c r="C197" s="534" t="s">
        <v>757</v>
      </c>
      <c r="D197" s="532"/>
      <c r="E197" s="13">
        <v>0</v>
      </c>
      <c r="F197" s="108">
        <f>F196*'Fuel Specs'!G132</f>
        <v>3009819.6978465719</v>
      </c>
      <c r="G197" s="13">
        <v>0</v>
      </c>
      <c r="H197" s="93"/>
      <c r="I197" s="93"/>
      <c r="J197" s="93"/>
      <c r="K197" s="93"/>
      <c r="L197" s="93"/>
      <c r="M197" s="93"/>
      <c r="N197" s="93"/>
      <c r="O197" s="93"/>
      <c r="P197" s="93"/>
      <c r="Q197" s="93"/>
      <c r="R197" s="93"/>
      <c r="S197" s="93"/>
      <c r="T197" s="93"/>
      <c r="U197" s="93"/>
      <c r="V197" s="93"/>
      <c r="W197" s="93"/>
      <c r="X197" s="93"/>
      <c r="Y197" s="93"/>
      <c r="Z197" s="93"/>
      <c r="AA197" s="93"/>
    </row>
    <row r="198" spans="1:27">
      <c r="A198" s="93"/>
      <c r="B198" s="531"/>
      <c r="C198" s="534" t="s">
        <v>756</v>
      </c>
      <c r="D198" s="532"/>
      <c r="E198" s="13">
        <v>0</v>
      </c>
      <c r="F198" s="108">
        <f>F196*'Fuel Specs'!H132</f>
        <v>2712700.2804875816</v>
      </c>
      <c r="G198" s="13">
        <v>0</v>
      </c>
      <c r="H198" s="93"/>
      <c r="I198" s="93"/>
      <c r="J198" s="93"/>
      <c r="K198" s="93"/>
      <c r="L198" s="93"/>
      <c r="M198" s="93"/>
      <c r="N198" s="93"/>
      <c r="O198" s="93"/>
      <c r="P198" s="93"/>
      <c r="Q198" s="93"/>
      <c r="R198" s="93"/>
      <c r="S198" s="93"/>
      <c r="T198" s="93"/>
      <c r="U198" s="93"/>
      <c r="V198" s="93"/>
      <c r="W198" s="93"/>
      <c r="X198" s="93"/>
      <c r="Y198" s="93"/>
      <c r="Z198" s="93"/>
      <c r="AA198" s="93"/>
    </row>
    <row r="199" spans="1:27">
      <c r="A199" s="93"/>
      <c r="B199" s="531" t="s">
        <v>693</v>
      </c>
      <c r="C199" s="534"/>
      <c r="D199" s="532"/>
      <c r="E199" s="13"/>
      <c r="F199" s="13"/>
      <c r="G199" s="13"/>
      <c r="H199" s="93"/>
      <c r="I199" s="93"/>
      <c r="J199" s="93"/>
      <c r="K199" s="93"/>
      <c r="L199" s="93"/>
      <c r="M199" s="93"/>
      <c r="N199" s="93"/>
      <c r="O199" s="93"/>
      <c r="P199" s="93"/>
      <c r="Q199" s="93"/>
      <c r="R199" s="93"/>
      <c r="S199" s="93"/>
      <c r="T199" s="93"/>
      <c r="U199" s="93"/>
      <c r="V199" s="93"/>
      <c r="W199" s="93"/>
      <c r="X199" s="93"/>
      <c r="Y199" s="93"/>
      <c r="Z199" s="93"/>
      <c r="AA199" s="93"/>
    </row>
    <row r="200" spans="1:27">
      <c r="A200" s="93"/>
      <c r="B200" s="531"/>
      <c r="C200" s="534" t="s">
        <v>754</v>
      </c>
      <c r="D200" s="532"/>
      <c r="E200" s="13">
        <f>M72*M74*1000000/365</f>
        <v>0</v>
      </c>
      <c r="F200" s="13">
        <f>M72*M75*1000000/365</f>
        <v>97847.358121330733</v>
      </c>
      <c r="G200" s="13">
        <v>0</v>
      </c>
      <c r="H200" s="93"/>
      <c r="I200" s="93"/>
      <c r="J200" s="93"/>
      <c r="K200" s="93"/>
      <c r="L200" s="93"/>
      <c r="M200" s="93"/>
      <c r="N200" s="93"/>
      <c r="O200" s="93"/>
      <c r="P200" s="93"/>
      <c r="Q200" s="93"/>
      <c r="R200" s="93"/>
      <c r="S200" s="93"/>
      <c r="T200" s="93"/>
      <c r="U200" s="93"/>
      <c r="V200" s="93"/>
      <c r="W200" s="93"/>
      <c r="X200" s="93"/>
      <c r="Y200" s="93"/>
      <c r="Z200" s="93"/>
      <c r="AA200" s="93"/>
    </row>
    <row r="201" spans="1:27">
      <c r="A201" s="93"/>
      <c r="B201" s="531"/>
      <c r="C201" s="534" t="s">
        <v>755</v>
      </c>
      <c r="D201" s="532"/>
      <c r="E201" s="13">
        <f>E200/'Input data'!D83</f>
        <v>0</v>
      </c>
      <c r="F201" s="13">
        <f>F200/'Input data'!D84</f>
        <v>5092.690092734023</v>
      </c>
      <c r="G201" s="13">
        <v>0</v>
      </c>
      <c r="H201" s="93"/>
      <c r="I201" s="93"/>
      <c r="J201" s="93"/>
      <c r="K201" s="93"/>
      <c r="L201" s="93"/>
      <c r="M201" s="93"/>
      <c r="N201" s="93"/>
      <c r="O201" s="93"/>
      <c r="P201" s="93"/>
      <c r="Q201" s="93"/>
      <c r="R201" s="93"/>
      <c r="S201" s="93"/>
      <c r="T201" s="93"/>
      <c r="U201" s="93"/>
      <c r="V201" s="93"/>
      <c r="W201" s="93"/>
      <c r="X201" s="93"/>
      <c r="Y201" s="93"/>
      <c r="Z201" s="93"/>
      <c r="AA201" s="93"/>
    </row>
    <row r="202" spans="1:27">
      <c r="A202" s="93"/>
      <c r="B202" s="531"/>
      <c r="C202" s="534" t="s">
        <v>757</v>
      </c>
      <c r="D202" s="532"/>
      <c r="E202" s="13">
        <v>0</v>
      </c>
      <c r="F202" s="108">
        <f>F201*'Fuel Specs'!G132</f>
        <v>5158895.0639395649</v>
      </c>
      <c r="G202" s="13">
        <v>0</v>
      </c>
      <c r="H202" s="93"/>
      <c r="I202" s="93"/>
      <c r="J202" s="93"/>
      <c r="K202" s="93"/>
      <c r="L202" s="93"/>
      <c r="M202" s="93"/>
      <c r="N202" s="93"/>
      <c r="O202" s="93"/>
      <c r="P202" s="93"/>
      <c r="Q202" s="93"/>
      <c r="R202" s="93"/>
      <c r="S202" s="93"/>
      <c r="T202" s="93"/>
      <c r="U202" s="93"/>
      <c r="V202" s="93"/>
      <c r="W202" s="93"/>
      <c r="X202" s="93"/>
      <c r="Y202" s="93"/>
      <c r="Z202" s="93"/>
      <c r="AA202" s="93"/>
    </row>
    <row r="203" spans="1:27">
      <c r="A203" s="93"/>
      <c r="B203" s="531"/>
      <c r="C203" s="534" t="s">
        <v>756</v>
      </c>
      <c r="D203" s="532"/>
      <c r="E203" s="13">
        <v>0</v>
      </c>
      <c r="F203" s="108">
        <f>F201*'Fuel Specs'!H132</f>
        <v>4649626.0546661634</v>
      </c>
      <c r="G203" s="13">
        <v>0</v>
      </c>
      <c r="H203" s="93"/>
      <c r="I203" s="93"/>
      <c r="J203" s="93"/>
      <c r="K203" s="93"/>
      <c r="L203" s="93"/>
      <c r="M203" s="93"/>
      <c r="N203" s="93"/>
      <c r="O203" s="93"/>
      <c r="P203" s="93"/>
      <c r="Q203" s="93"/>
      <c r="R203" s="93"/>
      <c r="S203" s="93"/>
      <c r="T203" s="93"/>
      <c r="U203" s="93"/>
      <c r="V203" s="93"/>
      <c r="W203" s="93"/>
      <c r="X203" s="93"/>
      <c r="Y203" s="93"/>
      <c r="Z203" s="93"/>
      <c r="AA203" s="93"/>
    </row>
    <row r="204" spans="1:27">
      <c r="A204" s="93"/>
      <c r="B204" s="531" t="s">
        <v>659</v>
      </c>
      <c r="C204" s="534"/>
      <c r="D204" s="532"/>
      <c r="E204" s="13"/>
      <c r="F204" s="13"/>
      <c r="G204" s="13"/>
      <c r="H204" s="93"/>
      <c r="I204" s="93"/>
      <c r="J204" s="93"/>
      <c r="K204" s="93"/>
      <c r="L204" s="93"/>
      <c r="M204" s="93"/>
      <c r="N204" s="93"/>
      <c r="O204" s="93"/>
      <c r="P204" s="93"/>
      <c r="Q204" s="93"/>
      <c r="R204" s="93"/>
      <c r="S204" s="93"/>
      <c r="T204" s="93"/>
      <c r="U204" s="93"/>
      <c r="V204" s="93"/>
      <c r="W204" s="93"/>
      <c r="X204" s="93"/>
      <c r="Y204" s="93"/>
      <c r="Z204" s="93"/>
      <c r="AA204" s="93"/>
    </row>
    <row r="205" spans="1:27">
      <c r="A205" s="93"/>
      <c r="B205" s="531"/>
      <c r="C205" s="534" t="s">
        <v>754</v>
      </c>
      <c r="D205" s="532"/>
      <c r="E205" s="13">
        <f>M77*M79*1000000/365</f>
        <v>270306.13722985314</v>
      </c>
      <c r="F205" s="13">
        <f>M77*M80*1000000/365</f>
        <v>6168323.1896928698</v>
      </c>
      <c r="G205" s="13">
        <v>0</v>
      </c>
      <c r="H205" s="93"/>
      <c r="I205" s="93"/>
      <c r="J205" s="93"/>
      <c r="K205" s="93"/>
      <c r="L205" s="93"/>
      <c r="M205" s="93"/>
      <c r="N205" s="93"/>
      <c r="O205" s="93"/>
      <c r="P205" s="93"/>
      <c r="Q205" s="93"/>
      <c r="R205" s="93"/>
      <c r="S205" s="93"/>
      <c r="T205" s="93"/>
      <c r="U205" s="93"/>
      <c r="V205" s="93"/>
      <c r="W205" s="93"/>
      <c r="X205" s="93"/>
      <c r="Y205" s="93"/>
      <c r="Z205" s="93"/>
      <c r="AA205" s="93"/>
    </row>
    <row r="206" spans="1:27">
      <c r="A206" s="93"/>
      <c r="B206" s="531"/>
      <c r="C206" s="534" t="s">
        <v>755</v>
      </c>
      <c r="D206" s="532"/>
      <c r="E206" s="13">
        <f>E205/'Input data'!D83</f>
        <v>5109.5096210167221</v>
      </c>
      <c r="F206" s="13">
        <f>F205/'Input data'!D84</f>
        <v>321044.52281662868</v>
      </c>
      <c r="G206" s="13">
        <v>0</v>
      </c>
      <c r="H206" s="93"/>
      <c r="I206" s="93"/>
      <c r="J206" s="93"/>
      <c r="K206" s="93"/>
      <c r="L206" s="93"/>
      <c r="M206" s="93"/>
      <c r="N206" s="93"/>
      <c r="O206" s="93"/>
      <c r="P206" s="93"/>
      <c r="Q206" s="93"/>
      <c r="R206" s="93"/>
      <c r="S206" s="93"/>
      <c r="T206" s="93"/>
      <c r="U206" s="93"/>
      <c r="V206" s="93"/>
      <c r="W206" s="93"/>
      <c r="X206" s="93"/>
      <c r="Y206" s="93"/>
      <c r="Z206" s="93"/>
      <c r="AA206" s="93"/>
    </row>
    <row r="207" spans="1:27">
      <c r="A207" s="93"/>
      <c r="B207" s="531"/>
      <c r="C207" s="534" t="s">
        <v>757</v>
      </c>
      <c r="D207" s="532"/>
      <c r="E207" s="13">
        <v>0</v>
      </c>
      <c r="F207" s="13">
        <f>F206*'Fuel Specs'!G132</f>
        <v>325218101.61324483</v>
      </c>
      <c r="G207" s="13">
        <v>0</v>
      </c>
      <c r="H207" s="93"/>
      <c r="I207" s="93"/>
      <c r="J207" s="93"/>
      <c r="K207" s="93"/>
      <c r="L207" s="93"/>
      <c r="M207" s="93"/>
      <c r="N207" s="93"/>
      <c r="O207" s="93"/>
      <c r="P207" s="93"/>
      <c r="Q207" s="93"/>
      <c r="R207" s="93"/>
      <c r="S207" s="93"/>
      <c r="T207" s="93"/>
      <c r="U207" s="93"/>
      <c r="V207" s="93"/>
      <c r="W207" s="93"/>
      <c r="X207" s="93"/>
      <c r="Y207" s="93"/>
      <c r="Z207" s="93"/>
      <c r="AA207" s="93"/>
    </row>
    <row r="208" spans="1:27">
      <c r="A208" s="93"/>
      <c r="B208" s="531"/>
      <c r="C208" s="534" t="s">
        <v>756</v>
      </c>
      <c r="D208" s="532"/>
      <c r="E208" s="13">
        <v>0</v>
      </c>
      <c r="F208" s="13">
        <f>F206*'Fuel Specs'!H132</f>
        <v>293113649.33158201</v>
      </c>
      <c r="G208" s="13">
        <v>0</v>
      </c>
      <c r="H208" s="93"/>
      <c r="I208" s="93"/>
      <c r="J208" s="93"/>
      <c r="K208" s="93"/>
      <c r="L208" s="93"/>
      <c r="M208" s="93"/>
      <c r="N208" s="93"/>
      <c r="O208" s="93"/>
      <c r="P208" s="93"/>
      <c r="Q208" s="93"/>
      <c r="R208" s="93"/>
      <c r="S208" s="93"/>
      <c r="T208" s="93"/>
      <c r="U208" s="93"/>
      <c r="V208" s="93"/>
      <c r="W208" s="93"/>
      <c r="X208" s="93"/>
      <c r="Y208" s="93"/>
      <c r="Z208" s="93"/>
      <c r="AA208" s="93"/>
    </row>
    <row r="209" spans="1:27">
      <c r="A209" s="93"/>
      <c r="B209" s="548" t="s">
        <v>694</v>
      </c>
      <c r="C209" s="549"/>
      <c r="D209" s="550"/>
      <c r="E209" s="574"/>
      <c r="F209" s="574"/>
      <c r="G209" s="574"/>
      <c r="H209" s="93"/>
      <c r="I209" s="93"/>
      <c r="J209" s="93"/>
      <c r="K209" s="93"/>
      <c r="L209" s="93"/>
      <c r="M209" s="93"/>
      <c r="N209" s="93"/>
      <c r="O209" s="93"/>
      <c r="P209" s="93"/>
      <c r="Q209" s="93"/>
      <c r="R209" s="93"/>
      <c r="S209" s="93"/>
      <c r="T209" s="93"/>
      <c r="U209" s="93"/>
      <c r="V209" s="93"/>
      <c r="W209" s="93"/>
      <c r="X209" s="93"/>
      <c r="Y209" s="93"/>
      <c r="Z209" s="93"/>
      <c r="AA209" s="93"/>
    </row>
    <row r="210" spans="1:27">
      <c r="A210" s="93"/>
      <c r="B210" s="548"/>
      <c r="C210" s="549" t="s">
        <v>754</v>
      </c>
      <c r="D210" s="550"/>
      <c r="E210" s="574">
        <f>M82*M84*1000000/365</f>
        <v>0</v>
      </c>
      <c r="F210" s="574">
        <f>M82*M85*1000000/365</f>
        <v>29137791.296743974</v>
      </c>
      <c r="G210" s="574">
        <v>0</v>
      </c>
      <c r="H210" s="93"/>
      <c r="I210" s="93"/>
      <c r="J210" s="93"/>
      <c r="K210" s="93"/>
      <c r="L210" s="93"/>
      <c r="M210" s="93"/>
      <c r="N210" s="93"/>
      <c r="O210" s="93"/>
      <c r="P210" s="93"/>
      <c r="Q210" s="93"/>
      <c r="R210" s="93"/>
      <c r="S210" s="93"/>
      <c r="T210" s="93"/>
      <c r="U210" s="93"/>
      <c r="V210" s="93"/>
      <c r="W210" s="93"/>
      <c r="X210" s="93"/>
      <c r="Y210" s="93"/>
      <c r="Z210" s="93"/>
      <c r="AA210" s="93"/>
    </row>
    <row r="211" spans="1:27">
      <c r="A211" s="93"/>
      <c r="B211" s="548"/>
      <c r="C211" s="549" t="s">
        <v>755</v>
      </c>
      <c r="D211" s="550"/>
      <c r="E211" s="574">
        <f>E210/'Input data'!D83</f>
        <v>0</v>
      </c>
      <c r="F211" s="574">
        <f>F210/'Input data'!D84</f>
        <v>1516543.1536442342</v>
      </c>
      <c r="G211" s="574">
        <v>0</v>
      </c>
      <c r="H211" s="93"/>
      <c r="I211" s="93"/>
      <c r="J211" s="93"/>
      <c r="K211" s="93"/>
      <c r="L211" s="93"/>
      <c r="M211" s="93"/>
      <c r="N211" s="93"/>
      <c r="O211" s="93"/>
      <c r="P211" s="93"/>
      <c r="Q211" s="93"/>
      <c r="R211" s="93"/>
      <c r="S211" s="93"/>
      <c r="T211" s="93"/>
      <c r="U211" s="93"/>
      <c r="V211" s="93"/>
      <c r="W211" s="93"/>
      <c r="X211" s="93"/>
      <c r="Y211" s="93"/>
      <c r="Z211" s="93"/>
      <c r="AA211" s="93"/>
    </row>
    <row r="212" spans="1:27">
      <c r="A212" s="93"/>
      <c r="B212" s="531"/>
      <c r="C212" s="534" t="s">
        <v>757</v>
      </c>
      <c r="D212" s="532"/>
      <c r="E212" s="13">
        <v>0</v>
      </c>
      <c r="F212" s="108">
        <f>F211*'Fuel Specs'!G132</f>
        <v>1536258214.6416092</v>
      </c>
      <c r="G212" s="13">
        <v>0</v>
      </c>
      <c r="H212" s="93"/>
      <c r="I212" s="93"/>
      <c r="J212" s="93"/>
      <c r="K212" s="93"/>
      <c r="L212" s="93"/>
      <c r="M212" s="93"/>
      <c r="N212" s="93"/>
      <c r="O212" s="93"/>
      <c r="P212" s="93"/>
      <c r="Q212" s="93"/>
      <c r="R212" s="93"/>
      <c r="S212" s="93"/>
      <c r="T212" s="93"/>
      <c r="U212" s="93"/>
      <c r="V212" s="93"/>
      <c r="W212" s="93"/>
      <c r="X212" s="93"/>
      <c r="Y212" s="93"/>
      <c r="Z212" s="93"/>
      <c r="AA212" s="93"/>
    </row>
    <row r="213" spans="1:27">
      <c r="A213" s="93"/>
      <c r="B213" s="531"/>
      <c r="C213" s="534" t="s">
        <v>756</v>
      </c>
      <c r="D213" s="532"/>
      <c r="E213" s="13">
        <v>0</v>
      </c>
      <c r="F213" s="108">
        <f>F211*'Fuel Specs'!H132</f>
        <v>1384603899.2771859</v>
      </c>
      <c r="G213" s="13">
        <v>0</v>
      </c>
      <c r="H213" s="93"/>
      <c r="I213" s="93"/>
      <c r="J213" s="93"/>
      <c r="K213" s="93"/>
      <c r="L213" s="93"/>
      <c r="M213" s="93"/>
      <c r="N213" s="93"/>
      <c r="O213" s="93"/>
      <c r="P213" s="93"/>
      <c r="Q213" s="93"/>
      <c r="R213" s="93"/>
      <c r="S213" s="93"/>
      <c r="T213" s="93"/>
      <c r="U213" s="93"/>
      <c r="V213" s="93"/>
      <c r="W213" s="93"/>
      <c r="X213" s="93"/>
      <c r="Y213" s="93"/>
      <c r="Z213" s="93"/>
      <c r="AA213" s="93"/>
    </row>
    <row r="214" spans="1:27">
      <c r="A214" s="93"/>
      <c r="B214" s="531" t="s">
        <v>759</v>
      </c>
      <c r="C214" s="534"/>
      <c r="D214" s="532"/>
      <c r="E214" s="13"/>
      <c r="F214" s="13"/>
      <c r="G214" s="13"/>
      <c r="H214" s="93"/>
      <c r="I214" s="93"/>
      <c r="J214" s="93"/>
      <c r="K214" s="93"/>
      <c r="L214" s="93"/>
      <c r="M214" s="93"/>
      <c r="N214" s="93"/>
      <c r="O214" s="93"/>
      <c r="P214" s="93"/>
      <c r="Q214" s="93"/>
      <c r="R214" s="93"/>
      <c r="S214" s="93"/>
      <c r="T214" s="93"/>
      <c r="U214" s="93"/>
      <c r="V214" s="93"/>
      <c r="W214" s="93"/>
      <c r="X214" s="93"/>
      <c r="Y214" s="93"/>
      <c r="Z214" s="93"/>
      <c r="AA214" s="93"/>
    </row>
    <row r="215" spans="1:27">
      <c r="A215" s="93"/>
      <c r="B215" s="531"/>
      <c r="C215" s="534" t="s">
        <v>754</v>
      </c>
      <c r="D215" s="532"/>
      <c r="E215" s="13">
        <f>M87*M89*1000000/365</f>
        <v>556012.59876051289</v>
      </c>
      <c r="F215" s="13">
        <f>M87*M90*1000000/365</f>
        <v>1474198.5416677818</v>
      </c>
      <c r="G215" s="13">
        <v>0</v>
      </c>
      <c r="H215" s="93"/>
      <c r="I215" s="93"/>
      <c r="J215" s="93"/>
      <c r="K215" s="93"/>
      <c r="L215" s="93"/>
      <c r="M215" s="93"/>
      <c r="N215" s="93"/>
      <c r="O215" s="93"/>
      <c r="P215" s="93"/>
      <c r="Q215" s="93"/>
      <c r="R215" s="93"/>
      <c r="S215" s="93"/>
      <c r="T215" s="93"/>
      <c r="U215" s="93"/>
      <c r="V215" s="93"/>
      <c r="W215" s="93"/>
      <c r="X215" s="93"/>
      <c r="Y215" s="93"/>
      <c r="Z215" s="93"/>
      <c r="AA215" s="93"/>
    </row>
    <row r="216" spans="1:27">
      <c r="A216" s="93"/>
      <c r="B216" s="531"/>
      <c r="C216" s="534" t="s">
        <v>755</v>
      </c>
      <c r="D216" s="532"/>
      <c r="E216" s="13">
        <f>E215/'Input data'!D83</f>
        <v>10510.126599003432</v>
      </c>
      <c r="F216" s="13">
        <f>F215/'Input data'!D84</f>
        <v>76728.043066476937</v>
      </c>
      <c r="G216" s="13">
        <v>0</v>
      </c>
      <c r="H216" s="93"/>
      <c r="I216" s="93"/>
      <c r="J216" s="93"/>
      <c r="K216" s="93"/>
      <c r="L216" s="93"/>
      <c r="M216" s="93"/>
      <c r="N216" s="93"/>
      <c r="O216" s="93"/>
      <c r="P216" s="93"/>
      <c r="Q216" s="93"/>
      <c r="R216" s="93"/>
      <c r="S216" s="93"/>
      <c r="T216" s="93"/>
      <c r="U216" s="93"/>
      <c r="V216" s="93"/>
      <c r="W216" s="93"/>
      <c r="X216" s="93"/>
      <c r="Y216" s="93"/>
      <c r="Z216" s="93"/>
      <c r="AA216" s="93"/>
    </row>
    <row r="217" spans="1:27">
      <c r="A217" s="93"/>
      <c r="B217" s="531"/>
      <c r="C217" s="534" t="s">
        <v>757</v>
      </c>
      <c r="D217" s="532"/>
      <c r="E217" s="13">
        <v>0</v>
      </c>
      <c r="F217" s="13">
        <f>F216*'Fuel Specs'!G132</f>
        <v>77725507.626341134</v>
      </c>
      <c r="G217" s="13">
        <v>0</v>
      </c>
      <c r="H217" s="93"/>
      <c r="I217" s="93"/>
      <c r="J217" s="93"/>
      <c r="K217" s="93"/>
      <c r="L217" s="93"/>
      <c r="M217" s="93"/>
      <c r="N217" s="93"/>
      <c r="O217" s="93"/>
      <c r="P217" s="93"/>
      <c r="Q217" s="93"/>
      <c r="R217" s="93"/>
      <c r="S217" s="93"/>
      <c r="T217" s="93"/>
      <c r="U217" s="93"/>
      <c r="V217" s="93"/>
      <c r="W217" s="93"/>
      <c r="X217" s="93"/>
      <c r="Y217" s="93"/>
      <c r="Z217" s="93"/>
      <c r="AA217" s="93"/>
    </row>
    <row r="218" spans="1:27">
      <c r="A218" s="93"/>
      <c r="B218" s="531"/>
      <c r="C218" s="534" t="s">
        <v>756</v>
      </c>
      <c r="D218" s="532"/>
      <c r="E218" s="13">
        <v>0</v>
      </c>
      <c r="F218" s="13">
        <f>F216*'Fuel Specs'!H132</f>
        <v>70052703.319693446</v>
      </c>
      <c r="G218" s="13">
        <v>0</v>
      </c>
      <c r="H218" s="93"/>
      <c r="I218" s="93"/>
      <c r="J218" s="93"/>
      <c r="K218" s="93"/>
      <c r="L218" s="93"/>
      <c r="M218" s="93"/>
      <c r="N218" s="93"/>
      <c r="O218" s="93"/>
      <c r="P218" s="93"/>
      <c r="Q218" s="93"/>
      <c r="R218" s="93"/>
      <c r="S218" s="93"/>
      <c r="T218" s="93"/>
      <c r="U218" s="93"/>
      <c r="V218" s="93"/>
      <c r="W218" s="93"/>
      <c r="X218" s="93"/>
      <c r="Y218" s="93"/>
      <c r="Z218" s="93"/>
      <c r="AA218" s="93"/>
    </row>
    <row r="219" spans="1:27">
      <c r="A219" s="93"/>
      <c r="B219" s="531" t="s">
        <v>765</v>
      </c>
      <c r="C219" s="534"/>
      <c r="D219" s="532"/>
      <c r="E219" s="13"/>
      <c r="F219" s="13"/>
      <c r="G219" s="13"/>
      <c r="H219" s="93"/>
      <c r="I219" s="93"/>
      <c r="J219" s="93"/>
      <c r="K219" s="93"/>
      <c r="L219" s="93"/>
      <c r="M219" s="93"/>
      <c r="N219" s="93"/>
      <c r="O219" s="93"/>
      <c r="P219" s="93"/>
      <c r="Q219" s="93"/>
      <c r="R219" s="93"/>
      <c r="S219" s="93"/>
      <c r="T219" s="93"/>
      <c r="U219" s="93"/>
      <c r="V219" s="93"/>
      <c r="W219" s="93"/>
      <c r="X219" s="93"/>
      <c r="Y219" s="93"/>
      <c r="Z219" s="93"/>
      <c r="AA219" s="93"/>
    </row>
    <row r="220" spans="1:27">
      <c r="A220" s="93"/>
      <c r="B220" s="531"/>
      <c r="C220" s="534" t="s">
        <v>754</v>
      </c>
      <c r="D220" s="532"/>
      <c r="E220" s="13">
        <f>M92*M94*1000000/365</f>
        <v>27148.086404005771</v>
      </c>
      <c r="F220" s="13">
        <f>M92*M95*1000000/365</f>
        <v>419561.33533463464</v>
      </c>
      <c r="G220" s="13">
        <v>0</v>
      </c>
      <c r="H220" s="93"/>
      <c r="I220" s="93"/>
      <c r="J220" s="93"/>
      <c r="K220" s="93"/>
      <c r="L220" s="93"/>
      <c r="M220" s="93"/>
      <c r="N220" s="93"/>
      <c r="O220" s="93"/>
      <c r="P220" s="93"/>
      <c r="Q220" s="93"/>
      <c r="R220" s="93"/>
      <c r="S220" s="93"/>
      <c r="T220" s="93"/>
      <c r="U220" s="93"/>
      <c r="V220" s="93"/>
      <c r="W220" s="93"/>
      <c r="X220" s="93"/>
      <c r="Y220" s="93"/>
      <c r="Z220" s="93"/>
      <c r="AA220" s="93"/>
    </row>
    <row r="221" spans="1:27">
      <c r="A221" s="93"/>
      <c r="B221" s="531"/>
      <c r="C221" s="534" t="s">
        <v>755</v>
      </c>
      <c r="D221" s="532"/>
      <c r="E221" s="13">
        <f>E220/'Input data'!D83</f>
        <v>513.17151025508042</v>
      </c>
      <c r="F221" s="13">
        <f>F220/'Input data'!D84</f>
        <v>21837.031645795156</v>
      </c>
      <c r="G221" s="13">
        <v>0</v>
      </c>
      <c r="H221" s="93"/>
      <c r="I221" s="93"/>
      <c r="J221" s="93"/>
      <c r="K221" s="93"/>
      <c r="L221" s="93"/>
      <c r="M221" s="93"/>
      <c r="N221" s="93"/>
      <c r="O221" s="93"/>
      <c r="P221" s="93"/>
      <c r="Q221" s="93"/>
      <c r="R221" s="93"/>
      <c r="S221" s="93"/>
      <c r="T221" s="93"/>
      <c r="U221" s="93"/>
      <c r="V221" s="93"/>
      <c r="W221" s="93"/>
      <c r="X221" s="93"/>
      <c r="Y221" s="93"/>
      <c r="Z221" s="93"/>
      <c r="AA221" s="93"/>
    </row>
    <row r="222" spans="1:27">
      <c r="A222" s="93"/>
      <c r="B222" s="531"/>
      <c r="C222" s="534" t="s">
        <v>757</v>
      </c>
      <c r="D222" s="532"/>
      <c r="E222" s="13">
        <v>0</v>
      </c>
      <c r="F222" s="13">
        <f>F221*'Fuel Specs'!G132</f>
        <v>22120913.057190493</v>
      </c>
      <c r="G222" s="13">
        <v>0</v>
      </c>
      <c r="H222" s="93"/>
      <c r="I222" s="93"/>
      <c r="J222" s="93"/>
      <c r="K222" s="93"/>
      <c r="L222" s="93"/>
      <c r="M222" s="93"/>
      <c r="N222" s="93"/>
      <c r="O222" s="93"/>
      <c r="P222" s="93"/>
      <c r="Q222" s="93"/>
      <c r="R222" s="93"/>
      <c r="S222" s="93"/>
      <c r="T222" s="93"/>
      <c r="U222" s="93"/>
      <c r="V222" s="93"/>
      <c r="W222" s="93"/>
      <c r="X222" s="93"/>
      <c r="Y222" s="93"/>
      <c r="Z222" s="93"/>
      <c r="AA222" s="93"/>
    </row>
    <row r="223" spans="1:27">
      <c r="A223" s="93"/>
      <c r="B223" s="531"/>
      <c r="C223" s="534" t="s">
        <v>756</v>
      </c>
      <c r="D223" s="532"/>
      <c r="E223" s="13">
        <v>0</v>
      </c>
      <c r="F223" s="13">
        <f>F221*'Fuel Specs'!H132</f>
        <v>19937209.892610978</v>
      </c>
      <c r="G223" s="13">
        <v>0</v>
      </c>
      <c r="H223" s="93"/>
      <c r="I223" s="93"/>
      <c r="J223" s="93"/>
      <c r="K223" s="93"/>
      <c r="L223" s="93"/>
      <c r="M223" s="93"/>
      <c r="N223" s="93"/>
      <c r="O223" s="93"/>
      <c r="P223" s="93"/>
      <c r="Q223" s="93"/>
      <c r="R223" s="93"/>
      <c r="S223" s="93"/>
      <c r="T223" s="93"/>
      <c r="U223" s="93"/>
      <c r="V223" s="93"/>
      <c r="W223" s="93"/>
      <c r="X223" s="93"/>
      <c r="Y223" s="93"/>
      <c r="Z223" s="93"/>
      <c r="AA223" s="93"/>
    </row>
    <row r="224" spans="1:27">
      <c r="A224" s="93"/>
      <c r="B224" s="531" t="s">
        <v>699</v>
      </c>
      <c r="C224" s="534"/>
      <c r="D224" s="532"/>
      <c r="E224" s="13"/>
      <c r="F224" s="13"/>
      <c r="G224" s="13"/>
      <c r="H224" s="93"/>
      <c r="I224" s="93"/>
      <c r="J224" s="93"/>
      <c r="K224" s="93"/>
      <c r="L224" s="93"/>
      <c r="M224" s="93"/>
      <c r="N224" s="93"/>
      <c r="O224" s="93"/>
      <c r="P224" s="93"/>
      <c r="Q224" s="93"/>
      <c r="R224" s="93"/>
      <c r="S224" s="93"/>
      <c r="T224" s="93"/>
      <c r="U224" s="93"/>
      <c r="V224" s="93"/>
      <c r="W224" s="93"/>
      <c r="X224" s="93"/>
      <c r="Y224" s="93"/>
      <c r="Z224" s="93"/>
      <c r="AA224" s="93"/>
    </row>
    <row r="225" spans="1:27">
      <c r="A225" s="93"/>
      <c r="B225" s="531"/>
      <c r="C225" s="534" t="s">
        <v>754</v>
      </c>
      <c r="D225" s="532"/>
      <c r="E225" s="13">
        <f>M97*M99*1000000/365</f>
        <v>0</v>
      </c>
      <c r="F225" s="13">
        <f>M97*M100*1000000/365</f>
        <v>845816.6075057108</v>
      </c>
      <c r="G225" s="13">
        <v>0</v>
      </c>
      <c r="H225" s="93"/>
      <c r="I225" s="93"/>
      <c r="J225" s="93"/>
      <c r="K225" s="93"/>
      <c r="L225" s="93"/>
      <c r="M225" s="93"/>
      <c r="N225" s="93"/>
      <c r="O225" s="93"/>
      <c r="P225" s="93"/>
      <c r="Q225" s="93"/>
      <c r="R225" s="93"/>
      <c r="S225" s="93"/>
      <c r="T225" s="93"/>
      <c r="U225" s="93"/>
      <c r="V225" s="93"/>
      <c r="W225" s="93"/>
      <c r="X225" s="93"/>
      <c r="Y225" s="93"/>
      <c r="Z225" s="93"/>
      <c r="AA225" s="93"/>
    </row>
    <row r="226" spans="1:27">
      <c r="A226" s="93"/>
      <c r="B226" s="531"/>
      <c r="C226" s="534" t="s">
        <v>755</v>
      </c>
      <c r="D226" s="532"/>
      <c r="E226" s="13">
        <f>E225/'Input data'!D83</f>
        <v>0</v>
      </c>
      <c r="F226" s="13">
        <f>F225/'Input data'!D84</f>
        <v>44022.464581751476</v>
      </c>
      <c r="G226" s="13">
        <v>0</v>
      </c>
      <c r="H226" s="93"/>
      <c r="I226" s="93"/>
      <c r="J226" s="93"/>
      <c r="K226" s="93"/>
      <c r="L226" s="93"/>
      <c r="M226" s="93"/>
      <c r="N226" s="93"/>
      <c r="O226" s="93"/>
      <c r="P226" s="93"/>
      <c r="Q226" s="93"/>
      <c r="R226" s="93"/>
      <c r="S226" s="93"/>
      <c r="T226" s="93"/>
      <c r="U226" s="93"/>
      <c r="V226" s="93"/>
      <c r="W226" s="93"/>
      <c r="X226" s="93"/>
      <c r="Y226" s="93"/>
      <c r="Z226" s="93"/>
      <c r="AA226" s="93"/>
    </row>
    <row r="227" spans="1:27">
      <c r="A227" s="93"/>
      <c r="B227" s="531"/>
      <c r="C227" s="534" t="s">
        <v>757</v>
      </c>
      <c r="D227" s="532"/>
      <c r="E227" s="13">
        <v>0</v>
      </c>
      <c r="F227" s="13">
        <f>F226*'Fuel Specs'!G132</f>
        <v>44594756.621314242</v>
      </c>
      <c r="G227" s="13">
        <v>0</v>
      </c>
      <c r="H227" s="93"/>
      <c r="I227" s="93"/>
      <c r="J227" s="93"/>
      <c r="K227" s="93"/>
      <c r="L227" s="93"/>
      <c r="M227" s="93"/>
      <c r="N227" s="93"/>
      <c r="O227" s="93"/>
      <c r="P227" s="93"/>
      <c r="Q227" s="93"/>
      <c r="R227" s="93"/>
      <c r="S227" s="93"/>
      <c r="T227" s="93"/>
      <c r="U227" s="93"/>
      <c r="V227" s="93"/>
      <c r="W227" s="93"/>
      <c r="X227" s="93"/>
      <c r="Y227" s="93"/>
      <c r="Z227" s="93"/>
      <c r="AA227" s="93"/>
    </row>
    <row r="228" spans="1:27">
      <c r="A228" s="93"/>
      <c r="B228" s="531"/>
      <c r="C228" s="534" t="s">
        <v>756</v>
      </c>
      <c r="D228" s="532"/>
      <c r="E228" s="13">
        <v>0</v>
      </c>
      <c r="F228" s="13">
        <f>F226*'Fuel Specs'!H132</f>
        <v>40192510.163139097</v>
      </c>
      <c r="G228" s="13">
        <v>0</v>
      </c>
      <c r="H228" s="93"/>
      <c r="I228" s="93"/>
      <c r="J228" s="93"/>
      <c r="K228" s="93"/>
      <c r="L228" s="93"/>
      <c r="M228" s="93"/>
      <c r="N228" s="93"/>
      <c r="O228" s="93"/>
      <c r="P228" s="93"/>
      <c r="Q228" s="93"/>
      <c r="R228" s="93"/>
      <c r="S228" s="93"/>
      <c r="T228" s="93"/>
      <c r="U228" s="93"/>
      <c r="V228" s="93"/>
      <c r="W228" s="93"/>
      <c r="X228" s="93"/>
      <c r="Y228" s="93"/>
      <c r="Z228" s="93"/>
      <c r="AA228" s="93"/>
    </row>
    <row r="229" spans="1:27">
      <c r="A229" s="93"/>
      <c r="B229" s="531" t="s">
        <v>766</v>
      </c>
      <c r="C229" s="534"/>
      <c r="D229" s="532"/>
      <c r="E229" s="13"/>
      <c r="F229" s="13"/>
      <c r="G229" s="13"/>
      <c r="H229" s="93"/>
      <c r="I229" s="93"/>
      <c r="J229" s="93"/>
      <c r="K229" s="93"/>
      <c r="L229" s="93"/>
      <c r="M229" s="93"/>
      <c r="N229" s="93"/>
      <c r="O229" s="93"/>
      <c r="P229" s="93"/>
      <c r="Q229" s="93"/>
      <c r="R229" s="93"/>
      <c r="S229" s="93"/>
      <c r="T229" s="93"/>
      <c r="U229" s="93"/>
      <c r="V229" s="93"/>
      <c r="W229" s="93"/>
      <c r="X229" s="93"/>
      <c r="Y229" s="93"/>
      <c r="Z229" s="93"/>
      <c r="AA229" s="93"/>
    </row>
    <row r="230" spans="1:27">
      <c r="A230" s="93"/>
      <c r="B230" s="531"/>
      <c r="C230" s="534" t="s">
        <v>754</v>
      </c>
      <c r="D230" s="532"/>
      <c r="E230" s="13">
        <v>0</v>
      </c>
      <c r="F230" s="1010">
        <f>((0.75*M103*((100-M104)/100*IF('Production &amp; Extraction'!M32&lt;=20,'Emissions Factors'!H75,'Emissions Factors'!H76)+M104/100*'Emissions Factors'!H101)+0.25*M103*((100-M104)/100*'Emissions Factors'!H74+M104/100*'Emissions Factors'!H99))+(0.75*M106*((100-M107)/100*IF('Production &amp; Extraction'!M32&lt;=20,'Emissions Factors'!H79,'Emissions Factors'!H80)+M107/100*'Emissions Factors'!H105)+0.25*M106*((100-M107)/100*'Emissions Factors'!H78+M107/100*'Emissions Factors'!H103))+(0.75*M109*((100-M110)/100*IF('Production &amp; Extraction'!M32&lt;=20,'Emissions Factors'!H83,'Emissions Factors'!H84)+M110/100*'Emissions Factors'!H109)+0.25*M109*((100-M110)/100*'Emissions Factors'!H82+M110/100*'Emissions Factors'!H107))+(0.75*M112*((100-M113)/100*IF('Production &amp; Extraction'!M32&lt;=20,'Emissions Factors'!H87,'Emissions Factors'!H88)+M113/100*IF('Production &amp; Extraction'!M32&lt;=20,'Emissions Factors'!H112,'Emissions Factors'!H113))+0.25*M112*((100-M113)/100*'Emissions Factors'!H86+M113/100*'Emissions Factors'!H111))+(0.75*M115*((100-M116)/100*'Emissions Factors'!H92+M104/100*'Emissions Factors'!H117)+0.25*M115*((100-M116)/100*'Emissions Factors'!H90+M116/100*'Emissions Factors'!H115))+(0.75*M118*((100-M119)/100*IF('Production &amp; Extraction'!M32&lt;=20,'Emissions Factors'!H95,'Emissions Factors'!H96)+M119/100*'Emissions Factors'!H121)+0.25*M118*((100-M119)/100*'Emissions Factors'!H94+M119/100*'Emissions Factors'!H119)))/365</f>
        <v>16839229.037587252</v>
      </c>
      <c r="G230" s="1010">
        <f>((0.75*M103*((100-M104)/100*IF('Production &amp; Extraction'!M32&lt;=20,'Emissions Factors'!I75,'Emissions Factors'!I76)+M104/100*'Emissions Factors'!I101)+0.25*M103*((100-M104)/100*'Emissions Factors'!I74+M104/100*'Emissions Factors'!I99))+(0.75*M106*((100-M107)/100*IF('Production &amp; Extraction'!M32&lt;=20,'Emissions Factors'!I79,'Emissions Factors'!I80)+M107/100*'Emissions Factors'!I105)+0.25*M106*((100-M107)/100*'Emissions Factors'!I78+M107/100*'Emissions Factors'!I103))+(0.75*M109*((100-M110)/100*IF('Production &amp; Extraction'!M32&lt;=20,'Emissions Factors'!I83,'Emissions Factors'!I84)+M110/100*'Emissions Factors'!I109)+0.25*M109*((100-M110)/100*'Emissions Factors'!I82+M110/100*'Emissions Factors'!I107))+(0.75*M112*((100-M113)/100*IF('Production &amp; Extraction'!M32&lt;=20,'Emissions Factors'!I87,'Emissions Factors'!I88)+M113/100*IF('Production &amp; Extraction'!M32&lt;=20,'Emissions Factors'!I112,'Emissions Factors'!I113))+0.25*M112*((100-M113)/100*'Emissions Factors'!I86+M113/100*'Emissions Factors'!I111))+(0.75*M115*((100-M116)/100*'Emissions Factors'!I92+M104/100*'Emissions Factors'!I117)+0.25*M115*((100-M116)/100*'Emissions Factors'!I90+M116/100*'Emissions Factors'!I115))+(0.75*M118*((100-M119)/100*IF('Production &amp; Extraction'!M32&lt;=20,'Emissions Factors'!I95,'Emissions Factors'!I96)+M119/100*'Emissions Factors'!I121)+0.25*M118*((100-M119)/100*'Emissions Factors'!I94+M119/100*'Emissions Factors'!I119)))/365</f>
        <v>7005707.4831516361</v>
      </c>
      <c r="H230" s="72" t="s">
        <v>767</v>
      </c>
      <c r="I230" s="93"/>
      <c r="J230" s="93"/>
      <c r="K230" s="93"/>
      <c r="L230" s="93"/>
      <c r="M230" s="93"/>
      <c r="N230" s="93"/>
      <c r="O230" s="93"/>
      <c r="P230" s="93"/>
      <c r="Q230" s="93"/>
      <c r="R230" s="93"/>
      <c r="S230" s="93"/>
      <c r="T230" s="93"/>
      <c r="U230" s="93"/>
      <c r="V230" s="93"/>
      <c r="W230" s="93"/>
      <c r="X230" s="93"/>
      <c r="Y230" s="93"/>
      <c r="Z230" s="93"/>
      <c r="AA230" s="93"/>
    </row>
    <row r="231" spans="1:27">
      <c r="A231" s="93"/>
      <c r="B231" s="531"/>
      <c r="C231" s="534" t="s">
        <v>755</v>
      </c>
      <c r="D231" s="532"/>
      <c r="E231" s="13">
        <v>0</v>
      </c>
      <c r="F231" s="599">
        <f>F230/'Input data'!D84</f>
        <v>876436.28336557653</v>
      </c>
      <c r="G231" s="599">
        <f>G230*(0.31/'Input data'!D85+0.42/'Input data'!D86+0.27/'Input data'!D87)</f>
        <v>141055.96694513428</v>
      </c>
      <c r="H231" s="72" t="s">
        <v>768</v>
      </c>
      <c r="I231" s="93"/>
      <c r="J231" s="93"/>
      <c r="K231" s="93"/>
      <c r="L231" s="93"/>
      <c r="M231" s="93"/>
      <c r="N231" s="93"/>
      <c r="O231" s="93"/>
      <c r="P231" s="93"/>
      <c r="Q231" s="93"/>
      <c r="R231" s="93"/>
      <c r="S231" s="93"/>
      <c r="T231" s="93"/>
      <c r="U231" s="93"/>
      <c r="V231" s="93"/>
      <c r="W231" s="93"/>
      <c r="X231" s="93"/>
      <c r="Y231" s="93"/>
      <c r="Z231" s="93"/>
      <c r="AA231" s="93"/>
    </row>
    <row r="232" spans="1:27">
      <c r="A232" s="93"/>
      <c r="B232" s="531"/>
      <c r="C232" s="534" t="s">
        <v>757</v>
      </c>
      <c r="D232" s="532"/>
      <c r="E232" s="13">
        <v>0</v>
      </c>
      <c r="F232" s="599">
        <f>F231*'Fuel Specs'!G132</f>
        <v>887829955.04932904</v>
      </c>
      <c r="G232" s="599">
        <f>G230*('Fuel Specs'!G133*0.31/'Input data'!D85+'Fuel Specs'!G134*0.42/'Input data'!D86+'Fuel Specs'!G135*0.27/'Input data'!D87)</f>
        <v>338045874.08208537</v>
      </c>
      <c r="H232" s="93"/>
      <c r="I232" s="93"/>
      <c r="J232" s="93"/>
      <c r="K232" s="93"/>
      <c r="L232" s="93"/>
      <c r="M232" s="93"/>
      <c r="N232" s="93"/>
      <c r="O232" s="93"/>
      <c r="P232" s="93"/>
      <c r="Q232" s="93"/>
      <c r="R232" s="93"/>
      <c r="S232" s="93"/>
      <c r="T232" s="93"/>
      <c r="U232" s="93"/>
      <c r="V232" s="93"/>
      <c r="W232" s="93"/>
      <c r="X232" s="93"/>
      <c r="Y232" s="93"/>
      <c r="Z232" s="93"/>
      <c r="AA232" s="93"/>
    </row>
    <row r="233" spans="1:27">
      <c r="A233" s="93"/>
      <c r="B233" s="531"/>
      <c r="C233" s="534" t="s">
        <v>756</v>
      </c>
      <c r="D233" s="532"/>
      <c r="E233" s="13">
        <v>0</v>
      </c>
      <c r="F233" s="599">
        <f>F231*'Fuel Specs'!H132</f>
        <v>800186326.71277142</v>
      </c>
      <c r="G233" s="599">
        <f>G230*('Fuel Specs'!H133*0.31/'Input data'!D85+'Fuel Specs'!H134*0.42/'Input data'!D86+'Fuel Specs'!H135*0.27/'Input data'!D87)</f>
        <v>310996604.84785903</v>
      </c>
      <c r="H233" s="93"/>
      <c r="I233" s="93"/>
      <c r="J233" s="93"/>
      <c r="K233" s="93"/>
      <c r="L233" s="93"/>
      <c r="M233" s="93"/>
      <c r="N233" s="93"/>
      <c r="O233" s="93"/>
      <c r="P233" s="93"/>
      <c r="Q233" s="93"/>
      <c r="R233" s="93"/>
      <c r="S233" s="93"/>
      <c r="T233" s="93"/>
      <c r="U233" s="93"/>
      <c r="V233" s="93"/>
      <c r="W233" s="93"/>
      <c r="X233" s="93"/>
      <c r="Y233" s="93"/>
      <c r="Z233" s="93"/>
      <c r="AA233" s="93"/>
    </row>
    <row r="234" spans="1:27">
      <c r="A234" s="93"/>
      <c r="B234" s="531" t="s">
        <v>339</v>
      </c>
      <c r="C234" s="534"/>
      <c r="D234" s="532"/>
      <c r="E234" s="13"/>
      <c r="F234" s="599"/>
      <c r="G234" s="599"/>
      <c r="H234" s="93"/>
      <c r="I234" s="93"/>
      <c r="J234" s="93"/>
      <c r="K234" s="93"/>
      <c r="L234" s="93"/>
      <c r="M234" s="93"/>
      <c r="N234" s="93"/>
      <c r="O234" s="93"/>
      <c r="P234" s="93"/>
      <c r="Q234" s="93"/>
      <c r="R234" s="93"/>
      <c r="S234" s="93"/>
      <c r="T234" s="93"/>
      <c r="U234" s="93"/>
      <c r="V234" s="93"/>
      <c r="W234" s="93"/>
      <c r="X234" s="93"/>
      <c r="Y234" s="93"/>
      <c r="Z234" s="93"/>
      <c r="AA234" s="93"/>
    </row>
    <row r="235" spans="1:27">
      <c r="A235" s="93"/>
      <c r="B235" s="531"/>
      <c r="C235" s="534" t="s">
        <v>754</v>
      </c>
      <c r="D235" s="532"/>
      <c r="E235" s="13">
        <f t="shared" ref="E235:G236" si="1">E195+E200+E205+E210+E215+E220+E225+E230</f>
        <v>871984.6115943453</v>
      </c>
      <c r="F235" s="599">
        <f t="shared" si="1"/>
        <v>55039853.797411636</v>
      </c>
      <c r="G235" s="599">
        <f t="shared" si="1"/>
        <v>7005707.4831516361</v>
      </c>
      <c r="H235" s="93"/>
      <c r="I235" s="93"/>
      <c r="J235" s="93"/>
      <c r="K235" s="93"/>
      <c r="L235" s="93"/>
      <c r="M235" s="93"/>
      <c r="N235" s="93"/>
      <c r="O235" s="93"/>
      <c r="P235" s="93"/>
      <c r="Q235" s="93"/>
      <c r="R235" s="93"/>
      <c r="S235" s="93"/>
      <c r="T235" s="93"/>
      <c r="U235" s="93"/>
      <c r="V235" s="93"/>
      <c r="W235" s="93"/>
      <c r="X235" s="93"/>
      <c r="Y235" s="93"/>
      <c r="Z235" s="93"/>
      <c r="AA235" s="93"/>
    </row>
    <row r="236" spans="1:27">
      <c r="A236" s="93"/>
      <c r="B236" s="531"/>
      <c r="C236" s="534" t="s">
        <v>755</v>
      </c>
      <c r="D236" s="532"/>
      <c r="E236" s="13">
        <f t="shared" si="1"/>
        <v>16482.843519498794</v>
      </c>
      <c r="F236" s="599">
        <f t="shared" si="1"/>
        <v>2864675.383386787</v>
      </c>
      <c r="G236" s="599">
        <f t="shared" si="1"/>
        <v>141055.96694513428</v>
      </c>
      <c r="H236" s="93"/>
      <c r="I236" s="93"/>
      <c r="J236" s="93"/>
      <c r="K236" s="93"/>
      <c r="L236" s="93"/>
      <c r="M236" s="93"/>
      <c r="N236" s="93"/>
      <c r="O236" s="93"/>
      <c r="P236" s="93"/>
      <c r="Q236" s="93"/>
      <c r="R236" s="93"/>
      <c r="S236" s="93"/>
      <c r="T236" s="93"/>
      <c r="U236" s="93"/>
      <c r="V236" s="93"/>
      <c r="W236" s="93"/>
      <c r="X236" s="93"/>
      <c r="Y236" s="93"/>
      <c r="Z236" s="93"/>
      <c r="AA236" s="93"/>
    </row>
    <row r="237" spans="1:27">
      <c r="A237" s="93"/>
      <c r="B237" s="531"/>
      <c r="C237" s="534" t="s">
        <v>757</v>
      </c>
      <c r="D237" s="532"/>
      <c r="E237" s="13">
        <v>0</v>
      </c>
      <c r="F237" s="599">
        <f>F197+F202+F207+F212+F217+F222+F227+F232</f>
        <v>2901916163.3708153</v>
      </c>
      <c r="G237" s="599">
        <f>G197+G202+G207+G212+G217+G222+G227+G232</f>
        <v>338045874.08208537</v>
      </c>
      <c r="H237" s="93"/>
      <c r="I237" s="93"/>
      <c r="J237" s="93"/>
      <c r="K237" s="93"/>
      <c r="L237" s="93"/>
      <c r="M237" s="93"/>
      <c r="N237" s="93"/>
      <c r="O237" s="93"/>
      <c r="P237" s="93"/>
      <c r="Q237" s="93"/>
      <c r="R237" s="93"/>
      <c r="S237" s="93"/>
      <c r="T237" s="93"/>
      <c r="U237" s="93"/>
      <c r="V237" s="93"/>
      <c r="W237" s="93"/>
      <c r="X237" s="93"/>
      <c r="Y237" s="93"/>
      <c r="Z237" s="93"/>
      <c r="AA237" s="93"/>
    </row>
    <row r="238" spans="1:27">
      <c r="A238" s="93"/>
      <c r="B238" s="531"/>
      <c r="C238" s="534" t="s">
        <v>756</v>
      </c>
      <c r="D238" s="532"/>
      <c r="E238" s="13">
        <v>0</v>
      </c>
      <c r="F238" s="599">
        <f>F198+F203+F208+F213+F218+F223+F228+F233</f>
        <v>2615448625.0321369</v>
      </c>
      <c r="G238" s="599">
        <f>G198+G203+G208+G213+G218+G223+G228+G233</f>
        <v>310996604.84785903</v>
      </c>
      <c r="H238" s="93"/>
      <c r="I238" s="93"/>
      <c r="J238" s="93"/>
      <c r="K238" s="93"/>
      <c r="L238" s="93"/>
      <c r="M238" s="93"/>
      <c r="N238" s="93"/>
      <c r="O238" s="93"/>
      <c r="P238" s="93"/>
      <c r="Q238" s="93"/>
      <c r="R238" s="93"/>
      <c r="S238" s="93"/>
      <c r="T238" s="93"/>
      <c r="U238" s="93"/>
      <c r="V238" s="93"/>
      <c r="W238" s="93"/>
      <c r="X238" s="93"/>
      <c r="Y238" s="93"/>
      <c r="Z238" s="93"/>
      <c r="AA238" s="93"/>
    </row>
    <row r="239" spans="1:27">
      <c r="A239" s="93"/>
      <c r="B239" s="93"/>
      <c r="C239" s="93"/>
      <c r="D239" s="93"/>
      <c r="E239" s="93"/>
      <c r="F239" s="93"/>
      <c r="G239" s="93"/>
      <c r="H239" s="93"/>
      <c r="I239" s="93"/>
      <c r="J239" s="93"/>
      <c r="K239" s="93"/>
      <c r="L239" s="93"/>
      <c r="M239" s="93"/>
      <c r="N239" s="93"/>
      <c r="O239" s="93"/>
      <c r="P239" s="93"/>
      <c r="Q239" s="93"/>
      <c r="R239" s="93"/>
      <c r="S239" s="93"/>
      <c r="T239" s="93"/>
      <c r="U239" s="93"/>
      <c r="V239" s="93"/>
      <c r="W239" s="93"/>
      <c r="X239" s="93"/>
      <c r="Y239" s="93"/>
      <c r="Z239" s="93"/>
      <c r="AA239" s="93"/>
    </row>
    <row r="240" spans="1:27">
      <c r="A240" s="93"/>
      <c r="B240" s="93"/>
      <c r="C240" s="93"/>
      <c r="D240" s="93"/>
      <c r="E240" s="93"/>
      <c r="F240" s="93"/>
      <c r="G240" s="93"/>
      <c r="H240" s="93"/>
      <c r="I240" s="93"/>
      <c r="J240" s="93"/>
      <c r="K240" s="93"/>
      <c r="L240" s="93"/>
      <c r="M240" s="93"/>
      <c r="N240" s="93"/>
      <c r="O240" s="93"/>
      <c r="P240" s="93"/>
      <c r="Q240" s="93"/>
      <c r="R240" s="93"/>
      <c r="S240" s="93"/>
      <c r="T240" s="93"/>
      <c r="U240" s="93"/>
      <c r="V240" s="93"/>
      <c r="W240" s="93"/>
      <c r="X240" s="93"/>
      <c r="Y240" s="93"/>
      <c r="Z240" s="93"/>
      <c r="AA240" s="93"/>
    </row>
    <row r="241" spans="1:27">
      <c r="A241" s="651" t="s">
        <v>3761</v>
      </c>
      <c r="B241" s="93"/>
      <c r="C241" s="93"/>
      <c r="D241" s="93"/>
      <c r="E241" s="93"/>
      <c r="F241" s="93"/>
      <c r="G241" s="93"/>
      <c r="H241" s="93"/>
      <c r="I241" s="93"/>
      <c r="J241" s="93"/>
      <c r="K241" s="93"/>
      <c r="L241" s="93"/>
      <c r="M241" s="93"/>
      <c r="N241" s="93"/>
      <c r="O241" s="93"/>
      <c r="P241" s="93"/>
      <c r="Q241" s="93"/>
      <c r="R241" s="93"/>
      <c r="S241" s="93"/>
      <c r="T241" s="93"/>
      <c r="U241" s="93"/>
      <c r="V241" s="93"/>
      <c r="W241" s="93"/>
      <c r="X241" s="93"/>
      <c r="Y241" s="93"/>
      <c r="Z241" s="93"/>
      <c r="AA241" s="93"/>
    </row>
    <row r="242" spans="1:27">
      <c r="A242" s="93"/>
      <c r="B242" s="93"/>
      <c r="C242" s="93"/>
      <c r="D242" s="93"/>
      <c r="E242" s="93"/>
      <c r="F242" s="93"/>
      <c r="G242" s="93"/>
      <c r="H242" s="93"/>
      <c r="I242" s="93"/>
      <c r="J242" s="93"/>
      <c r="K242" s="93"/>
      <c r="L242" s="93"/>
      <c r="M242" s="93"/>
      <c r="N242" s="93"/>
      <c r="O242" s="93"/>
      <c r="P242" s="93"/>
      <c r="Q242" s="93"/>
      <c r="R242" s="93"/>
      <c r="S242" s="93"/>
      <c r="T242" s="93"/>
      <c r="U242" s="93"/>
      <c r="V242" s="93"/>
      <c r="W242" s="93"/>
      <c r="X242" s="93"/>
      <c r="Y242" s="93"/>
      <c r="Z242" s="93"/>
      <c r="AA242" s="93"/>
    </row>
    <row r="243" spans="1:27">
      <c r="A243" s="93"/>
      <c r="B243" s="643" t="s">
        <v>3762</v>
      </c>
      <c r="C243" s="93"/>
      <c r="D243" s="93"/>
      <c r="E243" s="93"/>
      <c r="F243" s="93"/>
      <c r="G243" s="93"/>
      <c r="H243" s="93"/>
      <c r="I243" s="93"/>
      <c r="J243" s="93"/>
      <c r="K243" s="93"/>
      <c r="L243" s="93"/>
      <c r="M243" s="93"/>
      <c r="N243" s="93"/>
      <c r="O243" s="93"/>
      <c r="P243" s="93"/>
      <c r="Q243" s="93"/>
      <c r="R243" s="93"/>
      <c r="S243" s="93"/>
      <c r="T243" s="93"/>
      <c r="U243" s="93"/>
      <c r="V243" s="93"/>
      <c r="W243" s="93"/>
      <c r="X243" s="93"/>
      <c r="Y243" s="93"/>
      <c r="Z243" s="93"/>
      <c r="AA243" s="93"/>
    </row>
    <row r="244" spans="1:27">
      <c r="A244" s="93"/>
      <c r="B244" s="543" t="s">
        <v>776</v>
      </c>
      <c r="C244" s="544"/>
      <c r="D244" s="544"/>
      <c r="E244" s="545"/>
      <c r="F244" s="106" t="s">
        <v>628</v>
      </c>
      <c r="G244" s="106" t="s">
        <v>444</v>
      </c>
      <c r="H244" s="106" t="s">
        <v>550</v>
      </c>
      <c r="I244" s="106" t="s">
        <v>551</v>
      </c>
      <c r="J244" s="72" t="s">
        <v>613</v>
      </c>
      <c r="L244" s="93"/>
      <c r="M244" s="93"/>
      <c r="N244" s="93"/>
      <c r="O244" s="93"/>
      <c r="P244" s="93"/>
      <c r="Q244" s="93"/>
      <c r="R244" s="93"/>
      <c r="S244" s="93"/>
      <c r="T244" s="93"/>
      <c r="U244" s="93"/>
      <c r="V244" s="93"/>
      <c r="W244" s="93"/>
      <c r="X244" s="93"/>
      <c r="Y244" s="93"/>
      <c r="Z244" s="93"/>
    </row>
    <row r="245" spans="1:27">
      <c r="A245" s="93"/>
      <c r="B245" s="543"/>
      <c r="C245" s="544"/>
      <c r="D245" s="544"/>
      <c r="E245" s="545"/>
      <c r="F245" s="106" t="s">
        <v>769</v>
      </c>
      <c r="G245" s="106" t="s">
        <v>724</v>
      </c>
      <c r="H245" s="106" t="s">
        <v>771</v>
      </c>
      <c r="I245" s="106" t="s">
        <v>771</v>
      </c>
      <c r="J245" s="93"/>
      <c r="L245" s="93"/>
      <c r="M245" s="93"/>
      <c r="N245" s="93"/>
      <c r="O245" s="93"/>
      <c r="P245" s="93"/>
      <c r="Q245" s="93"/>
      <c r="R245" s="93"/>
      <c r="S245" s="93"/>
      <c r="T245" s="93"/>
      <c r="U245" s="93"/>
      <c r="V245" s="93"/>
      <c r="W245" s="93"/>
      <c r="X245" s="93"/>
      <c r="Y245" s="93"/>
      <c r="Z245" s="93"/>
    </row>
    <row r="246" spans="1:27">
      <c r="A246" s="93"/>
      <c r="B246" s="531" t="s">
        <v>133</v>
      </c>
      <c r="C246" s="534"/>
      <c r="D246" s="534"/>
      <c r="E246" s="532"/>
      <c r="F246" s="401">
        <f>M127*365+((E170+F170*'Input data'!C73+G170*'Input data'!C74)+(E184+F184*'Input data'!C73+G184*'Input data'!C74))*365/1000000</f>
        <v>4526206.9515646268</v>
      </c>
      <c r="G246" s="401">
        <f>M9*365+((E171+F171+G171)+(E185+F185+G185))*365/1000000</f>
        <v>10738.581165853231</v>
      </c>
      <c r="H246" s="401">
        <f>M9*365*'Gas Balance'!AC19/'Gas Balance'!AC23+((E172+F172+G172)+(E186+F186+G186))*365/1000000</f>
        <v>13618042.229707683</v>
      </c>
      <c r="I246" s="401">
        <f>M9*365*'Gas Balance'!AC20/'Gas Balance'!AC23+((E173+F173+G173)+(E187+F187+G187))*365/1000000</f>
        <v>6019415.7186983321</v>
      </c>
      <c r="J246" s="72"/>
      <c r="K246" s="93"/>
      <c r="M246" s="93"/>
      <c r="N246" s="93"/>
      <c r="O246" s="575"/>
      <c r="P246" s="93"/>
      <c r="Q246" s="93"/>
      <c r="R246" s="93"/>
      <c r="S246" s="93"/>
      <c r="T246" s="93"/>
      <c r="U246" s="93"/>
      <c r="V246" s="93"/>
      <c r="W246" s="93"/>
      <c r="X246" s="93"/>
      <c r="Y246" s="93"/>
      <c r="Z246" s="93"/>
    </row>
    <row r="247" spans="1:27">
      <c r="A247" s="93"/>
      <c r="B247" s="531"/>
      <c r="C247" s="534" t="s">
        <v>773</v>
      </c>
      <c r="D247" s="534"/>
      <c r="E247" s="532"/>
      <c r="F247" s="401">
        <v>0</v>
      </c>
      <c r="G247" s="401">
        <v>0</v>
      </c>
      <c r="H247" s="401">
        <v>0</v>
      </c>
      <c r="I247" s="401">
        <v>0</v>
      </c>
      <c r="J247" s="1007"/>
      <c r="K247" s="1002"/>
      <c r="M247" s="93"/>
      <c r="N247" s="93"/>
      <c r="O247" s="575"/>
      <c r="P247" s="93"/>
      <c r="Q247" s="93"/>
      <c r="R247" s="93"/>
      <c r="S247" s="93"/>
      <c r="T247" s="93"/>
      <c r="U247" s="93"/>
      <c r="V247" s="93"/>
      <c r="W247" s="93"/>
      <c r="X247" s="93"/>
      <c r="Y247" s="93"/>
      <c r="Z247" s="93"/>
    </row>
    <row r="248" spans="1:27">
      <c r="A248" s="93"/>
      <c r="B248" s="531"/>
      <c r="C248" s="534" t="s">
        <v>774</v>
      </c>
      <c r="D248" s="534"/>
      <c r="E248" s="532"/>
      <c r="F248" s="401">
        <f>M127*365+((E135+F135*'Input data'!C73+G135*'Input data'!C74)+(E140+F140*'Input data'!C73+G140*'Input data'!C74)+(E165+F165*'Input data'!C73+G165*'Input data'!C74)+(E160+F160*'Input data'!C73+G160*'Input data'!C74)+(E184+F184*'Input data'!C73+G184*'Input data'!C74))*365/1000000</f>
        <v>4187427.1353229722</v>
      </c>
      <c r="G248" s="401">
        <f>M9*365+((E136+F136+G136)+(E141+F141+G141)+(E161+F161+G161)+(E166+F166+G166)+(E185+F185+G185))*365/1000000</f>
        <v>10159.421105908314</v>
      </c>
      <c r="H248" s="401">
        <f>M9*365*'Gas Balance'!AC19/'Gas Balance'!AC23+((E137+F137+G137)+(E142+F142+G142)+(E162+F162+G162)+(E167+F167+G167)+(E186+F186+G186))*365/1000000</f>
        <v>13098100.748207603</v>
      </c>
      <c r="I248" s="401">
        <f>M9*365*'Gas Balance'!AC20/'Gas Balance'!AC23+((E138+F138+G138)+(E143+F143+G143)+(E163+F163+G163)+(E168+F168+G168)+(E187+F187+G187))*365/1000000</f>
        <v>5550801.1356681511</v>
      </c>
      <c r="J248" s="1007"/>
      <c r="K248" s="93"/>
      <c r="M248" s="93"/>
      <c r="N248" s="93"/>
      <c r="O248" s="575"/>
      <c r="P248" s="93"/>
      <c r="Q248" s="93"/>
      <c r="R248" s="93"/>
      <c r="S248" s="93"/>
      <c r="T248" s="93"/>
      <c r="U248" s="93"/>
      <c r="V248" s="93"/>
      <c r="W248" s="93"/>
      <c r="X248" s="93"/>
      <c r="Y248" s="93"/>
      <c r="Z248" s="93"/>
    </row>
    <row r="249" spans="1:27">
      <c r="A249" s="93"/>
      <c r="B249" s="531"/>
      <c r="C249" s="534" t="s">
        <v>775</v>
      </c>
      <c r="D249" s="534"/>
      <c r="E249" s="532"/>
      <c r="F249" s="401">
        <f>((E145+F145*'Input data'!C73+G145*'Input data'!C74)+(E150+F150*'Input data'!C73+G150*'Input data'!C74)+(E155+F155*'Input data'!C73+G155*'Input data'!C74))*365/1000000</f>
        <v>338779.81624165445</v>
      </c>
      <c r="G249" s="401">
        <f>((E146+F146+G146)+(E151+F151+G151)+(E156+F156+G156))*365/1000000</f>
        <v>579.16005994491718</v>
      </c>
      <c r="H249" s="401">
        <f>((E147+F147+G147)+(E152+F152+G152)+(E157+F157+G157))*365/1000000</f>
        <v>519941.48150007997</v>
      </c>
      <c r="I249" s="401">
        <f>((E148+F148+G148)+(E153+F153+G153)+(E158+F158+G158))*365/1000000</f>
        <v>468614.58303018071</v>
      </c>
      <c r="J249" s="72" t="s">
        <v>782</v>
      </c>
      <c r="K249" s="93"/>
      <c r="M249" s="93"/>
      <c r="N249" s="93"/>
      <c r="O249" s="575"/>
      <c r="P249" s="93"/>
      <c r="Q249" s="93"/>
      <c r="R249" s="93"/>
      <c r="S249" s="93"/>
      <c r="T249" s="93"/>
      <c r="U249" s="93"/>
      <c r="V249" s="93"/>
      <c r="W249" s="93"/>
      <c r="X249" s="93"/>
      <c r="Y249" s="93"/>
      <c r="Z249" s="93"/>
    </row>
    <row r="250" spans="1:27">
      <c r="A250" s="93"/>
      <c r="B250" s="531" t="s">
        <v>772</v>
      </c>
      <c r="C250" s="534"/>
      <c r="D250" s="534"/>
      <c r="E250" s="532"/>
      <c r="F250" s="401">
        <f>(E235+F235*'Input data'!C73+G235*'Input data'!C74)*365/1000000</f>
        <v>683362.8600091103</v>
      </c>
      <c r="G250" s="401">
        <f>(E236+F236+G236)*365/1000000</f>
        <v>1103.1081807557682</v>
      </c>
      <c r="H250" s="401">
        <f>(E237+F237+G237)*365/1000000</f>
        <v>1182586.1436703089</v>
      </c>
      <c r="I250" s="401">
        <f>(E238+F238+G238)*365/1000000</f>
        <v>1068152.5089061984</v>
      </c>
      <c r="J250" s="72"/>
      <c r="K250" s="93"/>
      <c r="M250" s="93"/>
      <c r="N250" s="93"/>
      <c r="O250" s="575"/>
      <c r="P250" s="93"/>
      <c r="Q250" s="93"/>
      <c r="R250" s="93"/>
      <c r="S250" s="93"/>
      <c r="T250" s="93"/>
      <c r="U250" s="93"/>
      <c r="V250" s="93"/>
      <c r="W250" s="93"/>
      <c r="X250" s="93"/>
      <c r="Y250" s="93"/>
      <c r="Z250" s="93"/>
    </row>
    <row r="251" spans="1:27">
      <c r="A251" s="93"/>
      <c r="B251" s="531"/>
      <c r="C251" s="534" t="s">
        <v>773</v>
      </c>
      <c r="D251" s="534"/>
      <c r="E251" s="532"/>
      <c r="F251" s="401">
        <f>((E195+F195*'Input data'!C73+G195*'Input data'!C74)+(E200+F200*'Input data'!C73+G200*'Input data'!C74))*365/1000000</f>
        <v>1929.4873130515793</v>
      </c>
      <c r="G251" s="401">
        <f>((E196+F196+G196)+(E201+F201+G201))*365/1000000</f>
        <v>3.0710808202748336</v>
      </c>
      <c r="H251" s="401">
        <f>((E197+F197+G197)+(E202+F202+G202))*365/1000000</f>
        <v>2981.5808880519398</v>
      </c>
      <c r="I251" s="401">
        <f>((E198+F198+G198)+(E203+F203+G203))*365/1000000</f>
        <v>2687.249112331117</v>
      </c>
      <c r="J251" s="72" t="s">
        <v>780</v>
      </c>
      <c r="K251" s="93"/>
      <c r="M251" s="93"/>
      <c r="N251" s="93"/>
      <c r="O251" s="575"/>
      <c r="P251" s="93"/>
      <c r="Q251" s="93"/>
      <c r="R251" s="93"/>
      <c r="S251" s="93"/>
      <c r="T251" s="93"/>
      <c r="U251" s="93"/>
      <c r="V251" s="93"/>
      <c r="W251" s="93"/>
      <c r="X251" s="93"/>
      <c r="Y251" s="93"/>
      <c r="Z251" s="93"/>
    </row>
    <row r="252" spans="1:27">
      <c r="A252" s="93"/>
      <c r="B252" s="531"/>
      <c r="C252" s="534" t="s">
        <v>774</v>
      </c>
      <c r="D252" s="534"/>
      <c r="E252" s="532"/>
      <c r="F252" s="962">
        <f>((E205+F205*'Input data'!C73+G205*'Input data'!C74)+(E210+F210*'Input data'!C73+G210*'Input data'!C74)+(E215+F215*'Input data'!C73+G215*'Input data'!C74)+(E220+F220*'Input data'!C73+G220*'Input data'!C74)+(E225+F225*'Input data'!C73+G225*'Input data'!C74)+(E230+F230*'Input data'!C73+G230*'Input data'!C74))*365/1000000</f>
        <v>681433.37269605882</v>
      </c>
      <c r="G252" s="401">
        <f>((E206+F206+G206)+(E211+F211+G211)+(E216+F216+G216)+(E221+F221+G221)+(E226+F226+G226)+(E231+F231+G231))*365/1000000</f>
        <v>1100.0370999354934</v>
      </c>
      <c r="H252" s="401">
        <f>((E207+F207+G207)+(E212+F212+G212)+(E217+F217+G217)+(E222+F222+G222)+(E227+F227+G227)+(E232+F232+G232))*365/1000000</f>
        <v>1179604.5627822569</v>
      </c>
      <c r="I252" s="401">
        <f>((E208+F208+G208)+(E213+F213+G213)+(E218+F218+G218)+(E223+F223+G223)+(E228+F228+G228)+(E233+F233+G233))*365/1000000</f>
        <v>1065465.2597938671</v>
      </c>
      <c r="J252" s="72" t="s">
        <v>781</v>
      </c>
      <c r="K252" s="93"/>
      <c r="M252" s="93"/>
      <c r="N252" s="93"/>
      <c r="O252" s="575"/>
      <c r="P252" s="93"/>
      <c r="Q252" s="93"/>
      <c r="R252" s="93"/>
      <c r="S252" s="93"/>
      <c r="T252" s="93"/>
      <c r="U252" s="93"/>
      <c r="V252" s="93"/>
      <c r="W252" s="93"/>
      <c r="X252" s="93"/>
      <c r="Y252" s="93"/>
      <c r="Z252" s="93"/>
    </row>
    <row r="253" spans="1:27">
      <c r="A253" s="93"/>
      <c r="B253" s="531"/>
      <c r="C253" s="534" t="s">
        <v>775</v>
      </c>
      <c r="D253" s="534"/>
      <c r="E253" s="532"/>
      <c r="F253" s="401">
        <v>0</v>
      </c>
      <c r="G253" s="401">
        <v>0</v>
      </c>
      <c r="H253" s="401">
        <v>0</v>
      </c>
      <c r="I253" s="401">
        <v>0</v>
      </c>
      <c r="J253" s="72"/>
      <c r="K253" s="564"/>
      <c r="M253" s="93"/>
      <c r="N253" s="93"/>
      <c r="O253" s="575"/>
      <c r="P253" s="93"/>
      <c r="Q253" s="93"/>
      <c r="R253" s="93"/>
      <c r="S253" s="93"/>
      <c r="T253" s="93"/>
      <c r="U253" s="93"/>
      <c r="V253" s="93"/>
      <c r="W253" s="93"/>
      <c r="X253" s="93"/>
      <c r="Y253" s="93"/>
      <c r="Z253" s="93"/>
    </row>
    <row r="254" spans="1:27" ht="15.75">
      <c r="A254" s="93"/>
      <c r="B254" s="531" t="s">
        <v>859</v>
      </c>
      <c r="C254" s="534"/>
      <c r="D254" s="534"/>
      <c r="E254" s="532"/>
      <c r="F254" s="401">
        <f>F246+F250</f>
        <v>5209569.8115737373</v>
      </c>
      <c r="G254" s="401">
        <f>G246+G250</f>
        <v>11841.689346608999</v>
      </c>
      <c r="H254" s="401">
        <f>H246+H250</f>
        <v>14800628.373377992</v>
      </c>
      <c r="I254" s="401">
        <f>I246+I250</f>
        <v>7087568.2276045308</v>
      </c>
      <c r="J254" s="93"/>
      <c r="K254" s="93"/>
      <c r="L254" s="576"/>
      <c r="M254" s="93"/>
      <c r="N254" s="93"/>
      <c r="O254" s="575"/>
      <c r="P254" s="93"/>
      <c r="Q254" s="93"/>
      <c r="R254" s="93"/>
      <c r="S254" s="93"/>
      <c r="T254" s="93"/>
      <c r="U254" s="93"/>
      <c r="V254" s="93"/>
      <c r="W254" s="93"/>
      <c r="X254" s="93"/>
      <c r="Y254" s="93"/>
      <c r="Z254" s="93"/>
    </row>
    <row r="255" spans="1:27">
      <c r="A255" s="93"/>
      <c r="B255" s="93"/>
      <c r="C255" s="93"/>
      <c r="D255" s="93"/>
      <c r="E255" s="93"/>
      <c r="F255" s="93"/>
      <c r="G255" s="93"/>
      <c r="H255" s="577"/>
      <c r="I255" s="93"/>
      <c r="J255" s="93"/>
      <c r="K255" s="93"/>
      <c r="L255" s="93"/>
      <c r="M255" s="93"/>
      <c r="N255" s="93"/>
      <c r="O255" s="93"/>
      <c r="P255" s="93"/>
      <c r="Q255" s="93"/>
      <c r="R255" s="93"/>
      <c r="S255" s="93"/>
      <c r="T255" s="93"/>
      <c r="U255" s="93"/>
      <c r="V255" s="93"/>
      <c r="W255" s="93"/>
      <c r="X255" s="93"/>
      <c r="Y255" s="93"/>
      <c r="Z255" s="93"/>
    </row>
    <row r="256" spans="1:27">
      <c r="A256" s="93"/>
      <c r="B256" s="93"/>
      <c r="C256" s="93"/>
      <c r="D256" s="93"/>
      <c r="E256" s="93"/>
      <c r="F256" s="93"/>
      <c r="G256" s="93"/>
      <c r="H256" s="577"/>
      <c r="I256" s="93"/>
      <c r="J256" s="93"/>
      <c r="K256" s="93"/>
      <c r="L256" s="93"/>
      <c r="M256" s="93"/>
      <c r="N256" s="93"/>
      <c r="O256" s="93"/>
      <c r="P256" s="93"/>
      <c r="Q256" s="93"/>
      <c r="R256" s="93"/>
      <c r="S256" s="93"/>
      <c r="T256" s="93"/>
      <c r="U256" s="93"/>
      <c r="V256" s="93"/>
      <c r="W256" s="93"/>
      <c r="X256" s="93"/>
      <c r="Y256" s="93"/>
      <c r="Z256" s="93"/>
    </row>
    <row r="257" spans="1:27">
      <c r="A257" s="93"/>
      <c r="B257" s="643" t="s">
        <v>3763</v>
      </c>
      <c r="C257" s="93"/>
      <c r="D257" s="93"/>
      <c r="E257" s="93"/>
      <c r="F257" s="1002"/>
      <c r="G257" s="1002"/>
      <c r="H257" s="1002"/>
      <c r="I257" s="1002"/>
      <c r="J257" s="93"/>
      <c r="K257" s="93"/>
      <c r="L257" s="93"/>
      <c r="M257" s="93"/>
      <c r="N257" s="93"/>
      <c r="O257" s="93"/>
      <c r="P257" s="93"/>
      <c r="Q257" s="93"/>
      <c r="R257" s="93"/>
      <c r="S257" s="93"/>
      <c r="T257" s="93"/>
      <c r="U257" s="93"/>
      <c r="V257" s="93"/>
      <c r="W257" s="93"/>
      <c r="X257" s="93"/>
      <c r="Y257" s="93"/>
      <c r="Z257" s="93"/>
    </row>
    <row r="258" spans="1:27">
      <c r="A258" s="93"/>
      <c r="B258" s="543" t="s">
        <v>776</v>
      </c>
      <c r="C258" s="544"/>
      <c r="D258" s="544"/>
      <c r="E258" s="545"/>
      <c r="F258" s="106" t="s">
        <v>628</v>
      </c>
      <c r="G258" s="106" t="s">
        <v>444</v>
      </c>
      <c r="H258" s="106" t="s">
        <v>550</v>
      </c>
      <c r="I258" s="106" t="s">
        <v>551</v>
      </c>
      <c r="J258" s="93"/>
      <c r="K258" s="93"/>
      <c r="L258" s="93"/>
      <c r="M258" s="93"/>
      <c r="N258" s="93"/>
      <c r="O258" s="93"/>
      <c r="P258" s="93"/>
      <c r="Q258" s="93"/>
      <c r="R258" s="93"/>
      <c r="S258" s="93"/>
      <c r="T258" s="93"/>
      <c r="U258" s="93"/>
      <c r="V258" s="93"/>
      <c r="W258" s="93"/>
      <c r="X258" s="93"/>
      <c r="Y258" s="93"/>
      <c r="Z258" s="93"/>
    </row>
    <row r="259" spans="1:27">
      <c r="A259" s="93"/>
      <c r="B259" s="543"/>
      <c r="C259" s="544"/>
      <c r="D259" s="544"/>
      <c r="E259" s="545"/>
      <c r="F259" s="106" t="s">
        <v>769</v>
      </c>
      <c r="G259" s="106" t="s">
        <v>724</v>
      </c>
      <c r="H259" s="106" t="s">
        <v>771</v>
      </c>
      <c r="I259" s="106" t="s">
        <v>771</v>
      </c>
      <c r="J259" s="93"/>
      <c r="K259" s="93"/>
      <c r="L259" s="93"/>
      <c r="M259" s="93"/>
      <c r="N259" s="93"/>
      <c r="O259" s="93"/>
      <c r="P259" s="93"/>
      <c r="Q259" s="93"/>
      <c r="R259" s="93"/>
      <c r="S259" s="93"/>
      <c r="T259" s="93"/>
      <c r="U259" s="93"/>
      <c r="V259" s="93"/>
      <c r="W259" s="93"/>
      <c r="X259" s="93"/>
      <c r="Y259" s="93"/>
      <c r="Z259" s="93"/>
    </row>
    <row r="260" spans="1:27">
      <c r="A260" s="93"/>
      <c r="B260" s="531" t="s">
        <v>133</v>
      </c>
      <c r="C260" s="534"/>
      <c r="D260" s="534"/>
      <c r="E260" s="532"/>
      <c r="F260" s="401">
        <f>F246*(1-$M$121/100)</f>
        <v>4526206.9515646268</v>
      </c>
      <c r="G260" s="401">
        <f>G246*(1-$M$121/100)</f>
        <v>10738.581165853231</v>
      </c>
      <c r="H260" s="401">
        <f>H246*(1-$M$121/100)</f>
        <v>13618042.229707683</v>
      </c>
      <c r="I260" s="401">
        <f>I246*(1-$M$121/100)</f>
        <v>6019415.7186983321</v>
      </c>
      <c r="J260" s="72" t="s">
        <v>860</v>
      </c>
      <c r="L260" s="93"/>
      <c r="M260" s="93"/>
      <c r="N260" s="93"/>
      <c r="O260" s="93"/>
      <c r="P260" s="93"/>
      <c r="Q260" s="93"/>
      <c r="R260" s="93"/>
      <c r="S260" s="93"/>
      <c r="T260" s="93"/>
      <c r="U260" s="93"/>
      <c r="V260" s="93"/>
      <c r="W260" s="93"/>
      <c r="X260" s="93"/>
      <c r="Y260" s="93"/>
      <c r="Z260" s="93"/>
    </row>
    <row r="261" spans="1:27">
      <c r="A261" s="93"/>
      <c r="B261" s="531"/>
      <c r="C261" s="534" t="s">
        <v>773</v>
      </c>
      <c r="D261" s="534"/>
      <c r="E261" s="532"/>
      <c r="F261" s="401">
        <f t="shared" ref="F261:F267" si="2">F247*(1-$M$121/100)</f>
        <v>0</v>
      </c>
      <c r="G261" s="401">
        <f t="shared" ref="G261:I267" si="3">G247*(1-$M$121/100)</f>
        <v>0</v>
      </c>
      <c r="H261" s="401">
        <f t="shared" si="3"/>
        <v>0</v>
      </c>
      <c r="I261" s="401">
        <f t="shared" si="3"/>
        <v>0</v>
      </c>
      <c r="J261" s="72" t="s">
        <v>860</v>
      </c>
      <c r="K261" s="93"/>
      <c r="L261" s="93"/>
      <c r="M261" s="93"/>
      <c r="N261" s="93"/>
      <c r="O261" s="93"/>
      <c r="P261" s="93"/>
      <c r="Q261" s="93"/>
      <c r="R261" s="93"/>
      <c r="S261" s="93"/>
      <c r="T261" s="93"/>
      <c r="U261" s="93"/>
      <c r="V261" s="93"/>
      <c r="W261" s="93"/>
      <c r="X261" s="93"/>
      <c r="Y261" s="93"/>
      <c r="Z261" s="93"/>
    </row>
    <row r="262" spans="1:27">
      <c r="A262" s="93"/>
      <c r="B262" s="531"/>
      <c r="C262" s="534" t="s">
        <v>774</v>
      </c>
      <c r="D262" s="534"/>
      <c r="E262" s="532"/>
      <c r="F262" s="401">
        <f>F248*(1-$M$121/100)</f>
        <v>4187427.1353229722</v>
      </c>
      <c r="G262" s="401">
        <f>G248*(1-$M$121/100)</f>
        <v>10159.421105908314</v>
      </c>
      <c r="H262" s="401">
        <f t="shared" si="3"/>
        <v>13098100.748207603</v>
      </c>
      <c r="I262" s="401">
        <f t="shared" si="3"/>
        <v>5550801.1356681511</v>
      </c>
      <c r="J262" s="72" t="s">
        <v>860</v>
      </c>
      <c r="K262" s="93"/>
      <c r="L262" s="93"/>
      <c r="M262" s="93"/>
      <c r="N262" s="93"/>
      <c r="O262" s="93"/>
      <c r="P262" s="93"/>
      <c r="Q262" s="93"/>
      <c r="R262" s="93"/>
      <c r="S262" s="93"/>
      <c r="T262" s="93"/>
      <c r="U262" s="93"/>
      <c r="V262" s="93"/>
      <c r="W262" s="93"/>
      <c r="X262" s="93"/>
      <c r="Y262" s="93"/>
      <c r="Z262" s="93"/>
    </row>
    <row r="263" spans="1:27">
      <c r="A263" s="93"/>
      <c r="B263" s="531"/>
      <c r="C263" s="534" t="s">
        <v>775</v>
      </c>
      <c r="D263" s="534"/>
      <c r="E263" s="532"/>
      <c r="F263" s="401">
        <f t="shared" si="2"/>
        <v>338779.81624165445</v>
      </c>
      <c r="G263" s="401">
        <f t="shared" si="3"/>
        <v>579.16005994491718</v>
      </c>
      <c r="H263" s="401">
        <f t="shared" si="3"/>
        <v>519941.48150007997</v>
      </c>
      <c r="I263" s="401">
        <f t="shared" si="3"/>
        <v>468614.58303018071</v>
      </c>
      <c r="J263" s="72" t="s">
        <v>860</v>
      </c>
      <c r="K263" s="93"/>
      <c r="L263" s="93"/>
      <c r="M263" s="93"/>
      <c r="N263" s="93"/>
      <c r="O263" s="93"/>
      <c r="P263" s="93"/>
      <c r="Q263" s="93"/>
      <c r="R263" s="93"/>
      <c r="S263" s="93"/>
      <c r="T263" s="93"/>
      <c r="U263" s="93"/>
      <c r="V263" s="93"/>
      <c r="W263" s="93"/>
      <c r="X263" s="93"/>
      <c r="Y263" s="93"/>
      <c r="Z263" s="93"/>
    </row>
    <row r="264" spans="1:27">
      <c r="A264" s="93"/>
      <c r="B264" s="531" t="s">
        <v>772</v>
      </c>
      <c r="C264" s="534"/>
      <c r="D264" s="534"/>
      <c r="E264" s="532"/>
      <c r="F264" s="401">
        <f t="shared" si="2"/>
        <v>683362.8600091103</v>
      </c>
      <c r="G264" s="401">
        <f t="shared" si="3"/>
        <v>1103.1081807557682</v>
      </c>
      <c r="H264" s="401">
        <f t="shared" si="3"/>
        <v>1182586.1436703089</v>
      </c>
      <c r="I264" s="401">
        <f t="shared" si="3"/>
        <v>1068152.5089061984</v>
      </c>
      <c r="J264" s="72" t="s">
        <v>860</v>
      </c>
      <c r="K264" s="93"/>
      <c r="L264" s="93"/>
      <c r="M264" s="93"/>
      <c r="N264" s="93"/>
      <c r="O264" s="93"/>
      <c r="P264" s="93"/>
      <c r="Q264" s="93"/>
      <c r="R264" s="93"/>
      <c r="S264" s="93"/>
      <c r="T264" s="93"/>
      <c r="U264" s="93"/>
      <c r="V264" s="93"/>
      <c r="W264" s="93"/>
      <c r="X264" s="93"/>
      <c r="Y264" s="93"/>
      <c r="Z264" s="93"/>
    </row>
    <row r="265" spans="1:27">
      <c r="A265" s="93"/>
      <c r="B265" s="531"/>
      <c r="C265" s="534" t="s">
        <v>773</v>
      </c>
      <c r="D265" s="534"/>
      <c r="E265" s="532"/>
      <c r="F265" s="401">
        <f t="shared" si="2"/>
        <v>1929.4873130515793</v>
      </c>
      <c r="G265" s="401">
        <f t="shared" si="3"/>
        <v>3.0710808202748336</v>
      </c>
      <c r="H265" s="401">
        <f t="shared" si="3"/>
        <v>2981.5808880519398</v>
      </c>
      <c r="I265" s="401">
        <f t="shared" si="3"/>
        <v>2687.249112331117</v>
      </c>
      <c r="J265" s="72" t="s">
        <v>860</v>
      </c>
      <c r="K265" s="93"/>
      <c r="L265" s="93"/>
      <c r="M265" s="93"/>
      <c r="N265" s="93"/>
      <c r="O265" s="93"/>
      <c r="P265" s="93"/>
      <c r="Q265" s="93"/>
      <c r="R265" s="93"/>
      <c r="S265" s="93"/>
      <c r="T265" s="93"/>
      <c r="U265" s="93"/>
      <c r="V265" s="93"/>
      <c r="W265" s="93"/>
      <c r="X265" s="93"/>
      <c r="Y265" s="93"/>
      <c r="Z265" s="93"/>
    </row>
    <row r="266" spans="1:27">
      <c r="A266" s="93"/>
      <c r="B266" s="531"/>
      <c r="C266" s="534" t="s">
        <v>774</v>
      </c>
      <c r="D266" s="534"/>
      <c r="E266" s="532"/>
      <c r="F266" s="401">
        <f t="shared" si="2"/>
        <v>681433.37269605882</v>
      </c>
      <c r="G266" s="401">
        <f t="shared" si="3"/>
        <v>1100.0370999354934</v>
      </c>
      <c r="H266" s="401">
        <f t="shared" si="3"/>
        <v>1179604.5627822569</v>
      </c>
      <c r="I266" s="401">
        <f t="shared" si="3"/>
        <v>1065465.2597938671</v>
      </c>
      <c r="J266" s="72" t="s">
        <v>860</v>
      </c>
      <c r="K266" s="93"/>
      <c r="L266" s="93"/>
      <c r="M266" s="93"/>
      <c r="N266" s="93"/>
      <c r="O266" s="93"/>
      <c r="P266" s="93"/>
      <c r="Q266" s="93"/>
      <c r="R266" s="93"/>
      <c r="S266" s="93"/>
      <c r="T266" s="93"/>
      <c r="U266" s="93"/>
      <c r="V266" s="93"/>
      <c r="W266" s="93"/>
      <c r="X266" s="93"/>
      <c r="Y266" s="93"/>
      <c r="Z266" s="93"/>
    </row>
    <row r="267" spans="1:27">
      <c r="A267" s="93"/>
      <c r="B267" s="531"/>
      <c r="C267" s="534" t="s">
        <v>775</v>
      </c>
      <c r="D267" s="534"/>
      <c r="E267" s="532"/>
      <c r="F267" s="401">
        <f t="shared" si="2"/>
        <v>0</v>
      </c>
      <c r="G267" s="401">
        <f t="shared" si="3"/>
        <v>0</v>
      </c>
      <c r="H267" s="401">
        <f t="shared" si="3"/>
        <v>0</v>
      </c>
      <c r="I267" s="401">
        <f t="shared" si="3"/>
        <v>0</v>
      </c>
      <c r="J267" s="72" t="s">
        <v>860</v>
      </c>
      <c r="K267" s="93"/>
      <c r="L267" s="93"/>
      <c r="M267" s="93"/>
      <c r="N267" s="93"/>
      <c r="O267" s="93"/>
      <c r="P267" s="93"/>
      <c r="Q267" s="93"/>
      <c r="R267" s="93"/>
      <c r="S267" s="93"/>
      <c r="T267" s="93"/>
      <c r="U267" s="93"/>
      <c r="V267" s="93"/>
      <c r="W267" s="93"/>
      <c r="X267" s="93"/>
      <c r="Y267" s="93"/>
      <c r="Z267" s="93"/>
    </row>
    <row r="268" spans="1:27">
      <c r="A268" s="93"/>
      <c r="B268" s="531" t="s">
        <v>859</v>
      </c>
      <c r="C268" s="534"/>
      <c r="D268" s="534"/>
      <c r="E268" s="532"/>
      <c r="F268" s="401">
        <f>F260+F264</f>
        <v>5209569.8115737373</v>
      </c>
      <c r="G268" s="401">
        <f>G260+G264</f>
        <v>11841.689346608999</v>
      </c>
      <c r="H268" s="401">
        <f>H260+H264</f>
        <v>14800628.373377992</v>
      </c>
      <c r="I268" s="401">
        <f>I260+I264</f>
        <v>7087568.2276045308</v>
      </c>
      <c r="J268" s="93"/>
      <c r="K268" s="93"/>
      <c r="L268" s="93"/>
      <c r="M268" s="93"/>
      <c r="N268" s="93"/>
      <c r="O268" s="93"/>
      <c r="P268" s="93"/>
      <c r="Q268" s="93"/>
      <c r="R268" s="93"/>
      <c r="S268" s="93"/>
      <c r="T268" s="93"/>
      <c r="U268" s="93"/>
      <c r="V268" s="93"/>
      <c r="W268" s="93"/>
      <c r="X268" s="93"/>
      <c r="Y268" s="93"/>
      <c r="Z268" s="93"/>
    </row>
    <row r="269" spans="1:27">
      <c r="A269" s="93"/>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row>
    <row r="270" spans="1:27">
      <c r="A270" s="93"/>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row>
    <row r="271" spans="1:27">
      <c r="A271" s="93"/>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row>
    <row r="272" spans="1:27">
      <c r="A272" s="93"/>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row>
    <row r="273" spans="1:27">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row>
    <row r="274" spans="1:27">
      <c r="A274" s="93"/>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row>
    <row r="275" spans="1:27" s="9" customFormat="1" ht="15.75">
      <c r="A275" s="9" t="s">
        <v>4062</v>
      </c>
    </row>
    <row r="276" spans="1:27">
      <c r="A276" s="119" t="s">
        <v>4021</v>
      </c>
      <c r="B276" s="93"/>
      <c r="C276" s="93"/>
      <c r="D276" s="93"/>
      <c r="E276" s="93"/>
      <c r="F276" s="578"/>
      <c r="G276" s="578"/>
      <c r="H276" s="578"/>
      <c r="I276" s="578"/>
      <c r="J276" s="93"/>
      <c r="K276" s="93"/>
      <c r="L276" s="93"/>
      <c r="M276" s="93"/>
      <c r="N276" s="93"/>
      <c r="O276" s="93"/>
      <c r="P276" s="93"/>
      <c r="Q276" s="93"/>
      <c r="R276" s="93"/>
      <c r="S276" s="93"/>
      <c r="T276" s="93"/>
      <c r="U276" s="93"/>
      <c r="V276" s="93"/>
      <c r="W276" s="93"/>
      <c r="X276" s="93"/>
      <c r="Y276" s="93"/>
      <c r="Z276" s="93"/>
      <c r="AA276" s="93"/>
    </row>
    <row r="277" spans="1:27">
      <c r="A277" s="93"/>
      <c r="C277" s="93"/>
      <c r="D277" s="93"/>
      <c r="E277" s="93"/>
      <c r="F277" s="578"/>
      <c r="G277" s="578"/>
      <c r="H277" s="578"/>
      <c r="I277" s="578"/>
      <c r="J277" s="93"/>
      <c r="K277" s="93"/>
      <c r="L277" s="93"/>
      <c r="M277" s="93"/>
      <c r="N277" s="93"/>
      <c r="O277" s="93"/>
      <c r="P277" s="93"/>
      <c r="Q277" s="93"/>
      <c r="R277" s="93"/>
      <c r="S277" s="93"/>
      <c r="T277" s="93"/>
      <c r="U277" s="93"/>
      <c r="V277" s="93"/>
      <c r="W277" s="93"/>
      <c r="X277" s="93"/>
      <c r="Y277" s="93"/>
      <c r="Z277" s="93"/>
      <c r="AA277" s="93"/>
    </row>
    <row r="278" spans="1:27">
      <c r="A278" s="93"/>
      <c r="B278" s="93"/>
      <c r="C278" s="93"/>
      <c r="D278" s="93"/>
      <c r="E278" s="93"/>
      <c r="F278" s="578"/>
      <c r="G278" s="579"/>
      <c r="H278" s="579"/>
      <c r="I278" s="579"/>
      <c r="J278" s="93"/>
      <c r="K278" s="93"/>
      <c r="L278" s="93"/>
      <c r="M278" s="93"/>
      <c r="N278" s="93"/>
      <c r="O278" s="93"/>
      <c r="P278" s="93"/>
      <c r="Q278" s="93"/>
      <c r="R278" s="93"/>
      <c r="S278" s="93"/>
      <c r="T278" s="93"/>
      <c r="U278" s="93"/>
      <c r="V278" s="93"/>
      <c r="W278" s="93"/>
      <c r="X278" s="93"/>
      <c r="Y278" s="93"/>
      <c r="Z278" s="93"/>
      <c r="AA278" s="93"/>
    </row>
    <row r="279" spans="1:27">
      <c r="A279" s="93"/>
      <c r="B279" s="119" t="s">
        <v>4052</v>
      </c>
      <c r="C279" s="93"/>
      <c r="D279" s="93"/>
      <c r="E279" s="93"/>
      <c r="F279" s="578"/>
      <c r="G279" s="451"/>
      <c r="H279" s="451"/>
      <c r="I279" s="451"/>
      <c r="J279" s="93"/>
      <c r="K279" s="93"/>
      <c r="L279" s="93"/>
      <c r="M279" s="93"/>
      <c r="N279" s="93"/>
      <c r="O279" s="93"/>
      <c r="P279" s="93"/>
      <c r="Q279" s="93"/>
      <c r="R279" s="93"/>
      <c r="S279" s="93"/>
      <c r="T279" s="93"/>
      <c r="U279" s="93"/>
      <c r="V279" s="93"/>
      <c r="W279" s="93"/>
      <c r="X279" s="93"/>
      <c r="Y279" s="93"/>
      <c r="Z279" s="93"/>
      <c r="AA279" s="93"/>
    </row>
    <row r="280" spans="1:27" ht="25.5">
      <c r="A280" s="93"/>
      <c r="B280" s="990" t="s">
        <v>4022</v>
      </c>
      <c r="C280" s="991"/>
      <c r="D280" s="991"/>
      <c r="E280" s="992"/>
      <c r="F280" s="399" t="s">
        <v>4027</v>
      </c>
      <c r="G280" s="93"/>
      <c r="H280" s="93"/>
      <c r="I280" s="93"/>
      <c r="J280" s="93"/>
      <c r="K280" s="93"/>
      <c r="L280" s="93"/>
      <c r="M280" s="93"/>
      <c r="N280" s="93"/>
      <c r="O280" s="93"/>
      <c r="P280" s="93"/>
      <c r="Q280" s="93"/>
      <c r="R280" s="93"/>
      <c r="S280" s="93"/>
      <c r="T280" s="93"/>
      <c r="U280" s="93"/>
      <c r="V280" s="93"/>
      <c r="W280" s="93"/>
      <c r="X280" s="93"/>
    </row>
    <row r="281" spans="1:27">
      <c r="A281" s="93"/>
      <c r="B281" s="990"/>
      <c r="C281" s="991"/>
      <c r="D281" s="991"/>
      <c r="E281" s="992"/>
      <c r="F281" s="989" t="s">
        <v>4055</v>
      </c>
      <c r="G281" s="93"/>
      <c r="H281" s="93"/>
      <c r="I281" s="93"/>
      <c r="J281" s="93"/>
      <c r="K281" s="93"/>
      <c r="L281" s="93"/>
      <c r="M281" s="93"/>
      <c r="N281" s="93"/>
      <c r="O281" s="93"/>
      <c r="P281" s="93"/>
      <c r="Q281" s="93"/>
      <c r="R281" s="93"/>
      <c r="S281" s="93"/>
      <c r="T281" s="93"/>
      <c r="U281" s="93"/>
      <c r="V281" s="93"/>
      <c r="W281" s="93"/>
      <c r="X281" s="93"/>
    </row>
    <row r="282" spans="1:27" ht="12.95" customHeight="1">
      <c r="A282" s="93"/>
      <c r="B282" s="658" t="s">
        <v>4023</v>
      </c>
      <c r="C282" s="659"/>
      <c r="D282" s="659"/>
      <c r="E282" s="660"/>
      <c r="F282" s="401">
        <v>614683</v>
      </c>
      <c r="G282" s="72" t="s">
        <v>4028</v>
      </c>
      <c r="H282" s="93"/>
      <c r="I282" s="1002"/>
      <c r="J282" s="93"/>
      <c r="K282" s="93"/>
      <c r="L282" s="93"/>
      <c r="M282" s="93"/>
      <c r="N282" s="93"/>
      <c r="O282" s="93"/>
      <c r="P282" s="93"/>
      <c r="Q282" s="93"/>
      <c r="R282" s="93"/>
      <c r="S282" s="93"/>
      <c r="T282" s="93"/>
      <c r="U282" s="93"/>
      <c r="V282" s="93"/>
      <c r="W282" s="93"/>
      <c r="X282" s="93"/>
    </row>
    <row r="283" spans="1:27">
      <c r="A283" s="93"/>
      <c r="B283" s="658" t="s">
        <v>4024</v>
      </c>
      <c r="C283" s="659"/>
      <c r="D283" s="659"/>
      <c r="E283" s="660"/>
      <c r="F283" s="401">
        <v>156304520</v>
      </c>
      <c r="G283" s="72" t="s">
        <v>4028</v>
      </c>
      <c r="H283" s="93"/>
      <c r="I283" s="93"/>
      <c r="J283" s="93"/>
      <c r="K283" s="93"/>
      <c r="L283" s="93"/>
      <c r="M283" s="93"/>
      <c r="N283" s="93"/>
      <c r="O283" s="93"/>
      <c r="P283" s="93"/>
      <c r="Q283" s="93"/>
      <c r="R283" s="93"/>
      <c r="S283" s="93"/>
      <c r="T283" s="93"/>
      <c r="U283" s="93"/>
      <c r="V283" s="93"/>
      <c r="W283" s="93"/>
      <c r="X283" s="93"/>
    </row>
    <row r="284" spans="1:27" ht="12.95" customHeight="1">
      <c r="A284" s="93"/>
      <c r="B284" s="658" t="s">
        <v>4025</v>
      </c>
      <c r="C284" s="659"/>
      <c r="D284" s="659"/>
      <c r="E284" s="660"/>
      <c r="F284" s="401">
        <v>61524698</v>
      </c>
      <c r="G284" s="72" t="s">
        <v>4028</v>
      </c>
      <c r="H284" s="93"/>
      <c r="I284" s="1002"/>
      <c r="J284" s="93"/>
      <c r="K284" s="93"/>
      <c r="L284" s="93"/>
      <c r="M284" s="93"/>
      <c r="N284" s="93"/>
      <c r="O284" s="93"/>
      <c r="P284" s="93"/>
      <c r="Q284" s="93"/>
      <c r="R284" s="93"/>
      <c r="S284" s="93"/>
      <c r="T284" s="93"/>
      <c r="U284" s="93"/>
      <c r="V284" s="93"/>
      <c r="W284" s="93"/>
      <c r="X284" s="93"/>
    </row>
    <row r="285" spans="1:27">
      <c r="A285" s="93"/>
      <c r="B285" s="658" t="s">
        <v>4026</v>
      </c>
      <c r="C285" s="659"/>
      <c r="D285" s="659"/>
      <c r="E285" s="660"/>
      <c r="F285" s="401">
        <v>15649398</v>
      </c>
      <c r="G285" s="72" t="s">
        <v>4028</v>
      </c>
      <c r="H285" s="93"/>
      <c r="I285" s="93"/>
      <c r="J285" s="93"/>
      <c r="K285" s="93"/>
      <c r="L285" s="93"/>
      <c r="M285" s="93"/>
      <c r="N285" s="93"/>
      <c r="O285" s="93"/>
      <c r="P285" s="93"/>
      <c r="Q285" s="93"/>
      <c r="R285" s="93"/>
      <c r="S285" s="93"/>
      <c r="T285" s="93"/>
      <c r="U285" s="93"/>
      <c r="V285" s="93"/>
      <c r="W285" s="93"/>
      <c r="X285" s="93"/>
    </row>
    <row r="286" spans="1:27">
      <c r="A286" s="93"/>
      <c r="B286" s="658" t="s">
        <v>4053</v>
      </c>
      <c r="C286" s="659"/>
      <c r="D286" s="659"/>
      <c r="E286" s="660" t="s">
        <v>4056</v>
      </c>
      <c r="F286" s="401">
        <v>390326918</v>
      </c>
      <c r="G286" s="72" t="s">
        <v>4054</v>
      </c>
      <c r="H286" s="93"/>
      <c r="I286" s="93"/>
      <c r="J286" s="93"/>
      <c r="K286" s="93"/>
      <c r="L286" s="93"/>
      <c r="M286" s="93"/>
      <c r="N286" s="93"/>
      <c r="O286" s="93"/>
      <c r="P286" s="93"/>
      <c r="Q286" s="93"/>
      <c r="R286" s="93"/>
      <c r="S286" s="93"/>
      <c r="T286" s="93"/>
      <c r="U286" s="93"/>
      <c r="V286" s="93"/>
      <c r="W286" s="93"/>
      <c r="X286" s="93"/>
      <c r="Y286" s="93"/>
      <c r="Z286" s="93"/>
      <c r="AA286" s="93"/>
    </row>
    <row r="287" spans="1:27">
      <c r="A287" s="93"/>
      <c r="B287" s="93"/>
      <c r="C287" s="93"/>
      <c r="D287" s="93"/>
      <c r="E287" s="93"/>
      <c r="F287" s="93"/>
      <c r="G287" s="93"/>
      <c r="H287" s="93"/>
      <c r="I287" s="93"/>
      <c r="J287" s="93"/>
      <c r="K287" s="93"/>
      <c r="L287" s="93"/>
      <c r="M287" s="93"/>
      <c r="N287" s="93"/>
      <c r="O287" s="93"/>
      <c r="P287" s="93"/>
      <c r="Q287" s="93"/>
      <c r="R287" s="93"/>
      <c r="S287" s="93"/>
      <c r="T287" s="93"/>
      <c r="U287" s="93"/>
      <c r="V287" s="93"/>
      <c r="W287" s="93"/>
      <c r="X287" s="93"/>
      <c r="Y287" s="93"/>
      <c r="Z287" s="93"/>
      <c r="AA287" s="93"/>
    </row>
    <row r="288" spans="1:27">
      <c r="B288" s="102" t="s">
        <v>4029</v>
      </c>
    </row>
    <row r="289" spans="2:8" ht="25.5">
      <c r="B289" s="990" t="s">
        <v>4030</v>
      </c>
      <c r="C289" s="991"/>
      <c r="D289" s="991"/>
      <c r="E289" s="992"/>
      <c r="F289" s="399" t="s">
        <v>4032</v>
      </c>
      <c r="G289" s="399" t="s">
        <v>4033</v>
      </c>
    </row>
    <row r="290" spans="2:8">
      <c r="B290" s="990"/>
      <c r="C290" s="991"/>
      <c r="D290" s="991"/>
      <c r="E290" s="992"/>
      <c r="F290" s="989" t="s">
        <v>4031</v>
      </c>
      <c r="G290" s="989" t="s">
        <v>4031</v>
      </c>
    </row>
    <row r="291" spans="2:8">
      <c r="B291" s="658" t="s">
        <v>4034</v>
      </c>
      <c r="C291" s="659"/>
      <c r="D291" s="659"/>
      <c r="E291" s="660"/>
      <c r="F291" s="401">
        <v>244296</v>
      </c>
      <c r="G291" s="401">
        <v>321321</v>
      </c>
      <c r="H291" s="72" t="s">
        <v>4037</v>
      </c>
    </row>
    <row r="292" spans="2:8">
      <c r="B292" s="658" t="s">
        <v>4035</v>
      </c>
      <c r="C292" s="659"/>
      <c r="D292" s="659"/>
      <c r="E292" s="660"/>
      <c r="F292" s="401">
        <v>7293</v>
      </c>
      <c r="G292" s="401">
        <v>3614</v>
      </c>
      <c r="H292" s="72" t="s">
        <v>4037</v>
      </c>
    </row>
    <row r="293" spans="2:8">
      <c r="B293" s="658" t="s">
        <v>4036</v>
      </c>
      <c r="C293" s="659"/>
      <c r="D293" s="659"/>
      <c r="E293" s="660"/>
      <c r="F293" s="401">
        <f>SUM(F291:F292)</f>
        <v>251589</v>
      </c>
      <c r="G293" s="401">
        <f>SUM(G291:G292)</f>
        <v>324935</v>
      </c>
      <c r="H293" s="72" t="s">
        <v>4037</v>
      </c>
    </row>
    <row r="296" spans="2:8">
      <c r="B296" s="102" t="s">
        <v>4038</v>
      </c>
    </row>
    <row r="297" spans="2:8">
      <c r="B297" s="990" t="s">
        <v>4022</v>
      </c>
      <c r="C297" s="991"/>
      <c r="D297" s="991"/>
      <c r="E297" s="992"/>
      <c r="F297" s="399" t="s">
        <v>4039</v>
      </c>
    </row>
    <row r="298" spans="2:8">
      <c r="B298" s="990"/>
      <c r="C298" s="991"/>
      <c r="D298" s="991"/>
      <c r="E298" s="992"/>
      <c r="F298" s="399" t="s">
        <v>4040</v>
      </c>
    </row>
    <row r="299" spans="2:8">
      <c r="B299" s="401" t="s">
        <v>4041</v>
      </c>
      <c r="C299" s="658"/>
      <c r="D299" s="659"/>
      <c r="E299" s="659"/>
      <c r="F299" s="599">
        <f>G293/SUM(F282:F283)</f>
        <v>2.0707153349485211E-3</v>
      </c>
    </row>
    <row r="300" spans="2:8">
      <c r="B300" s="658" t="s">
        <v>4042</v>
      </c>
      <c r="C300" s="659"/>
      <c r="D300" s="659"/>
      <c r="E300" s="660"/>
      <c r="F300" s="599">
        <f>F293/(SUM(F284:F285))</f>
        <v>3.2600187503330131E-3</v>
      </c>
    </row>
    <row r="303" spans="2:8">
      <c r="B303" s="102" t="s">
        <v>4044</v>
      </c>
    </row>
    <row r="304" spans="2:8">
      <c r="B304" s="990" t="s">
        <v>4022</v>
      </c>
      <c r="C304" s="991"/>
      <c r="D304" s="991"/>
      <c r="E304" s="992"/>
      <c r="F304" s="399" t="s">
        <v>709</v>
      </c>
    </row>
    <row r="305" spans="2:7">
      <c r="B305" s="990"/>
      <c r="C305" s="991"/>
      <c r="D305" s="991"/>
      <c r="E305" s="992"/>
      <c r="F305" s="399" t="s">
        <v>165</v>
      </c>
    </row>
    <row r="306" spans="2:7">
      <c r="B306" s="401" t="s">
        <v>4041</v>
      </c>
      <c r="C306" s="658"/>
      <c r="D306" s="659"/>
      <c r="E306" s="659"/>
      <c r="F306" s="401">
        <v>3942</v>
      </c>
      <c r="G306" s="72" t="s">
        <v>4037</v>
      </c>
    </row>
    <row r="307" spans="2:7">
      <c r="B307" s="658" t="s">
        <v>4042</v>
      </c>
      <c r="C307" s="659"/>
      <c r="D307" s="659"/>
      <c r="E307" s="660"/>
      <c r="F307" s="401">
        <v>3327</v>
      </c>
      <c r="G307" s="72" t="s">
        <v>4037</v>
      </c>
    </row>
    <row r="310" spans="2:7">
      <c r="B310" s="102" t="s">
        <v>4045</v>
      </c>
    </row>
    <row r="311" spans="2:7">
      <c r="B311" s="990" t="s">
        <v>4022</v>
      </c>
      <c r="C311" s="991"/>
      <c r="D311" s="991"/>
      <c r="E311" s="992"/>
      <c r="F311" s="399" t="s">
        <v>709</v>
      </c>
    </row>
    <row r="312" spans="2:7">
      <c r="B312" s="990"/>
      <c r="C312" s="991"/>
      <c r="D312" s="991"/>
      <c r="E312" s="992"/>
      <c r="F312" s="399" t="s">
        <v>4046</v>
      </c>
    </row>
    <row r="313" spans="2:7">
      <c r="B313" s="401" t="s">
        <v>4041</v>
      </c>
      <c r="C313" s="658"/>
      <c r="D313" s="659"/>
      <c r="E313" s="659"/>
      <c r="F313" s="599">
        <f>F306/SUM(F282:F283)</f>
        <v>2.5121208396654932E-5</v>
      </c>
    </row>
    <row r="314" spans="2:7">
      <c r="B314" s="658" t="s">
        <v>4042</v>
      </c>
      <c r="C314" s="659"/>
      <c r="D314" s="659"/>
      <c r="E314" s="660"/>
      <c r="F314" s="599">
        <f>F307/(SUM(F284:F285))</f>
        <v>4.3110320333392698E-5</v>
      </c>
    </row>
    <row r="317" spans="2:7">
      <c r="B317" s="102" t="s">
        <v>4049</v>
      </c>
    </row>
    <row r="318" spans="2:7">
      <c r="B318" s="990" t="s">
        <v>4022</v>
      </c>
      <c r="C318" s="991"/>
      <c r="D318" s="991"/>
      <c r="E318" s="992"/>
      <c r="F318" s="399" t="s">
        <v>661</v>
      </c>
    </row>
    <row r="319" spans="2:7">
      <c r="B319" s="990"/>
      <c r="C319" s="991"/>
      <c r="D319" s="991"/>
      <c r="E319" s="992"/>
      <c r="F319" s="399" t="s">
        <v>165</v>
      </c>
    </row>
    <row r="320" spans="2:7">
      <c r="B320" s="401" t="s">
        <v>4050</v>
      </c>
      <c r="C320" s="658"/>
      <c r="D320" s="659"/>
      <c r="E320" s="659"/>
      <c r="F320" s="400">
        <v>1071</v>
      </c>
      <c r="G320" s="72" t="s">
        <v>4051</v>
      </c>
    </row>
    <row r="323" spans="1:17">
      <c r="B323" s="102" t="s">
        <v>4057</v>
      </c>
    </row>
    <row r="324" spans="1:17">
      <c r="B324" s="990" t="s">
        <v>4022</v>
      </c>
      <c r="C324" s="991"/>
      <c r="D324" s="991"/>
      <c r="E324" s="992"/>
      <c r="F324" s="399" t="s">
        <v>661</v>
      </c>
    </row>
    <row r="325" spans="1:17" ht="25.5">
      <c r="B325" s="990"/>
      <c r="C325" s="991"/>
      <c r="D325" s="991"/>
      <c r="E325" s="992"/>
      <c r="F325" s="399" t="s">
        <v>4058</v>
      </c>
    </row>
    <row r="326" spans="1:17">
      <c r="B326" s="401" t="s">
        <v>4050</v>
      </c>
      <c r="C326" s="658"/>
      <c r="D326" s="659"/>
      <c r="E326" s="659"/>
      <c r="F326" s="599">
        <f>F320/F286</f>
        <v>2.7438538071822145E-6</v>
      </c>
    </row>
    <row r="330" spans="1:17" s="9" customFormat="1" ht="15.75">
      <c r="A330" s="9" t="s">
        <v>4063</v>
      </c>
    </row>
    <row r="332" spans="1:17">
      <c r="M332" s="93" t="s">
        <v>164</v>
      </c>
      <c r="N332" s="93" t="s">
        <v>221</v>
      </c>
      <c r="O332" s="93" t="s">
        <v>239</v>
      </c>
      <c r="Q332" s="93" t="s">
        <v>167</v>
      </c>
    </row>
    <row r="333" spans="1:17">
      <c r="B333" s="102" t="s">
        <v>4064</v>
      </c>
    </row>
    <row r="334" spans="1:17">
      <c r="C334" s="102" t="s">
        <v>4104</v>
      </c>
      <c r="M334" s="60">
        <f>N334</f>
        <v>7.39</v>
      </c>
      <c r="N334" s="50">
        <v>7.39</v>
      </c>
      <c r="O334" s="102" t="s">
        <v>4065</v>
      </c>
      <c r="Q334" s="102" t="s">
        <v>4068</v>
      </c>
    </row>
    <row r="335" spans="1:17">
      <c r="C335" s="102" t="s">
        <v>4103</v>
      </c>
      <c r="M335" s="60">
        <f>N335</f>
        <v>3.53</v>
      </c>
      <c r="N335" s="50">
        <v>3.53</v>
      </c>
      <c r="O335" s="102" t="s">
        <v>4066</v>
      </c>
      <c r="Q335" s="102" t="s">
        <v>4067</v>
      </c>
    </row>
    <row r="336" spans="1:17">
      <c r="C336" s="102" t="s">
        <v>4105</v>
      </c>
      <c r="M336" s="60">
        <f>N336</f>
        <v>141.98625153890731</v>
      </c>
      <c r="N336" s="50">
        <f>N334*'Input data'!D84</f>
        <v>141.98625153890731</v>
      </c>
      <c r="O336" s="102" t="s">
        <v>4071</v>
      </c>
    </row>
    <row r="337" spans="2:17">
      <c r="C337" s="102" t="s">
        <v>4106</v>
      </c>
      <c r="M337" s="60">
        <f>N337</f>
        <v>186.74603537227759</v>
      </c>
      <c r="N337" s="50">
        <f>N335*'Input data'!D83</f>
        <v>186.74603537227759</v>
      </c>
      <c r="O337" s="102" t="s">
        <v>4072</v>
      </c>
    </row>
    <row r="338" spans="2:17">
      <c r="M338" s="458"/>
    </row>
    <row r="339" spans="2:17">
      <c r="B339" s="102" t="s">
        <v>4074</v>
      </c>
      <c r="M339" s="458"/>
    </row>
    <row r="340" spans="2:17">
      <c r="C340" s="102" t="s">
        <v>4131</v>
      </c>
      <c r="M340" s="122">
        <f>N340</f>
        <v>2.8022387625594922E-2</v>
      </c>
      <c r="N340" s="326">
        <f>145179/(1891*1000000)*365</f>
        <v>2.8022387625594922E-2</v>
      </c>
      <c r="O340" s="102" t="s">
        <v>4083</v>
      </c>
      <c r="Q340" s="102" t="s">
        <v>4073</v>
      </c>
    </row>
    <row r="341" spans="2:17">
      <c r="C341" s="102" t="s">
        <v>4132</v>
      </c>
      <c r="M341" s="122">
        <f>N341</f>
        <v>5.2041549444738232E-2</v>
      </c>
      <c r="N341" s="326">
        <f>269618/(1891*1000000)*365</f>
        <v>5.2041549444738232E-2</v>
      </c>
      <c r="O341" s="102" t="s">
        <v>4083</v>
      </c>
      <c r="Q341" s="102" t="s">
        <v>4073</v>
      </c>
    </row>
    <row r="343" spans="2:17">
      <c r="B343" s="102" t="s">
        <v>4076</v>
      </c>
      <c r="M343" s="458"/>
    </row>
    <row r="344" spans="2:17">
      <c r="C344" s="102" t="s">
        <v>4075</v>
      </c>
      <c r="M344" s="60">
        <f>N344</f>
        <v>52</v>
      </c>
      <c r="N344" s="50">
        <v>52</v>
      </c>
      <c r="O344" s="102" t="s">
        <v>4079</v>
      </c>
      <c r="Q344" s="102" t="s">
        <v>4068</v>
      </c>
    </row>
    <row r="345" spans="2:17">
      <c r="C345" s="102" t="s">
        <v>4133</v>
      </c>
      <c r="M345" s="60">
        <f>N345</f>
        <v>330</v>
      </c>
      <c r="N345" s="50">
        <v>330</v>
      </c>
      <c r="O345" s="102" t="s">
        <v>4079</v>
      </c>
      <c r="Q345" s="102" t="s">
        <v>4068</v>
      </c>
    </row>
    <row r="346" spans="2:17">
      <c r="C346" s="102" t="s">
        <v>4107</v>
      </c>
      <c r="M346" s="60">
        <f>N346</f>
        <v>999.09135047674965</v>
      </c>
      <c r="N346" s="50">
        <f>N344*'Input data'!D84</f>
        <v>999.09135047674965</v>
      </c>
      <c r="O346" s="102" t="s">
        <v>4081</v>
      </c>
    </row>
    <row r="347" spans="2:17">
      <c r="C347" s="102" t="s">
        <v>4108</v>
      </c>
      <c r="M347" s="60">
        <f>N347</f>
        <v>6340.3874164870649</v>
      </c>
      <c r="N347" s="50">
        <f>N345*'Input data'!D84</f>
        <v>6340.3874164870649</v>
      </c>
      <c r="O347" s="102" t="s">
        <v>4081</v>
      </c>
    </row>
    <row r="348" spans="2:17">
      <c r="M348" s="458"/>
    </row>
    <row r="349" spans="2:17">
      <c r="B349" s="102" t="s">
        <v>4078</v>
      </c>
      <c r="M349" s="458"/>
    </row>
    <row r="350" spans="2:17">
      <c r="C350" s="102" t="s">
        <v>4077</v>
      </c>
      <c r="M350" s="60">
        <f>N350</f>
        <v>1.05</v>
      </c>
      <c r="N350" s="50">
        <v>1.05</v>
      </c>
      <c r="O350" s="102" t="s">
        <v>4080</v>
      </c>
      <c r="Q350" s="102" t="s">
        <v>4067</v>
      </c>
    </row>
    <row r="351" spans="2:17">
      <c r="C351" s="102" t="s">
        <v>4134</v>
      </c>
      <c r="M351" s="60">
        <f>N351</f>
        <v>6.7</v>
      </c>
      <c r="N351" s="50">
        <v>6.7</v>
      </c>
      <c r="O351" s="102" t="s">
        <v>4080</v>
      </c>
      <c r="Q351" s="102" t="s">
        <v>4067</v>
      </c>
    </row>
    <row r="352" spans="2:17" ht="12" customHeight="1">
      <c r="C352" s="102" t="s">
        <v>4109</v>
      </c>
      <c r="M352" s="60">
        <f>N352</f>
        <v>55.547687575323373</v>
      </c>
      <c r="N352" s="50">
        <f>N350*'Input data'!D83</f>
        <v>55.547687575323373</v>
      </c>
      <c r="O352" s="102" t="s">
        <v>4082</v>
      </c>
    </row>
    <row r="353" spans="2:17">
      <c r="C353" s="102" t="s">
        <v>4110</v>
      </c>
      <c r="M353" s="60">
        <f>N353</f>
        <v>354.44714929015868</v>
      </c>
      <c r="N353" s="50">
        <f>N351*'Input data'!D83</f>
        <v>354.44714929015868</v>
      </c>
      <c r="O353" s="102" t="s">
        <v>4082</v>
      </c>
    </row>
    <row r="355" spans="2:17">
      <c r="B355" s="102" t="s">
        <v>4112</v>
      </c>
      <c r="M355" s="1000">
        <f>N355</f>
        <v>5.5400475938656799E-3</v>
      </c>
      <c r="N355" s="868">
        <f>28702/(1891*1000000)*365</f>
        <v>5.5400475938656799E-3</v>
      </c>
      <c r="O355" s="102" t="s">
        <v>4083</v>
      </c>
      <c r="Q355" s="102" t="s">
        <v>4073</v>
      </c>
    </row>
    <row r="357" spans="2:17">
      <c r="B357" s="102" t="s">
        <v>4113</v>
      </c>
    </row>
    <row r="358" spans="2:17">
      <c r="C358" s="102" t="s">
        <v>4114</v>
      </c>
      <c r="M358" s="60">
        <f>N358</f>
        <v>248</v>
      </c>
      <c r="N358" s="50">
        <v>248</v>
      </c>
      <c r="O358" s="102" t="s">
        <v>4116</v>
      </c>
      <c r="Q358" s="102" t="s">
        <v>4068</v>
      </c>
    </row>
    <row r="359" spans="2:17">
      <c r="C359" s="102" t="s">
        <v>4115</v>
      </c>
      <c r="M359" s="60">
        <f>N359</f>
        <v>5.0330000000000004</v>
      </c>
      <c r="N359" s="50">
        <v>5.0330000000000004</v>
      </c>
      <c r="O359" s="102" t="s">
        <v>4117</v>
      </c>
      <c r="Q359" s="466" t="s">
        <v>4067</v>
      </c>
    </row>
    <row r="360" spans="2:17">
      <c r="C360" s="102" t="s">
        <v>4118</v>
      </c>
      <c r="M360" s="60">
        <f>N360</f>
        <v>4764.8972099660368</v>
      </c>
      <c r="N360" s="50">
        <f>N358*'Input data'!D84</f>
        <v>4764.8972099660368</v>
      </c>
      <c r="O360" s="102" t="s">
        <v>4081</v>
      </c>
    </row>
    <row r="361" spans="2:17">
      <c r="C361" s="102" t="s">
        <v>4119</v>
      </c>
      <c r="M361" s="60">
        <f>N361</f>
        <v>266.25858244438336</v>
      </c>
      <c r="N361" s="50">
        <f>N359*'Input data'!D83</f>
        <v>266.25858244438336</v>
      </c>
      <c r="O361" s="102" t="s">
        <v>4082</v>
      </c>
    </row>
  </sheetData>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sheetPr>
  <dimension ref="A1:XFD439"/>
  <sheetViews>
    <sheetView workbookViewId="0"/>
  </sheetViews>
  <sheetFormatPr defaultColWidth="8.5546875" defaultRowHeight="15"/>
  <cols>
    <col min="1" max="3" width="8.88671875" style="747" customWidth="1"/>
    <col min="4" max="4" width="10.44140625" style="747" customWidth="1"/>
    <col min="5" max="5" width="8.88671875" style="747" customWidth="1"/>
    <col min="6" max="6" width="9" style="747" customWidth="1"/>
    <col min="7" max="7" width="9.44140625" style="747" customWidth="1"/>
    <col min="8" max="8" width="8.88671875" style="747" customWidth="1"/>
    <col min="9" max="10" width="8.44140625" style="747" customWidth="1"/>
    <col min="11" max="11" width="10.44140625" style="747" customWidth="1"/>
    <col min="12" max="12" width="8.44140625" style="747" customWidth="1"/>
    <col min="13" max="13" width="12.88671875" style="747" customWidth="1"/>
    <col min="14" max="14" width="13.44140625" style="747" customWidth="1"/>
    <col min="15" max="15" width="14" style="747" customWidth="1"/>
    <col min="16" max="16" width="17.5546875" style="747" customWidth="1"/>
    <col min="17" max="17" width="24.88671875" style="747" customWidth="1"/>
    <col min="18" max="18" width="18" style="747" customWidth="1"/>
    <col min="19" max="19" width="16.5546875" style="747" customWidth="1"/>
    <col min="20" max="20" width="9.5546875" style="747" customWidth="1"/>
    <col min="21" max="21" width="10.5546875" style="747" customWidth="1"/>
    <col min="22" max="23" width="8.5546875" style="747"/>
    <col min="24" max="24" width="11" style="747" customWidth="1"/>
    <col min="25" max="32" width="8.5546875" style="747"/>
    <col min="33" max="38" width="9.5546875" style="747" customWidth="1"/>
    <col min="39" max="16384" width="8.5546875" style="747"/>
  </cols>
  <sheetData>
    <row r="1" spans="1:18" s="6" customFormat="1" ht="24" customHeight="1">
      <c r="A1" s="6" t="s">
        <v>3281</v>
      </c>
    </row>
    <row r="2" spans="1:18" s="643" customFormat="1">
      <c r="E2"/>
      <c r="F2" s="722"/>
    </row>
    <row r="3" spans="1:18" s="643" customFormat="1">
      <c r="A3" s="643" t="s">
        <v>3697</v>
      </c>
      <c r="E3"/>
      <c r="F3" s="722"/>
    </row>
    <row r="4" spans="1:18" s="643" customFormat="1">
      <c r="E4"/>
      <c r="F4" s="722"/>
    </row>
    <row r="5" spans="1:18" s="643" customFormat="1">
      <c r="E5"/>
      <c r="F5" s="722"/>
    </row>
    <row r="6" spans="1:18" s="338" customFormat="1" ht="15.75">
      <c r="A6" s="338" t="s">
        <v>3698</v>
      </c>
    </row>
    <row r="7" spans="1:18" s="643" customFormat="1">
      <c r="E7" s="782"/>
      <c r="F7" s="722"/>
    </row>
    <row r="8" spans="1:18" s="643" customFormat="1">
      <c r="M8" s="643" t="s">
        <v>164</v>
      </c>
      <c r="N8" s="643" t="s">
        <v>221</v>
      </c>
      <c r="O8" s="643" t="s">
        <v>239</v>
      </c>
      <c r="P8" s="643" t="s">
        <v>168</v>
      </c>
      <c r="Q8" s="643" t="s">
        <v>167</v>
      </c>
      <c r="R8" s="643" t="s">
        <v>348</v>
      </c>
    </row>
    <row r="9" spans="1:18" s="643" customFormat="1">
      <c r="A9" s="643" t="s">
        <v>3681</v>
      </c>
    </row>
    <row r="10" spans="1:18" s="643" customFormat="1">
      <c r="B10" s="643" t="s">
        <v>3727</v>
      </c>
      <c r="M10" s="789">
        <v>0</v>
      </c>
      <c r="N10" s="790">
        <v>0</v>
      </c>
      <c r="R10" s="740" t="str">
        <f>IF(M10=1, "Fill out the boxes below with your data to obtain a calculated efficiency", "The default flaring efficiency is 95%")</f>
        <v>The default flaring efficiency is 95%</v>
      </c>
    </row>
    <row r="11" spans="1:18" s="643" customFormat="1">
      <c r="C11" s="643" t="s">
        <v>3728</v>
      </c>
      <c r="D11" s="745"/>
      <c r="E11" s="745"/>
      <c r="F11" s="745"/>
      <c r="Q11"/>
    </row>
    <row r="12" spans="1:18" s="643" customFormat="1">
      <c r="C12" s="745" t="s">
        <v>3702</v>
      </c>
      <c r="Q12"/>
      <c r="R12" s="740" t="s">
        <v>3701</v>
      </c>
    </row>
    <row r="13" spans="1:18" s="643" customFormat="1">
      <c r="A13" s="643" t="s">
        <v>3729</v>
      </c>
      <c r="M13" s="791">
        <v>2011</v>
      </c>
      <c r="N13" s="792">
        <v>2011</v>
      </c>
      <c r="O13" s="643" t="s">
        <v>3684</v>
      </c>
      <c r="Q13"/>
      <c r="R13" s="740"/>
    </row>
    <row r="14" spans="1:18" s="643" customFormat="1">
      <c r="B14" s="643" t="s">
        <v>3730</v>
      </c>
      <c r="M14" s="793"/>
      <c r="N14" s="794"/>
      <c r="Q14"/>
      <c r="R14" s="740"/>
    </row>
    <row r="15" spans="1:18" s="643" customFormat="1">
      <c r="A15" s="643" t="s">
        <v>3731</v>
      </c>
      <c r="M15" s="795">
        <f>'User Inputs &amp; Results'!J107*'User Inputs &amp; Results'!J70/1000000</f>
        <v>22.202690524109624</v>
      </c>
      <c r="N15" s="796">
        <f>IF(M13=2011,VLOOKUP('User Inputs &amp; Results'!J66,B93:K151,10,FALSE)*'Production &amp; Extraction'!M35,VLOOKUP('User Inputs &amp; Results'!J66,B93:K151,6,FALSE)*'Production &amp; Extraction'!M35)</f>
        <v>58.407219817949006</v>
      </c>
      <c r="O15" s="643" t="s">
        <v>273</v>
      </c>
      <c r="Q15"/>
      <c r="R15" s="740"/>
    </row>
    <row r="16" spans="1:18">
      <c r="A16" s="747" t="s">
        <v>3732</v>
      </c>
      <c r="M16" s="795">
        <f>N16</f>
        <v>48.510817931081526</v>
      </c>
      <c r="N16" s="796">
        <f>'Fuel Specs'!P132*'Gas Balance'!E31/100+('Gas Balance'!E32/100)*'Fuel Specs'!P133+('Fuel Specs'!P134)*('Gas Balance'!E33/100)+'Fuel Specs'!P135*('Gas Balance'!E34/100)+'Gas Balance'!E35/100*'Fuel Specs'!P138</f>
        <v>48.510817931081526</v>
      </c>
      <c r="O16" s="747" t="s">
        <v>532</v>
      </c>
      <c r="R16" s="741" t="s">
        <v>3288</v>
      </c>
    </row>
    <row r="17" spans="1:16384">
      <c r="M17" s="797">
        <f>N17</f>
        <v>888.84107147641851</v>
      </c>
      <c r="N17" s="798">
        <f>'Fuel Specs'!H132*'Gas Balance'!E31/100+('Gas Balance'!E32/100)*'Fuel Specs'!H133+('Fuel Specs'!P134)*('Gas Balance'!E33/100)+'Fuel Specs'!H135*('Gas Balance'!E34/100)+'Gas Balance'!E35/100*'Fuel Specs'!H138</f>
        <v>888.84107147641851</v>
      </c>
      <c r="O17" s="747" t="s">
        <v>3289</v>
      </c>
      <c r="R17" s="741" t="s">
        <v>3288</v>
      </c>
    </row>
    <row r="18" spans="1:16384" s="643" customFormat="1">
      <c r="R18" s="740"/>
    </row>
    <row r="19" spans="1:16384" s="338" customFormat="1" ht="15.75">
      <c r="A19" s="338" t="s">
        <v>3682</v>
      </c>
    </row>
    <row r="20" spans="1:16384">
      <c r="A20" s="747" t="s">
        <v>3708</v>
      </c>
    </row>
    <row r="21" spans="1:16384" s="643" customFormat="1">
      <c r="Q21"/>
      <c r="R21" s="740"/>
    </row>
    <row r="22" spans="1:16384" s="643" customFormat="1">
      <c r="A22" s="643" t="s">
        <v>3699</v>
      </c>
      <c r="M22" s="797" t="str">
        <f>IF(M23&lt;&gt;"",IF(M25="","",M24*M25),"")</f>
        <v/>
      </c>
      <c r="O22" s="643" t="s">
        <v>3700</v>
      </c>
      <c r="Q22"/>
      <c r="R22" s="740"/>
    </row>
    <row r="23" spans="1:16384" s="643" customFormat="1">
      <c r="B23" s="643" t="s">
        <v>3733</v>
      </c>
      <c r="M23" s="799"/>
      <c r="O23" s="643" t="s">
        <v>3685</v>
      </c>
      <c r="Q23"/>
      <c r="R23" s="740"/>
    </row>
    <row r="24" spans="1:16384" s="643" customFormat="1">
      <c r="B24" s="643" t="s">
        <v>3734</v>
      </c>
      <c r="M24" s="800" t="str">
        <f>IF(M23="","",'User Inputs &amp; Results'!$J$71/M23)</f>
        <v/>
      </c>
      <c r="O24" s="643" t="s">
        <v>187</v>
      </c>
      <c r="Q24"/>
      <c r="R24" s="740" t="s">
        <v>3284</v>
      </c>
    </row>
    <row r="25" spans="1:16384" s="643" customFormat="1">
      <c r="B25" s="643" t="s">
        <v>3735</v>
      </c>
      <c r="M25" s="799"/>
      <c r="O25" s="643" t="s">
        <v>3686</v>
      </c>
      <c r="Q25"/>
      <c r="R25" s="740"/>
    </row>
    <row r="26" spans="1:16384">
      <c r="M26" s="801"/>
      <c r="Q26"/>
      <c r="R26" s="741"/>
    </row>
    <row r="27" spans="1:16384">
      <c r="A27" s="651" t="s">
        <v>3710</v>
      </c>
      <c r="C27" s="643"/>
      <c r="D27" s="643"/>
      <c r="E27" s="802"/>
      <c r="I27" s="643"/>
      <c r="O27" s="643"/>
      <c r="Q27"/>
      <c r="R27" s="740"/>
      <c r="Y27" s="643"/>
      <c r="Z27" s="643"/>
      <c r="AA27" s="643"/>
      <c r="AB27" s="643"/>
      <c r="AC27" s="643"/>
      <c r="AD27" s="643"/>
      <c r="AE27" s="643"/>
      <c r="AF27" s="643"/>
      <c r="AG27" s="643"/>
      <c r="AH27" s="643"/>
      <c r="AI27" s="643"/>
      <c r="AJ27" s="643"/>
      <c r="AK27" s="643"/>
      <c r="AL27" s="643"/>
      <c r="AM27" s="643"/>
      <c r="AN27" s="643"/>
      <c r="AO27" s="643"/>
      <c r="AP27" s="643"/>
      <c r="AQ27" s="643"/>
      <c r="AR27" s="643"/>
      <c r="AS27" s="643"/>
      <c r="AT27" s="643"/>
      <c r="AU27" s="643"/>
      <c r="AV27" s="643"/>
      <c r="AW27" s="643"/>
      <c r="AX27" s="643"/>
      <c r="AY27" s="643"/>
      <c r="AZ27" s="643"/>
      <c r="BA27" s="643"/>
      <c r="BB27" s="643"/>
      <c r="BC27" s="643"/>
      <c r="BD27" s="643"/>
      <c r="BE27" s="643"/>
      <c r="BF27" s="643"/>
      <c r="BG27" s="643"/>
      <c r="BH27" s="643"/>
      <c r="BI27" s="643"/>
      <c r="BJ27" s="643"/>
      <c r="BK27" s="643"/>
      <c r="BL27" s="643"/>
      <c r="BM27" s="643"/>
      <c r="BN27" s="643"/>
      <c r="BO27" s="643"/>
      <c r="BP27" s="643"/>
      <c r="BQ27" s="643"/>
      <c r="BR27" s="643"/>
      <c r="BS27" s="643"/>
      <c r="BT27" s="643"/>
      <c r="BU27" s="643"/>
      <c r="BV27" s="643"/>
      <c r="BW27" s="643"/>
      <c r="BX27" s="643"/>
      <c r="BY27" s="643"/>
      <c r="BZ27" s="643"/>
      <c r="CA27" s="643"/>
      <c r="CB27" s="643"/>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3"/>
      <c r="DF27" s="643"/>
      <c r="DG27" s="643"/>
      <c r="DH27" s="643"/>
      <c r="DI27" s="643"/>
      <c r="DJ27" s="643"/>
      <c r="DK27" s="643"/>
      <c r="DL27" s="643"/>
      <c r="DM27" s="643"/>
      <c r="DN27" s="643"/>
      <c r="DO27" s="643"/>
      <c r="DP27" s="643"/>
      <c r="DQ27" s="643"/>
      <c r="DR27" s="643"/>
      <c r="DS27" s="643"/>
      <c r="DT27" s="643"/>
      <c r="DU27" s="643"/>
      <c r="DV27" s="643"/>
      <c r="DW27" s="643"/>
      <c r="DX27" s="643"/>
      <c r="DY27" s="643"/>
      <c r="DZ27" s="643"/>
      <c r="EA27" s="643"/>
      <c r="EB27" s="643"/>
      <c r="EC27" s="643"/>
      <c r="ED27" s="643"/>
      <c r="EE27" s="643"/>
      <c r="EF27" s="643"/>
      <c r="EG27" s="643"/>
      <c r="EH27" s="643"/>
      <c r="EI27" s="643"/>
      <c r="EJ27" s="643"/>
      <c r="EK27" s="643"/>
      <c r="EL27" s="643"/>
      <c r="EM27" s="643"/>
      <c r="EN27" s="643"/>
      <c r="EO27" s="643"/>
      <c r="EP27" s="643"/>
      <c r="EQ27" s="643"/>
      <c r="ER27" s="643"/>
      <c r="ES27" s="643"/>
      <c r="ET27" s="643"/>
      <c r="EU27" s="643"/>
      <c r="EV27" s="643"/>
      <c r="EW27" s="643"/>
      <c r="EX27" s="643"/>
      <c r="EY27" s="643"/>
      <c r="EZ27" s="643"/>
      <c r="FA27" s="643"/>
      <c r="FB27" s="643"/>
      <c r="FC27" s="643"/>
      <c r="FD27" s="643"/>
      <c r="FE27" s="643"/>
      <c r="FF27" s="643"/>
      <c r="FG27" s="643"/>
      <c r="FH27" s="643"/>
      <c r="FI27" s="643"/>
      <c r="FJ27" s="643"/>
      <c r="FK27" s="643"/>
      <c r="FL27" s="643"/>
      <c r="FM27" s="643"/>
      <c r="FN27" s="643"/>
      <c r="FO27" s="643"/>
      <c r="FP27" s="643"/>
      <c r="FQ27" s="643"/>
      <c r="FR27" s="643"/>
      <c r="FS27" s="643"/>
      <c r="FT27" s="643"/>
      <c r="FU27" s="643"/>
      <c r="FV27" s="643"/>
      <c r="FW27" s="643"/>
      <c r="FX27" s="643"/>
      <c r="FY27" s="643"/>
      <c r="FZ27" s="643"/>
      <c r="GA27" s="643"/>
      <c r="GB27" s="643"/>
      <c r="GC27" s="643"/>
      <c r="GD27" s="643"/>
      <c r="GE27" s="643"/>
      <c r="GF27" s="643"/>
      <c r="GG27" s="643"/>
      <c r="GH27" s="643"/>
      <c r="GI27" s="643"/>
      <c r="GJ27" s="643"/>
      <c r="GK27" s="643"/>
      <c r="GL27" s="643"/>
      <c r="GM27" s="643"/>
      <c r="GN27" s="643"/>
      <c r="GO27" s="643"/>
      <c r="GP27" s="643"/>
      <c r="GQ27" s="643"/>
      <c r="GR27" s="643"/>
      <c r="GS27" s="643"/>
      <c r="GT27" s="643"/>
      <c r="GU27" s="643"/>
      <c r="GV27" s="643"/>
      <c r="GW27" s="643"/>
      <c r="GX27" s="643"/>
      <c r="GY27" s="643"/>
      <c r="GZ27" s="643"/>
      <c r="HA27" s="643"/>
      <c r="HB27" s="643"/>
      <c r="HC27" s="643"/>
      <c r="HD27" s="643"/>
      <c r="HE27" s="643"/>
      <c r="HF27" s="643"/>
      <c r="HG27" s="643"/>
      <c r="HH27" s="643"/>
      <c r="HI27" s="643"/>
      <c r="HJ27" s="643"/>
      <c r="HK27" s="643"/>
      <c r="HL27" s="643"/>
      <c r="HM27" s="643"/>
      <c r="HN27" s="643"/>
      <c r="HO27" s="643"/>
      <c r="HP27" s="643"/>
      <c r="HQ27" s="643"/>
      <c r="HR27" s="643"/>
      <c r="HS27" s="643"/>
      <c r="HT27" s="643"/>
      <c r="HU27" s="643"/>
      <c r="HV27" s="643"/>
      <c r="HW27" s="643"/>
      <c r="HX27" s="643"/>
      <c r="HY27" s="643"/>
      <c r="HZ27" s="643"/>
      <c r="IA27" s="643"/>
      <c r="IB27" s="643"/>
      <c r="IC27" s="643"/>
      <c r="ID27" s="643"/>
      <c r="IE27" s="643"/>
      <c r="IF27" s="643"/>
      <c r="IG27" s="643"/>
      <c r="IH27" s="643"/>
      <c r="II27" s="643"/>
      <c r="IJ27" s="643"/>
      <c r="IK27" s="643"/>
      <c r="IL27" s="643"/>
      <c r="IM27" s="643"/>
      <c r="IN27" s="643"/>
      <c r="IO27" s="643"/>
      <c r="IP27" s="643"/>
      <c r="IQ27" s="643"/>
      <c r="IR27" s="643"/>
      <c r="IS27" s="643"/>
      <c r="IT27" s="643"/>
      <c r="IU27" s="643"/>
      <c r="IV27" s="643"/>
      <c r="IW27" s="643"/>
      <c r="IX27" s="643"/>
      <c r="IY27" s="643"/>
      <c r="IZ27" s="643"/>
      <c r="JA27" s="643"/>
      <c r="JB27" s="643"/>
      <c r="JC27" s="643"/>
      <c r="JD27" s="643"/>
      <c r="JE27" s="643"/>
      <c r="JF27" s="643"/>
      <c r="JG27" s="643"/>
      <c r="JH27" s="643"/>
      <c r="JI27" s="643"/>
      <c r="JJ27" s="643"/>
      <c r="JK27" s="643"/>
      <c r="JL27" s="643"/>
      <c r="JM27" s="643"/>
      <c r="JN27" s="643"/>
      <c r="JO27" s="643"/>
      <c r="JP27" s="643"/>
      <c r="JQ27" s="643"/>
      <c r="JR27" s="643"/>
      <c r="JS27" s="643"/>
      <c r="JT27" s="643"/>
      <c r="JU27" s="643"/>
      <c r="JV27" s="643"/>
      <c r="JW27" s="643"/>
      <c r="JX27" s="643"/>
      <c r="JY27" s="643"/>
      <c r="JZ27" s="643"/>
      <c r="KA27" s="643"/>
      <c r="KB27" s="643"/>
      <c r="KC27" s="643"/>
      <c r="KD27" s="643"/>
      <c r="KE27" s="643"/>
      <c r="KF27" s="643"/>
      <c r="KG27" s="643"/>
      <c r="KH27" s="643"/>
      <c r="KI27" s="643"/>
      <c r="KJ27" s="643"/>
      <c r="KK27" s="643"/>
      <c r="KL27" s="643"/>
      <c r="KM27" s="643"/>
      <c r="KN27" s="643"/>
      <c r="KO27" s="643"/>
      <c r="KP27" s="643"/>
      <c r="KQ27" s="643"/>
      <c r="KR27" s="643"/>
      <c r="KS27" s="643"/>
      <c r="KT27" s="643"/>
      <c r="KU27" s="643"/>
      <c r="KV27" s="643"/>
      <c r="KW27" s="643"/>
      <c r="KX27" s="643"/>
      <c r="KY27" s="643"/>
      <c r="KZ27" s="643"/>
      <c r="LA27" s="643"/>
      <c r="LB27" s="643"/>
      <c r="LC27" s="643"/>
      <c r="LD27" s="643"/>
      <c r="LE27" s="643"/>
      <c r="LF27" s="643"/>
      <c r="LG27" s="643"/>
      <c r="LH27" s="643"/>
      <c r="LI27" s="643"/>
      <c r="LJ27" s="643"/>
      <c r="LK27" s="643"/>
      <c r="LL27" s="643"/>
      <c r="LM27" s="643"/>
      <c r="LN27" s="643"/>
      <c r="LO27" s="643"/>
      <c r="LP27" s="643"/>
      <c r="LQ27" s="643"/>
      <c r="LR27" s="643"/>
      <c r="LS27" s="643"/>
      <c r="LT27" s="643"/>
      <c r="LU27" s="643"/>
      <c r="LV27" s="643"/>
      <c r="LW27" s="643"/>
      <c r="LX27" s="643"/>
      <c r="LY27" s="643"/>
      <c r="LZ27" s="643"/>
      <c r="MA27" s="643"/>
      <c r="MB27" s="643"/>
      <c r="MC27" s="643"/>
      <c r="MD27" s="643"/>
      <c r="ME27" s="643"/>
      <c r="MF27" s="643"/>
      <c r="MG27" s="643"/>
      <c r="MH27" s="643"/>
      <c r="MI27" s="643"/>
      <c r="MJ27" s="643"/>
      <c r="MK27" s="643"/>
      <c r="ML27" s="643"/>
      <c r="MM27" s="643"/>
      <c r="MN27" s="643"/>
      <c r="MO27" s="643"/>
      <c r="MP27" s="643"/>
      <c r="MQ27" s="643"/>
      <c r="MR27" s="643"/>
      <c r="MS27" s="643"/>
      <c r="MT27" s="643"/>
      <c r="MU27" s="643"/>
      <c r="MV27" s="643"/>
      <c r="MW27" s="643"/>
      <c r="MX27" s="643"/>
      <c r="MY27" s="643"/>
      <c r="MZ27" s="643"/>
      <c r="NA27" s="643"/>
      <c r="NB27" s="643"/>
      <c r="NC27" s="643"/>
      <c r="ND27" s="643"/>
      <c r="NE27" s="643"/>
      <c r="NF27" s="643"/>
      <c r="NG27" s="643"/>
      <c r="NH27" s="643"/>
      <c r="NI27" s="643"/>
      <c r="NJ27" s="643"/>
      <c r="NK27" s="643"/>
      <c r="NL27" s="643"/>
      <c r="NM27" s="643"/>
      <c r="NN27" s="643"/>
      <c r="NO27" s="643"/>
      <c r="NP27" s="643"/>
      <c r="NQ27" s="643"/>
      <c r="NR27" s="643"/>
      <c r="NS27" s="643"/>
      <c r="NT27" s="643"/>
      <c r="NU27" s="643"/>
      <c r="NV27" s="643"/>
      <c r="NW27" s="643"/>
      <c r="NX27" s="643"/>
      <c r="NY27" s="643"/>
      <c r="NZ27" s="643"/>
      <c r="OA27" s="643"/>
      <c r="OB27" s="643"/>
      <c r="OC27" s="643"/>
      <c r="OD27" s="643"/>
      <c r="OE27" s="643"/>
      <c r="OF27" s="643"/>
      <c r="OG27" s="643"/>
      <c r="OH27" s="643"/>
      <c r="OI27" s="643"/>
      <c r="OJ27" s="643"/>
      <c r="OK27" s="643"/>
      <c r="OL27" s="643"/>
      <c r="OM27" s="643"/>
      <c r="ON27" s="643"/>
      <c r="OO27" s="643"/>
      <c r="OP27" s="643"/>
      <c r="OQ27" s="643"/>
      <c r="OR27" s="643"/>
      <c r="OS27" s="643"/>
      <c r="OT27" s="643"/>
      <c r="OU27" s="643"/>
      <c r="OV27" s="643"/>
      <c r="OW27" s="643"/>
      <c r="OX27" s="643"/>
      <c r="OY27" s="643"/>
      <c r="OZ27" s="643"/>
      <c r="PA27" s="643"/>
      <c r="PB27" s="643"/>
      <c r="PC27" s="643"/>
      <c r="PD27" s="643"/>
      <c r="PE27" s="643"/>
      <c r="PF27" s="643"/>
      <c r="PG27" s="643"/>
      <c r="PH27" s="643"/>
      <c r="PI27" s="643"/>
      <c r="PJ27" s="643"/>
      <c r="PK27" s="643"/>
      <c r="PL27" s="643"/>
      <c r="PM27" s="643"/>
      <c r="PN27" s="643"/>
      <c r="PO27" s="643"/>
      <c r="PP27" s="643"/>
      <c r="PQ27" s="643"/>
      <c r="PR27" s="643"/>
      <c r="PS27" s="643"/>
      <c r="PT27" s="643"/>
      <c r="PU27" s="643"/>
      <c r="PV27" s="643"/>
      <c r="PW27" s="643"/>
      <c r="PX27" s="643"/>
      <c r="PY27" s="643"/>
      <c r="PZ27" s="643"/>
      <c r="QA27" s="643"/>
      <c r="QB27" s="643"/>
      <c r="QC27" s="643"/>
      <c r="QD27" s="643"/>
      <c r="QE27" s="643"/>
      <c r="QF27" s="643"/>
      <c r="QG27" s="643"/>
      <c r="QH27" s="643"/>
      <c r="QI27" s="643"/>
      <c r="QJ27" s="643"/>
      <c r="QK27" s="643"/>
      <c r="QL27" s="643"/>
      <c r="QM27" s="643"/>
      <c r="QN27" s="643"/>
      <c r="QO27" s="643"/>
      <c r="QP27" s="643"/>
      <c r="QQ27" s="643"/>
      <c r="QR27" s="643"/>
      <c r="QS27" s="643"/>
      <c r="QT27" s="643"/>
      <c r="QU27" s="643"/>
      <c r="QV27" s="643"/>
      <c r="QW27" s="643"/>
      <c r="QX27" s="643"/>
      <c r="QY27" s="643"/>
      <c r="QZ27" s="643"/>
      <c r="RA27" s="643"/>
      <c r="RB27" s="643"/>
      <c r="RC27" s="643"/>
      <c r="RD27" s="643"/>
      <c r="RE27" s="643"/>
      <c r="RF27" s="643"/>
      <c r="RG27" s="643"/>
      <c r="RH27" s="643"/>
      <c r="RI27" s="643"/>
      <c r="RJ27" s="643"/>
      <c r="RK27" s="643"/>
      <c r="RL27" s="643"/>
      <c r="RM27" s="643"/>
      <c r="RN27" s="643"/>
      <c r="RO27" s="643"/>
      <c r="RP27" s="643"/>
      <c r="RQ27" s="643"/>
      <c r="RR27" s="643"/>
      <c r="RS27" s="643"/>
      <c r="RT27" s="643"/>
      <c r="RU27" s="643"/>
      <c r="RV27" s="643"/>
      <c r="RW27" s="643"/>
      <c r="RX27" s="643"/>
      <c r="RY27" s="643"/>
      <c r="RZ27" s="643"/>
      <c r="SA27" s="643"/>
      <c r="SB27" s="643"/>
      <c r="SC27" s="643"/>
      <c r="SD27" s="643"/>
      <c r="SE27" s="643"/>
      <c r="SF27" s="643"/>
      <c r="SG27" s="643"/>
      <c r="SH27" s="643"/>
      <c r="SI27" s="643"/>
      <c r="SJ27" s="643"/>
      <c r="SK27" s="643"/>
      <c r="SL27" s="643"/>
      <c r="SM27" s="643"/>
      <c r="SN27" s="643"/>
      <c r="SO27" s="643"/>
      <c r="SP27" s="643"/>
      <c r="SQ27" s="643"/>
      <c r="SR27" s="643"/>
      <c r="SS27" s="643"/>
      <c r="ST27" s="643"/>
      <c r="SU27" s="643"/>
      <c r="SV27" s="643"/>
      <c r="SW27" s="643"/>
      <c r="SX27" s="643"/>
      <c r="SY27" s="643"/>
      <c r="SZ27" s="643"/>
      <c r="TA27" s="643"/>
      <c r="TB27" s="643"/>
      <c r="TC27" s="643"/>
      <c r="TD27" s="643"/>
      <c r="TE27" s="643"/>
      <c r="TF27" s="643"/>
      <c r="TG27" s="643"/>
      <c r="TH27" s="643"/>
      <c r="TI27" s="643"/>
      <c r="TJ27" s="643"/>
      <c r="TK27" s="643"/>
      <c r="TL27" s="643"/>
      <c r="TM27" s="643"/>
      <c r="TN27" s="643"/>
      <c r="TO27" s="643"/>
      <c r="TP27" s="643"/>
      <c r="TQ27" s="643"/>
      <c r="TR27" s="643"/>
      <c r="TS27" s="643"/>
      <c r="TT27" s="643"/>
      <c r="TU27" s="643"/>
      <c r="TV27" s="643"/>
      <c r="TW27" s="643"/>
      <c r="TX27" s="643"/>
      <c r="TY27" s="643"/>
      <c r="TZ27" s="643"/>
      <c r="UA27" s="643"/>
      <c r="UB27" s="643"/>
      <c r="UC27" s="643"/>
      <c r="UD27" s="643"/>
      <c r="UE27" s="643"/>
      <c r="UF27" s="643"/>
      <c r="UG27" s="643"/>
      <c r="UH27" s="643"/>
      <c r="UI27" s="643"/>
      <c r="UJ27" s="643"/>
      <c r="UK27" s="643"/>
      <c r="UL27" s="643"/>
      <c r="UM27" s="643"/>
      <c r="UN27" s="643"/>
      <c r="UO27" s="643"/>
      <c r="UP27" s="643"/>
      <c r="UQ27" s="643"/>
      <c r="UR27" s="643"/>
      <c r="US27" s="643"/>
      <c r="UT27" s="643"/>
      <c r="UU27" s="643"/>
      <c r="UV27" s="643"/>
      <c r="UW27" s="643"/>
      <c r="UX27" s="643"/>
      <c r="UY27" s="643"/>
      <c r="UZ27" s="643"/>
      <c r="VA27" s="643"/>
      <c r="VB27" s="643"/>
      <c r="VC27" s="643"/>
      <c r="VD27" s="643"/>
      <c r="VE27" s="643"/>
      <c r="VF27" s="643"/>
      <c r="VG27" s="643"/>
      <c r="VH27" s="643"/>
      <c r="VI27" s="643"/>
      <c r="VJ27" s="643"/>
      <c r="VK27" s="643"/>
      <c r="VL27" s="643"/>
      <c r="VM27" s="643"/>
      <c r="VN27" s="643"/>
      <c r="VO27" s="643"/>
      <c r="VP27" s="643"/>
      <c r="VQ27" s="643"/>
      <c r="VR27" s="643"/>
      <c r="VS27" s="643"/>
      <c r="VT27" s="643"/>
      <c r="VU27" s="643"/>
      <c r="VV27" s="643"/>
      <c r="VW27" s="643"/>
      <c r="VX27" s="643"/>
      <c r="VY27" s="643"/>
      <c r="VZ27" s="643"/>
      <c r="WA27" s="643"/>
      <c r="WB27" s="643"/>
      <c r="WC27" s="643"/>
      <c r="WD27" s="643"/>
      <c r="WE27" s="643"/>
      <c r="WF27" s="643"/>
      <c r="WG27" s="643"/>
      <c r="WH27" s="643"/>
      <c r="WI27" s="643"/>
      <c r="WJ27" s="643"/>
      <c r="WK27" s="643"/>
      <c r="WL27" s="643"/>
      <c r="WM27" s="643"/>
      <c r="WN27" s="643"/>
      <c r="WO27" s="643"/>
      <c r="WP27" s="643"/>
      <c r="WQ27" s="643"/>
      <c r="WR27" s="643"/>
      <c r="WS27" s="643"/>
      <c r="WT27" s="643"/>
      <c r="WU27" s="643"/>
      <c r="WV27" s="643"/>
      <c r="WW27" s="643"/>
      <c r="WX27" s="643"/>
      <c r="WY27" s="643"/>
      <c r="WZ27" s="643"/>
      <c r="XA27" s="643"/>
      <c r="XB27" s="643"/>
      <c r="XC27" s="643"/>
      <c r="XD27" s="643"/>
      <c r="XE27" s="643"/>
      <c r="XF27" s="643"/>
      <c r="XG27" s="643"/>
      <c r="XH27" s="643"/>
      <c r="XI27" s="643"/>
      <c r="XJ27" s="643"/>
      <c r="XK27" s="643"/>
      <c r="XL27" s="643"/>
      <c r="XM27" s="643"/>
      <c r="XN27" s="643"/>
      <c r="XO27" s="643"/>
      <c r="XP27" s="643"/>
      <c r="XQ27" s="643"/>
      <c r="XR27" s="643"/>
      <c r="XS27" s="643"/>
      <c r="XT27" s="643"/>
      <c r="XU27" s="643"/>
      <c r="XV27" s="643"/>
      <c r="XW27" s="643"/>
      <c r="XX27" s="643"/>
      <c r="XY27" s="643"/>
      <c r="XZ27" s="643"/>
      <c r="YA27" s="643"/>
      <c r="YB27" s="643"/>
      <c r="YC27" s="643"/>
      <c r="YD27" s="643"/>
      <c r="YE27" s="643"/>
      <c r="YF27" s="643"/>
      <c r="YG27" s="643"/>
      <c r="YH27" s="643"/>
      <c r="YI27" s="643"/>
      <c r="YJ27" s="643"/>
      <c r="YK27" s="643"/>
      <c r="YL27" s="643"/>
      <c r="YM27" s="643"/>
      <c r="YN27" s="643"/>
      <c r="YO27" s="643"/>
      <c r="YP27" s="643"/>
      <c r="YQ27" s="643"/>
      <c r="YR27" s="643"/>
      <c r="YS27" s="643"/>
      <c r="YT27" s="643"/>
      <c r="YU27" s="643"/>
      <c r="YV27" s="643"/>
      <c r="YW27" s="643"/>
      <c r="YX27" s="643"/>
      <c r="YY27" s="643"/>
      <c r="YZ27" s="643"/>
      <c r="ZA27" s="643"/>
      <c r="ZB27" s="643"/>
      <c r="ZC27" s="643"/>
      <c r="ZD27" s="643"/>
      <c r="ZE27" s="643"/>
      <c r="ZF27" s="643"/>
      <c r="ZG27" s="643"/>
      <c r="ZH27" s="643"/>
      <c r="ZI27" s="643"/>
      <c r="ZJ27" s="643"/>
      <c r="ZK27" s="643"/>
      <c r="ZL27" s="643"/>
      <c r="ZM27" s="643"/>
      <c r="ZN27" s="643"/>
      <c r="ZO27" s="643"/>
      <c r="ZP27" s="643"/>
      <c r="ZQ27" s="643"/>
      <c r="ZR27" s="643"/>
      <c r="ZS27" s="643"/>
      <c r="ZT27" s="643"/>
      <c r="ZU27" s="643"/>
      <c r="ZV27" s="643"/>
      <c r="ZW27" s="643"/>
      <c r="ZX27" s="643"/>
      <c r="ZY27" s="643"/>
      <c r="ZZ27" s="643"/>
      <c r="AAA27" s="643"/>
      <c r="AAB27" s="643"/>
      <c r="AAC27" s="643"/>
      <c r="AAD27" s="643"/>
      <c r="AAE27" s="643"/>
      <c r="AAF27" s="643"/>
      <c r="AAG27" s="643"/>
      <c r="AAH27" s="643"/>
      <c r="AAI27" s="643"/>
      <c r="AAJ27" s="643"/>
      <c r="AAK27" s="643"/>
      <c r="AAL27" s="643"/>
      <c r="AAM27" s="643"/>
      <c r="AAN27" s="643"/>
      <c r="AAO27" s="643"/>
      <c r="AAP27" s="643"/>
      <c r="AAQ27" s="643"/>
      <c r="AAR27" s="643"/>
      <c r="AAS27" s="643"/>
      <c r="AAT27" s="643"/>
      <c r="AAU27" s="643"/>
      <c r="AAV27" s="643"/>
      <c r="AAW27" s="643"/>
      <c r="AAX27" s="643"/>
      <c r="AAY27" s="643"/>
      <c r="AAZ27" s="643"/>
      <c r="ABA27" s="643"/>
      <c r="ABB27" s="643"/>
      <c r="ABC27" s="643"/>
      <c r="ABD27" s="643"/>
      <c r="ABE27" s="643"/>
      <c r="ABF27" s="643"/>
      <c r="ABG27" s="643"/>
      <c r="ABH27" s="643"/>
      <c r="ABI27" s="643"/>
      <c r="ABJ27" s="643"/>
      <c r="ABK27" s="643"/>
      <c r="ABL27" s="643"/>
      <c r="ABM27" s="643"/>
      <c r="ABN27" s="643"/>
      <c r="ABO27" s="643"/>
      <c r="ABP27" s="643"/>
      <c r="ABQ27" s="643"/>
      <c r="ABR27" s="643"/>
      <c r="ABS27" s="643"/>
      <c r="ABT27" s="643"/>
      <c r="ABU27" s="643"/>
      <c r="ABV27" s="643"/>
      <c r="ABW27" s="643"/>
      <c r="ABX27" s="643"/>
      <c r="ABY27" s="643"/>
      <c r="ABZ27" s="643"/>
      <c r="ACA27" s="643"/>
      <c r="ACB27" s="643"/>
      <c r="ACC27" s="643"/>
      <c r="ACD27" s="643"/>
      <c r="ACE27" s="643"/>
      <c r="ACF27" s="643"/>
      <c r="ACG27" s="643"/>
      <c r="ACH27" s="643"/>
      <c r="ACI27" s="643"/>
      <c r="ACJ27" s="643"/>
      <c r="ACK27" s="643"/>
      <c r="ACL27" s="643"/>
      <c r="ACM27" s="643"/>
      <c r="ACN27" s="643"/>
      <c r="ACO27" s="643"/>
      <c r="ACP27" s="643"/>
      <c r="ACQ27" s="643"/>
      <c r="ACR27" s="643"/>
      <c r="ACS27" s="643"/>
      <c r="ACT27" s="643"/>
      <c r="ACU27" s="643"/>
      <c r="ACV27" s="643"/>
      <c r="ACW27" s="643"/>
      <c r="ACX27" s="643"/>
      <c r="ACY27" s="643"/>
      <c r="ACZ27" s="643"/>
      <c r="ADA27" s="643"/>
      <c r="ADB27" s="643"/>
      <c r="ADC27" s="643"/>
      <c r="ADD27" s="643"/>
      <c r="ADE27" s="643"/>
      <c r="ADF27" s="643"/>
      <c r="ADG27" s="643"/>
      <c r="ADH27" s="643"/>
      <c r="ADI27" s="643"/>
      <c r="ADJ27" s="643"/>
      <c r="ADK27" s="643"/>
      <c r="ADL27" s="643"/>
      <c r="ADM27" s="643"/>
      <c r="ADN27" s="643"/>
      <c r="ADO27" s="643"/>
      <c r="ADP27" s="643"/>
      <c r="ADQ27" s="643"/>
      <c r="ADR27" s="643"/>
      <c r="ADS27" s="643"/>
      <c r="ADT27" s="643"/>
      <c r="ADU27" s="643"/>
      <c r="ADV27" s="643"/>
      <c r="ADW27" s="643"/>
      <c r="ADX27" s="643"/>
      <c r="ADY27" s="643"/>
      <c r="ADZ27" s="643"/>
      <c r="AEA27" s="643"/>
      <c r="AEB27" s="643"/>
      <c r="AEC27" s="643"/>
      <c r="AED27" s="643"/>
      <c r="AEE27" s="643"/>
      <c r="AEF27" s="643"/>
      <c r="AEG27" s="643"/>
      <c r="AEH27" s="643"/>
      <c r="AEI27" s="643"/>
      <c r="AEJ27" s="643"/>
      <c r="AEK27" s="643"/>
      <c r="AEL27" s="643"/>
      <c r="AEM27" s="643"/>
      <c r="AEN27" s="643"/>
      <c r="AEO27" s="643"/>
      <c r="AEP27" s="643"/>
      <c r="AEQ27" s="643"/>
      <c r="AER27" s="643"/>
      <c r="AES27" s="643"/>
      <c r="AET27" s="643"/>
      <c r="AEU27" s="643"/>
      <c r="AEV27" s="643"/>
      <c r="AEW27" s="643"/>
      <c r="AEX27" s="643"/>
      <c r="AEY27" s="643"/>
      <c r="AEZ27" s="643"/>
      <c r="AFA27" s="643"/>
      <c r="AFB27" s="643"/>
      <c r="AFC27" s="643"/>
      <c r="AFD27" s="643"/>
      <c r="AFE27" s="643"/>
      <c r="AFF27" s="643"/>
      <c r="AFG27" s="643"/>
      <c r="AFH27" s="643"/>
      <c r="AFI27" s="643"/>
      <c r="AFJ27" s="643"/>
      <c r="AFK27" s="643"/>
      <c r="AFL27" s="643"/>
      <c r="AFM27" s="643"/>
      <c r="AFN27" s="643"/>
      <c r="AFO27" s="643"/>
      <c r="AFP27" s="643"/>
      <c r="AFQ27" s="643"/>
      <c r="AFR27" s="643"/>
      <c r="AFS27" s="643"/>
      <c r="AFT27" s="643"/>
      <c r="AFU27" s="643"/>
      <c r="AFV27" s="643"/>
      <c r="AFW27" s="643"/>
      <c r="AFX27" s="643"/>
      <c r="AFY27" s="643"/>
      <c r="AFZ27" s="643"/>
      <c r="AGA27" s="643"/>
      <c r="AGB27" s="643"/>
      <c r="AGC27" s="643"/>
      <c r="AGD27" s="643"/>
      <c r="AGE27" s="643"/>
      <c r="AGF27" s="643"/>
      <c r="AGG27" s="643"/>
      <c r="AGH27" s="643"/>
      <c r="AGI27" s="643"/>
      <c r="AGJ27" s="643"/>
      <c r="AGK27" s="643"/>
      <c r="AGL27" s="643"/>
      <c r="AGM27" s="643"/>
      <c r="AGN27" s="643"/>
      <c r="AGO27" s="643"/>
      <c r="AGP27" s="643"/>
      <c r="AGQ27" s="643"/>
      <c r="AGR27" s="643"/>
      <c r="AGS27" s="643"/>
      <c r="AGT27" s="643"/>
      <c r="AGU27" s="643"/>
      <c r="AGV27" s="643"/>
      <c r="AGW27" s="643"/>
      <c r="AGX27" s="643"/>
      <c r="AGY27" s="643"/>
      <c r="AGZ27" s="643"/>
      <c r="AHA27" s="643"/>
      <c r="AHB27" s="643"/>
      <c r="AHC27" s="643"/>
      <c r="AHD27" s="643"/>
      <c r="AHE27" s="643"/>
      <c r="AHF27" s="643"/>
      <c r="AHG27" s="643"/>
      <c r="AHH27" s="643"/>
      <c r="AHI27" s="643"/>
      <c r="AHJ27" s="643"/>
      <c r="AHK27" s="643"/>
      <c r="AHL27" s="643"/>
      <c r="AHM27" s="643"/>
      <c r="AHN27" s="643"/>
      <c r="AHO27" s="643"/>
      <c r="AHP27" s="643"/>
      <c r="AHQ27" s="643"/>
      <c r="AHR27" s="643"/>
      <c r="AHS27" s="643"/>
      <c r="AHT27" s="643"/>
      <c r="AHU27" s="643"/>
      <c r="AHV27" s="643"/>
      <c r="AHW27" s="643"/>
      <c r="AHX27" s="643"/>
      <c r="AHY27" s="643"/>
      <c r="AHZ27" s="643"/>
      <c r="AIA27" s="643"/>
      <c r="AIB27" s="643"/>
      <c r="AIC27" s="643"/>
      <c r="AID27" s="643"/>
      <c r="AIE27" s="643"/>
      <c r="AIF27" s="643"/>
      <c r="AIG27" s="643"/>
      <c r="AIH27" s="643"/>
      <c r="AII27" s="643"/>
      <c r="AIJ27" s="643"/>
      <c r="AIK27" s="643"/>
      <c r="AIL27" s="643"/>
      <c r="AIM27" s="643"/>
      <c r="AIN27" s="643"/>
      <c r="AIO27" s="643"/>
      <c r="AIP27" s="643"/>
      <c r="AIQ27" s="643"/>
      <c r="AIR27" s="643"/>
      <c r="AIS27" s="643"/>
      <c r="AIT27" s="643"/>
      <c r="AIU27" s="643"/>
      <c r="AIV27" s="643"/>
      <c r="AIW27" s="643"/>
      <c r="AIX27" s="643"/>
      <c r="AIY27" s="643"/>
      <c r="AIZ27" s="643"/>
      <c r="AJA27" s="643"/>
      <c r="AJB27" s="643"/>
      <c r="AJC27" s="643"/>
      <c r="AJD27" s="643"/>
      <c r="AJE27" s="643"/>
      <c r="AJF27" s="643"/>
      <c r="AJG27" s="643"/>
      <c r="AJH27" s="643"/>
      <c r="AJI27" s="643"/>
      <c r="AJJ27" s="643"/>
      <c r="AJK27" s="643"/>
      <c r="AJL27" s="643"/>
      <c r="AJM27" s="643"/>
      <c r="AJN27" s="643"/>
      <c r="AJO27" s="643"/>
      <c r="AJP27" s="643"/>
      <c r="AJQ27" s="643"/>
      <c r="AJR27" s="643"/>
      <c r="AJS27" s="643"/>
      <c r="AJT27" s="643"/>
      <c r="AJU27" s="643"/>
      <c r="AJV27" s="643"/>
      <c r="AJW27" s="643"/>
      <c r="AJX27" s="643"/>
      <c r="AJY27" s="643"/>
      <c r="AJZ27" s="643"/>
      <c r="AKA27" s="643"/>
      <c r="AKB27" s="643"/>
      <c r="AKC27" s="643"/>
      <c r="AKD27" s="643"/>
      <c r="AKE27" s="643"/>
      <c r="AKF27" s="643"/>
      <c r="AKG27" s="643"/>
      <c r="AKH27" s="643"/>
      <c r="AKI27" s="643"/>
      <c r="AKJ27" s="643"/>
      <c r="AKK27" s="643"/>
      <c r="AKL27" s="643"/>
      <c r="AKM27" s="643"/>
      <c r="AKN27" s="643"/>
      <c r="AKO27" s="643"/>
      <c r="AKP27" s="643"/>
      <c r="AKQ27" s="643"/>
      <c r="AKR27" s="643"/>
      <c r="AKS27" s="643"/>
      <c r="AKT27" s="643"/>
      <c r="AKU27" s="643"/>
      <c r="AKV27" s="643"/>
      <c r="AKW27" s="643"/>
      <c r="AKX27" s="643"/>
      <c r="AKY27" s="643"/>
      <c r="AKZ27" s="643"/>
      <c r="ALA27" s="643"/>
      <c r="ALB27" s="643"/>
      <c r="ALC27" s="643"/>
      <c r="ALD27" s="643"/>
      <c r="ALE27" s="643"/>
      <c r="ALF27" s="643"/>
      <c r="ALG27" s="643"/>
      <c r="ALH27" s="643"/>
      <c r="ALI27" s="643"/>
      <c r="ALJ27" s="643"/>
      <c r="ALK27" s="643"/>
      <c r="ALL27" s="643"/>
      <c r="ALM27" s="643"/>
      <c r="ALN27" s="643"/>
      <c r="ALO27" s="643"/>
      <c r="ALP27" s="643"/>
      <c r="ALQ27" s="643"/>
      <c r="ALR27" s="643"/>
      <c r="ALS27" s="643"/>
      <c r="ALT27" s="643"/>
      <c r="ALU27" s="643"/>
      <c r="ALV27" s="643"/>
      <c r="ALW27" s="643"/>
      <c r="ALX27" s="643"/>
      <c r="ALY27" s="643"/>
      <c r="ALZ27" s="643"/>
      <c r="AMA27" s="643"/>
      <c r="AMB27" s="643"/>
      <c r="AMC27" s="643"/>
      <c r="AMD27" s="643"/>
      <c r="AME27" s="643"/>
      <c r="AMF27" s="643"/>
      <c r="AMG27" s="643"/>
      <c r="AMH27" s="643"/>
      <c r="AMI27" s="643"/>
      <c r="AMJ27" s="643"/>
      <c r="AMK27" s="643"/>
      <c r="AML27" s="643"/>
      <c r="AMM27" s="643"/>
      <c r="AMN27" s="643"/>
      <c r="AMO27" s="643"/>
      <c r="AMP27" s="643"/>
      <c r="AMQ27" s="643"/>
      <c r="AMR27" s="643"/>
      <c r="AMS27" s="643"/>
      <c r="AMT27" s="643"/>
      <c r="AMU27" s="643"/>
      <c r="AMV27" s="643"/>
      <c r="AMW27" s="643"/>
      <c r="AMX27" s="643"/>
      <c r="AMY27" s="643"/>
      <c r="AMZ27" s="643"/>
      <c r="ANA27" s="643"/>
      <c r="ANB27" s="643"/>
      <c r="ANC27" s="643"/>
      <c r="AND27" s="643"/>
      <c r="ANE27" s="643"/>
      <c r="ANF27" s="643"/>
      <c r="ANG27" s="643"/>
      <c r="ANH27" s="643"/>
      <c r="ANI27" s="643"/>
      <c r="ANJ27" s="643"/>
      <c r="ANK27" s="643"/>
      <c r="ANL27" s="643"/>
      <c r="ANM27" s="643"/>
      <c r="ANN27" s="643"/>
      <c r="ANO27" s="643"/>
      <c r="ANP27" s="643"/>
      <c r="ANQ27" s="643"/>
      <c r="ANR27" s="643"/>
      <c r="ANS27" s="643"/>
      <c r="ANT27" s="643"/>
      <c r="ANU27" s="643"/>
      <c r="ANV27" s="643"/>
      <c r="ANW27" s="643"/>
      <c r="ANX27" s="643"/>
      <c r="ANY27" s="643"/>
      <c r="ANZ27" s="643"/>
      <c r="AOA27" s="643"/>
      <c r="AOB27" s="643"/>
      <c r="AOC27" s="643"/>
      <c r="AOD27" s="643"/>
      <c r="AOE27" s="643"/>
      <c r="AOF27" s="643"/>
      <c r="AOG27" s="643"/>
      <c r="AOH27" s="643"/>
      <c r="AOI27" s="643"/>
      <c r="AOJ27" s="643"/>
      <c r="AOK27" s="643"/>
      <c r="AOL27" s="643"/>
      <c r="AOM27" s="643"/>
      <c r="AON27" s="643"/>
      <c r="AOO27" s="643"/>
      <c r="AOP27" s="643"/>
      <c r="AOQ27" s="643"/>
      <c r="AOR27" s="643"/>
      <c r="AOS27" s="643"/>
      <c r="AOT27" s="643"/>
      <c r="AOU27" s="643"/>
      <c r="AOV27" s="643"/>
      <c r="AOW27" s="643"/>
      <c r="AOX27" s="643"/>
      <c r="AOY27" s="643"/>
      <c r="AOZ27" s="643"/>
      <c r="APA27" s="643"/>
      <c r="APB27" s="643"/>
      <c r="APC27" s="643"/>
      <c r="APD27" s="643"/>
      <c r="APE27" s="643"/>
      <c r="APF27" s="643"/>
      <c r="APG27" s="643"/>
      <c r="APH27" s="643"/>
      <c r="API27" s="643"/>
      <c r="APJ27" s="643"/>
      <c r="APK27" s="643"/>
      <c r="APL27" s="643"/>
      <c r="APM27" s="643"/>
      <c r="APN27" s="643"/>
      <c r="APO27" s="643"/>
      <c r="APP27" s="643"/>
      <c r="APQ27" s="643"/>
      <c r="APR27" s="643"/>
      <c r="APS27" s="643"/>
      <c r="APT27" s="643"/>
      <c r="APU27" s="643"/>
      <c r="APV27" s="643"/>
      <c r="APW27" s="643"/>
      <c r="APX27" s="643"/>
      <c r="APY27" s="643"/>
      <c r="APZ27" s="643"/>
      <c r="AQA27" s="643"/>
      <c r="AQB27" s="643"/>
      <c r="AQC27" s="643"/>
      <c r="AQD27" s="643"/>
      <c r="AQE27" s="643"/>
      <c r="AQF27" s="643"/>
      <c r="AQG27" s="643"/>
      <c r="AQH27" s="643"/>
      <c r="AQI27" s="643"/>
      <c r="AQJ27" s="643"/>
      <c r="AQK27" s="643"/>
      <c r="AQL27" s="643"/>
      <c r="AQM27" s="643"/>
      <c r="AQN27" s="643"/>
      <c r="AQO27" s="643"/>
      <c r="AQP27" s="643"/>
      <c r="AQQ27" s="643"/>
      <c r="AQR27" s="643"/>
      <c r="AQS27" s="643"/>
      <c r="AQT27" s="643"/>
      <c r="AQU27" s="643"/>
      <c r="AQV27" s="643"/>
      <c r="AQW27" s="643"/>
      <c r="AQX27" s="643"/>
      <c r="AQY27" s="643"/>
      <c r="AQZ27" s="643"/>
      <c r="ARA27" s="643"/>
      <c r="ARB27" s="643"/>
      <c r="ARC27" s="643"/>
      <c r="ARD27" s="643"/>
      <c r="ARE27" s="643"/>
      <c r="ARF27" s="643"/>
      <c r="ARG27" s="643"/>
      <c r="ARH27" s="643"/>
      <c r="ARI27" s="643"/>
      <c r="ARJ27" s="643"/>
      <c r="ARK27" s="643"/>
      <c r="ARL27" s="643"/>
      <c r="ARM27" s="643"/>
      <c r="ARN27" s="643"/>
      <c r="ARO27" s="643"/>
      <c r="ARP27" s="643"/>
      <c r="ARQ27" s="643"/>
      <c r="ARR27" s="643"/>
      <c r="ARS27" s="643"/>
      <c r="ART27" s="643"/>
      <c r="ARU27" s="643"/>
      <c r="ARV27" s="643"/>
      <c r="ARW27" s="643"/>
      <c r="ARX27" s="643"/>
      <c r="ARY27" s="643"/>
      <c r="ARZ27" s="643"/>
      <c r="ASA27" s="643"/>
      <c r="ASB27" s="643"/>
      <c r="ASC27" s="643"/>
      <c r="ASD27" s="643"/>
      <c r="ASE27" s="643"/>
      <c r="ASF27" s="643"/>
      <c r="ASG27" s="643"/>
      <c r="ASH27" s="643"/>
      <c r="ASI27" s="643"/>
      <c r="ASJ27" s="643"/>
      <c r="ASK27" s="643"/>
      <c r="ASL27" s="643"/>
      <c r="ASM27" s="643"/>
      <c r="ASN27" s="643"/>
      <c r="ASO27" s="643"/>
      <c r="ASP27" s="643"/>
      <c r="ASQ27" s="643"/>
      <c r="ASR27" s="643"/>
      <c r="ASS27" s="643"/>
      <c r="AST27" s="643"/>
      <c r="ASU27" s="643"/>
      <c r="ASV27" s="643"/>
      <c r="ASW27" s="643"/>
      <c r="ASX27" s="643"/>
      <c r="ASY27" s="643"/>
      <c r="ASZ27" s="643"/>
      <c r="ATA27" s="643"/>
      <c r="ATB27" s="643"/>
      <c r="ATC27" s="643"/>
      <c r="ATD27" s="643"/>
      <c r="ATE27" s="643"/>
      <c r="ATF27" s="643"/>
      <c r="ATG27" s="643"/>
      <c r="ATH27" s="643"/>
      <c r="ATI27" s="643"/>
      <c r="ATJ27" s="643"/>
      <c r="ATK27" s="643"/>
      <c r="ATL27" s="643"/>
      <c r="ATM27" s="643"/>
      <c r="ATN27" s="643"/>
      <c r="ATO27" s="643"/>
      <c r="ATP27" s="643"/>
      <c r="ATQ27" s="643"/>
      <c r="ATR27" s="643"/>
      <c r="ATS27" s="643"/>
      <c r="ATT27" s="643"/>
      <c r="ATU27" s="643"/>
      <c r="ATV27" s="643"/>
      <c r="ATW27" s="643"/>
      <c r="ATX27" s="643"/>
      <c r="ATY27" s="643"/>
      <c r="ATZ27" s="643"/>
      <c r="AUA27" s="643"/>
      <c r="AUB27" s="643"/>
      <c r="AUC27" s="643"/>
      <c r="AUD27" s="643"/>
      <c r="AUE27" s="643"/>
      <c r="AUF27" s="643"/>
      <c r="AUG27" s="643"/>
      <c r="AUH27" s="643"/>
      <c r="AUI27" s="643"/>
      <c r="AUJ27" s="643"/>
      <c r="AUK27" s="643"/>
      <c r="AUL27" s="643"/>
      <c r="AUM27" s="643"/>
      <c r="AUN27" s="643"/>
      <c r="AUO27" s="643"/>
      <c r="AUP27" s="643"/>
      <c r="AUQ27" s="643"/>
      <c r="AUR27" s="643"/>
      <c r="AUS27" s="643"/>
      <c r="AUT27" s="643"/>
      <c r="AUU27" s="643"/>
      <c r="AUV27" s="643"/>
      <c r="AUW27" s="643"/>
      <c r="AUX27" s="643"/>
      <c r="AUY27" s="643"/>
      <c r="AUZ27" s="643"/>
      <c r="AVA27" s="643"/>
      <c r="AVB27" s="643"/>
      <c r="AVC27" s="643"/>
      <c r="AVD27" s="643"/>
      <c r="AVE27" s="643"/>
      <c r="AVF27" s="643"/>
      <c r="AVG27" s="643"/>
      <c r="AVH27" s="643"/>
      <c r="AVI27" s="643"/>
      <c r="AVJ27" s="643"/>
      <c r="AVK27" s="643"/>
      <c r="AVL27" s="643"/>
      <c r="AVM27" s="643"/>
      <c r="AVN27" s="643"/>
      <c r="AVO27" s="643"/>
      <c r="AVP27" s="643"/>
      <c r="AVQ27" s="643"/>
      <c r="AVR27" s="643"/>
      <c r="AVS27" s="643"/>
      <c r="AVT27" s="643"/>
      <c r="AVU27" s="643"/>
      <c r="AVV27" s="643"/>
      <c r="AVW27" s="643"/>
      <c r="AVX27" s="643"/>
      <c r="AVY27" s="643"/>
      <c r="AVZ27" s="643"/>
      <c r="AWA27" s="643"/>
      <c r="AWB27" s="643"/>
      <c r="AWC27" s="643"/>
      <c r="AWD27" s="643"/>
      <c r="AWE27" s="643"/>
      <c r="AWF27" s="643"/>
      <c r="AWG27" s="643"/>
      <c r="AWH27" s="643"/>
      <c r="AWI27" s="643"/>
      <c r="AWJ27" s="643"/>
      <c r="AWK27" s="643"/>
      <c r="AWL27" s="643"/>
      <c r="AWM27" s="643"/>
      <c r="AWN27" s="643"/>
      <c r="AWO27" s="643"/>
      <c r="AWP27" s="643"/>
      <c r="AWQ27" s="643"/>
      <c r="AWR27" s="643"/>
      <c r="AWS27" s="643"/>
      <c r="AWT27" s="643"/>
      <c r="AWU27" s="643"/>
      <c r="AWV27" s="643"/>
      <c r="AWW27" s="643"/>
      <c r="AWX27" s="643"/>
      <c r="AWY27" s="643"/>
      <c r="AWZ27" s="643"/>
      <c r="AXA27" s="643"/>
      <c r="AXB27" s="643"/>
      <c r="AXC27" s="643"/>
      <c r="AXD27" s="643"/>
      <c r="AXE27" s="643"/>
      <c r="AXF27" s="643"/>
      <c r="AXG27" s="643"/>
      <c r="AXH27" s="643"/>
      <c r="AXI27" s="643"/>
      <c r="AXJ27" s="643"/>
      <c r="AXK27" s="643"/>
      <c r="AXL27" s="643"/>
      <c r="AXM27" s="643"/>
      <c r="AXN27" s="643"/>
      <c r="AXO27" s="643"/>
      <c r="AXP27" s="643"/>
      <c r="AXQ27" s="643"/>
      <c r="AXR27" s="643"/>
      <c r="AXS27" s="643"/>
      <c r="AXT27" s="643"/>
      <c r="AXU27" s="643"/>
      <c r="AXV27" s="643"/>
      <c r="AXW27" s="643"/>
      <c r="AXX27" s="643"/>
      <c r="AXY27" s="643"/>
      <c r="AXZ27" s="643"/>
      <c r="AYA27" s="643"/>
      <c r="AYB27" s="643"/>
      <c r="AYC27" s="643"/>
      <c r="AYD27" s="643"/>
      <c r="AYE27" s="643"/>
      <c r="AYF27" s="643"/>
      <c r="AYG27" s="643"/>
      <c r="AYH27" s="643"/>
      <c r="AYI27" s="643"/>
      <c r="AYJ27" s="643"/>
      <c r="AYK27" s="643"/>
      <c r="AYL27" s="643"/>
      <c r="AYM27" s="643"/>
      <c r="AYN27" s="643"/>
      <c r="AYO27" s="643"/>
      <c r="AYP27" s="643"/>
      <c r="AYQ27" s="643"/>
      <c r="AYR27" s="643"/>
      <c r="AYS27" s="643"/>
      <c r="AYT27" s="643"/>
      <c r="AYU27" s="643"/>
      <c r="AYV27" s="643"/>
      <c r="AYW27" s="643"/>
      <c r="AYX27" s="643"/>
      <c r="AYY27" s="643"/>
      <c r="AYZ27" s="643"/>
      <c r="AZA27" s="643"/>
      <c r="AZB27" s="643"/>
      <c r="AZC27" s="643"/>
      <c r="AZD27" s="643"/>
      <c r="AZE27" s="643"/>
      <c r="AZF27" s="643"/>
      <c r="AZG27" s="643"/>
      <c r="AZH27" s="643"/>
      <c r="AZI27" s="643"/>
      <c r="AZJ27" s="643"/>
      <c r="AZK27" s="643"/>
      <c r="AZL27" s="643"/>
      <c r="AZM27" s="643"/>
      <c r="AZN27" s="643"/>
      <c r="AZO27" s="643"/>
      <c r="AZP27" s="643"/>
      <c r="AZQ27" s="643"/>
      <c r="AZR27" s="643"/>
      <c r="AZS27" s="643"/>
      <c r="AZT27" s="643"/>
      <c r="AZU27" s="643"/>
      <c r="AZV27" s="643"/>
      <c r="AZW27" s="643"/>
      <c r="AZX27" s="643"/>
      <c r="AZY27" s="643"/>
      <c r="AZZ27" s="643"/>
      <c r="BAA27" s="643"/>
      <c r="BAB27" s="643"/>
      <c r="BAC27" s="643"/>
      <c r="BAD27" s="643"/>
      <c r="BAE27" s="643"/>
      <c r="BAF27" s="643"/>
      <c r="BAG27" s="643"/>
      <c r="BAH27" s="643"/>
      <c r="BAI27" s="643"/>
      <c r="BAJ27" s="643"/>
      <c r="BAK27" s="643"/>
      <c r="BAL27" s="643"/>
      <c r="BAM27" s="643"/>
      <c r="BAN27" s="643"/>
      <c r="BAO27" s="643"/>
      <c r="BAP27" s="643"/>
      <c r="BAQ27" s="643"/>
      <c r="BAR27" s="643"/>
      <c r="BAS27" s="643"/>
      <c r="BAT27" s="643"/>
      <c r="BAU27" s="643"/>
      <c r="BAV27" s="643"/>
      <c r="BAW27" s="643"/>
      <c r="BAX27" s="643"/>
      <c r="BAY27" s="643"/>
      <c r="BAZ27" s="643"/>
      <c r="BBA27" s="643"/>
      <c r="BBB27" s="643"/>
      <c r="BBC27" s="643"/>
      <c r="BBD27" s="643"/>
      <c r="BBE27" s="643"/>
      <c r="BBF27" s="643"/>
      <c r="BBG27" s="643"/>
      <c r="BBH27" s="643"/>
      <c r="BBI27" s="643"/>
      <c r="BBJ27" s="643"/>
      <c r="BBK27" s="643"/>
      <c r="BBL27" s="643"/>
      <c r="BBM27" s="643"/>
      <c r="BBN27" s="643"/>
      <c r="BBO27" s="643"/>
      <c r="BBP27" s="643"/>
      <c r="BBQ27" s="643"/>
      <c r="BBR27" s="643"/>
      <c r="BBS27" s="643"/>
      <c r="BBT27" s="643"/>
      <c r="BBU27" s="643"/>
      <c r="BBV27" s="643"/>
      <c r="BBW27" s="643"/>
      <c r="BBX27" s="643"/>
      <c r="BBY27" s="643"/>
      <c r="BBZ27" s="643"/>
      <c r="BCA27" s="643"/>
      <c r="BCB27" s="643"/>
      <c r="BCC27" s="643"/>
      <c r="BCD27" s="643"/>
      <c r="BCE27" s="643"/>
      <c r="BCF27" s="643"/>
      <c r="BCG27" s="643"/>
      <c r="BCH27" s="643"/>
      <c r="BCI27" s="643"/>
      <c r="BCJ27" s="643"/>
      <c r="BCK27" s="643"/>
      <c r="BCL27" s="643"/>
      <c r="BCM27" s="643"/>
      <c r="BCN27" s="643"/>
      <c r="BCO27" s="643"/>
      <c r="BCP27" s="643"/>
      <c r="BCQ27" s="643"/>
      <c r="BCR27" s="643"/>
      <c r="BCS27" s="643"/>
      <c r="BCT27" s="643"/>
      <c r="BCU27" s="643"/>
      <c r="BCV27" s="643"/>
      <c r="BCW27" s="643"/>
      <c r="BCX27" s="643"/>
      <c r="BCY27" s="643"/>
      <c r="BCZ27" s="643"/>
      <c r="BDA27" s="643"/>
      <c r="BDB27" s="643"/>
      <c r="BDC27" s="643"/>
      <c r="BDD27" s="643"/>
      <c r="BDE27" s="643"/>
      <c r="BDF27" s="643"/>
      <c r="BDG27" s="643"/>
      <c r="BDH27" s="643"/>
      <c r="BDI27" s="643"/>
      <c r="BDJ27" s="643"/>
      <c r="BDK27" s="643"/>
      <c r="BDL27" s="643"/>
      <c r="BDM27" s="643"/>
      <c r="BDN27" s="643"/>
      <c r="BDO27" s="643"/>
      <c r="BDP27" s="643"/>
      <c r="BDQ27" s="643"/>
      <c r="BDR27" s="643"/>
      <c r="BDS27" s="643"/>
      <c r="BDT27" s="643"/>
      <c r="BDU27" s="643"/>
      <c r="BDV27" s="643"/>
      <c r="BDW27" s="643"/>
      <c r="BDX27" s="643"/>
      <c r="BDY27" s="643"/>
      <c r="BDZ27" s="643"/>
      <c r="BEA27" s="643"/>
      <c r="BEB27" s="643"/>
      <c r="BEC27" s="643"/>
      <c r="BED27" s="643"/>
      <c r="BEE27" s="643"/>
      <c r="BEF27" s="643"/>
      <c r="BEG27" s="643"/>
      <c r="BEH27" s="643"/>
      <c r="BEI27" s="643"/>
      <c r="BEJ27" s="643"/>
      <c r="BEK27" s="643"/>
      <c r="BEL27" s="643"/>
      <c r="BEM27" s="643"/>
      <c r="BEN27" s="643"/>
      <c r="BEO27" s="643"/>
      <c r="BEP27" s="643"/>
      <c r="BEQ27" s="643"/>
      <c r="BER27" s="643"/>
      <c r="BES27" s="643"/>
      <c r="BET27" s="643"/>
      <c r="BEU27" s="643"/>
      <c r="BEV27" s="643"/>
      <c r="BEW27" s="643"/>
      <c r="BEX27" s="643"/>
      <c r="BEY27" s="643"/>
      <c r="BEZ27" s="643"/>
      <c r="BFA27" s="643"/>
      <c r="BFB27" s="643"/>
      <c r="BFC27" s="643"/>
      <c r="BFD27" s="643"/>
      <c r="BFE27" s="643"/>
      <c r="BFF27" s="643"/>
      <c r="BFG27" s="643"/>
      <c r="BFH27" s="643"/>
      <c r="BFI27" s="643"/>
      <c r="BFJ27" s="643"/>
      <c r="BFK27" s="643"/>
      <c r="BFL27" s="643"/>
      <c r="BFM27" s="643"/>
      <c r="BFN27" s="643"/>
      <c r="BFO27" s="643"/>
      <c r="BFP27" s="643"/>
      <c r="BFQ27" s="643"/>
      <c r="BFR27" s="643"/>
      <c r="BFS27" s="643"/>
      <c r="BFT27" s="643"/>
      <c r="BFU27" s="643"/>
      <c r="BFV27" s="643"/>
      <c r="BFW27" s="643"/>
      <c r="BFX27" s="643"/>
      <c r="BFY27" s="643"/>
      <c r="BFZ27" s="643"/>
      <c r="BGA27" s="643"/>
      <c r="BGB27" s="643"/>
      <c r="BGC27" s="643"/>
      <c r="BGD27" s="643"/>
      <c r="BGE27" s="643"/>
      <c r="BGF27" s="643"/>
      <c r="BGG27" s="643"/>
      <c r="BGH27" s="643"/>
      <c r="BGI27" s="643"/>
      <c r="BGJ27" s="643"/>
      <c r="BGK27" s="643"/>
      <c r="BGL27" s="643"/>
      <c r="BGM27" s="643"/>
      <c r="BGN27" s="643"/>
      <c r="BGO27" s="643"/>
      <c r="BGP27" s="643"/>
      <c r="BGQ27" s="643"/>
      <c r="BGR27" s="643"/>
      <c r="BGS27" s="643"/>
      <c r="BGT27" s="643"/>
      <c r="BGU27" s="643"/>
      <c r="BGV27" s="643"/>
      <c r="BGW27" s="643"/>
      <c r="BGX27" s="643"/>
      <c r="BGY27" s="643"/>
      <c r="BGZ27" s="643"/>
      <c r="BHA27" s="643"/>
      <c r="BHB27" s="643"/>
      <c r="BHC27" s="643"/>
      <c r="BHD27" s="643"/>
      <c r="BHE27" s="643"/>
      <c r="BHF27" s="643"/>
      <c r="BHG27" s="643"/>
      <c r="BHH27" s="643"/>
      <c r="BHI27" s="643"/>
      <c r="BHJ27" s="643"/>
      <c r="BHK27" s="643"/>
      <c r="BHL27" s="643"/>
      <c r="BHM27" s="643"/>
      <c r="BHN27" s="643"/>
      <c r="BHO27" s="643"/>
      <c r="BHP27" s="643"/>
      <c r="BHQ27" s="643"/>
      <c r="BHR27" s="643"/>
      <c r="BHS27" s="643"/>
      <c r="BHT27" s="643"/>
      <c r="BHU27" s="643"/>
      <c r="BHV27" s="643"/>
      <c r="BHW27" s="643"/>
      <c r="BHX27" s="643"/>
      <c r="BHY27" s="643"/>
      <c r="BHZ27" s="643"/>
      <c r="BIA27" s="643"/>
      <c r="BIB27" s="643"/>
      <c r="BIC27" s="643"/>
      <c r="BID27" s="643"/>
      <c r="BIE27" s="643"/>
      <c r="BIF27" s="643"/>
      <c r="BIG27" s="643"/>
      <c r="BIH27" s="643"/>
      <c r="BII27" s="643"/>
      <c r="BIJ27" s="643"/>
      <c r="BIK27" s="643"/>
      <c r="BIL27" s="643"/>
      <c r="BIM27" s="643"/>
      <c r="BIN27" s="643"/>
      <c r="BIO27" s="643"/>
      <c r="BIP27" s="643"/>
      <c r="BIQ27" s="643"/>
      <c r="BIR27" s="643"/>
      <c r="BIS27" s="643"/>
      <c r="BIT27" s="643"/>
      <c r="BIU27" s="643"/>
      <c r="BIV27" s="643"/>
      <c r="BIW27" s="643"/>
      <c r="BIX27" s="643"/>
      <c r="BIY27" s="643"/>
      <c r="BIZ27" s="643"/>
      <c r="BJA27" s="643"/>
      <c r="BJB27" s="643"/>
      <c r="BJC27" s="643"/>
      <c r="BJD27" s="643"/>
      <c r="BJE27" s="643"/>
      <c r="BJF27" s="643"/>
      <c r="BJG27" s="643"/>
      <c r="BJH27" s="643"/>
      <c r="BJI27" s="643"/>
      <c r="BJJ27" s="643"/>
      <c r="BJK27" s="643"/>
      <c r="BJL27" s="643"/>
      <c r="BJM27" s="643"/>
      <c r="BJN27" s="643"/>
      <c r="BJO27" s="643"/>
      <c r="BJP27" s="643"/>
      <c r="BJQ27" s="643"/>
      <c r="BJR27" s="643"/>
      <c r="BJS27" s="643"/>
      <c r="BJT27" s="643"/>
      <c r="BJU27" s="643"/>
      <c r="BJV27" s="643"/>
      <c r="BJW27" s="643"/>
      <c r="BJX27" s="643"/>
      <c r="BJY27" s="643"/>
      <c r="BJZ27" s="643"/>
      <c r="BKA27" s="643"/>
      <c r="BKB27" s="643"/>
      <c r="BKC27" s="643"/>
      <c r="BKD27" s="643"/>
      <c r="BKE27" s="643"/>
      <c r="BKF27" s="643"/>
      <c r="BKG27" s="643"/>
      <c r="BKH27" s="643"/>
      <c r="BKI27" s="643"/>
      <c r="BKJ27" s="643"/>
      <c r="BKK27" s="643"/>
      <c r="BKL27" s="643"/>
      <c r="BKM27" s="643"/>
      <c r="BKN27" s="643"/>
      <c r="BKO27" s="643"/>
      <c r="BKP27" s="643"/>
      <c r="BKQ27" s="643"/>
      <c r="BKR27" s="643"/>
      <c r="BKS27" s="643"/>
      <c r="BKT27" s="643"/>
      <c r="BKU27" s="643"/>
      <c r="BKV27" s="643"/>
      <c r="BKW27" s="643"/>
      <c r="BKX27" s="643"/>
      <c r="BKY27" s="643"/>
      <c r="BKZ27" s="643"/>
      <c r="BLA27" s="643"/>
      <c r="BLB27" s="643"/>
      <c r="BLC27" s="643"/>
      <c r="BLD27" s="643"/>
      <c r="BLE27" s="643"/>
      <c r="BLF27" s="643"/>
      <c r="BLG27" s="643"/>
      <c r="BLH27" s="643"/>
      <c r="BLI27" s="643"/>
      <c r="BLJ27" s="643"/>
      <c r="BLK27" s="643"/>
      <c r="BLL27" s="643"/>
      <c r="BLM27" s="643"/>
      <c r="BLN27" s="643"/>
      <c r="BLO27" s="643"/>
      <c r="BLP27" s="643"/>
      <c r="BLQ27" s="643"/>
      <c r="BLR27" s="643"/>
      <c r="BLS27" s="643"/>
      <c r="BLT27" s="643"/>
      <c r="BLU27" s="643"/>
      <c r="BLV27" s="643"/>
      <c r="BLW27" s="643"/>
      <c r="BLX27" s="643"/>
      <c r="BLY27" s="643"/>
      <c r="BLZ27" s="643"/>
      <c r="BMA27" s="643"/>
      <c r="BMB27" s="643"/>
      <c r="BMC27" s="643"/>
      <c r="BMD27" s="643"/>
      <c r="BME27" s="643"/>
      <c r="BMF27" s="643"/>
      <c r="BMG27" s="643"/>
      <c r="BMH27" s="643"/>
      <c r="BMI27" s="643"/>
      <c r="BMJ27" s="643"/>
      <c r="BMK27" s="643"/>
      <c r="BML27" s="643"/>
      <c r="BMM27" s="643"/>
      <c r="BMN27" s="643"/>
      <c r="BMO27" s="643"/>
      <c r="BMP27" s="643"/>
      <c r="BMQ27" s="643"/>
      <c r="BMR27" s="643"/>
      <c r="BMS27" s="643"/>
      <c r="BMT27" s="643"/>
      <c r="BMU27" s="643"/>
      <c r="BMV27" s="643"/>
      <c r="BMW27" s="643"/>
      <c r="BMX27" s="643"/>
      <c r="BMY27" s="643"/>
      <c r="BMZ27" s="643"/>
      <c r="BNA27" s="643"/>
      <c r="BNB27" s="643"/>
      <c r="BNC27" s="643"/>
      <c r="BND27" s="643"/>
      <c r="BNE27" s="643"/>
      <c r="BNF27" s="643"/>
      <c r="BNG27" s="643"/>
      <c r="BNH27" s="643"/>
      <c r="BNI27" s="643"/>
      <c r="BNJ27" s="643"/>
      <c r="BNK27" s="643"/>
      <c r="BNL27" s="643"/>
      <c r="BNM27" s="643"/>
      <c r="BNN27" s="643"/>
      <c r="BNO27" s="643"/>
      <c r="BNP27" s="643"/>
      <c r="BNQ27" s="643"/>
      <c r="BNR27" s="643"/>
      <c r="BNS27" s="643"/>
      <c r="BNT27" s="643"/>
      <c r="BNU27" s="643"/>
      <c r="BNV27" s="643"/>
      <c r="BNW27" s="643"/>
      <c r="BNX27" s="643"/>
      <c r="BNY27" s="643"/>
      <c r="BNZ27" s="643"/>
      <c r="BOA27" s="643"/>
      <c r="BOB27" s="643"/>
      <c r="BOC27" s="643"/>
      <c r="BOD27" s="643"/>
      <c r="BOE27" s="643"/>
      <c r="BOF27" s="643"/>
      <c r="BOG27" s="643"/>
      <c r="BOH27" s="643"/>
      <c r="BOI27" s="643"/>
      <c r="BOJ27" s="643"/>
      <c r="BOK27" s="643"/>
      <c r="BOL27" s="643"/>
      <c r="BOM27" s="643"/>
      <c r="BON27" s="643"/>
      <c r="BOO27" s="643"/>
      <c r="BOP27" s="643"/>
      <c r="BOQ27" s="643"/>
      <c r="BOR27" s="643"/>
      <c r="BOS27" s="643"/>
      <c r="BOT27" s="643"/>
      <c r="BOU27" s="643"/>
      <c r="BOV27" s="643"/>
      <c r="BOW27" s="643"/>
      <c r="BOX27" s="643"/>
      <c r="BOY27" s="643"/>
      <c r="BOZ27" s="643"/>
      <c r="BPA27" s="643"/>
      <c r="BPB27" s="643"/>
      <c r="BPC27" s="643"/>
      <c r="BPD27" s="643"/>
      <c r="BPE27" s="643"/>
      <c r="BPF27" s="643"/>
      <c r="BPG27" s="643"/>
      <c r="BPH27" s="643"/>
      <c r="BPI27" s="643"/>
      <c r="BPJ27" s="643"/>
      <c r="BPK27" s="643"/>
      <c r="BPL27" s="643"/>
      <c r="BPM27" s="643"/>
      <c r="BPN27" s="643"/>
      <c r="BPO27" s="643"/>
      <c r="BPP27" s="643"/>
      <c r="BPQ27" s="643"/>
      <c r="BPR27" s="643"/>
      <c r="BPS27" s="643"/>
      <c r="BPT27" s="643"/>
      <c r="BPU27" s="643"/>
      <c r="BPV27" s="643"/>
      <c r="BPW27" s="643"/>
      <c r="BPX27" s="643"/>
      <c r="BPY27" s="643"/>
      <c r="BPZ27" s="643"/>
      <c r="BQA27" s="643"/>
      <c r="BQB27" s="643"/>
      <c r="BQC27" s="643"/>
      <c r="BQD27" s="643"/>
      <c r="BQE27" s="643"/>
      <c r="BQF27" s="643"/>
      <c r="BQG27" s="643"/>
      <c r="BQH27" s="643"/>
      <c r="BQI27" s="643"/>
      <c r="BQJ27" s="643"/>
      <c r="BQK27" s="643"/>
      <c r="BQL27" s="643"/>
      <c r="BQM27" s="643"/>
      <c r="BQN27" s="643"/>
      <c r="BQO27" s="643"/>
      <c r="BQP27" s="643"/>
      <c r="BQQ27" s="643"/>
      <c r="BQR27" s="643"/>
      <c r="BQS27" s="643"/>
      <c r="BQT27" s="643"/>
      <c r="BQU27" s="643"/>
      <c r="BQV27" s="643"/>
      <c r="BQW27" s="643"/>
      <c r="BQX27" s="643"/>
      <c r="BQY27" s="643"/>
      <c r="BQZ27" s="643"/>
      <c r="BRA27" s="643"/>
      <c r="BRB27" s="643"/>
      <c r="BRC27" s="643"/>
      <c r="BRD27" s="643"/>
      <c r="BRE27" s="643"/>
      <c r="BRF27" s="643"/>
      <c r="BRG27" s="643"/>
      <c r="BRH27" s="643"/>
      <c r="BRI27" s="643"/>
      <c r="BRJ27" s="643"/>
      <c r="BRK27" s="643"/>
      <c r="BRL27" s="643"/>
      <c r="BRM27" s="643"/>
      <c r="BRN27" s="643"/>
      <c r="BRO27" s="643"/>
      <c r="BRP27" s="643"/>
      <c r="BRQ27" s="643"/>
      <c r="BRR27" s="643"/>
      <c r="BRS27" s="643"/>
      <c r="BRT27" s="643"/>
      <c r="BRU27" s="643"/>
      <c r="BRV27" s="643"/>
      <c r="BRW27" s="643"/>
      <c r="BRX27" s="643"/>
      <c r="BRY27" s="643"/>
      <c r="BRZ27" s="643"/>
      <c r="BSA27" s="643"/>
      <c r="BSB27" s="643"/>
      <c r="BSC27" s="643"/>
      <c r="BSD27" s="643"/>
      <c r="BSE27" s="643"/>
      <c r="BSF27" s="643"/>
      <c r="BSG27" s="643"/>
      <c r="BSH27" s="643"/>
      <c r="BSI27" s="643"/>
      <c r="BSJ27" s="643"/>
      <c r="BSK27" s="643"/>
      <c r="BSL27" s="643"/>
      <c r="BSM27" s="643"/>
      <c r="BSN27" s="643"/>
      <c r="BSO27" s="643"/>
      <c r="BSP27" s="643"/>
      <c r="BSQ27" s="643"/>
      <c r="BSR27" s="643"/>
      <c r="BSS27" s="643"/>
      <c r="BST27" s="643"/>
      <c r="BSU27" s="643"/>
      <c r="BSV27" s="643"/>
      <c r="BSW27" s="643"/>
      <c r="BSX27" s="643"/>
      <c r="BSY27" s="643"/>
      <c r="BSZ27" s="643"/>
      <c r="BTA27" s="643"/>
      <c r="BTB27" s="643"/>
      <c r="BTC27" s="643"/>
      <c r="BTD27" s="643"/>
      <c r="BTE27" s="643"/>
      <c r="BTF27" s="643"/>
      <c r="BTG27" s="643"/>
      <c r="BTH27" s="643"/>
      <c r="BTI27" s="643"/>
      <c r="BTJ27" s="643"/>
      <c r="BTK27" s="643"/>
      <c r="BTL27" s="643"/>
      <c r="BTM27" s="643"/>
      <c r="BTN27" s="643"/>
      <c r="BTO27" s="643"/>
      <c r="BTP27" s="643"/>
      <c r="BTQ27" s="643"/>
      <c r="BTR27" s="643"/>
      <c r="BTS27" s="643"/>
      <c r="BTT27" s="643"/>
      <c r="BTU27" s="643"/>
      <c r="BTV27" s="643"/>
      <c r="BTW27" s="643"/>
      <c r="BTX27" s="643"/>
      <c r="BTY27" s="643"/>
      <c r="BTZ27" s="643"/>
      <c r="BUA27" s="643"/>
      <c r="BUB27" s="643"/>
      <c r="BUC27" s="643"/>
      <c r="BUD27" s="643"/>
      <c r="BUE27" s="643"/>
      <c r="BUF27" s="643"/>
      <c r="BUG27" s="643"/>
      <c r="BUH27" s="643"/>
      <c r="BUI27" s="643"/>
      <c r="BUJ27" s="643"/>
      <c r="BUK27" s="643"/>
      <c r="BUL27" s="643"/>
      <c r="BUM27" s="643"/>
      <c r="BUN27" s="643"/>
      <c r="BUO27" s="643"/>
      <c r="BUP27" s="643"/>
      <c r="BUQ27" s="643"/>
      <c r="BUR27" s="643"/>
      <c r="BUS27" s="643"/>
      <c r="BUT27" s="643"/>
      <c r="BUU27" s="643"/>
      <c r="BUV27" s="643"/>
      <c r="BUW27" s="643"/>
      <c r="BUX27" s="643"/>
      <c r="BUY27" s="643"/>
      <c r="BUZ27" s="643"/>
      <c r="BVA27" s="643"/>
      <c r="BVB27" s="643"/>
      <c r="BVC27" s="643"/>
      <c r="BVD27" s="643"/>
      <c r="BVE27" s="643"/>
      <c r="BVF27" s="643"/>
      <c r="BVG27" s="643"/>
      <c r="BVH27" s="643"/>
      <c r="BVI27" s="643"/>
      <c r="BVJ27" s="643"/>
      <c r="BVK27" s="643"/>
      <c r="BVL27" s="643"/>
      <c r="BVM27" s="643"/>
      <c r="BVN27" s="643"/>
      <c r="BVO27" s="643"/>
      <c r="BVP27" s="643"/>
      <c r="BVQ27" s="643"/>
      <c r="BVR27" s="643"/>
      <c r="BVS27" s="643"/>
      <c r="BVT27" s="643"/>
      <c r="BVU27" s="643"/>
      <c r="BVV27" s="643"/>
      <c r="BVW27" s="643"/>
      <c r="BVX27" s="643"/>
      <c r="BVY27" s="643"/>
      <c r="BVZ27" s="643"/>
      <c r="BWA27" s="643"/>
      <c r="BWB27" s="643"/>
      <c r="BWC27" s="643"/>
      <c r="BWD27" s="643"/>
      <c r="BWE27" s="643"/>
      <c r="BWF27" s="643"/>
      <c r="BWG27" s="643"/>
      <c r="BWH27" s="643"/>
      <c r="BWI27" s="643"/>
      <c r="BWJ27" s="643"/>
      <c r="BWK27" s="643"/>
      <c r="BWL27" s="643"/>
      <c r="BWM27" s="643"/>
      <c r="BWN27" s="643"/>
      <c r="BWO27" s="643"/>
      <c r="BWP27" s="643"/>
      <c r="BWQ27" s="643"/>
      <c r="BWR27" s="643"/>
      <c r="BWS27" s="643"/>
      <c r="BWT27" s="643"/>
      <c r="BWU27" s="643"/>
      <c r="BWV27" s="643"/>
      <c r="BWW27" s="643"/>
      <c r="BWX27" s="643"/>
      <c r="BWY27" s="643"/>
      <c r="BWZ27" s="643"/>
      <c r="BXA27" s="643"/>
      <c r="BXB27" s="643"/>
      <c r="BXC27" s="643"/>
      <c r="BXD27" s="643"/>
      <c r="BXE27" s="643"/>
      <c r="BXF27" s="643"/>
      <c r="BXG27" s="643"/>
      <c r="BXH27" s="643"/>
      <c r="BXI27" s="643"/>
      <c r="BXJ27" s="643"/>
      <c r="BXK27" s="643"/>
      <c r="BXL27" s="643"/>
      <c r="BXM27" s="643"/>
      <c r="BXN27" s="643"/>
      <c r="BXO27" s="643"/>
      <c r="BXP27" s="643"/>
      <c r="BXQ27" s="643"/>
      <c r="BXR27" s="643"/>
      <c r="BXS27" s="643"/>
      <c r="BXT27" s="643"/>
      <c r="BXU27" s="643"/>
      <c r="BXV27" s="643"/>
      <c r="BXW27" s="643"/>
      <c r="BXX27" s="643"/>
      <c r="BXY27" s="643"/>
      <c r="BXZ27" s="643"/>
      <c r="BYA27" s="643"/>
      <c r="BYB27" s="643"/>
      <c r="BYC27" s="643"/>
      <c r="BYD27" s="643"/>
      <c r="BYE27" s="643"/>
      <c r="BYF27" s="643"/>
      <c r="BYG27" s="643"/>
      <c r="BYH27" s="643"/>
      <c r="BYI27" s="643"/>
      <c r="BYJ27" s="643"/>
      <c r="BYK27" s="643"/>
      <c r="BYL27" s="643"/>
      <c r="BYM27" s="643"/>
      <c r="BYN27" s="643"/>
      <c r="BYO27" s="643"/>
      <c r="BYP27" s="643"/>
      <c r="BYQ27" s="643"/>
      <c r="BYR27" s="643"/>
      <c r="BYS27" s="643"/>
      <c r="BYT27" s="643"/>
      <c r="BYU27" s="643"/>
      <c r="BYV27" s="643"/>
      <c r="BYW27" s="643"/>
      <c r="BYX27" s="643"/>
      <c r="BYY27" s="643"/>
      <c r="BYZ27" s="643"/>
      <c r="BZA27" s="643"/>
      <c r="BZB27" s="643"/>
      <c r="BZC27" s="643"/>
      <c r="BZD27" s="643"/>
      <c r="BZE27" s="643"/>
      <c r="BZF27" s="643"/>
      <c r="BZG27" s="643"/>
      <c r="BZH27" s="643"/>
      <c r="BZI27" s="643"/>
      <c r="BZJ27" s="643"/>
      <c r="BZK27" s="643"/>
      <c r="BZL27" s="643"/>
      <c r="BZM27" s="643"/>
      <c r="BZN27" s="643"/>
      <c r="BZO27" s="643"/>
      <c r="BZP27" s="643"/>
      <c r="BZQ27" s="643"/>
      <c r="BZR27" s="643"/>
      <c r="BZS27" s="643"/>
      <c r="BZT27" s="643"/>
      <c r="BZU27" s="643"/>
      <c r="BZV27" s="643"/>
      <c r="BZW27" s="643"/>
      <c r="BZX27" s="643"/>
      <c r="BZY27" s="643"/>
      <c r="BZZ27" s="643"/>
      <c r="CAA27" s="643"/>
      <c r="CAB27" s="643"/>
      <c r="CAC27" s="643"/>
      <c r="CAD27" s="643"/>
      <c r="CAE27" s="643"/>
      <c r="CAF27" s="643"/>
      <c r="CAG27" s="643"/>
      <c r="CAH27" s="643"/>
      <c r="CAI27" s="643"/>
      <c r="CAJ27" s="643"/>
      <c r="CAK27" s="643"/>
      <c r="CAL27" s="643"/>
      <c r="CAM27" s="643"/>
      <c r="CAN27" s="643"/>
      <c r="CAO27" s="643"/>
      <c r="CAP27" s="643"/>
      <c r="CAQ27" s="643"/>
      <c r="CAR27" s="643"/>
      <c r="CAS27" s="643"/>
      <c r="CAT27" s="643"/>
      <c r="CAU27" s="643"/>
      <c r="CAV27" s="643"/>
      <c r="CAW27" s="643"/>
      <c r="CAX27" s="643"/>
      <c r="CAY27" s="643"/>
      <c r="CAZ27" s="643"/>
      <c r="CBA27" s="643"/>
      <c r="CBB27" s="643"/>
      <c r="CBC27" s="643"/>
      <c r="CBD27" s="643"/>
      <c r="CBE27" s="643"/>
      <c r="CBF27" s="643"/>
      <c r="CBG27" s="643"/>
      <c r="CBH27" s="643"/>
      <c r="CBI27" s="643"/>
      <c r="CBJ27" s="643"/>
      <c r="CBK27" s="643"/>
      <c r="CBL27" s="643"/>
      <c r="CBM27" s="643"/>
      <c r="CBN27" s="643"/>
      <c r="CBO27" s="643"/>
      <c r="CBP27" s="643"/>
      <c r="CBQ27" s="643"/>
      <c r="CBR27" s="643"/>
      <c r="CBS27" s="643"/>
      <c r="CBT27" s="643"/>
      <c r="CBU27" s="643"/>
      <c r="CBV27" s="643"/>
      <c r="CBW27" s="643"/>
      <c r="CBX27" s="643"/>
      <c r="CBY27" s="643"/>
      <c r="CBZ27" s="643"/>
      <c r="CCA27" s="643"/>
      <c r="CCB27" s="643"/>
      <c r="CCC27" s="643"/>
      <c r="CCD27" s="643"/>
      <c r="CCE27" s="643"/>
      <c r="CCF27" s="643"/>
      <c r="CCG27" s="643"/>
      <c r="CCH27" s="643"/>
      <c r="CCI27" s="643"/>
      <c r="CCJ27" s="643"/>
      <c r="CCK27" s="643"/>
      <c r="CCL27" s="643"/>
      <c r="CCM27" s="643"/>
      <c r="CCN27" s="643"/>
      <c r="CCO27" s="643"/>
      <c r="CCP27" s="643"/>
      <c r="CCQ27" s="643"/>
      <c r="CCR27" s="643"/>
      <c r="CCS27" s="643"/>
      <c r="CCT27" s="643"/>
      <c r="CCU27" s="643"/>
      <c r="CCV27" s="643"/>
      <c r="CCW27" s="643"/>
      <c r="CCX27" s="643"/>
      <c r="CCY27" s="643"/>
      <c r="CCZ27" s="643"/>
      <c r="CDA27" s="643"/>
      <c r="CDB27" s="643"/>
      <c r="CDC27" s="643"/>
      <c r="CDD27" s="643"/>
      <c r="CDE27" s="643"/>
      <c r="CDF27" s="643"/>
      <c r="CDG27" s="643"/>
      <c r="CDH27" s="643"/>
      <c r="CDI27" s="643"/>
      <c r="CDJ27" s="643"/>
      <c r="CDK27" s="643"/>
      <c r="CDL27" s="643"/>
      <c r="CDM27" s="643"/>
      <c r="CDN27" s="643"/>
      <c r="CDO27" s="643"/>
      <c r="CDP27" s="643"/>
      <c r="CDQ27" s="643"/>
      <c r="CDR27" s="643"/>
      <c r="CDS27" s="643"/>
      <c r="CDT27" s="643"/>
      <c r="CDU27" s="643"/>
      <c r="CDV27" s="643"/>
      <c r="CDW27" s="643"/>
      <c r="CDX27" s="643"/>
      <c r="CDY27" s="643"/>
      <c r="CDZ27" s="643"/>
      <c r="CEA27" s="643"/>
      <c r="CEB27" s="643"/>
      <c r="CEC27" s="643"/>
      <c r="CED27" s="643"/>
      <c r="CEE27" s="643"/>
      <c r="CEF27" s="643"/>
      <c r="CEG27" s="643"/>
      <c r="CEH27" s="643"/>
      <c r="CEI27" s="643"/>
      <c r="CEJ27" s="643"/>
      <c r="CEK27" s="643"/>
      <c r="CEL27" s="643"/>
      <c r="CEM27" s="643"/>
      <c r="CEN27" s="643"/>
      <c r="CEO27" s="643"/>
      <c r="CEP27" s="643"/>
      <c r="CEQ27" s="643"/>
      <c r="CER27" s="643"/>
      <c r="CES27" s="643"/>
      <c r="CET27" s="643"/>
      <c r="CEU27" s="643"/>
      <c r="CEV27" s="643"/>
      <c r="CEW27" s="643"/>
      <c r="CEX27" s="643"/>
      <c r="CEY27" s="643"/>
      <c r="CEZ27" s="643"/>
      <c r="CFA27" s="643"/>
      <c r="CFB27" s="643"/>
      <c r="CFC27" s="643"/>
      <c r="CFD27" s="643"/>
      <c r="CFE27" s="643"/>
      <c r="CFF27" s="643"/>
      <c r="CFG27" s="643"/>
      <c r="CFH27" s="643"/>
      <c r="CFI27" s="643"/>
      <c r="CFJ27" s="643"/>
      <c r="CFK27" s="643"/>
      <c r="CFL27" s="643"/>
      <c r="CFM27" s="643"/>
      <c r="CFN27" s="643"/>
      <c r="CFO27" s="643"/>
      <c r="CFP27" s="643"/>
      <c r="CFQ27" s="643"/>
      <c r="CFR27" s="643"/>
      <c r="CFS27" s="643"/>
      <c r="CFT27" s="643"/>
      <c r="CFU27" s="643"/>
      <c r="CFV27" s="643"/>
      <c r="CFW27" s="643"/>
      <c r="CFX27" s="643"/>
      <c r="CFY27" s="643"/>
      <c r="CFZ27" s="643"/>
      <c r="CGA27" s="643"/>
      <c r="CGB27" s="643"/>
      <c r="CGC27" s="643"/>
      <c r="CGD27" s="643"/>
      <c r="CGE27" s="643"/>
      <c r="CGF27" s="643"/>
      <c r="CGG27" s="643"/>
      <c r="CGH27" s="643"/>
      <c r="CGI27" s="643"/>
      <c r="CGJ27" s="643"/>
      <c r="CGK27" s="643"/>
      <c r="CGL27" s="643"/>
      <c r="CGM27" s="643"/>
      <c r="CGN27" s="643"/>
      <c r="CGO27" s="643"/>
      <c r="CGP27" s="643"/>
      <c r="CGQ27" s="643"/>
      <c r="CGR27" s="643"/>
      <c r="CGS27" s="643"/>
      <c r="CGT27" s="643"/>
      <c r="CGU27" s="643"/>
      <c r="CGV27" s="643"/>
      <c r="CGW27" s="643"/>
      <c r="CGX27" s="643"/>
      <c r="CGY27" s="643"/>
      <c r="CGZ27" s="643"/>
      <c r="CHA27" s="643"/>
      <c r="CHB27" s="643"/>
      <c r="CHC27" s="643"/>
      <c r="CHD27" s="643"/>
      <c r="CHE27" s="643"/>
      <c r="CHF27" s="643"/>
      <c r="CHG27" s="643"/>
      <c r="CHH27" s="643"/>
      <c r="CHI27" s="643"/>
      <c r="CHJ27" s="643"/>
      <c r="CHK27" s="643"/>
      <c r="CHL27" s="643"/>
      <c r="CHM27" s="643"/>
      <c r="CHN27" s="643"/>
      <c r="CHO27" s="643"/>
      <c r="CHP27" s="643"/>
      <c r="CHQ27" s="643"/>
      <c r="CHR27" s="643"/>
      <c r="CHS27" s="643"/>
      <c r="CHT27" s="643"/>
      <c r="CHU27" s="643"/>
      <c r="CHV27" s="643"/>
      <c r="CHW27" s="643"/>
      <c r="CHX27" s="643"/>
      <c r="CHY27" s="643"/>
      <c r="CHZ27" s="643"/>
      <c r="CIA27" s="643"/>
      <c r="CIB27" s="643"/>
      <c r="CIC27" s="643"/>
      <c r="CID27" s="643"/>
      <c r="CIE27" s="643"/>
      <c r="CIF27" s="643"/>
      <c r="CIG27" s="643"/>
      <c r="CIH27" s="643"/>
      <c r="CII27" s="643"/>
      <c r="CIJ27" s="643"/>
      <c r="CIK27" s="643"/>
      <c r="CIL27" s="643"/>
      <c r="CIM27" s="643"/>
      <c r="CIN27" s="643"/>
      <c r="CIO27" s="643"/>
      <c r="CIP27" s="643"/>
      <c r="CIQ27" s="643"/>
      <c r="CIR27" s="643"/>
      <c r="CIS27" s="643"/>
      <c r="CIT27" s="643"/>
      <c r="CIU27" s="643"/>
      <c r="CIV27" s="643"/>
      <c r="CIW27" s="643"/>
      <c r="CIX27" s="643"/>
      <c r="CIY27" s="643"/>
      <c r="CIZ27" s="643"/>
      <c r="CJA27" s="643"/>
      <c r="CJB27" s="643"/>
      <c r="CJC27" s="643"/>
      <c r="CJD27" s="643"/>
      <c r="CJE27" s="643"/>
      <c r="CJF27" s="643"/>
      <c r="CJG27" s="643"/>
      <c r="CJH27" s="643"/>
      <c r="CJI27" s="643"/>
      <c r="CJJ27" s="643"/>
      <c r="CJK27" s="643"/>
      <c r="CJL27" s="643"/>
      <c r="CJM27" s="643"/>
      <c r="CJN27" s="643"/>
      <c r="CJO27" s="643"/>
      <c r="CJP27" s="643"/>
      <c r="CJQ27" s="643"/>
      <c r="CJR27" s="643"/>
      <c r="CJS27" s="643"/>
      <c r="CJT27" s="643"/>
      <c r="CJU27" s="643"/>
      <c r="CJV27" s="643"/>
      <c r="CJW27" s="643"/>
      <c r="CJX27" s="643"/>
      <c r="CJY27" s="643"/>
      <c r="CJZ27" s="643"/>
      <c r="CKA27" s="643"/>
      <c r="CKB27" s="643"/>
      <c r="CKC27" s="643"/>
      <c r="CKD27" s="643"/>
      <c r="CKE27" s="643"/>
      <c r="CKF27" s="643"/>
      <c r="CKG27" s="643"/>
      <c r="CKH27" s="643"/>
      <c r="CKI27" s="643"/>
      <c r="CKJ27" s="643"/>
      <c r="CKK27" s="643"/>
      <c r="CKL27" s="643"/>
      <c r="CKM27" s="643"/>
      <c r="CKN27" s="643"/>
      <c r="CKO27" s="643"/>
      <c r="CKP27" s="643"/>
      <c r="CKQ27" s="643"/>
      <c r="CKR27" s="643"/>
      <c r="CKS27" s="643"/>
      <c r="CKT27" s="643"/>
      <c r="CKU27" s="643"/>
      <c r="CKV27" s="643"/>
      <c r="CKW27" s="643"/>
      <c r="CKX27" s="643"/>
      <c r="CKY27" s="643"/>
      <c r="CKZ27" s="643"/>
      <c r="CLA27" s="643"/>
      <c r="CLB27" s="643"/>
      <c r="CLC27" s="643"/>
      <c r="CLD27" s="643"/>
      <c r="CLE27" s="643"/>
      <c r="CLF27" s="643"/>
      <c r="CLG27" s="643"/>
      <c r="CLH27" s="643"/>
      <c r="CLI27" s="643"/>
      <c r="CLJ27" s="643"/>
      <c r="CLK27" s="643"/>
      <c r="CLL27" s="643"/>
      <c r="CLM27" s="643"/>
      <c r="CLN27" s="643"/>
      <c r="CLO27" s="643"/>
      <c r="CLP27" s="643"/>
      <c r="CLQ27" s="643"/>
      <c r="CLR27" s="643"/>
      <c r="CLS27" s="643"/>
      <c r="CLT27" s="643"/>
      <c r="CLU27" s="643"/>
      <c r="CLV27" s="643"/>
      <c r="CLW27" s="643"/>
      <c r="CLX27" s="643"/>
      <c r="CLY27" s="643"/>
      <c r="CLZ27" s="643"/>
      <c r="CMA27" s="643"/>
      <c r="CMB27" s="643"/>
      <c r="CMC27" s="643"/>
      <c r="CMD27" s="643"/>
      <c r="CME27" s="643"/>
      <c r="CMF27" s="643"/>
      <c r="CMG27" s="643"/>
      <c r="CMH27" s="643"/>
      <c r="CMI27" s="643"/>
      <c r="CMJ27" s="643"/>
      <c r="CMK27" s="643"/>
      <c r="CML27" s="643"/>
      <c r="CMM27" s="643"/>
      <c r="CMN27" s="643"/>
      <c r="CMO27" s="643"/>
      <c r="CMP27" s="643"/>
      <c r="CMQ27" s="643"/>
      <c r="CMR27" s="643"/>
      <c r="CMS27" s="643"/>
      <c r="CMT27" s="643"/>
      <c r="CMU27" s="643"/>
      <c r="CMV27" s="643"/>
      <c r="CMW27" s="643"/>
      <c r="CMX27" s="643"/>
      <c r="CMY27" s="643"/>
      <c r="CMZ27" s="643"/>
      <c r="CNA27" s="643"/>
      <c r="CNB27" s="643"/>
      <c r="CNC27" s="643"/>
      <c r="CND27" s="643"/>
      <c r="CNE27" s="643"/>
      <c r="CNF27" s="643"/>
      <c r="CNG27" s="643"/>
      <c r="CNH27" s="643"/>
      <c r="CNI27" s="643"/>
      <c r="CNJ27" s="643"/>
      <c r="CNK27" s="643"/>
      <c r="CNL27" s="643"/>
      <c r="CNM27" s="643"/>
      <c r="CNN27" s="643"/>
      <c r="CNO27" s="643"/>
      <c r="CNP27" s="643"/>
      <c r="CNQ27" s="643"/>
      <c r="CNR27" s="643"/>
      <c r="CNS27" s="643"/>
      <c r="CNT27" s="643"/>
      <c r="CNU27" s="643"/>
      <c r="CNV27" s="643"/>
      <c r="CNW27" s="643"/>
      <c r="CNX27" s="643"/>
      <c r="CNY27" s="643"/>
      <c r="CNZ27" s="643"/>
      <c r="COA27" s="643"/>
      <c r="COB27" s="643"/>
      <c r="COC27" s="643"/>
      <c r="COD27" s="643"/>
      <c r="COE27" s="643"/>
      <c r="COF27" s="643"/>
      <c r="COG27" s="643"/>
      <c r="COH27" s="643"/>
      <c r="COI27" s="643"/>
      <c r="COJ27" s="643"/>
      <c r="COK27" s="643"/>
      <c r="COL27" s="643"/>
      <c r="COM27" s="643"/>
      <c r="CON27" s="643"/>
      <c r="COO27" s="643"/>
      <c r="COP27" s="643"/>
      <c r="COQ27" s="643"/>
      <c r="COR27" s="643"/>
      <c r="COS27" s="643"/>
      <c r="COT27" s="643"/>
      <c r="COU27" s="643"/>
      <c r="COV27" s="643"/>
      <c r="COW27" s="643"/>
      <c r="COX27" s="643"/>
      <c r="COY27" s="643"/>
      <c r="COZ27" s="643"/>
      <c r="CPA27" s="643"/>
      <c r="CPB27" s="643"/>
      <c r="CPC27" s="643"/>
      <c r="CPD27" s="643"/>
      <c r="CPE27" s="643"/>
      <c r="CPF27" s="643"/>
      <c r="CPG27" s="643"/>
      <c r="CPH27" s="643"/>
      <c r="CPI27" s="643"/>
      <c r="CPJ27" s="643"/>
      <c r="CPK27" s="643"/>
      <c r="CPL27" s="643"/>
      <c r="CPM27" s="643"/>
      <c r="CPN27" s="643"/>
      <c r="CPO27" s="643"/>
      <c r="CPP27" s="643"/>
      <c r="CPQ27" s="643"/>
      <c r="CPR27" s="643"/>
      <c r="CPS27" s="643"/>
      <c r="CPT27" s="643"/>
      <c r="CPU27" s="643"/>
      <c r="CPV27" s="643"/>
      <c r="CPW27" s="643"/>
      <c r="CPX27" s="643"/>
      <c r="CPY27" s="643"/>
      <c r="CPZ27" s="643"/>
      <c r="CQA27" s="643"/>
      <c r="CQB27" s="643"/>
      <c r="CQC27" s="643"/>
      <c r="CQD27" s="643"/>
      <c r="CQE27" s="643"/>
      <c r="CQF27" s="643"/>
      <c r="CQG27" s="643"/>
      <c r="CQH27" s="643"/>
      <c r="CQI27" s="643"/>
      <c r="CQJ27" s="643"/>
      <c r="CQK27" s="643"/>
      <c r="CQL27" s="643"/>
      <c r="CQM27" s="643"/>
      <c r="CQN27" s="643"/>
      <c r="CQO27" s="643"/>
      <c r="CQP27" s="643"/>
      <c r="CQQ27" s="643"/>
      <c r="CQR27" s="643"/>
      <c r="CQS27" s="643"/>
      <c r="CQT27" s="643"/>
      <c r="CQU27" s="643"/>
      <c r="CQV27" s="643"/>
      <c r="CQW27" s="643"/>
      <c r="CQX27" s="643"/>
      <c r="CQY27" s="643"/>
      <c r="CQZ27" s="643"/>
      <c r="CRA27" s="643"/>
      <c r="CRB27" s="643"/>
      <c r="CRC27" s="643"/>
      <c r="CRD27" s="643"/>
      <c r="CRE27" s="643"/>
      <c r="CRF27" s="643"/>
      <c r="CRG27" s="643"/>
      <c r="CRH27" s="643"/>
      <c r="CRI27" s="643"/>
      <c r="CRJ27" s="643"/>
      <c r="CRK27" s="643"/>
      <c r="CRL27" s="643"/>
      <c r="CRM27" s="643"/>
      <c r="CRN27" s="643"/>
      <c r="CRO27" s="643"/>
      <c r="CRP27" s="643"/>
      <c r="CRQ27" s="643"/>
      <c r="CRR27" s="643"/>
      <c r="CRS27" s="643"/>
      <c r="CRT27" s="643"/>
      <c r="CRU27" s="643"/>
      <c r="CRV27" s="643"/>
      <c r="CRW27" s="643"/>
      <c r="CRX27" s="643"/>
      <c r="CRY27" s="643"/>
      <c r="CRZ27" s="643"/>
      <c r="CSA27" s="643"/>
      <c r="CSB27" s="643"/>
      <c r="CSC27" s="643"/>
      <c r="CSD27" s="643"/>
      <c r="CSE27" s="643"/>
      <c r="CSF27" s="643"/>
      <c r="CSG27" s="643"/>
      <c r="CSH27" s="643"/>
      <c r="CSI27" s="643"/>
      <c r="CSJ27" s="643"/>
      <c r="CSK27" s="643"/>
      <c r="CSL27" s="643"/>
      <c r="CSM27" s="643"/>
      <c r="CSN27" s="643"/>
      <c r="CSO27" s="643"/>
      <c r="CSP27" s="643"/>
      <c r="CSQ27" s="643"/>
      <c r="CSR27" s="643"/>
      <c r="CSS27" s="643"/>
      <c r="CST27" s="643"/>
      <c r="CSU27" s="643"/>
      <c r="CSV27" s="643"/>
      <c r="CSW27" s="643"/>
      <c r="CSX27" s="643"/>
      <c r="CSY27" s="643"/>
      <c r="CSZ27" s="643"/>
      <c r="CTA27" s="643"/>
      <c r="CTB27" s="643"/>
      <c r="CTC27" s="643"/>
      <c r="CTD27" s="643"/>
      <c r="CTE27" s="643"/>
      <c r="CTF27" s="643"/>
      <c r="CTG27" s="643"/>
      <c r="CTH27" s="643"/>
      <c r="CTI27" s="643"/>
      <c r="CTJ27" s="643"/>
      <c r="CTK27" s="643"/>
      <c r="CTL27" s="643"/>
      <c r="CTM27" s="643"/>
      <c r="CTN27" s="643"/>
      <c r="CTO27" s="643"/>
      <c r="CTP27" s="643"/>
      <c r="CTQ27" s="643"/>
      <c r="CTR27" s="643"/>
      <c r="CTS27" s="643"/>
      <c r="CTT27" s="643"/>
      <c r="CTU27" s="643"/>
      <c r="CTV27" s="643"/>
      <c r="CTW27" s="643"/>
      <c r="CTX27" s="643"/>
      <c r="CTY27" s="643"/>
      <c r="CTZ27" s="643"/>
      <c r="CUA27" s="643"/>
      <c r="CUB27" s="643"/>
      <c r="CUC27" s="643"/>
      <c r="CUD27" s="643"/>
      <c r="CUE27" s="643"/>
      <c r="CUF27" s="643"/>
      <c r="CUG27" s="643"/>
      <c r="CUH27" s="643"/>
      <c r="CUI27" s="643"/>
      <c r="CUJ27" s="643"/>
      <c r="CUK27" s="643"/>
      <c r="CUL27" s="643"/>
      <c r="CUM27" s="643"/>
      <c r="CUN27" s="643"/>
      <c r="CUO27" s="643"/>
      <c r="CUP27" s="643"/>
      <c r="CUQ27" s="643"/>
      <c r="CUR27" s="643"/>
      <c r="CUS27" s="643"/>
      <c r="CUT27" s="643"/>
      <c r="CUU27" s="643"/>
      <c r="CUV27" s="643"/>
      <c r="CUW27" s="643"/>
      <c r="CUX27" s="643"/>
      <c r="CUY27" s="643"/>
      <c r="CUZ27" s="643"/>
      <c r="CVA27" s="643"/>
      <c r="CVB27" s="643"/>
      <c r="CVC27" s="643"/>
      <c r="CVD27" s="643"/>
      <c r="CVE27" s="643"/>
      <c r="CVF27" s="643"/>
      <c r="CVG27" s="643"/>
      <c r="CVH27" s="643"/>
      <c r="CVI27" s="643"/>
      <c r="CVJ27" s="643"/>
      <c r="CVK27" s="643"/>
      <c r="CVL27" s="643"/>
      <c r="CVM27" s="643"/>
      <c r="CVN27" s="643"/>
      <c r="CVO27" s="643"/>
      <c r="CVP27" s="643"/>
      <c r="CVQ27" s="643"/>
      <c r="CVR27" s="643"/>
      <c r="CVS27" s="643"/>
      <c r="CVT27" s="643"/>
      <c r="CVU27" s="643"/>
      <c r="CVV27" s="643"/>
      <c r="CVW27" s="643"/>
      <c r="CVX27" s="643"/>
      <c r="CVY27" s="643"/>
      <c r="CVZ27" s="643"/>
      <c r="CWA27" s="643"/>
      <c r="CWB27" s="643"/>
      <c r="CWC27" s="643"/>
      <c r="CWD27" s="643"/>
      <c r="CWE27" s="643"/>
      <c r="CWF27" s="643"/>
      <c r="CWG27" s="643"/>
      <c r="CWH27" s="643"/>
      <c r="CWI27" s="643"/>
      <c r="CWJ27" s="643"/>
      <c r="CWK27" s="643"/>
      <c r="CWL27" s="643"/>
      <c r="CWM27" s="643"/>
      <c r="CWN27" s="643"/>
      <c r="CWO27" s="643"/>
      <c r="CWP27" s="643"/>
      <c r="CWQ27" s="643"/>
      <c r="CWR27" s="643"/>
      <c r="CWS27" s="643"/>
      <c r="CWT27" s="643"/>
      <c r="CWU27" s="643"/>
      <c r="CWV27" s="643"/>
      <c r="CWW27" s="643"/>
      <c r="CWX27" s="643"/>
      <c r="CWY27" s="643"/>
      <c r="CWZ27" s="643"/>
      <c r="CXA27" s="643"/>
      <c r="CXB27" s="643"/>
      <c r="CXC27" s="643"/>
      <c r="CXD27" s="643"/>
      <c r="CXE27" s="643"/>
      <c r="CXF27" s="643"/>
      <c r="CXG27" s="643"/>
      <c r="CXH27" s="643"/>
      <c r="CXI27" s="643"/>
      <c r="CXJ27" s="643"/>
      <c r="CXK27" s="643"/>
      <c r="CXL27" s="643"/>
      <c r="CXM27" s="643"/>
      <c r="CXN27" s="643"/>
      <c r="CXO27" s="643"/>
      <c r="CXP27" s="643"/>
      <c r="CXQ27" s="643"/>
      <c r="CXR27" s="643"/>
      <c r="CXS27" s="643"/>
      <c r="CXT27" s="643"/>
      <c r="CXU27" s="643"/>
      <c r="CXV27" s="643"/>
      <c r="CXW27" s="643"/>
      <c r="CXX27" s="643"/>
      <c r="CXY27" s="643"/>
      <c r="CXZ27" s="643"/>
      <c r="CYA27" s="643"/>
      <c r="CYB27" s="643"/>
      <c r="CYC27" s="643"/>
      <c r="CYD27" s="643"/>
      <c r="CYE27" s="643"/>
      <c r="CYF27" s="643"/>
      <c r="CYG27" s="643"/>
      <c r="CYH27" s="643"/>
      <c r="CYI27" s="643"/>
      <c r="CYJ27" s="643"/>
      <c r="CYK27" s="643"/>
      <c r="CYL27" s="643"/>
      <c r="CYM27" s="643"/>
      <c r="CYN27" s="643"/>
      <c r="CYO27" s="643"/>
      <c r="CYP27" s="643"/>
      <c r="CYQ27" s="643"/>
      <c r="CYR27" s="643"/>
      <c r="CYS27" s="643"/>
      <c r="CYT27" s="643"/>
      <c r="CYU27" s="643"/>
      <c r="CYV27" s="643"/>
      <c r="CYW27" s="643"/>
      <c r="CYX27" s="643"/>
      <c r="CYY27" s="643"/>
      <c r="CYZ27" s="643"/>
      <c r="CZA27" s="643"/>
      <c r="CZB27" s="643"/>
      <c r="CZC27" s="643"/>
      <c r="CZD27" s="643"/>
      <c r="CZE27" s="643"/>
      <c r="CZF27" s="643"/>
      <c r="CZG27" s="643"/>
      <c r="CZH27" s="643"/>
      <c r="CZI27" s="643"/>
      <c r="CZJ27" s="643"/>
      <c r="CZK27" s="643"/>
      <c r="CZL27" s="643"/>
      <c r="CZM27" s="643"/>
      <c r="CZN27" s="643"/>
      <c r="CZO27" s="643"/>
      <c r="CZP27" s="643"/>
      <c r="CZQ27" s="643"/>
      <c r="CZR27" s="643"/>
      <c r="CZS27" s="643"/>
      <c r="CZT27" s="643"/>
      <c r="CZU27" s="643"/>
      <c r="CZV27" s="643"/>
      <c r="CZW27" s="643"/>
      <c r="CZX27" s="643"/>
      <c r="CZY27" s="643"/>
      <c r="CZZ27" s="643"/>
      <c r="DAA27" s="643"/>
      <c r="DAB27" s="643"/>
      <c r="DAC27" s="643"/>
      <c r="DAD27" s="643"/>
      <c r="DAE27" s="643"/>
      <c r="DAF27" s="643"/>
      <c r="DAG27" s="643"/>
      <c r="DAH27" s="643"/>
      <c r="DAI27" s="643"/>
      <c r="DAJ27" s="643"/>
      <c r="DAK27" s="643"/>
      <c r="DAL27" s="643"/>
      <c r="DAM27" s="643"/>
      <c r="DAN27" s="643"/>
      <c r="DAO27" s="643"/>
      <c r="DAP27" s="643"/>
      <c r="DAQ27" s="643"/>
      <c r="DAR27" s="643"/>
      <c r="DAS27" s="643"/>
      <c r="DAT27" s="643"/>
      <c r="DAU27" s="643"/>
      <c r="DAV27" s="643"/>
      <c r="DAW27" s="643"/>
      <c r="DAX27" s="643"/>
      <c r="DAY27" s="643"/>
      <c r="DAZ27" s="643"/>
      <c r="DBA27" s="643"/>
      <c r="DBB27" s="643"/>
      <c r="DBC27" s="643"/>
      <c r="DBD27" s="643"/>
      <c r="DBE27" s="643"/>
      <c r="DBF27" s="643"/>
      <c r="DBG27" s="643"/>
      <c r="DBH27" s="643"/>
      <c r="DBI27" s="643"/>
      <c r="DBJ27" s="643"/>
      <c r="DBK27" s="643"/>
      <c r="DBL27" s="643"/>
      <c r="DBM27" s="643"/>
      <c r="DBN27" s="643"/>
      <c r="DBO27" s="643"/>
      <c r="DBP27" s="643"/>
      <c r="DBQ27" s="643"/>
      <c r="DBR27" s="643"/>
      <c r="DBS27" s="643"/>
      <c r="DBT27" s="643"/>
      <c r="DBU27" s="643"/>
      <c r="DBV27" s="643"/>
      <c r="DBW27" s="643"/>
      <c r="DBX27" s="643"/>
      <c r="DBY27" s="643"/>
      <c r="DBZ27" s="643"/>
      <c r="DCA27" s="643"/>
      <c r="DCB27" s="643"/>
      <c r="DCC27" s="643"/>
      <c r="DCD27" s="643"/>
      <c r="DCE27" s="643"/>
      <c r="DCF27" s="643"/>
      <c r="DCG27" s="643"/>
      <c r="DCH27" s="643"/>
      <c r="DCI27" s="643"/>
      <c r="DCJ27" s="643"/>
      <c r="DCK27" s="643"/>
      <c r="DCL27" s="643"/>
      <c r="DCM27" s="643"/>
      <c r="DCN27" s="643"/>
      <c r="DCO27" s="643"/>
      <c r="DCP27" s="643"/>
      <c r="DCQ27" s="643"/>
      <c r="DCR27" s="643"/>
      <c r="DCS27" s="643"/>
      <c r="DCT27" s="643"/>
      <c r="DCU27" s="643"/>
      <c r="DCV27" s="643"/>
      <c r="DCW27" s="643"/>
      <c r="DCX27" s="643"/>
      <c r="DCY27" s="643"/>
      <c r="DCZ27" s="643"/>
      <c r="DDA27" s="643"/>
      <c r="DDB27" s="643"/>
      <c r="DDC27" s="643"/>
      <c r="DDD27" s="643"/>
      <c r="DDE27" s="643"/>
      <c r="DDF27" s="643"/>
      <c r="DDG27" s="643"/>
      <c r="DDH27" s="643"/>
      <c r="DDI27" s="643"/>
      <c r="DDJ27" s="643"/>
      <c r="DDK27" s="643"/>
      <c r="DDL27" s="643"/>
      <c r="DDM27" s="643"/>
      <c r="DDN27" s="643"/>
      <c r="DDO27" s="643"/>
      <c r="DDP27" s="643"/>
      <c r="DDQ27" s="643"/>
      <c r="DDR27" s="643"/>
      <c r="DDS27" s="643"/>
      <c r="DDT27" s="643"/>
      <c r="DDU27" s="643"/>
      <c r="DDV27" s="643"/>
      <c r="DDW27" s="643"/>
      <c r="DDX27" s="643"/>
      <c r="DDY27" s="643"/>
      <c r="DDZ27" s="643"/>
      <c r="DEA27" s="643"/>
      <c r="DEB27" s="643"/>
      <c r="DEC27" s="643"/>
      <c r="DED27" s="643"/>
      <c r="DEE27" s="643"/>
      <c r="DEF27" s="643"/>
      <c r="DEG27" s="643"/>
      <c r="DEH27" s="643"/>
      <c r="DEI27" s="643"/>
      <c r="DEJ27" s="643"/>
      <c r="DEK27" s="643"/>
      <c r="DEL27" s="643"/>
      <c r="DEM27" s="643"/>
      <c r="DEN27" s="643"/>
      <c r="DEO27" s="643"/>
      <c r="DEP27" s="643"/>
      <c r="DEQ27" s="643"/>
      <c r="DER27" s="643"/>
      <c r="DES27" s="643"/>
      <c r="DET27" s="643"/>
      <c r="DEU27" s="643"/>
      <c r="DEV27" s="643"/>
      <c r="DEW27" s="643"/>
      <c r="DEX27" s="643"/>
      <c r="DEY27" s="643"/>
      <c r="DEZ27" s="643"/>
      <c r="DFA27" s="643"/>
      <c r="DFB27" s="643"/>
      <c r="DFC27" s="643"/>
      <c r="DFD27" s="643"/>
      <c r="DFE27" s="643"/>
      <c r="DFF27" s="643"/>
      <c r="DFG27" s="643"/>
      <c r="DFH27" s="643"/>
      <c r="DFI27" s="643"/>
      <c r="DFJ27" s="643"/>
      <c r="DFK27" s="643"/>
      <c r="DFL27" s="643"/>
      <c r="DFM27" s="643"/>
      <c r="DFN27" s="643"/>
      <c r="DFO27" s="643"/>
      <c r="DFP27" s="643"/>
      <c r="DFQ27" s="643"/>
      <c r="DFR27" s="643"/>
      <c r="DFS27" s="643"/>
      <c r="DFT27" s="643"/>
      <c r="DFU27" s="643"/>
      <c r="DFV27" s="643"/>
      <c r="DFW27" s="643"/>
      <c r="DFX27" s="643"/>
      <c r="DFY27" s="643"/>
      <c r="DFZ27" s="643"/>
      <c r="DGA27" s="643"/>
      <c r="DGB27" s="643"/>
      <c r="DGC27" s="643"/>
      <c r="DGD27" s="643"/>
      <c r="DGE27" s="643"/>
      <c r="DGF27" s="643"/>
      <c r="DGG27" s="643"/>
      <c r="DGH27" s="643"/>
      <c r="DGI27" s="643"/>
      <c r="DGJ27" s="643"/>
      <c r="DGK27" s="643"/>
      <c r="DGL27" s="643"/>
      <c r="DGM27" s="643"/>
      <c r="DGN27" s="643"/>
      <c r="DGO27" s="643"/>
      <c r="DGP27" s="643"/>
      <c r="DGQ27" s="643"/>
      <c r="DGR27" s="643"/>
      <c r="DGS27" s="643"/>
      <c r="DGT27" s="643"/>
      <c r="DGU27" s="643"/>
      <c r="DGV27" s="643"/>
      <c r="DGW27" s="643"/>
      <c r="DGX27" s="643"/>
      <c r="DGY27" s="643"/>
      <c r="DGZ27" s="643"/>
      <c r="DHA27" s="643"/>
      <c r="DHB27" s="643"/>
      <c r="DHC27" s="643"/>
      <c r="DHD27" s="643"/>
      <c r="DHE27" s="643"/>
      <c r="DHF27" s="643"/>
      <c r="DHG27" s="643"/>
      <c r="DHH27" s="643"/>
      <c r="DHI27" s="643"/>
      <c r="DHJ27" s="643"/>
      <c r="DHK27" s="643"/>
      <c r="DHL27" s="643"/>
      <c r="DHM27" s="643"/>
      <c r="DHN27" s="643"/>
      <c r="DHO27" s="643"/>
      <c r="DHP27" s="643"/>
      <c r="DHQ27" s="643"/>
      <c r="DHR27" s="643"/>
      <c r="DHS27" s="643"/>
      <c r="DHT27" s="643"/>
      <c r="DHU27" s="643"/>
      <c r="DHV27" s="643"/>
      <c r="DHW27" s="643"/>
      <c r="DHX27" s="643"/>
      <c r="DHY27" s="643"/>
      <c r="DHZ27" s="643"/>
      <c r="DIA27" s="643"/>
      <c r="DIB27" s="643"/>
      <c r="DIC27" s="643"/>
      <c r="DID27" s="643"/>
      <c r="DIE27" s="643"/>
      <c r="DIF27" s="643"/>
      <c r="DIG27" s="643"/>
      <c r="DIH27" s="643"/>
      <c r="DII27" s="643"/>
      <c r="DIJ27" s="643"/>
      <c r="DIK27" s="643"/>
      <c r="DIL27" s="643"/>
      <c r="DIM27" s="643"/>
      <c r="DIN27" s="643"/>
      <c r="DIO27" s="643"/>
      <c r="DIP27" s="643"/>
      <c r="DIQ27" s="643"/>
      <c r="DIR27" s="643"/>
      <c r="DIS27" s="643"/>
      <c r="DIT27" s="643"/>
      <c r="DIU27" s="643"/>
      <c r="DIV27" s="643"/>
      <c r="DIW27" s="643"/>
      <c r="DIX27" s="643"/>
      <c r="DIY27" s="643"/>
      <c r="DIZ27" s="643"/>
      <c r="DJA27" s="643"/>
      <c r="DJB27" s="643"/>
      <c r="DJC27" s="643"/>
      <c r="DJD27" s="643"/>
      <c r="DJE27" s="643"/>
      <c r="DJF27" s="643"/>
      <c r="DJG27" s="643"/>
      <c r="DJH27" s="643"/>
      <c r="DJI27" s="643"/>
      <c r="DJJ27" s="643"/>
      <c r="DJK27" s="643"/>
      <c r="DJL27" s="643"/>
      <c r="DJM27" s="643"/>
      <c r="DJN27" s="643"/>
      <c r="DJO27" s="643"/>
      <c r="DJP27" s="643"/>
      <c r="DJQ27" s="643"/>
      <c r="DJR27" s="643"/>
      <c r="DJS27" s="643"/>
      <c r="DJT27" s="643"/>
      <c r="DJU27" s="643"/>
      <c r="DJV27" s="643"/>
      <c r="DJW27" s="643"/>
      <c r="DJX27" s="643"/>
      <c r="DJY27" s="643"/>
      <c r="DJZ27" s="643"/>
      <c r="DKA27" s="643"/>
      <c r="DKB27" s="643"/>
      <c r="DKC27" s="643"/>
      <c r="DKD27" s="643"/>
      <c r="DKE27" s="643"/>
      <c r="DKF27" s="643"/>
      <c r="DKG27" s="643"/>
      <c r="DKH27" s="643"/>
      <c r="DKI27" s="643"/>
      <c r="DKJ27" s="643"/>
      <c r="DKK27" s="643"/>
      <c r="DKL27" s="643"/>
      <c r="DKM27" s="643"/>
      <c r="DKN27" s="643"/>
      <c r="DKO27" s="643"/>
      <c r="DKP27" s="643"/>
      <c r="DKQ27" s="643"/>
      <c r="DKR27" s="643"/>
      <c r="DKS27" s="643"/>
      <c r="DKT27" s="643"/>
      <c r="DKU27" s="643"/>
      <c r="DKV27" s="643"/>
      <c r="DKW27" s="643"/>
      <c r="DKX27" s="643"/>
      <c r="DKY27" s="643"/>
      <c r="DKZ27" s="643"/>
      <c r="DLA27" s="643"/>
      <c r="DLB27" s="643"/>
      <c r="DLC27" s="643"/>
      <c r="DLD27" s="643"/>
      <c r="DLE27" s="643"/>
      <c r="DLF27" s="643"/>
      <c r="DLG27" s="643"/>
      <c r="DLH27" s="643"/>
      <c r="DLI27" s="643"/>
      <c r="DLJ27" s="643"/>
      <c r="DLK27" s="643"/>
      <c r="DLL27" s="643"/>
      <c r="DLM27" s="643"/>
      <c r="DLN27" s="643"/>
      <c r="DLO27" s="643"/>
      <c r="DLP27" s="643"/>
      <c r="DLQ27" s="643"/>
      <c r="DLR27" s="643"/>
      <c r="DLS27" s="643"/>
      <c r="DLT27" s="643"/>
      <c r="DLU27" s="643"/>
      <c r="DLV27" s="643"/>
      <c r="DLW27" s="643"/>
      <c r="DLX27" s="643"/>
      <c r="DLY27" s="643"/>
      <c r="DLZ27" s="643"/>
      <c r="DMA27" s="643"/>
      <c r="DMB27" s="643"/>
      <c r="DMC27" s="643"/>
      <c r="DMD27" s="643"/>
      <c r="DME27" s="643"/>
      <c r="DMF27" s="643"/>
      <c r="DMG27" s="643"/>
      <c r="DMH27" s="643"/>
      <c r="DMI27" s="643"/>
      <c r="DMJ27" s="643"/>
      <c r="DMK27" s="643"/>
      <c r="DML27" s="643"/>
      <c r="DMM27" s="643"/>
      <c r="DMN27" s="643"/>
      <c r="DMO27" s="643"/>
      <c r="DMP27" s="643"/>
      <c r="DMQ27" s="643"/>
      <c r="DMR27" s="643"/>
      <c r="DMS27" s="643"/>
      <c r="DMT27" s="643"/>
      <c r="DMU27" s="643"/>
      <c r="DMV27" s="643"/>
      <c r="DMW27" s="643"/>
      <c r="DMX27" s="643"/>
      <c r="DMY27" s="643"/>
      <c r="DMZ27" s="643"/>
      <c r="DNA27" s="643"/>
      <c r="DNB27" s="643"/>
      <c r="DNC27" s="643"/>
      <c r="DND27" s="643"/>
      <c r="DNE27" s="643"/>
      <c r="DNF27" s="643"/>
      <c r="DNG27" s="643"/>
      <c r="DNH27" s="643"/>
      <c r="DNI27" s="643"/>
      <c r="DNJ27" s="643"/>
      <c r="DNK27" s="643"/>
      <c r="DNL27" s="643"/>
      <c r="DNM27" s="643"/>
      <c r="DNN27" s="643"/>
      <c r="DNO27" s="643"/>
      <c r="DNP27" s="643"/>
      <c r="DNQ27" s="643"/>
      <c r="DNR27" s="643"/>
      <c r="DNS27" s="643"/>
      <c r="DNT27" s="643"/>
      <c r="DNU27" s="643"/>
      <c r="DNV27" s="643"/>
      <c r="DNW27" s="643"/>
      <c r="DNX27" s="643"/>
      <c r="DNY27" s="643"/>
      <c r="DNZ27" s="643"/>
      <c r="DOA27" s="643"/>
      <c r="DOB27" s="643"/>
      <c r="DOC27" s="643"/>
      <c r="DOD27" s="643"/>
      <c r="DOE27" s="643"/>
      <c r="DOF27" s="643"/>
      <c r="DOG27" s="643"/>
      <c r="DOH27" s="643"/>
      <c r="DOI27" s="643"/>
      <c r="DOJ27" s="643"/>
      <c r="DOK27" s="643"/>
      <c r="DOL27" s="643"/>
      <c r="DOM27" s="643"/>
      <c r="DON27" s="643"/>
      <c r="DOO27" s="643"/>
      <c r="DOP27" s="643"/>
      <c r="DOQ27" s="643"/>
      <c r="DOR27" s="643"/>
      <c r="DOS27" s="643"/>
      <c r="DOT27" s="643"/>
      <c r="DOU27" s="643"/>
      <c r="DOV27" s="643"/>
      <c r="DOW27" s="643"/>
      <c r="DOX27" s="643"/>
      <c r="DOY27" s="643"/>
      <c r="DOZ27" s="643"/>
      <c r="DPA27" s="643"/>
      <c r="DPB27" s="643"/>
      <c r="DPC27" s="643"/>
      <c r="DPD27" s="643"/>
      <c r="DPE27" s="643"/>
      <c r="DPF27" s="643"/>
      <c r="DPG27" s="643"/>
      <c r="DPH27" s="643"/>
      <c r="DPI27" s="643"/>
      <c r="DPJ27" s="643"/>
      <c r="DPK27" s="643"/>
      <c r="DPL27" s="643"/>
      <c r="DPM27" s="643"/>
      <c r="DPN27" s="643"/>
      <c r="DPO27" s="643"/>
      <c r="DPP27" s="643"/>
      <c r="DPQ27" s="643"/>
      <c r="DPR27" s="643"/>
      <c r="DPS27" s="643"/>
      <c r="DPT27" s="643"/>
      <c r="DPU27" s="643"/>
      <c r="DPV27" s="643"/>
      <c r="DPW27" s="643"/>
      <c r="DPX27" s="643"/>
      <c r="DPY27" s="643"/>
      <c r="DPZ27" s="643"/>
      <c r="DQA27" s="643"/>
      <c r="DQB27" s="643"/>
      <c r="DQC27" s="643"/>
      <c r="DQD27" s="643"/>
      <c r="DQE27" s="643"/>
      <c r="DQF27" s="643"/>
      <c r="DQG27" s="643"/>
      <c r="DQH27" s="643"/>
      <c r="DQI27" s="643"/>
      <c r="DQJ27" s="643"/>
      <c r="DQK27" s="643"/>
      <c r="DQL27" s="643"/>
      <c r="DQM27" s="643"/>
      <c r="DQN27" s="643"/>
      <c r="DQO27" s="643"/>
      <c r="DQP27" s="643"/>
      <c r="DQQ27" s="643"/>
      <c r="DQR27" s="643"/>
      <c r="DQS27" s="643"/>
      <c r="DQT27" s="643"/>
      <c r="DQU27" s="643"/>
      <c r="DQV27" s="643"/>
      <c r="DQW27" s="643"/>
      <c r="DQX27" s="643"/>
      <c r="DQY27" s="643"/>
      <c r="DQZ27" s="643"/>
      <c r="DRA27" s="643"/>
      <c r="DRB27" s="643"/>
      <c r="DRC27" s="643"/>
      <c r="DRD27" s="643"/>
      <c r="DRE27" s="643"/>
      <c r="DRF27" s="643"/>
      <c r="DRG27" s="643"/>
      <c r="DRH27" s="643"/>
      <c r="DRI27" s="643"/>
      <c r="DRJ27" s="643"/>
      <c r="DRK27" s="643"/>
      <c r="DRL27" s="643"/>
      <c r="DRM27" s="643"/>
      <c r="DRN27" s="643"/>
      <c r="DRO27" s="643"/>
      <c r="DRP27" s="643"/>
      <c r="DRQ27" s="643"/>
      <c r="DRR27" s="643"/>
      <c r="DRS27" s="643"/>
      <c r="DRT27" s="643"/>
      <c r="DRU27" s="643"/>
      <c r="DRV27" s="643"/>
      <c r="DRW27" s="643"/>
      <c r="DRX27" s="643"/>
      <c r="DRY27" s="643"/>
      <c r="DRZ27" s="643"/>
      <c r="DSA27" s="643"/>
      <c r="DSB27" s="643"/>
      <c r="DSC27" s="643"/>
      <c r="DSD27" s="643"/>
      <c r="DSE27" s="643"/>
      <c r="DSF27" s="643"/>
      <c r="DSG27" s="643"/>
      <c r="DSH27" s="643"/>
      <c r="DSI27" s="643"/>
      <c r="DSJ27" s="643"/>
      <c r="DSK27" s="643"/>
      <c r="DSL27" s="643"/>
      <c r="DSM27" s="643"/>
      <c r="DSN27" s="643"/>
      <c r="DSO27" s="643"/>
      <c r="DSP27" s="643"/>
      <c r="DSQ27" s="643"/>
      <c r="DSR27" s="643"/>
      <c r="DSS27" s="643"/>
      <c r="DST27" s="643"/>
      <c r="DSU27" s="643"/>
      <c r="DSV27" s="643"/>
      <c r="DSW27" s="643"/>
      <c r="DSX27" s="643"/>
      <c r="DSY27" s="643"/>
      <c r="DSZ27" s="643"/>
      <c r="DTA27" s="643"/>
      <c r="DTB27" s="643"/>
      <c r="DTC27" s="643"/>
      <c r="DTD27" s="643"/>
      <c r="DTE27" s="643"/>
      <c r="DTF27" s="643"/>
      <c r="DTG27" s="643"/>
      <c r="DTH27" s="643"/>
      <c r="DTI27" s="643"/>
      <c r="DTJ27" s="643"/>
      <c r="DTK27" s="643"/>
      <c r="DTL27" s="643"/>
      <c r="DTM27" s="643"/>
      <c r="DTN27" s="643"/>
      <c r="DTO27" s="643"/>
      <c r="DTP27" s="643"/>
      <c r="DTQ27" s="643"/>
      <c r="DTR27" s="643"/>
      <c r="DTS27" s="643"/>
      <c r="DTT27" s="643"/>
      <c r="DTU27" s="643"/>
      <c r="DTV27" s="643"/>
      <c r="DTW27" s="643"/>
      <c r="DTX27" s="643"/>
      <c r="DTY27" s="643"/>
      <c r="DTZ27" s="643"/>
      <c r="DUA27" s="643"/>
      <c r="DUB27" s="643"/>
      <c r="DUC27" s="643"/>
      <c r="DUD27" s="643"/>
      <c r="DUE27" s="643"/>
      <c r="DUF27" s="643"/>
      <c r="DUG27" s="643"/>
      <c r="DUH27" s="643"/>
      <c r="DUI27" s="643"/>
      <c r="DUJ27" s="643"/>
      <c r="DUK27" s="643"/>
      <c r="DUL27" s="643"/>
      <c r="DUM27" s="643"/>
      <c r="DUN27" s="643"/>
      <c r="DUO27" s="643"/>
      <c r="DUP27" s="643"/>
      <c r="DUQ27" s="643"/>
      <c r="DUR27" s="643"/>
      <c r="DUS27" s="643"/>
      <c r="DUT27" s="643"/>
      <c r="DUU27" s="643"/>
      <c r="DUV27" s="643"/>
      <c r="DUW27" s="643"/>
      <c r="DUX27" s="643"/>
      <c r="DUY27" s="643"/>
      <c r="DUZ27" s="643"/>
      <c r="DVA27" s="643"/>
      <c r="DVB27" s="643"/>
      <c r="DVC27" s="643"/>
      <c r="DVD27" s="643"/>
      <c r="DVE27" s="643"/>
      <c r="DVF27" s="643"/>
      <c r="DVG27" s="643"/>
      <c r="DVH27" s="643"/>
      <c r="DVI27" s="643"/>
      <c r="DVJ27" s="643"/>
      <c r="DVK27" s="643"/>
      <c r="DVL27" s="643"/>
      <c r="DVM27" s="643"/>
      <c r="DVN27" s="643"/>
      <c r="DVO27" s="643"/>
      <c r="DVP27" s="643"/>
      <c r="DVQ27" s="643"/>
      <c r="DVR27" s="643"/>
      <c r="DVS27" s="643"/>
      <c r="DVT27" s="643"/>
      <c r="DVU27" s="643"/>
      <c r="DVV27" s="643"/>
      <c r="DVW27" s="643"/>
      <c r="DVX27" s="643"/>
      <c r="DVY27" s="643"/>
      <c r="DVZ27" s="643"/>
      <c r="DWA27" s="643"/>
      <c r="DWB27" s="643"/>
      <c r="DWC27" s="643"/>
      <c r="DWD27" s="643"/>
      <c r="DWE27" s="643"/>
      <c r="DWF27" s="643"/>
      <c r="DWG27" s="643"/>
      <c r="DWH27" s="643"/>
      <c r="DWI27" s="643"/>
      <c r="DWJ27" s="643"/>
      <c r="DWK27" s="643"/>
      <c r="DWL27" s="643"/>
      <c r="DWM27" s="643"/>
      <c r="DWN27" s="643"/>
      <c r="DWO27" s="643"/>
      <c r="DWP27" s="643"/>
      <c r="DWQ27" s="643"/>
      <c r="DWR27" s="643"/>
      <c r="DWS27" s="643"/>
      <c r="DWT27" s="643"/>
      <c r="DWU27" s="643"/>
      <c r="DWV27" s="643"/>
      <c r="DWW27" s="643"/>
      <c r="DWX27" s="643"/>
      <c r="DWY27" s="643"/>
      <c r="DWZ27" s="643"/>
      <c r="DXA27" s="643"/>
      <c r="DXB27" s="643"/>
      <c r="DXC27" s="643"/>
      <c r="DXD27" s="643"/>
      <c r="DXE27" s="643"/>
      <c r="DXF27" s="643"/>
      <c r="DXG27" s="643"/>
      <c r="DXH27" s="643"/>
      <c r="DXI27" s="643"/>
      <c r="DXJ27" s="643"/>
      <c r="DXK27" s="643"/>
      <c r="DXL27" s="643"/>
      <c r="DXM27" s="643"/>
      <c r="DXN27" s="643"/>
      <c r="DXO27" s="643"/>
      <c r="DXP27" s="643"/>
      <c r="DXQ27" s="643"/>
      <c r="DXR27" s="643"/>
      <c r="DXS27" s="643"/>
      <c r="DXT27" s="643"/>
      <c r="DXU27" s="643"/>
      <c r="DXV27" s="643"/>
      <c r="DXW27" s="643"/>
      <c r="DXX27" s="643"/>
      <c r="DXY27" s="643"/>
      <c r="DXZ27" s="643"/>
      <c r="DYA27" s="643"/>
      <c r="DYB27" s="643"/>
      <c r="DYC27" s="643"/>
      <c r="DYD27" s="643"/>
      <c r="DYE27" s="643"/>
      <c r="DYF27" s="643"/>
      <c r="DYG27" s="643"/>
      <c r="DYH27" s="643"/>
      <c r="DYI27" s="643"/>
      <c r="DYJ27" s="643"/>
      <c r="DYK27" s="643"/>
      <c r="DYL27" s="643"/>
      <c r="DYM27" s="643"/>
      <c r="DYN27" s="643"/>
      <c r="DYO27" s="643"/>
      <c r="DYP27" s="643"/>
      <c r="DYQ27" s="643"/>
      <c r="DYR27" s="643"/>
      <c r="DYS27" s="643"/>
      <c r="DYT27" s="643"/>
      <c r="DYU27" s="643"/>
      <c r="DYV27" s="643"/>
      <c r="DYW27" s="643"/>
      <c r="DYX27" s="643"/>
      <c r="DYY27" s="643"/>
      <c r="DYZ27" s="643"/>
      <c r="DZA27" s="643"/>
      <c r="DZB27" s="643"/>
      <c r="DZC27" s="643"/>
      <c r="DZD27" s="643"/>
      <c r="DZE27" s="643"/>
      <c r="DZF27" s="643"/>
      <c r="DZG27" s="643"/>
      <c r="DZH27" s="643"/>
      <c r="DZI27" s="643"/>
      <c r="DZJ27" s="643"/>
      <c r="DZK27" s="643"/>
      <c r="DZL27" s="643"/>
      <c r="DZM27" s="643"/>
      <c r="DZN27" s="643"/>
      <c r="DZO27" s="643"/>
      <c r="DZP27" s="643"/>
      <c r="DZQ27" s="643"/>
      <c r="DZR27" s="643"/>
      <c r="DZS27" s="643"/>
      <c r="DZT27" s="643"/>
      <c r="DZU27" s="643"/>
      <c r="DZV27" s="643"/>
      <c r="DZW27" s="643"/>
      <c r="DZX27" s="643"/>
      <c r="DZY27" s="643"/>
      <c r="DZZ27" s="643"/>
      <c r="EAA27" s="643"/>
      <c r="EAB27" s="643"/>
      <c r="EAC27" s="643"/>
      <c r="EAD27" s="643"/>
      <c r="EAE27" s="643"/>
      <c r="EAF27" s="643"/>
      <c r="EAG27" s="643"/>
      <c r="EAH27" s="643"/>
      <c r="EAI27" s="643"/>
      <c r="EAJ27" s="643"/>
      <c r="EAK27" s="643"/>
      <c r="EAL27" s="643"/>
      <c r="EAM27" s="643"/>
      <c r="EAN27" s="643"/>
      <c r="EAO27" s="643"/>
      <c r="EAP27" s="643"/>
      <c r="EAQ27" s="643"/>
      <c r="EAR27" s="643"/>
      <c r="EAS27" s="643"/>
      <c r="EAT27" s="643"/>
      <c r="EAU27" s="643"/>
      <c r="EAV27" s="643"/>
      <c r="EAW27" s="643"/>
      <c r="EAX27" s="643"/>
      <c r="EAY27" s="643"/>
      <c r="EAZ27" s="643"/>
      <c r="EBA27" s="643"/>
      <c r="EBB27" s="643"/>
      <c r="EBC27" s="643"/>
      <c r="EBD27" s="643"/>
      <c r="EBE27" s="643"/>
      <c r="EBF27" s="643"/>
      <c r="EBG27" s="643"/>
      <c r="EBH27" s="643"/>
      <c r="EBI27" s="643"/>
      <c r="EBJ27" s="643"/>
      <c r="EBK27" s="643"/>
      <c r="EBL27" s="643"/>
      <c r="EBM27" s="643"/>
      <c r="EBN27" s="643"/>
      <c r="EBO27" s="643"/>
      <c r="EBP27" s="643"/>
      <c r="EBQ27" s="643"/>
      <c r="EBR27" s="643"/>
      <c r="EBS27" s="643"/>
      <c r="EBT27" s="643"/>
      <c r="EBU27" s="643"/>
      <c r="EBV27" s="643"/>
      <c r="EBW27" s="643"/>
      <c r="EBX27" s="643"/>
      <c r="EBY27" s="643"/>
      <c r="EBZ27" s="643"/>
      <c r="ECA27" s="643"/>
      <c r="ECB27" s="643"/>
      <c r="ECC27" s="643"/>
      <c r="ECD27" s="643"/>
      <c r="ECE27" s="643"/>
      <c r="ECF27" s="643"/>
      <c r="ECG27" s="643"/>
      <c r="ECH27" s="643"/>
      <c r="ECI27" s="643"/>
      <c r="ECJ27" s="643"/>
      <c r="ECK27" s="643"/>
      <c r="ECL27" s="643"/>
      <c r="ECM27" s="643"/>
      <c r="ECN27" s="643"/>
      <c r="ECO27" s="643"/>
      <c r="ECP27" s="643"/>
      <c r="ECQ27" s="643"/>
      <c r="ECR27" s="643"/>
      <c r="ECS27" s="643"/>
      <c r="ECT27" s="643"/>
      <c r="ECU27" s="643"/>
      <c r="ECV27" s="643"/>
      <c r="ECW27" s="643"/>
      <c r="ECX27" s="643"/>
      <c r="ECY27" s="643"/>
      <c r="ECZ27" s="643"/>
      <c r="EDA27" s="643"/>
      <c r="EDB27" s="643"/>
      <c r="EDC27" s="643"/>
      <c r="EDD27" s="643"/>
      <c r="EDE27" s="643"/>
      <c r="EDF27" s="643"/>
      <c r="EDG27" s="643"/>
      <c r="EDH27" s="643"/>
      <c r="EDI27" s="643"/>
      <c r="EDJ27" s="643"/>
      <c r="EDK27" s="643"/>
      <c r="EDL27" s="643"/>
      <c r="EDM27" s="643"/>
      <c r="EDN27" s="643"/>
      <c r="EDO27" s="643"/>
      <c r="EDP27" s="643"/>
      <c r="EDQ27" s="643"/>
      <c r="EDR27" s="643"/>
      <c r="EDS27" s="643"/>
      <c r="EDT27" s="643"/>
      <c r="EDU27" s="643"/>
      <c r="EDV27" s="643"/>
      <c r="EDW27" s="643"/>
      <c r="EDX27" s="643"/>
      <c r="EDY27" s="643"/>
      <c r="EDZ27" s="643"/>
      <c r="EEA27" s="643"/>
      <c r="EEB27" s="643"/>
      <c r="EEC27" s="643"/>
      <c r="EED27" s="643"/>
      <c r="EEE27" s="643"/>
      <c r="EEF27" s="643"/>
      <c r="EEG27" s="643"/>
      <c r="EEH27" s="643"/>
      <c r="EEI27" s="643"/>
      <c r="EEJ27" s="643"/>
      <c r="EEK27" s="643"/>
      <c r="EEL27" s="643"/>
      <c r="EEM27" s="643"/>
      <c r="EEN27" s="643"/>
      <c r="EEO27" s="643"/>
      <c r="EEP27" s="643"/>
      <c r="EEQ27" s="643"/>
      <c r="EER27" s="643"/>
      <c r="EES27" s="643"/>
      <c r="EET27" s="643"/>
      <c r="EEU27" s="643"/>
      <c r="EEV27" s="643"/>
      <c r="EEW27" s="643"/>
      <c r="EEX27" s="643"/>
      <c r="EEY27" s="643"/>
      <c r="EEZ27" s="643"/>
      <c r="EFA27" s="643"/>
      <c r="EFB27" s="643"/>
      <c r="EFC27" s="643"/>
      <c r="EFD27" s="643"/>
      <c r="EFE27" s="643"/>
      <c r="EFF27" s="643"/>
      <c r="EFG27" s="643"/>
      <c r="EFH27" s="643"/>
      <c r="EFI27" s="643"/>
      <c r="EFJ27" s="643"/>
      <c r="EFK27" s="643"/>
      <c r="EFL27" s="643"/>
      <c r="EFM27" s="643"/>
      <c r="EFN27" s="643"/>
      <c r="EFO27" s="643"/>
      <c r="EFP27" s="643"/>
      <c r="EFQ27" s="643"/>
      <c r="EFR27" s="643"/>
      <c r="EFS27" s="643"/>
      <c r="EFT27" s="643"/>
      <c r="EFU27" s="643"/>
      <c r="EFV27" s="643"/>
      <c r="EFW27" s="643"/>
      <c r="EFX27" s="643"/>
      <c r="EFY27" s="643"/>
      <c r="EFZ27" s="643"/>
      <c r="EGA27" s="643"/>
      <c r="EGB27" s="643"/>
      <c r="EGC27" s="643"/>
      <c r="EGD27" s="643"/>
      <c r="EGE27" s="643"/>
      <c r="EGF27" s="643"/>
      <c r="EGG27" s="643"/>
      <c r="EGH27" s="643"/>
      <c r="EGI27" s="643"/>
      <c r="EGJ27" s="643"/>
      <c r="EGK27" s="643"/>
      <c r="EGL27" s="643"/>
      <c r="EGM27" s="643"/>
      <c r="EGN27" s="643"/>
      <c r="EGO27" s="643"/>
      <c r="EGP27" s="643"/>
      <c r="EGQ27" s="643"/>
      <c r="EGR27" s="643"/>
      <c r="EGS27" s="643"/>
      <c r="EGT27" s="643"/>
      <c r="EGU27" s="643"/>
      <c r="EGV27" s="643"/>
      <c r="EGW27" s="643"/>
      <c r="EGX27" s="643"/>
      <c r="EGY27" s="643"/>
      <c r="EGZ27" s="643"/>
      <c r="EHA27" s="643"/>
      <c r="EHB27" s="643"/>
      <c r="EHC27" s="643"/>
      <c r="EHD27" s="643"/>
      <c r="EHE27" s="643"/>
      <c r="EHF27" s="643"/>
      <c r="EHG27" s="643"/>
      <c r="EHH27" s="643"/>
      <c r="EHI27" s="643"/>
      <c r="EHJ27" s="643"/>
      <c r="EHK27" s="643"/>
      <c r="EHL27" s="643"/>
      <c r="EHM27" s="643"/>
      <c r="EHN27" s="643"/>
      <c r="EHO27" s="643"/>
      <c r="EHP27" s="643"/>
      <c r="EHQ27" s="643"/>
      <c r="EHR27" s="643"/>
      <c r="EHS27" s="643"/>
      <c r="EHT27" s="643"/>
      <c r="EHU27" s="643"/>
      <c r="EHV27" s="643"/>
      <c r="EHW27" s="643"/>
      <c r="EHX27" s="643"/>
      <c r="EHY27" s="643"/>
      <c r="EHZ27" s="643"/>
      <c r="EIA27" s="643"/>
      <c r="EIB27" s="643"/>
      <c r="EIC27" s="643"/>
      <c r="EID27" s="643"/>
      <c r="EIE27" s="643"/>
      <c r="EIF27" s="643"/>
      <c r="EIG27" s="643"/>
      <c r="EIH27" s="643"/>
      <c r="EII27" s="643"/>
      <c r="EIJ27" s="643"/>
      <c r="EIK27" s="643"/>
      <c r="EIL27" s="643"/>
      <c r="EIM27" s="643"/>
      <c r="EIN27" s="643"/>
      <c r="EIO27" s="643"/>
      <c r="EIP27" s="643"/>
      <c r="EIQ27" s="643"/>
      <c r="EIR27" s="643"/>
      <c r="EIS27" s="643"/>
      <c r="EIT27" s="643"/>
      <c r="EIU27" s="643"/>
      <c r="EIV27" s="643"/>
      <c r="EIW27" s="643"/>
      <c r="EIX27" s="643"/>
      <c r="EIY27" s="643"/>
      <c r="EIZ27" s="643"/>
      <c r="EJA27" s="643"/>
      <c r="EJB27" s="643"/>
      <c r="EJC27" s="643"/>
      <c r="EJD27" s="643"/>
      <c r="EJE27" s="643"/>
      <c r="EJF27" s="643"/>
      <c r="EJG27" s="643"/>
      <c r="EJH27" s="643"/>
      <c r="EJI27" s="643"/>
      <c r="EJJ27" s="643"/>
      <c r="EJK27" s="643"/>
      <c r="EJL27" s="643"/>
      <c r="EJM27" s="643"/>
      <c r="EJN27" s="643"/>
      <c r="EJO27" s="643"/>
      <c r="EJP27" s="643"/>
      <c r="EJQ27" s="643"/>
      <c r="EJR27" s="643"/>
      <c r="EJS27" s="643"/>
      <c r="EJT27" s="643"/>
      <c r="EJU27" s="643"/>
      <c r="EJV27" s="643"/>
      <c r="EJW27" s="643"/>
      <c r="EJX27" s="643"/>
      <c r="EJY27" s="643"/>
      <c r="EJZ27" s="643"/>
      <c r="EKA27" s="643"/>
      <c r="EKB27" s="643"/>
      <c r="EKC27" s="643"/>
      <c r="EKD27" s="643"/>
      <c r="EKE27" s="643"/>
      <c r="EKF27" s="643"/>
      <c r="EKG27" s="643"/>
      <c r="EKH27" s="643"/>
      <c r="EKI27" s="643"/>
      <c r="EKJ27" s="643"/>
      <c r="EKK27" s="643"/>
      <c r="EKL27" s="643"/>
      <c r="EKM27" s="643"/>
      <c r="EKN27" s="643"/>
      <c r="EKO27" s="643"/>
      <c r="EKP27" s="643"/>
      <c r="EKQ27" s="643"/>
      <c r="EKR27" s="643"/>
      <c r="EKS27" s="643"/>
      <c r="EKT27" s="643"/>
      <c r="EKU27" s="643"/>
      <c r="EKV27" s="643"/>
      <c r="EKW27" s="643"/>
      <c r="EKX27" s="643"/>
      <c r="EKY27" s="643"/>
      <c r="EKZ27" s="643"/>
      <c r="ELA27" s="643"/>
      <c r="ELB27" s="643"/>
      <c r="ELC27" s="643"/>
      <c r="ELD27" s="643"/>
      <c r="ELE27" s="643"/>
      <c r="ELF27" s="643"/>
      <c r="ELG27" s="643"/>
      <c r="ELH27" s="643"/>
      <c r="ELI27" s="643"/>
      <c r="ELJ27" s="643"/>
      <c r="ELK27" s="643"/>
      <c r="ELL27" s="643"/>
      <c r="ELM27" s="643"/>
      <c r="ELN27" s="643"/>
      <c r="ELO27" s="643"/>
      <c r="ELP27" s="643"/>
      <c r="ELQ27" s="643"/>
      <c r="ELR27" s="643"/>
      <c r="ELS27" s="643"/>
      <c r="ELT27" s="643"/>
      <c r="ELU27" s="643"/>
      <c r="ELV27" s="643"/>
      <c r="ELW27" s="643"/>
      <c r="ELX27" s="643"/>
      <c r="ELY27" s="643"/>
      <c r="ELZ27" s="643"/>
      <c r="EMA27" s="643"/>
      <c r="EMB27" s="643"/>
      <c r="EMC27" s="643"/>
      <c r="EMD27" s="643"/>
      <c r="EME27" s="643"/>
      <c r="EMF27" s="643"/>
      <c r="EMG27" s="643"/>
      <c r="EMH27" s="643"/>
      <c r="EMI27" s="643"/>
      <c r="EMJ27" s="643"/>
      <c r="EMK27" s="643"/>
      <c r="EML27" s="643"/>
      <c r="EMM27" s="643"/>
      <c r="EMN27" s="643"/>
      <c r="EMO27" s="643"/>
      <c r="EMP27" s="643"/>
      <c r="EMQ27" s="643"/>
      <c r="EMR27" s="643"/>
      <c r="EMS27" s="643"/>
      <c r="EMT27" s="643"/>
      <c r="EMU27" s="643"/>
      <c r="EMV27" s="643"/>
      <c r="EMW27" s="643"/>
      <c r="EMX27" s="643"/>
      <c r="EMY27" s="643"/>
      <c r="EMZ27" s="643"/>
      <c r="ENA27" s="643"/>
      <c r="ENB27" s="643"/>
      <c r="ENC27" s="643"/>
      <c r="END27" s="643"/>
      <c r="ENE27" s="643"/>
      <c r="ENF27" s="643"/>
      <c r="ENG27" s="643"/>
      <c r="ENH27" s="643"/>
      <c r="ENI27" s="643"/>
      <c r="ENJ27" s="643"/>
      <c r="ENK27" s="643"/>
      <c r="ENL27" s="643"/>
      <c r="ENM27" s="643"/>
      <c r="ENN27" s="643"/>
      <c r="ENO27" s="643"/>
      <c r="ENP27" s="643"/>
      <c r="ENQ27" s="643"/>
      <c r="ENR27" s="643"/>
      <c r="ENS27" s="643"/>
      <c r="ENT27" s="643"/>
      <c r="ENU27" s="643"/>
      <c r="ENV27" s="643"/>
      <c r="ENW27" s="643"/>
      <c r="ENX27" s="643"/>
      <c r="ENY27" s="643"/>
      <c r="ENZ27" s="643"/>
      <c r="EOA27" s="643"/>
      <c r="EOB27" s="643"/>
      <c r="EOC27" s="643"/>
      <c r="EOD27" s="643"/>
      <c r="EOE27" s="643"/>
      <c r="EOF27" s="643"/>
      <c r="EOG27" s="643"/>
      <c r="EOH27" s="643"/>
      <c r="EOI27" s="643"/>
      <c r="EOJ27" s="643"/>
      <c r="EOK27" s="643"/>
      <c r="EOL27" s="643"/>
      <c r="EOM27" s="643"/>
      <c r="EON27" s="643"/>
      <c r="EOO27" s="643"/>
      <c r="EOP27" s="643"/>
      <c r="EOQ27" s="643"/>
      <c r="EOR27" s="643"/>
      <c r="EOS27" s="643"/>
      <c r="EOT27" s="643"/>
      <c r="EOU27" s="643"/>
      <c r="EOV27" s="643"/>
      <c r="EOW27" s="643"/>
      <c r="EOX27" s="643"/>
      <c r="EOY27" s="643"/>
      <c r="EOZ27" s="643"/>
      <c r="EPA27" s="643"/>
      <c r="EPB27" s="643"/>
      <c r="EPC27" s="643"/>
      <c r="EPD27" s="643"/>
      <c r="EPE27" s="643"/>
      <c r="EPF27" s="643"/>
      <c r="EPG27" s="643"/>
      <c r="EPH27" s="643"/>
      <c r="EPI27" s="643"/>
      <c r="EPJ27" s="643"/>
      <c r="EPK27" s="643"/>
      <c r="EPL27" s="643"/>
      <c r="EPM27" s="643"/>
      <c r="EPN27" s="643"/>
      <c r="EPO27" s="643"/>
      <c r="EPP27" s="643"/>
      <c r="EPQ27" s="643"/>
      <c r="EPR27" s="643"/>
      <c r="EPS27" s="643"/>
      <c r="EPT27" s="643"/>
      <c r="EPU27" s="643"/>
      <c r="EPV27" s="643"/>
      <c r="EPW27" s="643"/>
      <c r="EPX27" s="643"/>
      <c r="EPY27" s="643"/>
      <c r="EPZ27" s="643"/>
      <c r="EQA27" s="643"/>
      <c r="EQB27" s="643"/>
      <c r="EQC27" s="643"/>
      <c r="EQD27" s="643"/>
      <c r="EQE27" s="643"/>
      <c r="EQF27" s="643"/>
      <c r="EQG27" s="643"/>
      <c r="EQH27" s="643"/>
      <c r="EQI27" s="643"/>
      <c r="EQJ27" s="643"/>
      <c r="EQK27" s="643"/>
      <c r="EQL27" s="643"/>
      <c r="EQM27" s="643"/>
      <c r="EQN27" s="643"/>
      <c r="EQO27" s="643"/>
      <c r="EQP27" s="643"/>
      <c r="EQQ27" s="643"/>
      <c r="EQR27" s="643"/>
      <c r="EQS27" s="643"/>
      <c r="EQT27" s="643"/>
      <c r="EQU27" s="643"/>
      <c r="EQV27" s="643"/>
      <c r="EQW27" s="643"/>
      <c r="EQX27" s="643"/>
      <c r="EQY27" s="643"/>
      <c r="EQZ27" s="643"/>
      <c r="ERA27" s="643"/>
      <c r="ERB27" s="643"/>
      <c r="ERC27" s="643"/>
      <c r="ERD27" s="643"/>
      <c r="ERE27" s="643"/>
      <c r="ERF27" s="643"/>
      <c r="ERG27" s="643"/>
      <c r="ERH27" s="643"/>
      <c r="ERI27" s="643"/>
      <c r="ERJ27" s="643"/>
      <c r="ERK27" s="643"/>
      <c r="ERL27" s="643"/>
      <c r="ERM27" s="643"/>
      <c r="ERN27" s="643"/>
      <c r="ERO27" s="643"/>
      <c r="ERP27" s="643"/>
      <c r="ERQ27" s="643"/>
      <c r="ERR27" s="643"/>
      <c r="ERS27" s="643"/>
      <c r="ERT27" s="643"/>
      <c r="ERU27" s="643"/>
      <c r="ERV27" s="643"/>
      <c r="ERW27" s="643"/>
      <c r="ERX27" s="643"/>
      <c r="ERY27" s="643"/>
      <c r="ERZ27" s="643"/>
      <c r="ESA27" s="643"/>
      <c r="ESB27" s="643"/>
      <c r="ESC27" s="643"/>
      <c r="ESD27" s="643"/>
      <c r="ESE27" s="643"/>
      <c r="ESF27" s="643"/>
      <c r="ESG27" s="643"/>
      <c r="ESH27" s="643"/>
      <c r="ESI27" s="643"/>
      <c r="ESJ27" s="643"/>
      <c r="ESK27" s="643"/>
      <c r="ESL27" s="643"/>
      <c r="ESM27" s="643"/>
      <c r="ESN27" s="643"/>
      <c r="ESO27" s="643"/>
      <c r="ESP27" s="643"/>
      <c r="ESQ27" s="643"/>
      <c r="ESR27" s="643"/>
      <c r="ESS27" s="643"/>
      <c r="EST27" s="643"/>
      <c r="ESU27" s="643"/>
      <c r="ESV27" s="643"/>
      <c r="ESW27" s="643"/>
      <c r="ESX27" s="643"/>
      <c r="ESY27" s="643"/>
      <c r="ESZ27" s="643"/>
      <c r="ETA27" s="643"/>
      <c r="ETB27" s="643"/>
      <c r="ETC27" s="643"/>
      <c r="ETD27" s="643"/>
      <c r="ETE27" s="643"/>
      <c r="ETF27" s="643"/>
      <c r="ETG27" s="643"/>
      <c r="ETH27" s="643"/>
      <c r="ETI27" s="643"/>
      <c r="ETJ27" s="643"/>
      <c r="ETK27" s="643"/>
      <c r="ETL27" s="643"/>
      <c r="ETM27" s="643"/>
      <c r="ETN27" s="643"/>
      <c r="ETO27" s="643"/>
      <c r="ETP27" s="643"/>
      <c r="ETQ27" s="643"/>
      <c r="ETR27" s="643"/>
      <c r="ETS27" s="643"/>
      <c r="ETT27" s="643"/>
      <c r="ETU27" s="643"/>
      <c r="ETV27" s="643"/>
      <c r="ETW27" s="643"/>
      <c r="ETX27" s="643"/>
      <c r="ETY27" s="643"/>
      <c r="ETZ27" s="643"/>
      <c r="EUA27" s="643"/>
      <c r="EUB27" s="643"/>
      <c r="EUC27" s="643"/>
      <c r="EUD27" s="643"/>
      <c r="EUE27" s="643"/>
      <c r="EUF27" s="643"/>
      <c r="EUG27" s="643"/>
      <c r="EUH27" s="643"/>
      <c r="EUI27" s="643"/>
      <c r="EUJ27" s="643"/>
      <c r="EUK27" s="643"/>
      <c r="EUL27" s="643"/>
      <c r="EUM27" s="643"/>
      <c r="EUN27" s="643"/>
      <c r="EUO27" s="643"/>
      <c r="EUP27" s="643"/>
      <c r="EUQ27" s="643"/>
      <c r="EUR27" s="643"/>
      <c r="EUS27" s="643"/>
      <c r="EUT27" s="643"/>
      <c r="EUU27" s="643"/>
      <c r="EUV27" s="643"/>
      <c r="EUW27" s="643"/>
      <c r="EUX27" s="643"/>
      <c r="EUY27" s="643"/>
      <c r="EUZ27" s="643"/>
      <c r="EVA27" s="643"/>
      <c r="EVB27" s="643"/>
      <c r="EVC27" s="643"/>
      <c r="EVD27" s="643"/>
      <c r="EVE27" s="643"/>
      <c r="EVF27" s="643"/>
      <c r="EVG27" s="643"/>
      <c r="EVH27" s="643"/>
      <c r="EVI27" s="643"/>
      <c r="EVJ27" s="643"/>
      <c r="EVK27" s="643"/>
      <c r="EVL27" s="643"/>
      <c r="EVM27" s="643"/>
      <c r="EVN27" s="643"/>
      <c r="EVO27" s="643"/>
      <c r="EVP27" s="643"/>
      <c r="EVQ27" s="643"/>
      <c r="EVR27" s="643"/>
      <c r="EVS27" s="643"/>
      <c r="EVT27" s="643"/>
      <c r="EVU27" s="643"/>
      <c r="EVV27" s="643"/>
      <c r="EVW27" s="643"/>
      <c r="EVX27" s="643"/>
      <c r="EVY27" s="643"/>
      <c r="EVZ27" s="643"/>
      <c r="EWA27" s="643"/>
      <c r="EWB27" s="643"/>
      <c r="EWC27" s="643"/>
      <c r="EWD27" s="643"/>
      <c r="EWE27" s="643"/>
      <c r="EWF27" s="643"/>
      <c r="EWG27" s="643"/>
      <c r="EWH27" s="643"/>
      <c r="EWI27" s="643"/>
      <c r="EWJ27" s="643"/>
      <c r="EWK27" s="643"/>
      <c r="EWL27" s="643"/>
      <c r="EWM27" s="643"/>
      <c r="EWN27" s="643"/>
      <c r="EWO27" s="643"/>
      <c r="EWP27" s="643"/>
      <c r="EWQ27" s="643"/>
      <c r="EWR27" s="643"/>
      <c r="EWS27" s="643"/>
      <c r="EWT27" s="643"/>
      <c r="EWU27" s="643"/>
      <c r="EWV27" s="643"/>
      <c r="EWW27" s="643"/>
      <c r="EWX27" s="643"/>
      <c r="EWY27" s="643"/>
      <c r="EWZ27" s="643"/>
      <c r="EXA27" s="643"/>
      <c r="EXB27" s="643"/>
      <c r="EXC27" s="643"/>
      <c r="EXD27" s="643"/>
      <c r="EXE27" s="643"/>
      <c r="EXF27" s="643"/>
      <c r="EXG27" s="643"/>
      <c r="EXH27" s="643"/>
      <c r="EXI27" s="643"/>
      <c r="EXJ27" s="643"/>
      <c r="EXK27" s="643"/>
      <c r="EXL27" s="643"/>
      <c r="EXM27" s="643"/>
      <c r="EXN27" s="643"/>
      <c r="EXO27" s="643"/>
      <c r="EXP27" s="643"/>
      <c r="EXQ27" s="643"/>
      <c r="EXR27" s="643"/>
      <c r="EXS27" s="643"/>
      <c r="EXT27" s="643"/>
      <c r="EXU27" s="643"/>
      <c r="EXV27" s="643"/>
      <c r="EXW27" s="643"/>
      <c r="EXX27" s="643"/>
      <c r="EXY27" s="643"/>
      <c r="EXZ27" s="643"/>
      <c r="EYA27" s="643"/>
      <c r="EYB27" s="643"/>
      <c r="EYC27" s="643"/>
      <c r="EYD27" s="643"/>
      <c r="EYE27" s="643"/>
      <c r="EYF27" s="643"/>
      <c r="EYG27" s="643"/>
      <c r="EYH27" s="643"/>
      <c r="EYI27" s="643"/>
      <c r="EYJ27" s="643"/>
      <c r="EYK27" s="643"/>
      <c r="EYL27" s="643"/>
      <c r="EYM27" s="643"/>
      <c r="EYN27" s="643"/>
      <c r="EYO27" s="643"/>
      <c r="EYP27" s="643"/>
      <c r="EYQ27" s="643"/>
      <c r="EYR27" s="643"/>
      <c r="EYS27" s="643"/>
      <c r="EYT27" s="643"/>
      <c r="EYU27" s="643"/>
      <c r="EYV27" s="643"/>
      <c r="EYW27" s="643"/>
      <c r="EYX27" s="643"/>
      <c r="EYY27" s="643"/>
      <c r="EYZ27" s="643"/>
      <c r="EZA27" s="643"/>
      <c r="EZB27" s="643"/>
      <c r="EZC27" s="643"/>
      <c r="EZD27" s="643"/>
      <c r="EZE27" s="643"/>
      <c r="EZF27" s="643"/>
      <c r="EZG27" s="643"/>
      <c r="EZH27" s="643"/>
      <c r="EZI27" s="643"/>
      <c r="EZJ27" s="643"/>
      <c r="EZK27" s="643"/>
      <c r="EZL27" s="643"/>
      <c r="EZM27" s="643"/>
      <c r="EZN27" s="643"/>
      <c r="EZO27" s="643"/>
      <c r="EZP27" s="643"/>
      <c r="EZQ27" s="643"/>
      <c r="EZR27" s="643"/>
      <c r="EZS27" s="643"/>
      <c r="EZT27" s="643"/>
      <c r="EZU27" s="643"/>
      <c r="EZV27" s="643"/>
      <c r="EZW27" s="643"/>
      <c r="EZX27" s="643"/>
      <c r="EZY27" s="643"/>
      <c r="EZZ27" s="643"/>
      <c r="FAA27" s="643"/>
      <c r="FAB27" s="643"/>
      <c r="FAC27" s="643"/>
      <c r="FAD27" s="643"/>
      <c r="FAE27" s="643"/>
      <c r="FAF27" s="643"/>
      <c r="FAG27" s="643"/>
      <c r="FAH27" s="643"/>
      <c r="FAI27" s="643"/>
      <c r="FAJ27" s="643"/>
      <c r="FAK27" s="643"/>
      <c r="FAL27" s="643"/>
      <c r="FAM27" s="643"/>
      <c r="FAN27" s="643"/>
      <c r="FAO27" s="643"/>
      <c r="FAP27" s="643"/>
      <c r="FAQ27" s="643"/>
      <c r="FAR27" s="643"/>
      <c r="FAS27" s="643"/>
      <c r="FAT27" s="643"/>
      <c r="FAU27" s="643"/>
      <c r="FAV27" s="643"/>
      <c r="FAW27" s="643"/>
      <c r="FAX27" s="643"/>
      <c r="FAY27" s="643"/>
      <c r="FAZ27" s="643"/>
      <c r="FBA27" s="643"/>
      <c r="FBB27" s="643"/>
      <c r="FBC27" s="643"/>
      <c r="FBD27" s="643"/>
      <c r="FBE27" s="643"/>
      <c r="FBF27" s="643"/>
      <c r="FBG27" s="643"/>
      <c r="FBH27" s="643"/>
      <c r="FBI27" s="643"/>
      <c r="FBJ27" s="643"/>
      <c r="FBK27" s="643"/>
      <c r="FBL27" s="643"/>
      <c r="FBM27" s="643"/>
      <c r="FBN27" s="643"/>
      <c r="FBO27" s="643"/>
      <c r="FBP27" s="643"/>
      <c r="FBQ27" s="643"/>
      <c r="FBR27" s="643"/>
      <c r="FBS27" s="643"/>
      <c r="FBT27" s="643"/>
      <c r="FBU27" s="643"/>
      <c r="FBV27" s="643"/>
      <c r="FBW27" s="643"/>
      <c r="FBX27" s="643"/>
      <c r="FBY27" s="643"/>
      <c r="FBZ27" s="643"/>
      <c r="FCA27" s="643"/>
      <c r="FCB27" s="643"/>
      <c r="FCC27" s="643"/>
      <c r="FCD27" s="643"/>
      <c r="FCE27" s="643"/>
      <c r="FCF27" s="643"/>
      <c r="FCG27" s="643"/>
      <c r="FCH27" s="643"/>
      <c r="FCI27" s="643"/>
      <c r="FCJ27" s="643"/>
      <c r="FCK27" s="643"/>
      <c r="FCL27" s="643"/>
      <c r="FCM27" s="643"/>
      <c r="FCN27" s="643"/>
      <c r="FCO27" s="643"/>
      <c r="FCP27" s="643"/>
      <c r="FCQ27" s="643"/>
      <c r="FCR27" s="643"/>
      <c r="FCS27" s="643"/>
      <c r="FCT27" s="643"/>
      <c r="FCU27" s="643"/>
      <c r="FCV27" s="643"/>
      <c r="FCW27" s="643"/>
      <c r="FCX27" s="643"/>
      <c r="FCY27" s="643"/>
      <c r="FCZ27" s="643"/>
      <c r="FDA27" s="643"/>
      <c r="FDB27" s="643"/>
      <c r="FDC27" s="643"/>
      <c r="FDD27" s="643"/>
      <c r="FDE27" s="643"/>
      <c r="FDF27" s="643"/>
      <c r="FDG27" s="643"/>
      <c r="FDH27" s="643"/>
      <c r="FDI27" s="643"/>
      <c r="FDJ27" s="643"/>
      <c r="FDK27" s="643"/>
      <c r="FDL27" s="643"/>
      <c r="FDM27" s="643"/>
      <c r="FDN27" s="643"/>
      <c r="FDO27" s="643"/>
      <c r="FDP27" s="643"/>
      <c r="FDQ27" s="643"/>
      <c r="FDR27" s="643"/>
      <c r="FDS27" s="643"/>
      <c r="FDT27" s="643"/>
      <c r="FDU27" s="643"/>
      <c r="FDV27" s="643"/>
      <c r="FDW27" s="643"/>
      <c r="FDX27" s="643"/>
      <c r="FDY27" s="643"/>
      <c r="FDZ27" s="643"/>
      <c r="FEA27" s="643"/>
      <c r="FEB27" s="643"/>
      <c r="FEC27" s="643"/>
      <c r="FED27" s="643"/>
      <c r="FEE27" s="643"/>
      <c r="FEF27" s="643"/>
      <c r="FEG27" s="643"/>
      <c r="FEH27" s="643"/>
      <c r="FEI27" s="643"/>
      <c r="FEJ27" s="643"/>
      <c r="FEK27" s="643"/>
      <c r="FEL27" s="643"/>
      <c r="FEM27" s="643"/>
      <c r="FEN27" s="643"/>
      <c r="FEO27" s="643"/>
      <c r="FEP27" s="643"/>
      <c r="FEQ27" s="643"/>
      <c r="FER27" s="643"/>
      <c r="FES27" s="643"/>
      <c r="FET27" s="643"/>
      <c r="FEU27" s="643"/>
      <c r="FEV27" s="643"/>
      <c r="FEW27" s="643"/>
      <c r="FEX27" s="643"/>
      <c r="FEY27" s="643"/>
      <c r="FEZ27" s="643"/>
      <c r="FFA27" s="643"/>
      <c r="FFB27" s="643"/>
      <c r="FFC27" s="643"/>
      <c r="FFD27" s="643"/>
      <c r="FFE27" s="643"/>
      <c r="FFF27" s="643"/>
      <c r="FFG27" s="643"/>
      <c r="FFH27" s="643"/>
      <c r="FFI27" s="643"/>
      <c r="FFJ27" s="643"/>
      <c r="FFK27" s="643"/>
      <c r="FFL27" s="643"/>
      <c r="FFM27" s="643"/>
      <c r="FFN27" s="643"/>
      <c r="FFO27" s="643"/>
      <c r="FFP27" s="643"/>
      <c r="FFQ27" s="643"/>
      <c r="FFR27" s="643"/>
      <c r="FFS27" s="643"/>
      <c r="FFT27" s="643"/>
      <c r="FFU27" s="643"/>
      <c r="FFV27" s="643"/>
      <c r="FFW27" s="643"/>
      <c r="FFX27" s="643"/>
      <c r="FFY27" s="643"/>
      <c r="FFZ27" s="643"/>
      <c r="FGA27" s="643"/>
      <c r="FGB27" s="643"/>
      <c r="FGC27" s="643"/>
      <c r="FGD27" s="643"/>
      <c r="FGE27" s="643"/>
      <c r="FGF27" s="643"/>
      <c r="FGG27" s="643"/>
      <c r="FGH27" s="643"/>
      <c r="FGI27" s="643"/>
      <c r="FGJ27" s="643"/>
      <c r="FGK27" s="643"/>
      <c r="FGL27" s="643"/>
      <c r="FGM27" s="643"/>
      <c r="FGN27" s="643"/>
      <c r="FGO27" s="643"/>
      <c r="FGP27" s="643"/>
      <c r="FGQ27" s="643"/>
      <c r="FGR27" s="643"/>
      <c r="FGS27" s="643"/>
      <c r="FGT27" s="643"/>
      <c r="FGU27" s="643"/>
      <c r="FGV27" s="643"/>
      <c r="FGW27" s="643"/>
      <c r="FGX27" s="643"/>
      <c r="FGY27" s="643"/>
      <c r="FGZ27" s="643"/>
      <c r="FHA27" s="643"/>
      <c r="FHB27" s="643"/>
      <c r="FHC27" s="643"/>
      <c r="FHD27" s="643"/>
      <c r="FHE27" s="643"/>
      <c r="FHF27" s="643"/>
      <c r="FHG27" s="643"/>
      <c r="FHH27" s="643"/>
      <c r="FHI27" s="643"/>
      <c r="FHJ27" s="643"/>
      <c r="FHK27" s="643"/>
      <c r="FHL27" s="643"/>
      <c r="FHM27" s="643"/>
      <c r="FHN27" s="643"/>
      <c r="FHO27" s="643"/>
      <c r="FHP27" s="643"/>
      <c r="FHQ27" s="643"/>
      <c r="FHR27" s="643"/>
      <c r="FHS27" s="643"/>
      <c r="FHT27" s="643"/>
      <c r="FHU27" s="643"/>
      <c r="FHV27" s="643"/>
      <c r="FHW27" s="643"/>
      <c r="FHX27" s="643"/>
      <c r="FHY27" s="643"/>
      <c r="FHZ27" s="643"/>
      <c r="FIA27" s="643"/>
      <c r="FIB27" s="643"/>
      <c r="FIC27" s="643"/>
      <c r="FID27" s="643"/>
      <c r="FIE27" s="643"/>
      <c r="FIF27" s="643"/>
      <c r="FIG27" s="643"/>
      <c r="FIH27" s="643"/>
      <c r="FII27" s="643"/>
      <c r="FIJ27" s="643"/>
      <c r="FIK27" s="643"/>
      <c r="FIL27" s="643"/>
      <c r="FIM27" s="643"/>
      <c r="FIN27" s="643"/>
      <c r="FIO27" s="643"/>
      <c r="FIP27" s="643"/>
      <c r="FIQ27" s="643"/>
      <c r="FIR27" s="643"/>
      <c r="FIS27" s="643"/>
      <c r="FIT27" s="643"/>
      <c r="FIU27" s="643"/>
      <c r="FIV27" s="643"/>
      <c r="FIW27" s="643"/>
      <c r="FIX27" s="643"/>
      <c r="FIY27" s="643"/>
      <c r="FIZ27" s="643"/>
      <c r="FJA27" s="643"/>
      <c r="FJB27" s="643"/>
      <c r="FJC27" s="643"/>
      <c r="FJD27" s="643"/>
      <c r="FJE27" s="643"/>
      <c r="FJF27" s="643"/>
      <c r="FJG27" s="643"/>
      <c r="FJH27" s="643"/>
      <c r="FJI27" s="643"/>
      <c r="FJJ27" s="643"/>
      <c r="FJK27" s="643"/>
      <c r="FJL27" s="643"/>
      <c r="FJM27" s="643"/>
      <c r="FJN27" s="643"/>
      <c r="FJO27" s="643"/>
      <c r="FJP27" s="643"/>
      <c r="FJQ27" s="643"/>
      <c r="FJR27" s="643"/>
      <c r="FJS27" s="643"/>
      <c r="FJT27" s="643"/>
      <c r="FJU27" s="643"/>
      <c r="FJV27" s="643"/>
      <c r="FJW27" s="643"/>
      <c r="FJX27" s="643"/>
      <c r="FJY27" s="643"/>
      <c r="FJZ27" s="643"/>
      <c r="FKA27" s="643"/>
      <c r="FKB27" s="643"/>
      <c r="FKC27" s="643"/>
      <c r="FKD27" s="643"/>
      <c r="FKE27" s="643"/>
      <c r="FKF27" s="643"/>
      <c r="FKG27" s="643"/>
      <c r="FKH27" s="643"/>
      <c r="FKI27" s="643"/>
      <c r="FKJ27" s="643"/>
      <c r="FKK27" s="643"/>
      <c r="FKL27" s="643"/>
      <c r="FKM27" s="643"/>
      <c r="FKN27" s="643"/>
      <c r="FKO27" s="643"/>
      <c r="FKP27" s="643"/>
      <c r="FKQ27" s="643"/>
      <c r="FKR27" s="643"/>
      <c r="FKS27" s="643"/>
      <c r="FKT27" s="643"/>
      <c r="FKU27" s="643"/>
      <c r="FKV27" s="643"/>
      <c r="FKW27" s="643"/>
      <c r="FKX27" s="643"/>
      <c r="FKY27" s="643"/>
      <c r="FKZ27" s="643"/>
      <c r="FLA27" s="643"/>
      <c r="FLB27" s="643"/>
      <c r="FLC27" s="643"/>
      <c r="FLD27" s="643"/>
      <c r="FLE27" s="643"/>
      <c r="FLF27" s="643"/>
      <c r="FLG27" s="643"/>
      <c r="FLH27" s="643"/>
      <c r="FLI27" s="643"/>
      <c r="FLJ27" s="643"/>
      <c r="FLK27" s="643"/>
      <c r="FLL27" s="643"/>
      <c r="FLM27" s="643"/>
      <c r="FLN27" s="643"/>
      <c r="FLO27" s="643"/>
      <c r="FLP27" s="643"/>
      <c r="FLQ27" s="643"/>
      <c r="FLR27" s="643"/>
      <c r="FLS27" s="643"/>
      <c r="FLT27" s="643"/>
      <c r="FLU27" s="643"/>
      <c r="FLV27" s="643"/>
      <c r="FLW27" s="643"/>
      <c r="FLX27" s="643"/>
      <c r="FLY27" s="643"/>
      <c r="FLZ27" s="643"/>
      <c r="FMA27" s="643"/>
      <c r="FMB27" s="643"/>
      <c r="FMC27" s="643"/>
      <c r="FMD27" s="643"/>
      <c r="FME27" s="643"/>
      <c r="FMF27" s="643"/>
      <c r="FMG27" s="643"/>
      <c r="FMH27" s="643"/>
      <c r="FMI27" s="643"/>
      <c r="FMJ27" s="643"/>
      <c r="FMK27" s="643"/>
      <c r="FML27" s="643"/>
      <c r="FMM27" s="643"/>
      <c r="FMN27" s="643"/>
      <c r="FMO27" s="643"/>
      <c r="FMP27" s="643"/>
      <c r="FMQ27" s="643"/>
      <c r="FMR27" s="643"/>
      <c r="FMS27" s="643"/>
      <c r="FMT27" s="643"/>
      <c r="FMU27" s="643"/>
      <c r="FMV27" s="643"/>
      <c r="FMW27" s="643"/>
      <c r="FMX27" s="643"/>
      <c r="FMY27" s="643"/>
      <c r="FMZ27" s="643"/>
      <c r="FNA27" s="643"/>
      <c r="FNB27" s="643"/>
      <c r="FNC27" s="643"/>
      <c r="FND27" s="643"/>
      <c r="FNE27" s="643"/>
      <c r="FNF27" s="643"/>
      <c r="FNG27" s="643"/>
      <c r="FNH27" s="643"/>
      <c r="FNI27" s="643"/>
      <c r="FNJ27" s="643"/>
      <c r="FNK27" s="643"/>
      <c r="FNL27" s="643"/>
      <c r="FNM27" s="643"/>
      <c r="FNN27" s="643"/>
      <c r="FNO27" s="643"/>
      <c r="FNP27" s="643"/>
      <c r="FNQ27" s="643"/>
      <c r="FNR27" s="643"/>
      <c r="FNS27" s="643"/>
      <c r="FNT27" s="643"/>
      <c r="FNU27" s="643"/>
      <c r="FNV27" s="643"/>
      <c r="FNW27" s="643"/>
      <c r="FNX27" s="643"/>
      <c r="FNY27" s="643"/>
      <c r="FNZ27" s="643"/>
      <c r="FOA27" s="643"/>
      <c r="FOB27" s="643"/>
      <c r="FOC27" s="643"/>
      <c r="FOD27" s="643"/>
      <c r="FOE27" s="643"/>
      <c r="FOF27" s="643"/>
      <c r="FOG27" s="643"/>
      <c r="FOH27" s="643"/>
      <c r="FOI27" s="643"/>
      <c r="FOJ27" s="643"/>
      <c r="FOK27" s="643"/>
      <c r="FOL27" s="643"/>
      <c r="FOM27" s="643"/>
      <c r="FON27" s="643"/>
      <c r="FOO27" s="643"/>
      <c r="FOP27" s="643"/>
      <c r="FOQ27" s="643"/>
      <c r="FOR27" s="643"/>
      <c r="FOS27" s="643"/>
      <c r="FOT27" s="643"/>
      <c r="FOU27" s="643"/>
      <c r="FOV27" s="643"/>
      <c r="FOW27" s="643"/>
      <c r="FOX27" s="643"/>
      <c r="FOY27" s="643"/>
      <c r="FOZ27" s="643"/>
      <c r="FPA27" s="643"/>
      <c r="FPB27" s="643"/>
      <c r="FPC27" s="643"/>
      <c r="FPD27" s="643"/>
      <c r="FPE27" s="643"/>
      <c r="FPF27" s="643"/>
      <c r="FPG27" s="643"/>
      <c r="FPH27" s="643"/>
      <c r="FPI27" s="643"/>
      <c r="FPJ27" s="643"/>
      <c r="FPK27" s="643"/>
      <c r="FPL27" s="643"/>
      <c r="FPM27" s="643"/>
      <c r="FPN27" s="643"/>
      <c r="FPO27" s="643"/>
      <c r="FPP27" s="643"/>
      <c r="FPQ27" s="643"/>
      <c r="FPR27" s="643"/>
      <c r="FPS27" s="643"/>
      <c r="FPT27" s="643"/>
      <c r="FPU27" s="643"/>
      <c r="FPV27" s="643"/>
      <c r="FPW27" s="643"/>
      <c r="FPX27" s="643"/>
      <c r="FPY27" s="643"/>
      <c r="FPZ27" s="643"/>
      <c r="FQA27" s="643"/>
      <c r="FQB27" s="643"/>
      <c r="FQC27" s="643"/>
      <c r="FQD27" s="643"/>
      <c r="FQE27" s="643"/>
      <c r="FQF27" s="643"/>
      <c r="FQG27" s="643"/>
      <c r="FQH27" s="643"/>
      <c r="FQI27" s="643"/>
      <c r="FQJ27" s="643"/>
      <c r="FQK27" s="643"/>
      <c r="FQL27" s="643"/>
      <c r="FQM27" s="643"/>
      <c r="FQN27" s="643"/>
      <c r="FQO27" s="643"/>
      <c r="FQP27" s="643"/>
      <c r="FQQ27" s="643"/>
      <c r="FQR27" s="643"/>
      <c r="FQS27" s="643"/>
      <c r="FQT27" s="643"/>
      <c r="FQU27" s="643"/>
      <c r="FQV27" s="643"/>
      <c r="FQW27" s="643"/>
      <c r="FQX27" s="643"/>
      <c r="FQY27" s="643"/>
      <c r="FQZ27" s="643"/>
      <c r="FRA27" s="643"/>
      <c r="FRB27" s="643"/>
      <c r="FRC27" s="643"/>
      <c r="FRD27" s="643"/>
      <c r="FRE27" s="643"/>
      <c r="FRF27" s="643"/>
      <c r="FRG27" s="643"/>
      <c r="FRH27" s="643"/>
      <c r="FRI27" s="643"/>
      <c r="FRJ27" s="643"/>
      <c r="FRK27" s="643"/>
      <c r="FRL27" s="643"/>
      <c r="FRM27" s="643"/>
      <c r="FRN27" s="643"/>
      <c r="FRO27" s="643"/>
      <c r="FRP27" s="643"/>
      <c r="FRQ27" s="643"/>
      <c r="FRR27" s="643"/>
      <c r="FRS27" s="643"/>
      <c r="FRT27" s="643"/>
      <c r="FRU27" s="643"/>
      <c r="FRV27" s="643"/>
      <c r="FRW27" s="643"/>
      <c r="FRX27" s="643"/>
      <c r="FRY27" s="643"/>
      <c r="FRZ27" s="643"/>
      <c r="FSA27" s="643"/>
      <c r="FSB27" s="643"/>
      <c r="FSC27" s="643"/>
      <c r="FSD27" s="643"/>
      <c r="FSE27" s="643"/>
      <c r="FSF27" s="643"/>
      <c r="FSG27" s="643"/>
      <c r="FSH27" s="643"/>
      <c r="FSI27" s="643"/>
      <c r="FSJ27" s="643"/>
      <c r="FSK27" s="643"/>
      <c r="FSL27" s="643"/>
      <c r="FSM27" s="643"/>
      <c r="FSN27" s="643"/>
      <c r="FSO27" s="643"/>
      <c r="FSP27" s="643"/>
      <c r="FSQ27" s="643"/>
      <c r="FSR27" s="643"/>
      <c r="FSS27" s="643"/>
      <c r="FST27" s="643"/>
      <c r="FSU27" s="643"/>
      <c r="FSV27" s="643"/>
      <c r="FSW27" s="643"/>
      <c r="FSX27" s="643"/>
      <c r="FSY27" s="643"/>
      <c r="FSZ27" s="643"/>
      <c r="FTA27" s="643"/>
      <c r="FTB27" s="643"/>
      <c r="FTC27" s="643"/>
      <c r="FTD27" s="643"/>
      <c r="FTE27" s="643"/>
      <c r="FTF27" s="643"/>
      <c r="FTG27" s="643"/>
      <c r="FTH27" s="643"/>
      <c r="FTI27" s="643"/>
      <c r="FTJ27" s="643"/>
      <c r="FTK27" s="643"/>
      <c r="FTL27" s="643"/>
      <c r="FTM27" s="643"/>
      <c r="FTN27" s="643"/>
      <c r="FTO27" s="643"/>
      <c r="FTP27" s="643"/>
      <c r="FTQ27" s="643"/>
      <c r="FTR27" s="643"/>
      <c r="FTS27" s="643"/>
      <c r="FTT27" s="643"/>
      <c r="FTU27" s="643"/>
      <c r="FTV27" s="643"/>
      <c r="FTW27" s="643"/>
      <c r="FTX27" s="643"/>
      <c r="FTY27" s="643"/>
      <c r="FTZ27" s="643"/>
      <c r="FUA27" s="643"/>
      <c r="FUB27" s="643"/>
      <c r="FUC27" s="643"/>
      <c r="FUD27" s="643"/>
      <c r="FUE27" s="643"/>
      <c r="FUF27" s="643"/>
      <c r="FUG27" s="643"/>
      <c r="FUH27" s="643"/>
      <c r="FUI27" s="643"/>
      <c r="FUJ27" s="643"/>
      <c r="FUK27" s="643"/>
      <c r="FUL27" s="643"/>
      <c r="FUM27" s="643"/>
      <c r="FUN27" s="643"/>
      <c r="FUO27" s="643"/>
      <c r="FUP27" s="643"/>
      <c r="FUQ27" s="643"/>
      <c r="FUR27" s="643"/>
      <c r="FUS27" s="643"/>
      <c r="FUT27" s="643"/>
      <c r="FUU27" s="643"/>
      <c r="FUV27" s="643"/>
      <c r="FUW27" s="643"/>
      <c r="FUX27" s="643"/>
      <c r="FUY27" s="643"/>
      <c r="FUZ27" s="643"/>
      <c r="FVA27" s="643"/>
      <c r="FVB27" s="643"/>
      <c r="FVC27" s="643"/>
      <c r="FVD27" s="643"/>
      <c r="FVE27" s="643"/>
      <c r="FVF27" s="643"/>
      <c r="FVG27" s="643"/>
      <c r="FVH27" s="643"/>
      <c r="FVI27" s="643"/>
      <c r="FVJ27" s="643"/>
      <c r="FVK27" s="643"/>
      <c r="FVL27" s="643"/>
      <c r="FVM27" s="643"/>
      <c r="FVN27" s="643"/>
      <c r="FVO27" s="643"/>
      <c r="FVP27" s="643"/>
      <c r="FVQ27" s="643"/>
      <c r="FVR27" s="643"/>
      <c r="FVS27" s="643"/>
      <c r="FVT27" s="643"/>
      <c r="FVU27" s="643"/>
      <c r="FVV27" s="643"/>
      <c r="FVW27" s="643"/>
      <c r="FVX27" s="643"/>
      <c r="FVY27" s="643"/>
      <c r="FVZ27" s="643"/>
      <c r="FWA27" s="643"/>
      <c r="FWB27" s="643"/>
      <c r="FWC27" s="643"/>
      <c r="FWD27" s="643"/>
      <c r="FWE27" s="643"/>
      <c r="FWF27" s="643"/>
      <c r="FWG27" s="643"/>
      <c r="FWH27" s="643"/>
      <c r="FWI27" s="643"/>
      <c r="FWJ27" s="643"/>
      <c r="FWK27" s="643"/>
      <c r="FWL27" s="643"/>
      <c r="FWM27" s="643"/>
      <c r="FWN27" s="643"/>
      <c r="FWO27" s="643"/>
      <c r="FWP27" s="643"/>
      <c r="FWQ27" s="643"/>
      <c r="FWR27" s="643"/>
      <c r="FWS27" s="643"/>
      <c r="FWT27" s="643"/>
      <c r="FWU27" s="643"/>
      <c r="FWV27" s="643"/>
      <c r="FWW27" s="643"/>
      <c r="FWX27" s="643"/>
      <c r="FWY27" s="643"/>
      <c r="FWZ27" s="643"/>
      <c r="FXA27" s="643"/>
      <c r="FXB27" s="643"/>
      <c r="FXC27" s="643"/>
      <c r="FXD27" s="643"/>
      <c r="FXE27" s="643"/>
      <c r="FXF27" s="643"/>
      <c r="FXG27" s="643"/>
      <c r="FXH27" s="643"/>
      <c r="FXI27" s="643"/>
      <c r="FXJ27" s="643"/>
      <c r="FXK27" s="643"/>
      <c r="FXL27" s="643"/>
      <c r="FXM27" s="643"/>
      <c r="FXN27" s="643"/>
      <c r="FXO27" s="643"/>
      <c r="FXP27" s="643"/>
      <c r="FXQ27" s="643"/>
      <c r="FXR27" s="643"/>
      <c r="FXS27" s="643"/>
      <c r="FXT27" s="643"/>
      <c r="FXU27" s="643"/>
      <c r="FXV27" s="643"/>
      <c r="FXW27" s="643"/>
      <c r="FXX27" s="643"/>
      <c r="FXY27" s="643"/>
      <c r="FXZ27" s="643"/>
      <c r="FYA27" s="643"/>
      <c r="FYB27" s="643"/>
      <c r="FYC27" s="643"/>
      <c r="FYD27" s="643"/>
      <c r="FYE27" s="643"/>
      <c r="FYF27" s="643"/>
      <c r="FYG27" s="643"/>
      <c r="FYH27" s="643"/>
      <c r="FYI27" s="643"/>
      <c r="FYJ27" s="643"/>
      <c r="FYK27" s="643"/>
      <c r="FYL27" s="643"/>
      <c r="FYM27" s="643"/>
      <c r="FYN27" s="643"/>
      <c r="FYO27" s="643"/>
      <c r="FYP27" s="643"/>
      <c r="FYQ27" s="643"/>
      <c r="FYR27" s="643"/>
      <c r="FYS27" s="643"/>
      <c r="FYT27" s="643"/>
      <c r="FYU27" s="643"/>
      <c r="FYV27" s="643"/>
      <c r="FYW27" s="643"/>
      <c r="FYX27" s="643"/>
      <c r="FYY27" s="643"/>
      <c r="FYZ27" s="643"/>
      <c r="FZA27" s="643"/>
      <c r="FZB27" s="643"/>
      <c r="FZC27" s="643"/>
      <c r="FZD27" s="643"/>
      <c r="FZE27" s="643"/>
      <c r="FZF27" s="643"/>
      <c r="FZG27" s="643"/>
      <c r="FZH27" s="643"/>
      <c r="FZI27" s="643"/>
      <c r="FZJ27" s="643"/>
      <c r="FZK27" s="643"/>
      <c r="FZL27" s="643"/>
      <c r="FZM27" s="643"/>
      <c r="FZN27" s="643"/>
      <c r="FZO27" s="643"/>
      <c r="FZP27" s="643"/>
      <c r="FZQ27" s="643"/>
      <c r="FZR27" s="643"/>
      <c r="FZS27" s="643"/>
      <c r="FZT27" s="643"/>
      <c r="FZU27" s="643"/>
      <c r="FZV27" s="643"/>
      <c r="FZW27" s="643"/>
      <c r="FZX27" s="643"/>
      <c r="FZY27" s="643"/>
      <c r="FZZ27" s="643"/>
      <c r="GAA27" s="643"/>
      <c r="GAB27" s="643"/>
      <c r="GAC27" s="643"/>
      <c r="GAD27" s="643"/>
      <c r="GAE27" s="643"/>
      <c r="GAF27" s="643"/>
      <c r="GAG27" s="643"/>
      <c r="GAH27" s="643"/>
      <c r="GAI27" s="643"/>
      <c r="GAJ27" s="643"/>
      <c r="GAK27" s="643"/>
      <c r="GAL27" s="643"/>
      <c r="GAM27" s="643"/>
      <c r="GAN27" s="643"/>
      <c r="GAO27" s="643"/>
      <c r="GAP27" s="643"/>
      <c r="GAQ27" s="643"/>
      <c r="GAR27" s="643"/>
      <c r="GAS27" s="643"/>
      <c r="GAT27" s="643"/>
      <c r="GAU27" s="643"/>
      <c r="GAV27" s="643"/>
      <c r="GAW27" s="643"/>
      <c r="GAX27" s="643"/>
      <c r="GAY27" s="643"/>
      <c r="GAZ27" s="643"/>
      <c r="GBA27" s="643"/>
      <c r="GBB27" s="643"/>
      <c r="GBC27" s="643"/>
      <c r="GBD27" s="643"/>
      <c r="GBE27" s="643"/>
      <c r="GBF27" s="643"/>
      <c r="GBG27" s="643"/>
      <c r="GBH27" s="643"/>
      <c r="GBI27" s="643"/>
      <c r="GBJ27" s="643"/>
      <c r="GBK27" s="643"/>
      <c r="GBL27" s="643"/>
      <c r="GBM27" s="643"/>
      <c r="GBN27" s="643"/>
      <c r="GBO27" s="643"/>
      <c r="GBP27" s="643"/>
      <c r="GBQ27" s="643"/>
      <c r="GBR27" s="643"/>
      <c r="GBS27" s="643"/>
      <c r="GBT27" s="643"/>
      <c r="GBU27" s="643"/>
      <c r="GBV27" s="643"/>
      <c r="GBW27" s="643"/>
      <c r="GBX27" s="643"/>
      <c r="GBY27" s="643"/>
      <c r="GBZ27" s="643"/>
      <c r="GCA27" s="643"/>
      <c r="GCB27" s="643"/>
      <c r="GCC27" s="643"/>
      <c r="GCD27" s="643"/>
      <c r="GCE27" s="643"/>
      <c r="GCF27" s="643"/>
      <c r="GCG27" s="643"/>
      <c r="GCH27" s="643"/>
      <c r="GCI27" s="643"/>
      <c r="GCJ27" s="643"/>
      <c r="GCK27" s="643"/>
      <c r="GCL27" s="643"/>
      <c r="GCM27" s="643"/>
      <c r="GCN27" s="643"/>
      <c r="GCO27" s="643"/>
      <c r="GCP27" s="643"/>
      <c r="GCQ27" s="643"/>
      <c r="GCR27" s="643"/>
      <c r="GCS27" s="643"/>
      <c r="GCT27" s="643"/>
      <c r="GCU27" s="643"/>
      <c r="GCV27" s="643"/>
      <c r="GCW27" s="643"/>
      <c r="GCX27" s="643"/>
      <c r="GCY27" s="643"/>
      <c r="GCZ27" s="643"/>
      <c r="GDA27" s="643"/>
      <c r="GDB27" s="643"/>
      <c r="GDC27" s="643"/>
      <c r="GDD27" s="643"/>
      <c r="GDE27" s="643"/>
      <c r="GDF27" s="643"/>
      <c r="GDG27" s="643"/>
      <c r="GDH27" s="643"/>
      <c r="GDI27" s="643"/>
      <c r="GDJ27" s="643"/>
      <c r="GDK27" s="643"/>
      <c r="GDL27" s="643"/>
      <c r="GDM27" s="643"/>
      <c r="GDN27" s="643"/>
      <c r="GDO27" s="643"/>
      <c r="GDP27" s="643"/>
      <c r="GDQ27" s="643"/>
      <c r="GDR27" s="643"/>
      <c r="GDS27" s="643"/>
      <c r="GDT27" s="643"/>
      <c r="GDU27" s="643"/>
      <c r="GDV27" s="643"/>
      <c r="GDW27" s="643"/>
      <c r="GDX27" s="643"/>
      <c r="GDY27" s="643"/>
      <c r="GDZ27" s="643"/>
      <c r="GEA27" s="643"/>
      <c r="GEB27" s="643"/>
      <c r="GEC27" s="643"/>
      <c r="GED27" s="643"/>
      <c r="GEE27" s="643"/>
      <c r="GEF27" s="643"/>
      <c r="GEG27" s="643"/>
      <c r="GEH27" s="643"/>
      <c r="GEI27" s="643"/>
      <c r="GEJ27" s="643"/>
      <c r="GEK27" s="643"/>
      <c r="GEL27" s="643"/>
      <c r="GEM27" s="643"/>
      <c r="GEN27" s="643"/>
      <c r="GEO27" s="643"/>
      <c r="GEP27" s="643"/>
      <c r="GEQ27" s="643"/>
      <c r="GER27" s="643"/>
      <c r="GES27" s="643"/>
      <c r="GET27" s="643"/>
      <c r="GEU27" s="643"/>
      <c r="GEV27" s="643"/>
      <c r="GEW27" s="643"/>
      <c r="GEX27" s="643"/>
      <c r="GEY27" s="643"/>
      <c r="GEZ27" s="643"/>
      <c r="GFA27" s="643"/>
      <c r="GFB27" s="643"/>
      <c r="GFC27" s="643"/>
      <c r="GFD27" s="643"/>
      <c r="GFE27" s="643"/>
      <c r="GFF27" s="643"/>
      <c r="GFG27" s="643"/>
      <c r="GFH27" s="643"/>
      <c r="GFI27" s="643"/>
      <c r="GFJ27" s="643"/>
      <c r="GFK27" s="643"/>
      <c r="GFL27" s="643"/>
      <c r="GFM27" s="643"/>
      <c r="GFN27" s="643"/>
      <c r="GFO27" s="643"/>
      <c r="GFP27" s="643"/>
      <c r="GFQ27" s="643"/>
      <c r="GFR27" s="643"/>
      <c r="GFS27" s="643"/>
      <c r="GFT27" s="643"/>
      <c r="GFU27" s="643"/>
      <c r="GFV27" s="643"/>
      <c r="GFW27" s="643"/>
      <c r="GFX27" s="643"/>
      <c r="GFY27" s="643"/>
      <c r="GFZ27" s="643"/>
      <c r="GGA27" s="643"/>
      <c r="GGB27" s="643"/>
      <c r="GGC27" s="643"/>
      <c r="GGD27" s="643"/>
      <c r="GGE27" s="643"/>
      <c r="GGF27" s="643"/>
      <c r="GGG27" s="643"/>
      <c r="GGH27" s="643"/>
      <c r="GGI27" s="643"/>
      <c r="GGJ27" s="643"/>
      <c r="GGK27" s="643"/>
      <c r="GGL27" s="643"/>
      <c r="GGM27" s="643"/>
      <c r="GGN27" s="643"/>
      <c r="GGO27" s="643"/>
      <c r="GGP27" s="643"/>
      <c r="GGQ27" s="643"/>
      <c r="GGR27" s="643"/>
      <c r="GGS27" s="643"/>
      <c r="GGT27" s="643"/>
      <c r="GGU27" s="643"/>
      <c r="GGV27" s="643"/>
      <c r="GGW27" s="643"/>
      <c r="GGX27" s="643"/>
      <c r="GGY27" s="643"/>
      <c r="GGZ27" s="643"/>
      <c r="GHA27" s="643"/>
      <c r="GHB27" s="643"/>
      <c r="GHC27" s="643"/>
      <c r="GHD27" s="643"/>
      <c r="GHE27" s="643"/>
      <c r="GHF27" s="643"/>
      <c r="GHG27" s="643"/>
      <c r="GHH27" s="643"/>
      <c r="GHI27" s="643"/>
      <c r="GHJ27" s="643"/>
      <c r="GHK27" s="643"/>
      <c r="GHL27" s="643"/>
      <c r="GHM27" s="643"/>
      <c r="GHN27" s="643"/>
      <c r="GHO27" s="643"/>
      <c r="GHP27" s="643"/>
      <c r="GHQ27" s="643"/>
      <c r="GHR27" s="643"/>
      <c r="GHS27" s="643"/>
      <c r="GHT27" s="643"/>
      <c r="GHU27" s="643"/>
      <c r="GHV27" s="643"/>
      <c r="GHW27" s="643"/>
      <c r="GHX27" s="643"/>
      <c r="GHY27" s="643"/>
      <c r="GHZ27" s="643"/>
      <c r="GIA27" s="643"/>
      <c r="GIB27" s="643"/>
      <c r="GIC27" s="643"/>
      <c r="GID27" s="643"/>
      <c r="GIE27" s="643"/>
      <c r="GIF27" s="643"/>
      <c r="GIG27" s="643"/>
      <c r="GIH27" s="643"/>
      <c r="GII27" s="643"/>
      <c r="GIJ27" s="643"/>
      <c r="GIK27" s="643"/>
      <c r="GIL27" s="643"/>
      <c r="GIM27" s="643"/>
      <c r="GIN27" s="643"/>
      <c r="GIO27" s="643"/>
      <c r="GIP27" s="643"/>
      <c r="GIQ27" s="643"/>
      <c r="GIR27" s="643"/>
      <c r="GIS27" s="643"/>
      <c r="GIT27" s="643"/>
      <c r="GIU27" s="643"/>
      <c r="GIV27" s="643"/>
      <c r="GIW27" s="643"/>
      <c r="GIX27" s="643"/>
      <c r="GIY27" s="643"/>
      <c r="GIZ27" s="643"/>
      <c r="GJA27" s="643"/>
      <c r="GJB27" s="643"/>
      <c r="GJC27" s="643"/>
      <c r="GJD27" s="643"/>
      <c r="GJE27" s="643"/>
      <c r="GJF27" s="643"/>
      <c r="GJG27" s="643"/>
      <c r="GJH27" s="643"/>
      <c r="GJI27" s="643"/>
      <c r="GJJ27" s="643"/>
      <c r="GJK27" s="643"/>
      <c r="GJL27" s="643"/>
      <c r="GJM27" s="643"/>
      <c r="GJN27" s="643"/>
      <c r="GJO27" s="643"/>
      <c r="GJP27" s="643"/>
      <c r="GJQ27" s="643"/>
      <c r="GJR27" s="643"/>
      <c r="GJS27" s="643"/>
      <c r="GJT27" s="643"/>
      <c r="GJU27" s="643"/>
      <c r="GJV27" s="643"/>
      <c r="GJW27" s="643"/>
      <c r="GJX27" s="643"/>
      <c r="GJY27" s="643"/>
      <c r="GJZ27" s="643"/>
      <c r="GKA27" s="643"/>
      <c r="GKB27" s="643"/>
      <c r="GKC27" s="643"/>
      <c r="GKD27" s="643"/>
      <c r="GKE27" s="643"/>
      <c r="GKF27" s="643"/>
      <c r="GKG27" s="643"/>
      <c r="GKH27" s="643"/>
      <c r="GKI27" s="643"/>
      <c r="GKJ27" s="643"/>
      <c r="GKK27" s="643"/>
      <c r="GKL27" s="643"/>
      <c r="GKM27" s="643"/>
      <c r="GKN27" s="643"/>
      <c r="GKO27" s="643"/>
      <c r="GKP27" s="643"/>
      <c r="GKQ27" s="643"/>
      <c r="GKR27" s="643"/>
      <c r="GKS27" s="643"/>
      <c r="GKT27" s="643"/>
      <c r="GKU27" s="643"/>
      <c r="GKV27" s="643"/>
      <c r="GKW27" s="643"/>
      <c r="GKX27" s="643"/>
      <c r="GKY27" s="643"/>
      <c r="GKZ27" s="643"/>
      <c r="GLA27" s="643"/>
      <c r="GLB27" s="643"/>
      <c r="GLC27" s="643"/>
      <c r="GLD27" s="643"/>
      <c r="GLE27" s="643"/>
      <c r="GLF27" s="643"/>
      <c r="GLG27" s="643"/>
      <c r="GLH27" s="643"/>
      <c r="GLI27" s="643"/>
      <c r="GLJ27" s="643"/>
      <c r="GLK27" s="643"/>
      <c r="GLL27" s="643"/>
      <c r="GLM27" s="643"/>
      <c r="GLN27" s="643"/>
      <c r="GLO27" s="643"/>
      <c r="GLP27" s="643"/>
      <c r="GLQ27" s="643"/>
      <c r="GLR27" s="643"/>
      <c r="GLS27" s="643"/>
      <c r="GLT27" s="643"/>
      <c r="GLU27" s="643"/>
      <c r="GLV27" s="643"/>
      <c r="GLW27" s="643"/>
      <c r="GLX27" s="643"/>
      <c r="GLY27" s="643"/>
      <c r="GLZ27" s="643"/>
      <c r="GMA27" s="643"/>
      <c r="GMB27" s="643"/>
      <c r="GMC27" s="643"/>
      <c r="GMD27" s="643"/>
      <c r="GME27" s="643"/>
      <c r="GMF27" s="643"/>
      <c r="GMG27" s="643"/>
      <c r="GMH27" s="643"/>
      <c r="GMI27" s="643"/>
      <c r="GMJ27" s="643"/>
      <c r="GMK27" s="643"/>
      <c r="GML27" s="643"/>
      <c r="GMM27" s="643"/>
      <c r="GMN27" s="643"/>
      <c r="GMO27" s="643"/>
      <c r="GMP27" s="643"/>
      <c r="GMQ27" s="643"/>
      <c r="GMR27" s="643"/>
      <c r="GMS27" s="643"/>
      <c r="GMT27" s="643"/>
      <c r="GMU27" s="643"/>
      <c r="GMV27" s="643"/>
      <c r="GMW27" s="643"/>
      <c r="GMX27" s="643"/>
      <c r="GMY27" s="643"/>
      <c r="GMZ27" s="643"/>
      <c r="GNA27" s="643"/>
      <c r="GNB27" s="643"/>
      <c r="GNC27" s="643"/>
      <c r="GND27" s="643"/>
      <c r="GNE27" s="643"/>
      <c r="GNF27" s="643"/>
      <c r="GNG27" s="643"/>
      <c r="GNH27" s="643"/>
      <c r="GNI27" s="643"/>
      <c r="GNJ27" s="643"/>
      <c r="GNK27" s="643"/>
      <c r="GNL27" s="643"/>
      <c r="GNM27" s="643"/>
      <c r="GNN27" s="643"/>
      <c r="GNO27" s="643"/>
      <c r="GNP27" s="643"/>
      <c r="GNQ27" s="643"/>
      <c r="GNR27" s="643"/>
      <c r="GNS27" s="643"/>
      <c r="GNT27" s="643"/>
      <c r="GNU27" s="643"/>
      <c r="GNV27" s="643"/>
      <c r="GNW27" s="643"/>
      <c r="GNX27" s="643"/>
      <c r="GNY27" s="643"/>
      <c r="GNZ27" s="643"/>
      <c r="GOA27" s="643"/>
      <c r="GOB27" s="643"/>
      <c r="GOC27" s="643"/>
      <c r="GOD27" s="643"/>
      <c r="GOE27" s="643"/>
      <c r="GOF27" s="643"/>
      <c r="GOG27" s="643"/>
      <c r="GOH27" s="643"/>
      <c r="GOI27" s="643"/>
      <c r="GOJ27" s="643"/>
      <c r="GOK27" s="643"/>
      <c r="GOL27" s="643"/>
      <c r="GOM27" s="643"/>
      <c r="GON27" s="643"/>
      <c r="GOO27" s="643"/>
      <c r="GOP27" s="643"/>
      <c r="GOQ27" s="643"/>
      <c r="GOR27" s="643"/>
      <c r="GOS27" s="643"/>
      <c r="GOT27" s="643"/>
      <c r="GOU27" s="643"/>
      <c r="GOV27" s="643"/>
      <c r="GOW27" s="643"/>
      <c r="GOX27" s="643"/>
      <c r="GOY27" s="643"/>
      <c r="GOZ27" s="643"/>
      <c r="GPA27" s="643"/>
      <c r="GPB27" s="643"/>
      <c r="GPC27" s="643"/>
      <c r="GPD27" s="643"/>
      <c r="GPE27" s="643"/>
      <c r="GPF27" s="643"/>
      <c r="GPG27" s="643"/>
      <c r="GPH27" s="643"/>
      <c r="GPI27" s="643"/>
      <c r="GPJ27" s="643"/>
      <c r="GPK27" s="643"/>
      <c r="GPL27" s="643"/>
      <c r="GPM27" s="643"/>
      <c r="GPN27" s="643"/>
      <c r="GPO27" s="643"/>
      <c r="GPP27" s="643"/>
      <c r="GPQ27" s="643"/>
      <c r="GPR27" s="643"/>
      <c r="GPS27" s="643"/>
      <c r="GPT27" s="643"/>
      <c r="GPU27" s="643"/>
      <c r="GPV27" s="643"/>
      <c r="GPW27" s="643"/>
      <c r="GPX27" s="643"/>
      <c r="GPY27" s="643"/>
      <c r="GPZ27" s="643"/>
      <c r="GQA27" s="643"/>
      <c r="GQB27" s="643"/>
      <c r="GQC27" s="643"/>
      <c r="GQD27" s="643"/>
      <c r="GQE27" s="643"/>
      <c r="GQF27" s="643"/>
      <c r="GQG27" s="643"/>
      <c r="GQH27" s="643"/>
      <c r="GQI27" s="643"/>
      <c r="GQJ27" s="643"/>
      <c r="GQK27" s="643"/>
      <c r="GQL27" s="643"/>
      <c r="GQM27" s="643"/>
      <c r="GQN27" s="643"/>
      <c r="GQO27" s="643"/>
      <c r="GQP27" s="643"/>
      <c r="GQQ27" s="643"/>
      <c r="GQR27" s="643"/>
      <c r="GQS27" s="643"/>
      <c r="GQT27" s="643"/>
      <c r="GQU27" s="643"/>
      <c r="GQV27" s="643"/>
      <c r="GQW27" s="643"/>
      <c r="GQX27" s="643"/>
      <c r="GQY27" s="643"/>
      <c r="GQZ27" s="643"/>
      <c r="GRA27" s="643"/>
      <c r="GRB27" s="643"/>
      <c r="GRC27" s="643"/>
      <c r="GRD27" s="643"/>
      <c r="GRE27" s="643"/>
      <c r="GRF27" s="643"/>
      <c r="GRG27" s="643"/>
      <c r="GRH27" s="643"/>
      <c r="GRI27" s="643"/>
      <c r="GRJ27" s="643"/>
      <c r="GRK27" s="643"/>
      <c r="GRL27" s="643"/>
      <c r="GRM27" s="643"/>
      <c r="GRN27" s="643"/>
      <c r="GRO27" s="643"/>
      <c r="GRP27" s="643"/>
      <c r="GRQ27" s="643"/>
      <c r="GRR27" s="643"/>
      <c r="GRS27" s="643"/>
      <c r="GRT27" s="643"/>
      <c r="GRU27" s="643"/>
      <c r="GRV27" s="643"/>
      <c r="GRW27" s="643"/>
      <c r="GRX27" s="643"/>
      <c r="GRY27" s="643"/>
      <c r="GRZ27" s="643"/>
      <c r="GSA27" s="643"/>
      <c r="GSB27" s="643"/>
      <c r="GSC27" s="643"/>
      <c r="GSD27" s="643"/>
      <c r="GSE27" s="643"/>
      <c r="GSF27" s="643"/>
      <c r="GSG27" s="643"/>
      <c r="GSH27" s="643"/>
      <c r="GSI27" s="643"/>
      <c r="GSJ27" s="643"/>
      <c r="GSK27" s="643"/>
      <c r="GSL27" s="643"/>
      <c r="GSM27" s="643"/>
      <c r="GSN27" s="643"/>
      <c r="GSO27" s="643"/>
      <c r="GSP27" s="643"/>
      <c r="GSQ27" s="643"/>
      <c r="GSR27" s="643"/>
      <c r="GSS27" s="643"/>
      <c r="GST27" s="643"/>
      <c r="GSU27" s="643"/>
      <c r="GSV27" s="643"/>
      <c r="GSW27" s="643"/>
      <c r="GSX27" s="643"/>
      <c r="GSY27" s="643"/>
      <c r="GSZ27" s="643"/>
      <c r="GTA27" s="643"/>
      <c r="GTB27" s="643"/>
      <c r="GTC27" s="643"/>
      <c r="GTD27" s="643"/>
      <c r="GTE27" s="643"/>
      <c r="GTF27" s="643"/>
      <c r="GTG27" s="643"/>
      <c r="GTH27" s="643"/>
      <c r="GTI27" s="643"/>
      <c r="GTJ27" s="643"/>
      <c r="GTK27" s="643"/>
      <c r="GTL27" s="643"/>
      <c r="GTM27" s="643"/>
      <c r="GTN27" s="643"/>
      <c r="GTO27" s="643"/>
      <c r="GTP27" s="643"/>
      <c r="GTQ27" s="643"/>
      <c r="GTR27" s="643"/>
      <c r="GTS27" s="643"/>
      <c r="GTT27" s="643"/>
      <c r="GTU27" s="643"/>
      <c r="GTV27" s="643"/>
      <c r="GTW27" s="643"/>
      <c r="GTX27" s="643"/>
      <c r="GTY27" s="643"/>
      <c r="GTZ27" s="643"/>
      <c r="GUA27" s="643"/>
      <c r="GUB27" s="643"/>
      <c r="GUC27" s="643"/>
      <c r="GUD27" s="643"/>
      <c r="GUE27" s="643"/>
      <c r="GUF27" s="643"/>
      <c r="GUG27" s="643"/>
      <c r="GUH27" s="643"/>
      <c r="GUI27" s="643"/>
      <c r="GUJ27" s="643"/>
      <c r="GUK27" s="643"/>
      <c r="GUL27" s="643"/>
      <c r="GUM27" s="643"/>
      <c r="GUN27" s="643"/>
      <c r="GUO27" s="643"/>
      <c r="GUP27" s="643"/>
      <c r="GUQ27" s="643"/>
      <c r="GUR27" s="643"/>
      <c r="GUS27" s="643"/>
      <c r="GUT27" s="643"/>
      <c r="GUU27" s="643"/>
      <c r="GUV27" s="643"/>
      <c r="GUW27" s="643"/>
      <c r="GUX27" s="643"/>
      <c r="GUY27" s="643"/>
      <c r="GUZ27" s="643"/>
      <c r="GVA27" s="643"/>
      <c r="GVB27" s="643"/>
      <c r="GVC27" s="643"/>
      <c r="GVD27" s="643"/>
      <c r="GVE27" s="643"/>
      <c r="GVF27" s="643"/>
      <c r="GVG27" s="643"/>
      <c r="GVH27" s="643"/>
      <c r="GVI27" s="643"/>
      <c r="GVJ27" s="643"/>
      <c r="GVK27" s="643"/>
      <c r="GVL27" s="643"/>
      <c r="GVM27" s="643"/>
      <c r="GVN27" s="643"/>
      <c r="GVO27" s="643"/>
      <c r="GVP27" s="643"/>
      <c r="GVQ27" s="643"/>
      <c r="GVR27" s="643"/>
      <c r="GVS27" s="643"/>
      <c r="GVT27" s="643"/>
      <c r="GVU27" s="643"/>
      <c r="GVV27" s="643"/>
      <c r="GVW27" s="643"/>
      <c r="GVX27" s="643"/>
      <c r="GVY27" s="643"/>
      <c r="GVZ27" s="643"/>
      <c r="GWA27" s="643"/>
      <c r="GWB27" s="643"/>
      <c r="GWC27" s="643"/>
      <c r="GWD27" s="643"/>
      <c r="GWE27" s="643"/>
      <c r="GWF27" s="643"/>
      <c r="GWG27" s="643"/>
      <c r="GWH27" s="643"/>
      <c r="GWI27" s="643"/>
      <c r="GWJ27" s="643"/>
      <c r="GWK27" s="643"/>
      <c r="GWL27" s="643"/>
      <c r="GWM27" s="643"/>
      <c r="GWN27" s="643"/>
      <c r="GWO27" s="643"/>
      <c r="GWP27" s="643"/>
      <c r="GWQ27" s="643"/>
      <c r="GWR27" s="643"/>
      <c r="GWS27" s="643"/>
      <c r="GWT27" s="643"/>
      <c r="GWU27" s="643"/>
      <c r="GWV27" s="643"/>
      <c r="GWW27" s="643"/>
      <c r="GWX27" s="643"/>
      <c r="GWY27" s="643"/>
      <c r="GWZ27" s="643"/>
      <c r="GXA27" s="643"/>
      <c r="GXB27" s="643"/>
      <c r="GXC27" s="643"/>
      <c r="GXD27" s="643"/>
      <c r="GXE27" s="643"/>
      <c r="GXF27" s="643"/>
      <c r="GXG27" s="643"/>
      <c r="GXH27" s="643"/>
      <c r="GXI27" s="643"/>
      <c r="GXJ27" s="643"/>
      <c r="GXK27" s="643"/>
      <c r="GXL27" s="643"/>
      <c r="GXM27" s="643"/>
      <c r="GXN27" s="643"/>
      <c r="GXO27" s="643"/>
      <c r="GXP27" s="643"/>
      <c r="GXQ27" s="643"/>
      <c r="GXR27" s="643"/>
      <c r="GXS27" s="643"/>
      <c r="GXT27" s="643"/>
      <c r="GXU27" s="643"/>
      <c r="GXV27" s="643"/>
      <c r="GXW27" s="643"/>
      <c r="GXX27" s="643"/>
      <c r="GXY27" s="643"/>
      <c r="GXZ27" s="643"/>
      <c r="GYA27" s="643"/>
      <c r="GYB27" s="643"/>
      <c r="GYC27" s="643"/>
      <c r="GYD27" s="643"/>
      <c r="GYE27" s="643"/>
      <c r="GYF27" s="643"/>
      <c r="GYG27" s="643"/>
      <c r="GYH27" s="643"/>
      <c r="GYI27" s="643"/>
      <c r="GYJ27" s="643"/>
      <c r="GYK27" s="643"/>
      <c r="GYL27" s="643"/>
      <c r="GYM27" s="643"/>
      <c r="GYN27" s="643"/>
      <c r="GYO27" s="643"/>
      <c r="GYP27" s="643"/>
      <c r="GYQ27" s="643"/>
      <c r="GYR27" s="643"/>
      <c r="GYS27" s="643"/>
      <c r="GYT27" s="643"/>
      <c r="GYU27" s="643"/>
      <c r="GYV27" s="643"/>
      <c r="GYW27" s="643"/>
      <c r="GYX27" s="643"/>
      <c r="GYY27" s="643"/>
      <c r="GYZ27" s="643"/>
      <c r="GZA27" s="643"/>
      <c r="GZB27" s="643"/>
      <c r="GZC27" s="643"/>
      <c r="GZD27" s="643"/>
      <c r="GZE27" s="643"/>
      <c r="GZF27" s="643"/>
      <c r="GZG27" s="643"/>
      <c r="GZH27" s="643"/>
      <c r="GZI27" s="643"/>
      <c r="GZJ27" s="643"/>
      <c r="GZK27" s="643"/>
      <c r="GZL27" s="643"/>
      <c r="GZM27" s="643"/>
      <c r="GZN27" s="643"/>
      <c r="GZO27" s="643"/>
      <c r="GZP27" s="643"/>
      <c r="GZQ27" s="643"/>
      <c r="GZR27" s="643"/>
      <c r="GZS27" s="643"/>
      <c r="GZT27" s="643"/>
      <c r="GZU27" s="643"/>
      <c r="GZV27" s="643"/>
      <c r="GZW27" s="643"/>
      <c r="GZX27" s="643"/>
      <c r="GZY27" s="643"/>
      <c r="GZZ27" s="643"/>
      <c r="HAA27" s="643"/>
      <c r="HAB27" s="643"/>
      <c r="HAC27" s="643"/>
      <c r="HAD27" s="643"/>
      <c r="HAE27" s="643"/>
      <c r="HAF27" s="643"/>
      <c r="HAG27" s="643"/>
      <c r="HAH27" s="643"/>
      <c r="HAI27" s="643"/>
      <c r="HAJ27" s="643"/>
      <c r="HAK27" s="643"/>
      <c r="HAL27" s="643"/>
      <c r="HAM27" s="643"/>
      <c r="HAN27" s="643"/>
      <c r="HAO27" s="643"/>
      <c r="HAP27" s="643"/>
      <c r="HAQ27" s="643"/>
      <c r="HAR27" s="643"/>
      <c r="HAS27" s="643"/>
      <c r="HAT27" s="643"/>
      <c r="HAU27" s="643"/>
      <c r="HAV27" s="643"/>
      <c r="HAW27" s="643"/>
      <c r="HAX27" s="643"/>
      <c r="HAY27" s="643"/>
      <c r="HAZ27" s="643"/>
      <c r="HBA27" s="643"/>
      <c r="HBB27" s="643"/>
      <c r="HBC27" s="643"/>
      <c r="HBD27" s="643"/>
      <c r="HBE27" s="643"/>
      <c r="HBF27" s="643"/>
      <c r="HBG27" s="643"/>
      <c r="HBH27" s="643"/>
      <c r="HBI27" s="643"/>
      <c r="HBJ27" s="643"/>
      <c r="HBK27" s="643"/>
      <c r="HBL27" s="643"/>
      <c r="HBM27" s="643"/>
      <c r="HBN27" s="643"/>
      <c r="HBO27" s="643"/>
      <c r="HBP27" s="643"/>
      <c r="HBQ27" s="643"/>
      <c r="HBR27" s="643"/>
      <c r="HBS27" s="643"/>
      <c r="HBT27" s="643"/>
      <c r="HBU27" s="643"/>
      <c r="HBV27" s="643"/>
      <c r="HBW27" s="643"/>
      <c r="HBX27" s="643"/>
      <c r="HBY27" s="643"/>
      <c r="HBZ27" s="643"/>
      <c r="HCA27" s="643"/>
      <c r="HCB27" s="643"/>
      <c r="HCC27" s="643"/>
      <c r="HCD27" s="643"/>
      <c r="HCE27" s="643"/>
      <c r="HCF27" s="643"/>
      <c r="HCG27" s="643"/>
      <c r="HCH27" s="643"/>
      <c r="HCI27" s="643"/>
      <c r="HCJ27" s="643"/>
      <c r="HCK27" s="643"/>
      <c r="HCL27" s="643"/>
      <c r="HCM27" s="643"/>
      <c r="HCN27" s="643"/>
      <c r="HCO27" s="643"/>
      <c r="HCP27" s="643"/>
      <c r="HCQ27" s="643"/>
      <c r="HCR27" s="643"/>
      <c r="HCS27" s="643"/>
      <c r="HCT27" s="643"/>
      <c r="HCU27" s="643"/>
      <c r="HCV27" s="643"/>
      <c r="HCW27" s="643"/>
      <c r="HCX27" s="643"/>
      <c r="HCY27" s="643"/>
      <c r="HCZ27" s="643"/>
      <c r="HDA27" s="643"/>
      <c r="HDB27" s="643"/>
      <c r="HDC27" s="643"/>
      <c r="HDD27" s="643"/>
      <c r="HDE27" s="643"/>
      <c r="HDF27" s="643"/>
      <c r="HDG27" s="643"/>
      <c r="HDH27" s="643"/>
      <c r="HDI27" s="643"/>
      <c r="HDJ27" s="643"/>
      <c r="HDK27" s="643"/>
      <c r="HDL27" s="643"/>
      <c r="HDM27" s="643"/>
      <c r="HDN27" s="643"/>
      <c r="HDO27" s="643"/>
      <c r="HDP27" s="643"/>
      <c r="HDQ27" s="643"/>
      <c r="HDR27" s="643"/>
      <c r="HDS27" s="643"/>
      <c r="HDT27" s="643"/>
      <c r="HDU27" s="643"/>
      <c r="HDV27" s="643"/>
      <c r="HDW27" s="643"/>
      <c r="HDX27" s="643"/>
      <c r="HDY27" s="643"/>
      <c r="HDZ27" s="643"/>
      <c r="HEA27" s="643"/>
      <c r="HEB27" s="643"/>
      <c r="HEC27" s="643"/>
      <c r="HED27" s="643"/>
      <c r="HEE27" s="643"/>
      <c r="HEF27" s="643"/>
      <c r="HEG27" s="643"/>
      <c r="HEH27" s="643"/>
      <c r="HEI27" s="643"/>
      <c r="HEJ27" s="643"/>
      <c r="HEK27" s="643"/>
      <c r="HEL27" s="643"/>
      <c r="HEM27" s="643"/>
      <c r="HEN27" s="643"/>
      <c r="HEO27" s="643"/>
      <c r="HEP27" s="643"/>
      <c r="HEQ27" s="643"/>
      <c r="HER27" s="643"/>
      <c r="HES27" s="643"/>
      <c r="HET27" s="643"/>
      <c r="HEU27" s="643"/>
      <c r="HEV27" s="643"/>
      <c r="HEW27" s="643"/>
      <c r="HEX27" s="643"/>
      <c r="HEY27" s="643"/>
      <c r="HEZ27" s="643"/>
      <c r="HFA27" s="643"/>
      <c r="HFB27" s="643"/>
      <c r="HFC27" s="643"/>
      <c r="HFD27" s="643"/>
      <c r="HFE27" s="643"/>
      <c r="HFF27" s="643"/>
      <c r="HFG27" s="643"/>
      <c r="HFH27" s="643"/>
      <c r="HFI27" s="643"/>
      <c r="HFJ27" s="643"/>
      <c r="HFK27" s="643"/>
      <c r="HFL27" s="643"/>
      <c r="HFM27" s="643"/>
      <c r="HFN27" s="643"/>
      <c r="HFO27" s="643"/>
      <c r="HFP27" s="643"/>
      <c r="HFQ27" s="643"/>
      <c r="HFR27" s="643"/>
      <c r="HFS27" s="643"/>
      <c r="HFT27" s="643"/>
      <c r="HFU27" s="643"/>
      <c r="HFV27" s="643"/>
      <c r="HFW27" s="643"/>
      <c r="HFX27" s="643"/>
      <c r="HFY27" s="643"/>
      <c r="HFZ27" s="643"/>
      <c r="HGA27" s="643"/>
      <c r="HGB27" s="643"/>
      <c r="HGC27" s="643"/>
      <c r="HGD27" s="643"/>
      <c r="HGE27" s="643"/>
      <c r="HGF27" s="643"/>
      <c r="HGG27" s="643"/>
      <c r="HGH27" s="643"/>
      <c r="HGI27" s="643"/>
      <c r="HGJ27" s="643"/>
      <c r="HGK27" s="643"/>
      <c r="HGL27" s="643"/>
      <c r="HGM27" s="643"/>
      <c r="HGN27" s="643"/>
      <c r="HGO27" s="643"/>
      <c r="HGP27" s="643"/>
      <c r="HGQ27" s="643"/>
      <c r="HGR27" s="643"/>
      <c r="HGS27" s="643"/>
      <c r="HGT27" s="643"/>
      <c r="HGU27" s="643"/>
      <c r="HGV27" s="643"/>
      <c r="HGW27" s="643"/>
      <c r="HGX27" s="643"/>
      <c r="HGY27" s="643"/>
      <c r="HGZ27" s="643"/>
      <c r="HHA27" s="643"/>
      <c r="HHB27" s="643"/>
      <c r="HHC27" s="643"/>
      <c r="HHD27" s="643"/>
      <c r="HHE27" s="643"/>
      <c r="HHF27" s="643"/>
      <c r="HHG27" s="643"/>
      <c r="HHH27" s="643"/>
      <c r="HHI27" s="643"/>
      <c r="HHJ27" s="643"/>
      <c r="HHK27" s="643"/>
      <c r="HHL27" s="643"/>
      <c r="HHM27" s="643"/>
      <c r="HHN27" s="643"/>
      <c r="HHO27" s="643"/>
      <c r="HHP27" s="643"/>
      <c r="HHQ27" s="643"/>
      <c r="HHR27" s="643"/>
      <c r="HHS27" s="643"/>
      <c r="HHT27" s="643"/>
      <c r="HHU27" s="643"/>
      <c r="HHV27" s="643"/>
      <c r="HHW27" s="643"/>
      <c r="HHX27" s="643"/>
      <c r="HHY27" s="643"/>
      <c r="HHZ27" s="643"/>
      <c r="HIA27" s="643"/>
      <c r="HIB27" s="643"/>
      <c r="HIC27" s="643"/>
      <c r="HID27" s="643"/>
      <c r="HIE27" s="643"/>
      <c r="HIF27" s="643"/>
      <c r="HIG27" s="643"/>
      <c r="HIH27" s="643"/>
      <c r="HII27" s="643"/>
      <c r="HIJ27" s="643"/>
      <c r="HIK27" s="643"/>
      <c r="HIL27" s="643"/>
      <c r="HIM27" s="643"/>
      <c r="HIN27" s="643"/>
      <c r="HIO27" s="643"/>
      <c r="HIP27" s="643"/>
      <c r="HIQ27" s="643"/>
      <c r="HIR27" s="643"/>
      <c r="HIS27" s="643"/>
      <c r="HIT27" s="643"/>
      <c r="HIU27" s="643"/>
      <c r="HIV27" s="643"/>
      <c r="HIW27" s="643"/>
      <c r="HIX27" s="643"/>
      <c r="HIY27" s="643"/>
      <c r="HIZ27" s="643"/>
      <c r="HJA27" s="643"/>
      <c r="HJB27" s="643"/>
      <c r="HJC27" s="643"/>
      <c r="HJD27" s="643"/>
      <c r="HJE27" s="643"/>
      <c r="HJF27" s="643"/>
      <c r="HJG27" s="643"/>
      <c r="HJH27" s="643"/>
      <c r="HJI27" s="643"/>
      <c r="HJJ27" s="643"/>
      <c r="HJK27" s="643"/>
      <c r="HJL27" s="643"/>
      <c r="HJM27" s="643"/>
      <c r="HJN27" s="643"/>
      <c r="HJO27" s="643"/>
      <c r="HJP27" s="643"/>
      <c r="HJQ27" s="643"/>
      <c r="HJR27" s="643"/>
      <c r="HJS27" s="643"/>
      <c r="HJT27" s="643"/>
      <c r="HJU27" s="643"/>
      <c r="HJV27" s="643"/>
      <c r="HJW27" s="643"/>
      <c r="HJX27" s="643"/>
      <c r="HJY27" s="643"/>
      <c r="HJZ27" s="643"/>
      <c r="HKA27" s="643"/>
      <c r="HKB27" s="643"/>
      <c r="HKC27" s="643"/>
      <c r="HKD27" s="643"/>
      <c r="HKE27" s="643"/>
      <c r="HKF27" s="643"/>
      <c r="HKG27" s="643"/>
      <c r="HKH27" s="643"/>
      <c r="HKI27" s="643"/>
      <c r="HKJ27" s="643"/>
      <c r="HKK27" s="643"/>
      <c r="HKL27" s="643"/>
      <c r="HKM27" s="643"/>
      <c r="HKN27" s="643"/>
      <c r="HKO27" s="643"/>
      <c r="HKP27" s="643"/>
      <c r="HKQ27" s="643"/>
      <c r="HKR27" s="643"/>
      <c r="HKS27" s="643"/>
      <c r="HKT27" s="643"/>
      <c r="HKU27" s="643"/>
      <c r="HKV27" s="643"/>
      <c r="HKW27" s="643"/>
      <c r="HKX27" s="643"/>
      <c r="HKY27" s="643"/>
      <c r="HKZ27" s="643"/>
      <c r="HLA27" s="643"/>
      <c r="HLB27" s="643"/>
      <c r="HLC27" s="643"/>
      <c r="HLD27" s="643"/>
      <c r="HLE27" s="643"/>
      <c r="HLF27" s="643"/>
      <c r="HLG27" s="643"/>
      <c r="HLH27" s="643"/>
      <c r="HLI27" s="643"/>
      <c r="HLJ27" s="643"/>
      <c r="HLK27" s="643"/>
      <c r="HLL27" s="643"/>
      <c r="HLM27" s="643"/>
      <c r="HLN27" s="643"/>
      <c r="HLO27" s="643"/>
      <c r="HLP27" s="643"/>
      <c r="HLQ27" s="643"/>
      <c r="HLR27" s="643"/>
      <c r="HLS27" s="643"/>
      <c r="HLT27" s="643"/>
      <c r="HLU27" s="643"/>
      <c r="HLV27" s="643"/>
      <c r="HLW27" s="643"/>
      <c r="HLX27" s="643"/>
      <c r="HLY27" s="643"/>
      <c r="HLZ27" s="643"/>
      <c r="HMA27" s="643"/>
      <c r="HMB27" s="643"/>
      <c r="HMC27" s="643"/>
      <c r="HMD27" s="643"/>
      <c r="HME27" s="643"/>
      <c r="HMF27" s="643"/>
      <c r="HMG27" s="643"/>
      <c r="HMH27" s="643"/>
      <c r="HMI27" s="643"/>
      <c r="HMJ27" s="643"/>
      <c r="HMK27" s="643"/>
      <c r="HML27" s="643"/>
      <c r="HMM27" s="643"/>
      <c r="HMN27" s="643"/>
      <c r="HMO27" s="643"/>
      <c r="HMP27" s="643"/>
      <c r="HMQ27" s="643"/>
      <c r="HMR27" s="643"/>
      <c r="HMS27" s="643"/>
      <c r="HMT27" s="643"/>
      <c r="HMU27" s="643"/>
      <c r="HMV27" s="643"/>
      <c r="HMW27" s="643"/>
      <c r="HMX27" s="643"/>
      <c r="HMY27" s="643"/>
      <c r="HMZ27" s="643"/>
      <c r="HNA27" s="643"/>
      <c r="HNB27" s="643"/>
      <c r="HNC27" s="643"/>
      <c r="HND27" s="643"/>
      <c r="HNE27" s="643"/>
      <c r="HNF27" s="643"/>
      <c r="HNG27" s="643"/>
      <c r="HNH27" s="643"/>
      <c r="HNI27" s="643"/>
      <c r="HNJ27" s="643"/>
      <c r="HNK27" s="643"/>
      <c r="HNL27" s="643"/>
      <c r="HNM27" s="643"/>
      <c r="HNN27" s="643"/>
      <c r="HNO27" s="643"/>
      <c r="HNP27" s="643"/>
      <c r="HNQ27" s="643"/>
      <c r="HNR27" s="643"/>
      <c r="HNS27" s="643"/>
      <c r="HNT27" s="643"/>
      <c r="HNU27" s="643"/>
      <c r="HNV27" s="643"/>
      <c r="HNW27" s="643"/>
      <c r="HNX27" s="643"/>
      <c r="HNY27" s="643"/>
      <c r="HNZ27" s="643"/>
      <c r="HOA27" s="643"/>
      <c r="HOB27" s="643"/>
      <c r="HOC27" s="643"/>
      <c r="HOD27" s="643"/>
      <c r="HOE27" s="643"/>
      <c r="HOF27" s="643"/>
      <c r="HOG27" s="643"/>
      <c r="HOH27" s="643"/>
      <c r="HOI27" s="643"/>
      <c r="HOJ27" s="643"/>
      <c r="HOK27" s="643"/>
      <c r="HOL27" s="643"/>
      <c r="HOM27" s="643"/>
      <c r="HON27" s="643"/>
      <c r="HOO27" s="643"/>
      <c r="HOP27" s="643"/>
      <c r="HOQ27" s="643"/>
      <c r="HOR27" s="643"/>
      <c r="HOS27" s="643"/>
      <c r="HOT27" s="643"/>
      <c r="HOU27" s="643"/>
      <c r="HOV27" s="643"/>
      <c r="HOW27" s="643"/>
      <c r="HOX27" s="643"/>
      <c r="HOY27" s="643"/>
      <c r="HOZ27" s="643"/>
      <c r="HPA27" s="643"/>
      <c r="HPB27" s="643"/>
      <c r="HPC27" s="643"/>
      <c r="HPD27" s="643"/>
      <c r="HPE27" s="643"/>
      <c r="HPF27" s="643"/>
      <c r="HPG27" s="643"/>
      <c r="HPH27" s="643"/>
      <c r="HPI27" s="643"/>
      <c r="HPJ27" s="643"/>
      <c r="HPK27" s="643"/>
      <c r="HPL27" s="643"/>
      <c r="HPM27" s="643"/>
      <c r="HPN27" s="643"/>
      <c r="HPO27" s="643"/>
      <c r="HPP27" s="643"/>
      <c r="HPQ27" s="643"/>
      <c r="HPR27" s="643"/>
      <c r="HPS27" s="643"/>
      <c r="HPT27" s="643"/>
      <c r="HPU27" s="643"/>
      <c r="HPV27" s="643"/>
      <c r="HPW27" s="643"/>
      <c r="HPX27" s="643"/>
      <c r="HPY27" s="643"/>
      <c r="HPZ27" s="643"/>
      <c r="HQA27" s="643"/>
      <c r="HQB27" s="643"/>
      <c r="HQC27" s="643"/>
      <c r="HQD27" s="643"/>
      <c r="HQE27" s="643"/>
      <c r="HQF27" s="643"/>
      <c r="HQG27" s="643"/>
      <c r="HQH27" s="643"/>
      <c r="HQI27" s="643"/>
      <c r="HQJ27" s="643"/>
      <c r="HQK27" s="643"/>
      <c r="HQL27" s="643"/>
      <c r="HQM27" s="643"/>
      <c r="HQN27" s="643"/>
      <c r="HQO27" s="643"/>
      <c r="HQP27" s="643"/>
      <c r="HQQ27" s="643"/>
      <c r="HQR27" s="643"/>
      <c r="HQS27" s="643"/>
      <c r="HQT27" s="643"/>
      <c r="HQU27" s="643"/>
      <c r="HQV27" s="643"/>
      <c r="HQW27" s="643"/>
      <c r="HQX27" s="643"/>
      <c r="HQY27" s="643"/>
      <c r="HQZ27" s="643"/>
      <c r="HRA27" s="643"/>
      <c r="HRB27" s="643"/>
      <c r="HRC27" s="643"/>
      <c r="HRD27" s="643"/>
      <c r="HRE27" s="643"/>
      <c r="HRF27" s="643"/>
      <c r="HRG27" s="643"/>
      <c r="HRH27" s="643"/>
      <c r="HRI27" s="643"/>
      <c r="HRJ27" s="643"/>
      <c r="HRK27" s="643"/>
      <c r="HRL27" s="643"/>
      <c r="HRM27" s="643"/>
      <c r="HRN27" s="643"/>
      <c r="HRO27" s="643"/>
      <c r="HRP27" s="643"/>
      <c r="HRQ27" s="643"/>
      <c r="HRR27" s="643"/>
      <c r="HRS27" s="643"/>
      <c r="HRT27" s="643"/>
      <c r="HRU27" s="643"/>
      <c r="HRV27" s="643"/>
      <c r="HRW27" s="643"/>
      <c r="HRX27" s="643"/>
      <c r="HRY27" s="643"/>
      <c r="HRZ27" s="643"/>
      <c r="HSA27" s="643"/>
      <c r="HSB27" s="643"/>
      <c r="HSC27" s="643"/>
      <c r="HSD27" s="643"/>
      <c r="HSE27" s="643"/>
      <c r="HSF27" s="643"/>
      <c r="HSG27" s="643"/>
      <c r="HSH27" s="643"/>
      <c r="HSI27" s="643"/>
      <c r="HSJ27" s="643"/>
      <c r="HSK27" s="643"/>
      <c r="HSL27" s="643"/>
      <c r="HSM27" s="643"/>
      <c r="HSN27" s="643"/>
      <c r="HSO27" s="643"/>
      <c r="HSP27" s="643"/>
      <c r="HSQ27" s="643"/>
      <c r="HSR27" s="643"/>
      <c r="HSS27" s="643"/>
      <c r="HST27" s="643"/>
      <c r="HSU27" s="643"/>
      <c r="HSV27" s="643"/>
      <c r="HSW27" s="643"/>
      <c r="HSX27" s="643"/>
      <c r="HSY27" s="643"/>
      <c r="HSZ27" s="643"/>
      <c r="HTA27" s="643"/>
      <c r="HTB27" s="643"/>
      <c r="HTC27" s="643"/>
      <c r="HTD27" s="643"/>
      <c r="HTE27" s="643"/>
      <c r="HTF27" s="643"/>
      <c r="HTG27" s="643"/>
      <c r="HTH27" s="643"/>
      <c r="HTI27" s="643"/>
      <c r="HTJ27" s="643"/>
      <c r="HTK27" s="643"/>
      <c r="HTL27" s="643"/>
      <c r="HTM27" s="643"/>
      <c r="HTN27" s="643"/>
      <c r="HTO27" s="643"/>
      <c r="HTP27" s="643"/>
      <c r="HTQ27" s="643"/>
      <c r="HTR27" s="643"/>
      <c r="HTS27" s="643"/>
      <c r="HTT27" s="643"/>
      <c r="HTU27" s="643"/>
      <c r="HTV27" s="643"/>
      <c r="HTW27" s="643"/>
      <c r="HTX27" s="643"/>
      <c r="HTY27" s="643"/>
      <c r="HTZ27" s="643"/>
      <c r="HUA27" s="643"/>
      <c r="HUB27" s="643"/>
      <c r="HUC27" s="643"/>
      <c r="HUD27" s="643"/>
      <c r="HUE27" s="643"/>
      <c r="HUF27" s="643"/>
      <c r="HUG27" s="643"/>
      <c r="HUH27" s="643"/>
      <c r="HUI27" s="643"/>
      <c r="HUJ27" s="643"/>
      <c r="HUK27" s="643"/>
      <c r="HUL27" s="643"/>
      <c r="HUM27" s="643"/>
      <c r="HUN27" s="643"/>
      <c r="HUO27" s="643"/>
      <c r="HUP27" s="643"/>
      <c r="HUQ27" s="643"/>
      <c r="HUR27" s="643"/>
      <c r="HUS27" s="643"/>
      <c r="HUT27" s="643"/>
      <c r="HUU27" s="643"/>
      <c r="HUV27" s="643"/>
      <c r="HUW27" s="643"/>
      <c r="HUX27" s="643"/>
      <c r="HUY27" s="643"/>
      <c r="HUZ27" s="643"/>
      <c r="HVA27" s="643"/>
      <c r="HVB27" s="643"/>
      <c r="HVC27" s="643"/>
      <c r="HVD27" s="643"/>
      <c r="HVE27" s="643"/>
      <c r="HVF27" s="643"/>
      <c r="HVG27" s="643"/>
      <c r="HVH27" s="643"/>
      <c r="HVI27" s="643"/>
      <c r="HVJ27" s="643"/>
      <c r="HVK27" s="643"/>
      <c r="HVL27" s="643"/>
      <c r="HVM27" s="643"/>
      <c r="HVN27" s="643"/>
      <c r="HVO27" s="643"/>
      <c r="HVP27" s="643"/>
      <c r="HVQ27" s="643"/>
      <c r="HVR27" s="643"/>
      <c r="HVS27" s="643"/>
      <c r="HVT27" s="643"/>
      <c r="HVU27" s="643"/>
      <c r="HVV27" s="643"/>
      <c r="HVW27" s="643"/>
      <c r="HVX27" s="643"/>
      <c r="HVY27" s="643"/>
      <c r="HVZ27" s="643"/>
      <c r="HWA27" s="643"/>
      <c r="HWB27" s="643"/>
      <c r="HWC27" s="643"/>
      <c r="HWD27" s="643"/>
      <c r="HWE27" s="643"/>
      <c r="HWF27" s="643"/>
      <c r="HWG27" s="643"/>
      <c r="HWH27" s="643"/>
      <c r="HWI27" s="643"/>
      <c r="HWJ27" s="643"/>
      <c r="HWK27" s="643"/>
      <c r="HWL27" s="643"/>
      <c r="HWM27" s="643"/>
      <c r="HWN27" s="643"/>
      <c r="HWO27" s="643"/>
      <c r="HWP27" s="643"/>
      <c r="HWQ27" s="643"/>
      <c r="HWR27" s="643"/>
      <c r="HWS27" s="643"/>
      <c r="HWT27" s="643"/>
      <c r="HWU27" s="643"/>
      <c r="HWV27" s="643"/>
      <c r="HWW27" s="643"/>
      <c r="HWX27" s="643"/>
      <c r="HWY27" s="643"/>
      <c r="HWZ27" s="643"/>
      <c r="HXA27" s="643"/>
      <c r="HXB27" s="643"/>
      <c r="HXC27" s="643"/>
      <c r="HXD27" s="643"/>
      <c r="HXE27" s="643"/>
      <c r="HXF27" s="643"/>
      <c r="HXG27" s="643"/>
      <c r="HXH27" s="643"/>
      <c r="HXI27" s="643"/>
      <c r="HXJ27" s="643"/>
      <c r="HXK27" s="643"/>
      <c r="HXL27" s="643"/>
      <c r="HXM27" s="643"/>
      <c r="HXN27" s="643"/>
      <c r="HXO27" s="643"/>
      <c r="HXP27" s="643"/>
      <c r="HXQ27" s="643"/>
      <c r="HXR27" s="643"/>
      <c r="HXS27" s="643"/>
      <c r="HXT27" s="643"/>
      <c r="HXU27" s="643"/>
      <c r="HXV27" s="643"/>
      <c r="HXW27" s="643"/>
      <c r="HXX27" s="643"/>
      <c r="HXY27" s="643"/>
      <c r="HXZ27" s="643"/>
      <c r="HYA27" s="643"/>
      <c r="HYB27" s="643"/>
      <c r="HYC27" s="643"/>
      <c r="HYD27" s="643"/>
      <c r="HYE27" s="643"/>
      <c r="HYF27" s="643"/>
      <c r="HYG27" s="643"/>
      <c r="HYH27" s="643"/>
      <c r="HYI27" s="643"/>
      <c r="HYJ27" s="643"/>
      <c r="HYK27" s="643"/>
      <c r="HYL27" s="643"/>
      <c r="HYM27" s="643"/>
      <c r="HYN27" s="643"/>
      <c r="HYO27" s="643"/>
      <c r="HYP27" s="643"/>
      <c r="HYQ27" s="643"/>
      <c r="HYR27" s="643"/>
      <c r="HYS27" s="643"/>
      <c r="HYT27" s="643"/>
      <c r="HYU27" s="643"/>
      <c r="HYV27" s="643"/>
      <c r="HYW27" s="643"/>
      <c r="HYX27" s="643"/>
      <c r="HYY27" s="643"/>
      <c r="HYZ27" s="643"/>
      <c r="HZA27" s="643"/>
      <c r="HZB27" s="643"/>
      <c r="HZC27" s="643"/>
      <c r="HZD27" s="643"/>
      <c r="HZE27" s="643"/>
      <c r="HZF27" s="643"/>
      <c r="HZG27" s="643"/>
      <c r="HZH27" s="643"/>
      <c r="HZI27" s="643"/>
      <c r="HZJ27" s="643"/>
      <c r="HZK27" s="643"/>
      <c r="HZL27" s="643"/>
      <c r="HZM27" s="643"/>
      <c r="HZN27" s="643"/>
      <c r="HZO27" s="643"/>
      <c r="HZP27" s="643"/>
      <c r="HZQ27" s="643"/>
      <c r="HZR27" s="643"/>
      <c r="HZS27" s="643"/>
      <c r="HZT27" s="643"/>
      <c r="HZU27" s="643"/>
      <c r="HZV27" s="643"/>
      <c r="HZW27" s="643"/>
      <c r="HZX27" s="643"/>
      <c r="HZY27" s="643"/>
      <c r="HZZ27" s="643"/>
      <c r="IAA27" s="643"/>
      <c r="IAB27" s="643"/>
      <c r="IAC27" s="643"/>
      <c r="IAD27" s="643"/>
      <c r="IAE27" s="643"/>
      <c r="IAF27" s="643"/>
      <c r="IAG27" s="643"/>
      <c r="IAH27" s="643"/>
      <c r="IAI27" s="643"/>
      <c r="IAJ27" s="643"/>
      <c r="IAK27" s="643"/>
      <c r="IAL27" s="643"/>
      <c r="IAM27" s="643"/>
      <c r="IAN27" s="643"/>
      <c r="IAO27" s="643"/>
      <c r="IAP27" s="643"/>
      <c r="IAQ27" s="643"/>
      <c r="IAR27" s="643"/>
      <c r="IAS27" s="643"/>
      <c r="IAT27" s="643"/>
      <c r="IAU27" s="643"/>
      <c r="IAV27" s="643"/>
      <c r="IAW27" s="643"/>
      <c r="IAX27" s="643"/>
      <c r="IAY27" s="643"/>
      <c r="IAZ27" s="643"/>
      <c r="IBA27" s="643"/>
      <c r="IBB27" s="643"/>
      <c r="IBC27" s="643"/>
      <c r="IBD27" s="643"/>
      <c r="IBE27" s="643"/>
      <c r="IBF27" s="643"/>
      <c r="IBG27" s="643"/>
      <c r="IBH27" s="643"/>
      <c r="IBI27" s="643"/>
      <c r="IBJ27" s="643"/>
      <c r="IBK27" s="643"/>
      <c r="IBL27" s="643"/>
      <c r="IBM27" s="643"/>
      <c r="IBN27" s="643"/>
      <c r="IBO27" s="643"/>
      <c r="IBP27" s="643"/>
      <c r="IBQ27" s="643"/>
      <c r="IBR27" s="643"/>
      <c r="IBS27" s="643"/>
      <c r="IBT27" s="643"/>
      <c r="IBU27" s="643"/>
      <c r="IBV27" s="643"/>
      <c r="IBW27" s="643"/>
      <c r="IBX27" s="643"/>
      <c r="IBY27" s="643"/>
      <c r="IBZ27" s="643"/>
      <c r="ICA27" s="643"/>
      <c r="ICB27" s="643"/>
      <c r="ICC27" s="643"/>
      <c r="ICD27" s="643"/>
      <c r="ICE27" s="643"/>
      <c r="ICF27" s="643"/>
      <c r="ICG27" s="643"/>
      <c r="ICH27" s="643"/>
      <c r="ICI27" s="643"/>
      <c r="ICJ27" s="643"/>
      <c r="ICK27" s="643"/>
      <c r="ICL27" s="643"/>
      <c r="ICM27" s="643"/>
      <c r="ICN27" s="643"/>
      <c r="ICO27" s="643"/>
      <c r="ICP27" s="643"/>
      <c r="ICQ27" s="643"/>
      <c r="ICR27" s="643"/>
      <c r="ICS27" s="643"/>
      <c r="ICT27" s="643"/>
      <c r="ICU27" s="643"/>
      <c r="ICV27" s="643"/>
      <c r="ICW27" s="643"/>
      <c r="ICX27" s="643"/>
      <c r="ICY27" s="643"/>
      <c r="ICZ27" s="643"/>
      <c r="IDA27" s="643"/>
      <c r="IDB27" s="643"/>
      <c r="IDC27" s="643"/>
      <c r="IDD27" s="643"/>
      <c r="IDE27" s="643"/>
      <c r="IDF27" s="643"/>
      <c r="IDG27" s="643"/>
      <c r="IDH27" s="643"/>
      <c r="IDI27" s="643"/>
      <c r="IDJ27" s="643"/>
      <c r="IDK27" s="643"/>
      <c r="IDL27" s="643"/>
      <c r="IDM27" s="643"/>
      <c r="IDN27" s="643"/>
      <c r="IDO27" s="643"/>
      <c r="IDP27" s="643"/>
      <c r="IDQ27" s="643"/>
      <c r="IDR27" s="643"/>
      <c r="IDS27" s="643"/>
      <c r="IDT27" s="643"/>
      <c r="IDU27" s="643"/>
      <c r="IDV27" s="643"/>
      <c r="IDW27" s="643"/>
      <c r="IDX27" s="643"/>
      <c r="IDY27" s="643"/>
      <c r="IDZ27" s="643"/>
      <c r="IEA27" s="643"/>
      <c r="IEB27" s="643"/>
      <c r="IEC27" s="643"/>
      <c r="IED27" s="643"/>
      <c r="IEE27" s="643"/>
      <c r="IEF27" s="643"/>
      <c r="IEG27" s="643"/>
      <c r="IEH27" s="643"/>
      <c r="IEI27" s="643"/>
      <c r="IEJ27" s="643"/>
      <c r="IEK27" s="643"/>
      <c r="IEL27" s="643"/>
      <c r="IEM27" s="643"/>
      <c r="IEN27" s="643"/>
      <c r="IEO27" s="643"/>
      <c r="IEP27" s="643"/>
      <c r="IEQ27" s="643"/>
      <c r="IER27" s="643"/>
      <c r="IES27" s="643"/>
      <c r="IET27" s="643"/>
      <c r="IEU27" s="643"/>
      <c r="IEV27" s="643"/>
      <c r="IEW27" s="643"/>
      <c r="IEX27" s="643"/>
      <c r="IEY27" s="643"/>
      <c r="IEZ27" s="643"/>
      <c r="IFA27" s="643"/>
      <c r="IFB27" s="643"/>
      <c r="IFC27" s="643"/>
      <c r="IFD27" s="643"/>
      <c r="IFE27" s="643"/>
      <c r="IFF27" s="643"/>
      <c r="IFG27" s="643"/>
      <c r="IFH27" s="643"/>
      <c r="IFI27" s="643"/>
      <c r="IFJ27" s="643"/>
      <c r="IFK27" s="643"/>
      <c r="IFL27" s="643"/>
      <c r="IFM27" s="643"/>
      <c r="IFN27" s="643"/>
      <c r="IFO27" s="643"/>
      <c r="IFP27" s="643"/>
      <c r="IFQ27" s="643"/>
      <c r="IFR27" s="643"/>
      <c r="IFS27" s="643"/>
      <c r="IFT27" s="643"/>
      <c r="IFU27" s="643"/>
      <c r="IFV27" s="643"/>
      <c r="IFW27" s="643"/>
      <c r="IFX27" s="643"/>
      <c r="IFY27" s="643"/>
      <c r="IFZ27" s="643"/>
      <c r="IGA27" s="643"/>
      <c r="IGB27" s="643"/>
      <c r="IGC27" s="643"/>
      <c r="IGD27" s="643"/>
      <c r="IGE27" s="643"/>
      <c r="IGF27" s="643"/>
      <c r="IGG27" s="643"/>
      <c r="IGH27" s="643"/>
      <c r="IGI27" s="643"/>
      <c r="IGJ27" s="643"/>
      <c r="IGK27" s="643"/>
      <c r="IGL27" s="643"/>
      <c r="IGM27" s="643"/>
      <c r="IGN27" s="643"/>
      <c r="IGO27" s="643"/>
      <c r="IGP27" s="643"/>
      <c r="IGQ27" s="643"/>
      <c r="IGR27" s="643"/>
      <c r="IGS27" s="643"/>
      <c r="IGT27" s="643"/>
      <c r="IGU27" s="643"/>
      <c r="IGV27" s="643"/>
      <c r="IGW27" s="643"/>
      <c r="IGX27" s="643"/>
      <c r="IGY27" s="643"/>
      <c r="IGZ27" s="643"/>
      <c r="IHA27" s="643"/>
      <c r="IHB27" s="643"/>
      <c r="IHC27" s="643"/>
      <c r="IHD27" s="643"/>
      <c r="IHE27" s="643"/>
      <c r="IHF27" s="643"/>
      <c r="IHG27" s="643"/>
      <c r="IHH27" s="643"/>
      <c r="IHI27" s="643"/>
      <c r="IHJ27" s="643"/>
      <c r="IHK27" s="643"/>
      <c r="IHL27" s="643"/>
      <c r="IHM27" s="643"/>
      <c r="IHN27" s="643"/>
      <c r="IHO27" s="643"/>
      <c r="IHP27" s="643"/>
      <c r="IHQ27" s="643"/>
      <c r="IHR27" s="643"/>
      <c r="IHS27" s="643"/>
      <c r="IHT27" s="643"/>
      <c r="IHU27" s="643"/>
      <c r="IHV27" s="643"/>
      <c r="IHW27" s="643"/>
      <c r="IHX27" s="643"/>
      <c r="IHY27" s="643"/>
      <c r="IHZ27" s="643"/>
      <c r="IIA27" s="643"/>
      <c r="IIB27" s="643"/>
      <c r="IIC27" s="643"/>
      <c r="IID27" s="643"/>
      <c r="IIE27" s="643"/>
      <c r="IIF27" s="643"/>
      <c r="IIG27" s="643"/>
      <c r="IIH27" s="643"/>
      <c r="III27" s="643"/>
      <c r="IIJ27" s="643"/>
      <c r="IIK27" s="643"/>
      <c r="IIL27" s="643"/>
      <c r="IIM27" s="643"/>
      <c r="IIN27" s="643"/>
      <c r="IIO27" s="643"/>
      <c r="IIP27" s="643"/>
      <c r="IIQ27" s="643"/>
      <c r="IIR27" s="643"/>
      <c r="IIS27" s="643"/>
      <c r="IIT27" s="643"/>
      <c r="IIU27" s="643"/>
      <c r="IIV27" s="643"/>
      <c r="IIW27" s="643"/>
      <c r="IIX27" s="643"/>
      <c r="IIY27" s="643"/>
      <c r="IIZ27" s="643"/>
      <c r="IJA27" s="643"/>
      <c r="IJB27" s="643"/>
      <c r="IJC27" s="643"/>
      <c r="IJD27" s="643"/>
      <c r="IJE27" s="643"/>
      <c r="IJF27" s="643"/>
      <c r="IJG27" s="643"/>
      <c r="IJH27" s="643"/>
      <c r="IJI27" s="643"/>
      <c r="IJJ27" s="643"/>
      <c r="IJK27" s="643"/>
      <c r="IJL27" s="643"/>
      <c r="IJM27" s="643"/>
      <c r="IJN27" s="643"/>
      <c r="IJO27" s="643"/>
      <c r="IJP27" s="643"/>
      <c r="IJQ27" s="643"/>
      <c r="IJR27" s="643"/>
      <c r="IJS27" s="643"/>
      <c r="IJT27" s="643"/>
      <c r="IJU27" s="643"/>
      <c r="IJV27" s="643"/>
      <c r="IJW27" s="643"/>
      <c r="IJX27" s="643"/>
      <c r="IJY27" s="643"/>
      <c r="IJZ27" s="643"/>
      <c r="IKA27" s="643"/>
      <c r="IKB27" s="643"/>
      <c r="IKC27" s="643"/>
      <c r="IKD27" s="643"/>
      <c r="IKE27" s="643"/>
      <c r="IKF27" s="643"/>
      <c r="IKG27" s="643"/>
      <c r="IKH27" s="643"/>
      <c r="IKI27" s="643"/>
      <c r="IKJ27" s="643"/>
      <c r="IKK27" s="643"/>
      <c r="IKL27" s="643"/>
      <c r="IKM27" s="643"/>
      <c r="IKN27" s="643"/>
      <c r="IKO27" s="643"/>
      <c r="IKP27" s="643"/>
      <c r="IKQ27" s="643"/>
      <c r="IKR27" s="643"/>
      <c r="IKS27" s="643"/>
      <c r="IKT27" s="643"/>
      <c r="IKU27" s="643"/>
      <c r="IKV27" s="643"/>
      <c r="IKW27" s="643"/>
      <c r="IKX27" s="643"/>
      <c r="IKY27" s="643"/>
      <c r="IKZ27" s="643"/>
      <c r="ILA27" s="643"/>
      <c r="ILB27" s="643"/>
      <c r="ILC27" s="643"/>
      <c r="ILD27" s="643"/>
      <c r="ILE27" s="643"/>
      <c r="ILF27" s="643"/>
      <c r="ILG27" s="643"/>
      <c r="ILH27" s="643"/>
      <c r="ILI27" s="643"/>
      <c r="ILJ27" s="643"/>
      <c r="ILK27" s="643"/>
      <c r="ILL27" s="643"/>
      <c r="ILM27" s="643"/>
      <c r="ILN27" s="643"/>
      <c r="ILO27" s="643"/>
      <c r="ILP27" s="643"/>
      <c r="ILQ27" s="643"/>
      <c r="ILR27" s="643"/>
      <c r="ILS27" s="643"/>
      <c r="ILT27" s="643"/>
      <c r="ILU27" s="643"/>
      <c r="ILV27" s="643"/>
      <c r="ILW27" s="643"/>
      <c r="ILX27" s="643"/>
      <c r="ILY27" s="643"/>
      <c r="ILZ27" s="643"/>
      <c r="IMA27" s="643"/>
      <c r="IMB27" s="643"/>
      <c r="IMC27" s="643"/>
      <c r="IMD27" s="643"/>
      <c r="IME27" s="643"/>
      <c r="IMF27" s="643"/>
      <c r="IMG27" s="643"/>
      <c r="IMH27" s="643"/>
      <c r="IMI27" s="643"/>
      <c r="IMJ27" s="643"/>
      <c r="IMK27" s="643"/>
      <c r="IML27" s="643"/>
      <c r="IMM27" s="643"/>
      <c r="IMN27" s="643"/>
      <c r="IMO27" s="643"/>
      <c r="IMP27" s="643"/>
      <c r="IMQ27" s="643"/>
      <c r="IMR27" s="643"/>
      <c r="IMS27" s="643"/>
      <c r="IMT27" s="643"/>
      <c r="IMU27" s="643"/>
      <c r="IMV27" s="643"/>
      <c r="IMW27" s="643"/>
      <c r="IMX27" s="643"/>
      <c r="IMY27" s="643"/>
      <c r="IMZ27" s="643"/>
      <c r="INA27" s="643"/>
      <c r="INB27" s="643"/>
      <c r="INC27" s="643"/>
      <c r="IND27" s="643"/>
      <c r="INE27" s="643"/>
      <c r="INF27" s="643"/>
      <c r="ING27" s="643"/>
      <c r="INH27" s="643"/>
      <c r="INI27" s="643"/>
      <c r="INJ27" s="643"/>
      <c r="INK27" s="643"/>
      <c r="INL27" s="643"/>
      <c r="INM27" s="643"/>
      <c r="INN27" s="643"/>
      <c r="INO27" s="643"/>
      <c r="INP27" s="643"/>
      <c r="INQ27" s="643"/>
      <c r="INR27" s="643"/>
      <c r="INS27" s="643"/>
      <c r="INT27" s="643"/>
      <c r="INU27" s="643"/>
      <c r="INV27" s="643"/>
      <c r="INW27" s="643"/>
      <c r="INX27" s="643"/>
      <c r="INY27" s="643"/>
      <c r="INZ27" s="643"/>
      <c r="IOA27" s="643"/>
      <c r="IOB27" s="643"/>
      <c r="IOC27" s="643"/>
      <c r="IOD27" s="643"/>
      <c r="IOE27" s="643"/>
      <c r="IOF27" s="643"/>
      <c r="IOG27" s="643"/>
      <c r="IOH27" s="643"/>
      <c r="IOI27" s="643"/>
      <c r="IOJ27" s="643"/>
      <c r="IOK27" s="643"/>
      <c r="IOL27" s="643"/>
      <c r="IOM27" s="643"/>
      <c r="ION27" s="643"/>
      <c r="IOO27" s="643"/>
      <c r="IOP27" s="643"/>
      <c r="IOQ27" s="643"/>
      <c r="IOR27" s="643"/>
      <c r="IOS27" s="643"/>
      <c r="IOT27" s="643"/>
      <c r="IOU27" s="643"/>
      <c r="IOV27" s="643"/>
      <c r="IOW27" s="643"/>
      <c r="IOX27" s="643"/>
      <c r="IOY27" s="643"/>
      <c r="IOZ27" s="643"/>
      <c r="IPA27" s="643"/>
      <c r="IPB27" s="643"/>
      <c r="IPC27" s="643"/>
      <c r="IPD27" s="643"/>
      <c r="IPE27" s="643"/>
      <c r="IPF27" s="643"/>
      <c r="IPG27" s="643"/>
      <c r="IPH27" s="643"/>
      <c r="IPI27" s="643"/>
      <c r="IPJ27" s="643"/>
      <c r="IPK27" s="643"/>
      <c r="IPL27" s="643"/>
      <c r="IPM27" s="643"/>
      <c r="IPN27" s="643"/>
      <c r="IPO27" s="643"/>
      <c r="IPP27" s="643"/>
      <c r="IPQ27" s="643"/>
      <c r="IPR27" s="643"/>
      <c r="IPS27" s="643"/>
      <c r="IPT27" s="643"/>
      <c r="IPU27" s="643"/>
      <c r="IPV27" s="643"/>
      <c r="IPW27" s="643"/>
      <c r="IPX27" s="643"/>
      <c r="IPY27" s="643"/>
      <c r="IPZ27" s="643"/>
      <c r="IQA27" s="643"/>
      <c r="IQB27" s="643"/>
      <c r="IQC27" s="643"/>
      <c r="IQD27" s="643"/>
      <c r="IQE27" s="643"/>
      <c r="IQF27" s="643"/>
      <c r="IQG27" s="643"/>
      <c r="IQH27" s="643"/>
      <c r="IQI27" s="643"/>
      <c r="IQJ27" s="643"/>
      <c r="IQK27" s="643"/>
      <c r="IQL27" s="643"/>
      <c r="IQM27" s="643"/>
      <c r="IQN27" s="643"/>
      <c r="IQO27" s="643"/>
      <c r="IQP27" s="643"/>
      <c r="IQQ27" s="643"/>
      <c r="IQR27" s="643"/>
      <c r="IQS27" s="643"/>
      <c r="IQT27" s="643"/>
      <c r="IQU27" s="643"/>
      <c r="IQV27" s="643"/>
      <c r="IQW27" s="643"/>
      <c r="IQX27" s="643"/>
      <c r="IQY27" s="643"/>
      <c r="IQZ27" s="643"/>
      <c r="IRA27" s="643"/>
      <c r="IRB27" s="643"/>
      <c r="IRC27" s="643"/>
      <c r="IRD27" s="643"/>
      <c r="IRE27" s="643"/>
      <c r="IRF27" s="643"/>
      <c r="IRG27" s="643"/>
      <c r="IRH27" s="643"/>
      <c r="IRI27" s="643"/>
      <c r="IRJ27" s="643"/>
      <c r="IRK27" s="643"/>
      <c r="IRL27" s="643"/>
      <c r="IRM27" s="643"/>
      <c r="IRN27" s="643"/>
      <c r="IRO27" s="643"/>
      <c r="IRP27" s="643"/>
      <c r="IRQ27" s="643"/>
      <c r="IRR27" s="643"/>
      <c r="IRS27" s="643"/>
      <c r="IRT27" s="643"/>
      <c r="IRU27" s="643"/>
      <c r="IRV27" s="643"/>
      <c r="IRW27" s="643"/>
      <c r="IRX27" s="643"/>
      <c r="IRY27" s="643"/>
      <c r="IRZ27" s="643"/>
      <c r="ISA27" s="643"/>
      <c r="ISB27" s="643"/>
      <c r="ISC27" s="643"/>
      <c r="ISD27" s="643"/>
      <c r="ISE27" s="643"/>
      <c r="ISF27" s="643"/>
      <c r="ISG27" s="643"/>
      <c r="ISH27" s="643"/>
      <c r="ISI27" s="643"/>
      <c r="ISJ27" s="643"/>
      <c r="ISK27" s="643"/>
      <c r="ISL27" s="643"/>
      <c r="ISM27" s="643"/>
      <c r="ISN27" s="643"/>
      <c r="ISO27" s="643"/>
      <c r="ISP27" s="643"/>
      <c r="ISQ27" s="643"/>
      <c r="ISR27" s="643"/>
      <c r="ISS27" s="643"/>
      <c r="IST27" s="643"/>
      <c r="ISU27" s="643"/>
      <c r="ISV27" s="643"/>
      <c r="ISW27" s="643"/>
      <c r="ISX27" s="643"/>
      <c r="ISY27" s="643"/>
      <c r="ISZ27" s="643"/>
      <c r="ITA27" s="643"/>
      <c r="ITB27" s="643"/>
      <c r="ITC27" s="643"/>
      <c r="ITD27" s="643"/>
      <c r="ITE27" s="643"/>
      <c r="ITF27" s="643"/>
      <c r="ITG27" s="643"/>
      <c r="ITH27" s="643"/>
      <c r="ITI27" s="643"/>
      <c r="ITJ27" s="643"/>
      <c r="ITK27" s="643"/>
      <c r="ITL27" s="643"/>
      <c r="ITM27" s="643"/>
      <c r="ITN27" s="643"/>
      <c r="ITO27" s="643"/>
      <c r="ITP27" s="643"/>
      <c r="ITQ27" s="643"/>
      <c r="ITR27" s="643"/>
      <c r="ITS27" s="643"/>
      <c r="ITT27" s="643"/>
      <c r="ITU27" s="643"/>
      <c r="ITV27" s="643"/>
      <c r="ITW27" s="643"/>
      <c r="ITX27" s="643"/>
      <c r="ITY27" s="643"/>
      <c r="ITZ27" s="643"/>
      <c r="IUA27" s="643"/>
      <c r="IUB27" s="643"/>
      <c r="IUC27" s="643"/>
      <c r="IUD27" s="643"/>
      <c r="IUE27" s="643"/>
      <c r="IUF27" s="643"/>
      <c r="IUG27" s="643"/>
      <c r="IUH27" s="643"/>
      <c r="IUI27" s="643"/>
      <c r="IUJ27" s="643"/>
      <c r="IUK27" s="643"/>
      <c r="IUL27" s="643"/>
      <c r="IUM27" s="643"/>
      <c r="IUN27" s="643"/>
      <c r="IUO27" s="643"/>
      <c r="IUP27" s="643"/>
      <c r="IUQ27" s="643"/>
      <c r="IUR27" s="643"/>
      <c r="IUS27" s="643"/>
      <c r="IUT27" s="643"/>
      <c r="IUU27" s="643"/>
      <c r="IUV27" s="643"/>
      <c r="IUW27" s="643"/>
      <c r="IUX27" s="643"/>
      <c r="IUY27" s="643"/>
      <c r="IUZ27" s="643"/>
      <c r="IVA27" s="643"/>
      <c r="IVB27" s="643"/>
      <c r="IVC27" s="643"/>
      <c r="IVD27" s="643"/>
      <c r="IVE27" s="643"/>
      <c r="IVF27" s="643"/>
      <c r="IVG27" s="643"/>
      <c r="IVH27" s="643"/>
      <c r="IVI27" s="643"/>
      <c r="IVJ27" s="643"/>
      <c r="IVK27" s="643"/>
      <c r="IVL27" s="643"/>
      <c r="IVM27" s="643"/>
      <c r="IVN27" s="643"/>
      <c r="IVO27" s="643"/>
      <c r="IVP27" s="643"/>
      <c r="IVQ27" s="643"/>
      <c r="IVR27" s="643"/>
      <c r="IVS27" s="643"/>
      <c r="IVT27" s="643"/>
      <c r="IVU27" s="643"/>
      <c r="IVV27" s="643"/>
      <c r="IVW27" s="643"/>
      <c r="IVX27" s="643"/>
      <c r="IVY27" s="643"/>
      <c r="IVZ27" s="643"/>
      <c r="IWA27" s="643"/>
      <c r="IWB27" s="643"/>
      <c r="IWC27" s="643"/>
      <c r="IWD27" s="643"/>
      <c r="IWE27" s="643"/>
      <c r="IWF27" s="643"/>
      <c r="IWG27" s="643"/>
      <c r="IWH27" s="643"/>
      <c r="IWI27" s="643"/>
      <c r="IWJ27" s="643"/>
      <c r="IWK27" s="643"/>
      <c r="IWL27" s="643"/>
      <c r="IWM27" s="643"/>
      <c r="IWN27" s="643"/>
      <c r="IWO27" s="643"/>
      <c r="IWP27" s="643"/>
      <c r="IWQ27" s="643"/>
      <c r="IWR27" s="643"/>
      <c r="IWS27" s="643"/>
      <c r="IWT27" s="643"/>
      <c r="IWU27" s="643"/>
      <c r="IWV27" s="643"/>
      <c r="IWW27" s="643"/>
      <c r="IWX27" s="643"/>
      <c r="IWY27" s="643"/>
      <c r="IWZ27" s="643"/>
      <c r="IXA27" s="643"/>
      <c r="IXB27" s="643"/>
      <c r="IXC27" s="643"/>
      <c r="IXD27" s="643"/>
      <c r="IXE27" s="643"/>
      <c r="IXF27" s="643"/>
      <c r="IXG27" s="643"/>
      <c r="IXH27" s="643"/>
      <c r="IXI27" s="643"/>
      <c r="IXJ27" s="643"/>
      <c r="IXK27" s="643"/>
      <c r="IXL27" s="643"/>
      <c r="IXM27" s="643"/>
      <c r="IXN27" s="643"/>
      <c r="IXO27" s="643"/>
      <c r="IXP27" s="643"/>
      <c r="IXQ27" s="643"/>
      <c r="IXR27" s="643"/>
      <c r="IXS27" s="643"/>
      <c r="IXT27" s="643"/>
      <c r="IXU27" s="643"/>
      <c r="IXV27" s="643"/>
      <c r="IXW27" s="643"/>
      <c r="IXX27" s="643"/>
      <c r="IXY27" s="643"/>
      <c r="IXZ27" s="643"/>
      <c r="IYA27" s="643"/>
      <c r="IYB27" s="643"/>
      <c r="IYC27" s="643"/>
      <c r="IYD27" s="643"/>
      <c r="IYE27" s="643"/>
      <c r="IYF27" s="643"/>
      <c r="IYG27" s="643"/>
      <c r="IYH27" s="643"/>
      <c r="IYI27" s="643"/>
      <c r="IYJ27" s="643"/>
      <c r="IYK27" s="643"/>
      <c r="IYL27" s="643"/>
      <c r="IYM27" s="643"/>
      <c r="IYN27" s="643"/>
      <c r="IYO27" s="643"/>
      <c r="IYP27" s="643"/>
      <c r="IYQ27" s="643"/>
      <c r="IYR27" s="643"/>
      <c r="IYS27" s="643"/>
      <c r="IYT27" s="643"/>
      <c r="IYU27" s="643"/>
      <c r="IYV27" s="643"/>
      <c r="IYW27" s="643"/>
      <c r="IYX27" s="643"/>
      <c r="IYY27" s="643"/>
      <c r="IYZ27" s="643"/>
      <c r="IZA27" s="643"/>
      <c r="IZB27" s="643"/>
      <c r="IZC27" s="643"/>
      <c r="IZD27" s="643"/>
      <c r="IZE27" s="643"/>
      <c r="IZF27" s="643"/>
      <c r="IZG27" s="643"/>
      <c r="IZH27" s="643"/>
      <c r="IZI27" s="643"/>
      <c r="IZJ27" s="643"/>
      <c r="IZK27" s="643"/>
      <c r="IZL27" s="643"/>
      <c r="IZM27" s="643"/>
      <c r="IZN27" s="643"/>
      <c r="IZO27" s="643"/>
      <c r="IZP27" s="643"/>
      <c r="IZQ27" s="643"/>
      <c r="IZR27" s="643"/>
      <c r="IZS27" s="643"/>
      <c r="IZT27" s="643"/>
      <c r="IZU27" s="643"/>
      <c r="IZV27" s="643"/>
      <c r="IZW27" s="643"/>
      <c r="IZX27" s="643"/>
      <c r="IZY27" s="643"/>
      <c r="IZZ27" s="643"/>
      <c r="JAA27" s="643"/>
      <c r="JAB27" s="643"/>
      <c r="JAC27" s="643"/>
      <c r="JAD27" s="643"/>
      <c r="JAE27" s="643"/>
      <c r="JAF27" s="643"/>
      <c r="JAG27" s="643"/>
      <c r="JAH27" s="643"/>
      <c r="JAI27" s="643"/>
      <c r="JAJ27" s="643"/>
      <c r="JAK27" s="643"/>
      <c r="JAL27" s="643"/>
      <c r="JAM27" s="643"/>
      <c r="JAN27" s="643"/>
      <c r="JAO27" s="643"/>
      <c r="JAP27" s="643"/>
      <c r="JAQ27" s="643"/>
      <c r="JAR27" s="643"/>
      <c r="JAS27" s="643"/>
      <c r="JAT27" s="643"/>
      <c r="JAU27" s="643"/>
      <c r="JAV27" s="643"/>
      <c r="JAW27" s="643"/>
      <c r="JAX27" s="643"/>
      <c r="JAY27" s="643"/>
      <c r="JAZ27" s="643"/>
      <c r="JBA27" s="643"/>
      <c r="JBB27" s="643"/>
      <c r="JBC27" s="643"/>
      <c r="JBD27" s="643"/>
      <c r="JBE27" s="643"/>
      <c r="JBF27" s="643"/>
      <c r="JBG27" s="643"/>
      <c r="JBH27" s="643"/>
      <c r="JBI27" s="643"/>
      <c r="JBJ27" s="643"/>
      <c r="JBK27" s="643"/>
      <c r="JBL27" s="643"/>
      <c r="JBM27" s="643"/>
      <c r="JBN27" s="643"/>
      <c r="JBO27" s="643"/>
      <c r="JBP27" s="643"/>
      <c r="JBQ27" s="643"/>
      <c r="JBR27" s="643"/>
      <c r="JBS27" s="643"/>
      <c r="JBT27" s="643"/>
      <c r="JBU27" s="643"/>
      <c r="JBV27" s="643"/>
      <c r="JBW27" s="643"/>
      <c r="JBX27" s="643"/>
      <c r="JBY27" s="643"/>
      <c r="JBZ27" s="643"/>
      <c r="JCA27" s="643"/>
      <c r="JCB27" s="643"/>
      <c r="JCC27" s="643"/>
      <c r="JCD27" s="643"/>
      <c r="JCE27" s="643"/>
      <c r="JCF27" s="643"/>
      <c r="JCG27" s="643"/>
      <c r="JCH27" s="643"/>
      <c r="JCI27" s="643"/>
      <c r="JCJ27" s="643"/>
      <c r="JCK27" s="643"/>
      <c r="JCL27" s="643"/>
      <c r="JCM27" s="643"/>
      <c r="JCN27" s="643"/>
      <c r="JCO27" s="643"/>
      <c r="JCP27" s="643"/>
      <c r="JCQ27" s="643"/>
      <c r="JCR27" s="643"/>
      <c r="JCS27" s="643"/>
      <c r="JCT27" s="643"/>
      <c r="JCU27" s="643"/>
      <c r="JCV27" s="643"/>
      <c r="JCW27" s="643"/>
      <c r="JCX27" s="643"/>
      <c r="JCY27" s="643"/>
      <c r="JCZ27" s="643"/>
      <c r="JDA27" s="643"/>
      <c r="JDB27" s="643"/>
      <c r="JDC27" s="643"/>
      <c r="JDD27" s="643"/>
      <c r="JDE27" s="643"/>
      <c r="JDF27" s="643"/>
      <c r="JDG27" s="643"/>
      <c r="JDH27" s="643"/>
      <c r="JDI27" s="643"/>
      <c r="JDJ27" s="643"/>
      <c r="JDK27" s="643"/>
      <c r="JDL27" s="643"/>
      <c r="JDM27" s="643"/>
      <c r="JDN27" s="643"/>
      <c r="JDO27" s="643"/>
      <c r="JDP27" s="643"/>
      <c r="JDQ27" s="643"/>
      <c r="JDR27" s="643"/>
      <c r="JDS27" s="643"/>
      <c r="JDT27" s="643"/>
      <c r="JDU27" s="643"/>
      <c r="JDV27" s="643"/>
      <c r="JDW27" s="643"/>
      <c r="JDX27" s="643"/>
      <c r="JDY27" s="643"/>
      <c r="JDZ27" s="643"/>
      <c r="JEA27" s="643"/>
      <c r="JEB27" s="643"/>
      <c r="JEC27" s="643"/>
      <c r="JED27" s="643"/>
      <c r="JEE27" s="643"/>
      <c r="JEF27" s="643"/>
      <c r="JEG27" s="643"/>
      <c r="JEH27" s="643"/>
      <c r="JEI27" s="643"/>
      <c r="JEJ27" s="643"/>
      <c r="JEK27" s="643"/>
      <c r="JEL27" s="643"/>
      <c r="JEM27" s="643"/>
      <c r="JEN27" s="643"/>
      <c r="JEO27" s="643"/>
      <c r="JEP27" s="643"/>
      <c r="JEQ27" s="643"/>
      <c r="JER27" s="643"/>
      <c r="JES27" s="643"/>
      <c r="JET27" s="643"/>
      <c r="JEU27" s="643"/>
      <c r="JEV27" s="643"/>
      <c r="JEW27" s="643"/>
      <c r="JEX27" s="643"/>
      <c r="JEY27" s="643"/>
      <c r="JEZ27" s="643"/>
      <c r="JFA27" s="643"/>
      <c r="JFB27" s="643"/>
      <c r="JFC27" s="643"/>
      <c r="JFD27" s="643"/>
      <c r="JFE27" s="643"/>
      <c r="JFF27" s="643"/>
      <c r="JFG27" s="643"/>
      <c r="JFH27" s="643"/>
      <c r="JFI27" s="643"/>
      <c r="JFJ27" s="643"/>
      <c r="JFK27" s="643"/>
      <c r="JFL27" s="643"/>
      <c r="JFM27" s="643"/>
      <c r="JFN27" s="643"/>
      <c r="JFO27" s="643"/>
      <c r="JFP27" s="643"/>
      <c r="JFQ27" s="643"/>
      <c r="JFR27" s="643"/>
      <c r="JFS27" s="643"/>
      <c r="JFT27" s="643"/>
      <c r="JFU27" s="643"/>
      <c r="JFV27" s="643"/>
      <c r="JFW27" s="643"/>
      <c r="JFX27" s="643"/>
      <c r="JFY27" s="643"/>
      <c r="JFZ27" s="643"/>
      <c r="JGA27" s="643"/>
      <c r="JGB27" s="643"/>
      <c r="JGC27" s="643"/>
      <c r="JGD27" s="643"/>
      <c r="JGE27" s="643"/>
      <c r="JGF27" s="643"/>
      <c r="JGG27" s="643"/>
      <c r="JGH27" s="643"/>
      <c r="JGI27" s="643"/>
      <c r="JGJ27" s="643"/>
      <c r="JGK27" s="643"/>
      <c r="JGL27" s="643"/>
      <c r="JGM27" s="643"/>
      <c r="JGN27" s="643"/>
      <c r="JGO27" s="643"/>
      <c r="JGP27" s="643"/>
      <c r="JGQ27" s="643"/>
      <c r="JGR27" s="643"/>
      <c r="JGS27" s="643"/>
      <c r="JGT27" s="643"/>
      <c r="JGU27" s="643"/>
      <c r="JGV27" s="643"/>
      <c r="JGW27" s="643"/>
      <c r="JGX27" s="643"/>
      <c r="JGY27" s="643"/>
      <c r="JGZ27" s="643"/>
      <c r="JHA27" s="643"/>
      <c r="JHB27" s="643"/>
      <c r="JHC27" s="643"/>
      <c r="JHD27" s="643"/>
      <c r="JHE27" s="643"/>
      <c r="JHF27" s="643"/>
      <c r="JHG27" s="643"/>
      <c r="JHH27" s="643"/>
      <c r="JHI27" s="643"/>
      <c r="JHJ27" s="643"/>
      <c r="JHK27" s="643"/>
      <c r="JHL27" s="643"/>
      <c r="JHM27" s="643"/>
      <c r="JHN27" s="643"/>
      <c r="JHO27" s="643"/>
      <c r="JHP27" s="643"/>
      <c r="JHQ27" s="643"/>
      <c r="JHR27" s="643"/>
      <c r="JHS27" s="643"/>
      <c r="JHT27" s="643"/>
      <c r="JHU27" s="643"/>
      <c r="JHV27" s="643"/>
      <c r="JHW27" s="643"/>
      <c r="JHX27" s="643"/>
      <c r="JHY27" s="643"/>
      <c r="JHZ27" s="643"/>
      <c r="JIA27" s="643"/>
      <c r="JIB27" s="643"/>
      <c r="JIC27" s="643"/>
      <c r="JID27" s="643"/>
      <c r="JIE27" s="643"/>
      <c r="JIF27" s="643"/>
      <c r="JIG27" s="643"/>
      <c r="JIH27" s="643"/>
      <c r="JII27" s="643"/>
      <c r="JIJ27" s="643"/>
      <c r="JIK27" s="643"/>
      <c r="JIL27" s="643"/>
      <c r="JIM27" s="643"/>
      <c r="JIN27" s="643"/>
      <c r="JIO27" s="643"/>
      <c r="JIP27" s="643"/>
      <c r="JIQ27" s="643"/>
      <c r="JIR27" s="643"/>
      <c r="JIS27" s="643"/>
      <c r="JIT27" s="643"/>
      <c r="JIU27" s="643"/>
      <c r="JIV27" s="643"/>
      <c r="JIW27" s="643"/>
      <c r="JIX27" s="643"/>
      <c r="JIY27" s="643"/>
      <c r="JIZ27" s="643"/>
      <c r="JJA27" s="643"/>
      <c r="JJB27" s="643"/>
      <c r="JJC27" s="643"/>
      <c r="JJD27" s="643"/>
      <c r="JJE27" s="643"/>
      <c r="JJF27" s="643"/>
      <c r="JJG27" s="643"/>
      <c r="JJH27" s="643"/>
      <c r="JJI27" s="643"/>
      <c r="JJJ27" s="643"/>
      <c r="JJK27" s="643"/>
      <c r="JJL27" s="643"/>
      <c r="JJM27" s="643"/>
      <c r="JJN27" s="643"/>
      <c r="JJO27" s="643"/>
      <c r="JJP27" s="643"/>
      <c r="JJQ27" s="643"/>
      <c r="JJR27" s="643"/>
      <c r="JJS27" s="643"/>
      <c r="JJT27" s="643"/>
      <c r="JJU27" s="643"/>
      <c r="JJV27" s="643"/>
      <c r="JJW27" s="643"/>
      <c r="JJX27" s="643"/>
      <c r="JJY27" s="643"/>
      <c r="JJZ27" s="643"/>
      <c r="JKA27" s="643"/>
      <c r="JKB27" s="643"/>
      <c r="JKC27" s="643"/>
      <c r="JKD27" s="643"/>
      <c r="JKE27" s="643"/>
      <c r="JKF27" s="643"/>
      <c r="JKG27" s="643"/>
      <c r="JKH27" s="643"/>
      <c r="JKI27" s="643"/>
      <c r="JKJ27" s="643"/>
      <c r="JKK27" s="643"/>
      <c r="JKL27" s="643"/>
      <c r="JKM27" s="643"/>
      <c r="JKN27" s="643"/>
      <c r="JKO27" s="643"/>
      <c r="JKP27" s="643"/>
      <c r="JKQ27" s="643"/>
      <c r="JKR27" s="643"/>
      <c r="JKS27" s="643"/>
      <c r="JKT27" s="643"/>
      <c r="JKU27" s="643"/>
      <c r="JKV27" s="643"/>
      <c r="JKW27" s="643"/>
      <c r="JKX27" s="643"/>
      <c r="JKY27" s="643"/>
      <c r="JKZ27" s="643"/>
      <c r="JLA27" s="643"/>
      <c r="JLB27" s="643"/>
      <c r="JLC27" s="643"/>
      <c r="JLD27" s="643"/>
      <c r="JLE27" s="643"/>
      <c r="JLF27" s="643"/>
      <c r="JLG27" s="643"/>
      <c r="JLH27" s="643"/>
      <c r="JLI27" s="643"/>
      <c r="JLJ27" s="643"/>
      <c r="JLK27" s="643"/>
      <c r="JLL27" s="643"/>
      <c r="JLM27" s="643"/>
      <c r="JLN27" s="643"/>
      <c r="JLO27" s="643"/>
      <c r="JLP27" s="643"/>
      <c r="JLQ27" s="643"/>
      <c r="JLR27" s="643"/>
      <c r="JLS27" s="643"/>
      <c r="JLT27" s="643"/>
      <c r="JLU27" s="643"/>
      <c r="JLV27" s="643"/>
      <c r="JLW27" s="643"/>
      <c r="JLX27" s="643"/>
      <c r="JLY27" s="643"/>
      <c r="JLZ27" s="643"/>
      <c r="JMA27" s="643"/>
      <c r="JMB27" s="643"/>
      <c r="JMC27" s="643"/>
      <c r="JMD27" s="643"/>
      <c r="JME27" s="643"/>
      <c r="JMF27" s="643"/>
      <c r="JMG27" s="643"/>
      <c r="JMH27" s="643"/>
      <c r="JMI27" s="643"/>
      <c r="JMJ27" s="643"/>
      <c r="JMK27" s="643"/>
      <c r="JML27" s="643"/>
      <c r="JMM27" s="643"/>
      <c r="JMN27" s="643"/>
      <c r="JMO27" s="643"/>
      <c r="JMP27" s="643"/>
      <c r="JMQ27" s="643"/>
      <c r="JMR27" s="643"/>
      <c r="JMS27" s="643"/>
      <c r="JMT27" s="643"/>
      <c r="JMU27" s="643"/>
      <c r="JMV27" s="643"/>
      <c r="JMW27" s="643"/>
      <c r="JMX27" s="643"/>
      <c r="JMY27" s="643"/>
      <c r="JMZ27" s="643"/>
      <c r="JNA27" s="643"/>
      <c r="JNB27" s="643"/>
      <c r="JNC27" s="643"/>
      <c r="JND27" s="643"/>
      <c r="JNE27" s="643"/>
      <c r="JNF27" s="643"/>
      <c r="JNG27" s="643"/>
      <c r="JNH27" s="643"/>
      <c r="JNI27" s="643"/>
      <c r="JNJ27" s="643"/>
      <c r="JNK27" s="643"/>
      <c r="JNL27" s="643"/>
      <c r="JNM27" s="643"/>
      <c r="JNN27" s="643"/>
      <c r="JNO27" s="643"/>
      <c r="JNP27" s="643"/>
      <c r="JNQ27" s="643"/>
      <c r="JNR27" s="643"/>
      <c r="JNS27" s="643"/>
      <c r="JNT27" s="643"/>
      <c r="JNU27" s="643"/>
      <c r="JNV27" s="643"/>
      <c r="JNW27" s="643"/>
      <c r="JNX27" s="643"/>
      <c r="JNY27" s="643"/>
      <c r="JNZ27" s="643"/>
      <c r="JOA27" s="643"/>
      <c r="JOB27" s="643"/>
      <c r="JOC27" s="643"/>
      <c r="JOD27" s="643"/>
      <c r="JOE27" s="643"/>
      <c r="JOF27" s="643"/>
      <c r="JOG27" s="643"/>
      <c r="JOH27" s="643"/>
      <c r="JOI27" s="643"/>
      <c r="JOJ27" s="643"/>
      <c r="JOK27" s="643"/>
      <c r="JOL27" s="643"/>
      <c r="JOM27" s="643"/>
      <c r="JON27" s="643"/>
      <c r="JOO27" s="643"/>
      <c r="JOP27" s="643"/>
      <c r="JOQ27" s="643"/>
      <c r="JOR27" s="643"/>
      <c r="JOS27" s="643"/>
      <c r="JOT27" s="643"/>
      <c r="JOU27" s="643"/>
      <c r="JOV27" s="643"/>
      <c r="JOW27" s="643"/>
      <c r="JOX27" s="643"/>
      <c r="JOY27" s="643"/>
      <c r="JOZ27" s="643"/>
      <c r="JPA27" s="643"/>
      <c r="JPB27" s="643"/>
      <c r="JPC27" s="643"/>
      <c r="JPD27" s="643"/>
      <c r="JPE27" s="643"/>
      <c r="JPF27" s="643"/>
      <c r="JPG27" s="643"/>
      <c r="JPH27" s="643"/>
      <c r="JPI27" s="643"/>
      <c r="JPJ27" s="643"/>
      <c r="JPK27" s="643"/>
      <c r="JPL27" s="643"/>
      <c r="JPM27" s="643"/>
      <c r="JPN27" s="643"/>
      <c r="JPO27" s="643"/>
      <c r="JPP27" s="643"/>
      <c r="JPQ27" s="643"/>
      <c r="JPR27" s="643"/>
      <c r="JPS27" s="643"/>
      <c r="JPT27" s="643"/>
      <c r="JPU27" s="643"/>
      <c r="JPV27" s="643"/>
      <c r="JPW27" s="643"/>
      <c r="JPX27" s="643"/>
      <c r="JPY27" s="643"/>
      <c r="JPZ27" s="643"/>
      <c r="JQA27" s="643"/>
      <c r="JQB27" s="643"/>
      <c r="JQC27" s="643"/>
      <c r="JQD27" s="643"/>
      <c r="JQE27" s="643"/>
      <c r="JQF27" s="643"/>
      <c r="JQG27" s="643"/>
      <c r="JQH27" s="643"/>
      <c r="JQI27" s="643"/>
      <c r="JQJ27" s="643"/>
      <c r="JQK27" s="643"/>
      <c r="JQL27" s="643"/>
      <c r="JQM27" s="643"/>
      <c r="JQN27" s="643"/>
      <c r="JQO27" s="643"/>
      <c r="JQP27" s="643"/>
      <c r="JQQ27" s="643"/>
      <c r="JQR27" s="643"/>
      <c r="JQS27" s="643"/>
      <c r="JQT27" s="643"/>
      <c r="JQU27" s="643"/>
      <c r="JQV27" s="643"/>
      <c r="JQW27" s="643"/>
      <c r="JQX27" s="643"/>
      <c r="JQY27" s="643"/>
      <c r="JQZ27" s="643"/>
      <c r="JRA27" s="643"/>
      <c r="JRB27" s="643"/>
      <c r="JRC27" s="643"/>
      <c r="JRD27" s="643"/>
      <c r="JRE27" s="643"/>
      <c r="JRF27" s="643"/>
      <c r="JRG27" s="643"/>
      <c r="JRH27" s="643"/>
      <c r="JRI27" s="643"/>
      <c r="JRJ27" s="643"/>
      <c r="JRK27" s="643"/>
      <c r="JRL27" s="643"/>
      <c r="JRM27" s="643"/>
      <c r="JRN27" s="643"/>
      <c r="JRO27" s="643"/>
      <c r="JRP27" s="643"/>
      <c r="JRQ27" s="643"/>
      <c r="JRR27" s="643"/>
      <c r="JRS27" s="643"/>
      <c r="JRT27" s="643"/>
      <c r="JRU27" s="643"/>
      <c r="JRV27" s="643"/>
      <c r="JRW27" s="643"/>
      <c r="JRX27" s="643"/>
      <c r="JRY27" s="643"/>
      <c r="JRZ27" s="643"/>
      <c r="JSA27" s="643"/>
      <c r="JSB27" s="643"/>
      <c r="JSC27" s="643"/>
      <c r="JSD27" s="643"/>
      <c r="JSE27" s="643"/>
      <c r="JSF27" s="643"/>
      <c r="JSG27" s="643"/>
      <c r="JSH27" s="643"/>
      <c r="JSI27" s="643"/>
      <c r="JSJ27" s="643"/>
      <c r="JSK27" s="643"/>
      <c r="JSL27" s="643"/>
      <c r="JSM27" s="643"/>
      <c r="JSN27" s="643"/>
      <c r="JSO27" s="643"/>
      <c r="JSP27" s="643"/>
      <c r="JSQ27" s="643"/>
      <c r="JSR27" s="643"/>
      <c r="JSS27" s="643"/>
      <c r="JST27" s="643"/>
      <c r="JSU27" s="643"/>
      <c r="JSV27" s="643"/>
      <c r="JSW27" s="643"/>
      <c r="JSX27" s="643"/>
      <c r="JSY27" s="643"/>
      <c r="JSZ27" s="643"/>
      <c r="JTA27" s="643"/>
      <c r="JTB27" s="643"/>
      <c r="JTC27" s="643"/>
      <c r="JTD27" s="643"/>
      <c r="JTE27" s="643"/>
      <c r="JTF27" s="643"/>
      <c r="JTG27" s="643"/>
      <c r="JTH27" s="643"/>
      <c r="JTI27" s="643"/>
      <c r="JTJ27" s="643"/>
      <c r="JTK27" s="643"/>
      <c r="JTL27" s="643"/>
      <c r="JTM27" s="643"/>
      <c r="JTN27" s="643"/>
      <c r="JTO27" s="643"/>
      <c r="JTP27" s="643"/>
      <c r="JTQ27" s="643"/>
      <c r="JTR27" s="643"/>
      <c r="JTS27" s="643"/>
      <c r="JTT27" s="643"/>
      <c r="JTU27" s="643"/>
      <c r="JTV27" s="643"/>
      <c r="JTW27" s="643"/>
      <c r="JTX27" s="643"/>
      <c r="JTY27" s="643"/>
      <c r="JTZ27" s="643"/>
      <c r="JUA27" s="643"/>
      <c r="JUB27" s="643"/>
      <c r="JUC27" s="643"/>
      <c r="JUD27" s="643"/>
      <c r="JUE27" s="643"/>
      <c r="JUF27" s="643"/>
      <c r="JUG27" s="643"/>
      <c r="JUH27" s="643"/>
      <c r="JUI27" s="643"/>
      <c r="JUJ27" s="643"/>
      <c r="JUK27" s="643"/>
      <c r="JUL27" s="643"/>
      <c r="JUM27" s="643"/>
      <c r="JUN27" s="643"/>
      <c r="JUO27" s="643"/>
      <c r="JUP27" s="643"/>
      <c r="JUQ27" s="643"/>
      <c r="JUR27" s="643"/>
      <c r="JUS27" s="643"/>
      <c r="JUT27" s="643"/>
      <c r="JUU27" s="643"/>
      <c r="JUV27" s="643"/>
      <c r="JUW27" s="643"/>
      <c r="JUX27" s="643"/>
      <c r="JUY27" s="643"/>
      <c r="JUZ27" s="643"/>
      <c r="JVA27" s="643"/>
      <c r="JVB27" s="643"/>
      <c r="JVC27" s="643"/>
      <c r="JVD27" s="643"/>
      <c r="JVE27" s="643"/>
      <c r="JVF27" s="643"/>
      <c r="JVG27" s="643"/>
      <c r="JVH27" s="643"/>
      <c r="JVI27" s="643"/>
      <c r="JVJ27" s="643"/>
      <c r="JVK27" s="643"/>
      <c r="JVL27" s="643"/>
      <c r="JVM27" s="643"/>
      <c r="JVN27" s="643"/>
      <c r="JVO27" s="643"/>
      <c r="JVP27" s="643"/>
      <c r="JVQ27" s="643"/>
      <c r="JVR27" s="643"/>
      <c r="JVS27" s="643"/>
      <c r="JVT27" s="643"/>
      <c r="JVU27" s="643"/>
      <c r="JVV27" s="643"/>
      <c r="JVW27" s="643"/>
      <c r="JVX27" s="643"/>
      <c r="JVY27" s="643"/>
      <c r="JVZ27" s="643"/>
      <c r="JWA27" s="643"/>
      <c r="JWB27" s="643"/>
      <c r="JWC27" s="643"/>
      <c r="JWD27" s="643"/>
      <c r="JWE27" s="643"/>
      <c r="JWF27" s="643"/>
      <c r="JWG27" s="643"/>
      <c r="JWH27" s="643"/>
      <c r="JWI27" s="643"/>
      <c r="JWJ27" s="643"/>
      <c r="JWK27" s="643"/>
      <c r="JWL27" s="643"/>
      <c r="JWM27" s="643"/>
      <c r="JWN27" s="643"/>
      <c r="JWO27" s="643"/>
      <c r="JWP27" s="643"/>
      <c r="JWQ27" s="643"/>
      <c r="JWR27" s="643"/>
      <c r="JWS27" s="643"/>
      <c r="JWT27" s="643"/>
      <c r="JWU27" s="643"/>
      <c r="JWV27" s="643"/>
      <c r="JWW27" s="643"/>
      <c r="JWX27" s="643"/>
      <c r="JWY27" s="643"/>
      <c r="JWZ27" s="643"/>
      <c r="JXA27" s="643"/>
      <c r="JXB27" s="643"/>
      <c r="JXC27" s="643"/>
      <c r="JXD27" s="643"/>
      <c r="JXE27" s="643"/>
      <c r="JXF27" s="643"/>
      <c r="JXG27" s="643"/>
      <c r="JXH27" s="643"/>
      <c r="JXI27" s="643"/>
      <c r="JXJ27" s="643"/>
      <c r="JXK27" s="643"/>
      <c r="JXL27" s="643"/>
      <c r="JXM27" s="643"/>
      <c r="JXN27" s="643"/>
      <c r="JXO27" s="643"/>
      <c r="JXP27" s="643"/>
      <c r="JXQ27" s="643"/>
      <c r="JXR27" s="643"/>
      <c r="JXS27" s="643"/>
      <c r="JXT27" s="643"/>
      <c r="JXU27" s="643"/>
      <c r="JXV27" s="643"/>
      <c r="JXW27" s="643"/>
      <c r="JXX27" s="643"/>
      <c r="JXY27" s="643"/>
      <c r="JXZ27" s="643"/>
      <c r="JYA27" s="643"/>
      <c r="JYB27" s="643"/>
      <c r="JYC27" s="643"/>
      <c r="JYD27" s="643"/>
      <c r="JYE27" s="643"/>
      <c r="JYF27" s="643"/>
      <c r="JYG27" s="643"/>
      <c r="JYH27" s="643"/>
      <c r="JYI27" s="643"/>
      <c r="JYJ27" s="643"/>
      <c r="JYK27" s="643"/>
      <c r="JYL27" s="643"/>
      <c r="JYM27" s="643"/>
      <c r="JYN27" s="643"/>
      <c r="JYO27" s="643"/>
      <c r="JYP27" s="643"/>
      <c r="JYQ27" s="643"/>
      <c r="JYR27" s="643"/>
      <c r="JYS27" s="643"/>
      <c r="JYT27" s="643"/>
      <c r="JYU27" s="643"/>
      <c r="JYV27" s="643"/>
      <c r="JYW27" s="643"/>
      <c r="JYX27" s="643"/>
      <c r="JYY27" s="643"/>
      <c r="JYZ27" s="643"/>
      <c r="JZA27" s="643"/>
      <c r="JZB27" s="643"/>
      <c r="JZC27" s="643"/>
      <c r="JZD27" s="643"/>
      <c r="JZE27" s="643"/>
      <c r="JZF27" s="643"/>
      <c r="JZG27" s="643"/>
      <c r="JZH27" s="643"/>
      <c r="JZI27" s="643"/>
      <c r="JZJ27" s="643"/>
      <c r="JZK27" s="643"/>
      <c r="JZL27" s="643"/>
      <c r="JZM27" s="643"/>
      <c r="JZN27" s="643"/>
      <c r="JZO27" s="643"/>
      <c r="JZP27" s="643"/>
      <c r="JZQ27" s="643"/>
      <c r="JZR27" s="643"/>
      <c r="JZS27" s="643"/>
      <c r="JZT27" s="643"/>
      <c r="JZU27" s="643"/>
      <c r="JZV27" s="643"/>
      <c r="JZW27" s="643"/>
      <c r="JZX27" s="643"/>
      <c r="JZY27" s="643"/>
      <c r="JZZ27" s="643"/>
      <c r="KAA27" s="643"/>
      <c r="KAB27" s="643"/>
      <c r="KAC27" s="643"/>
      <c r="KAD27" s="643"/>
      <c r="KAE27" s="643"/>
      <c r="KAF27" s="643"/>
      <c r="KAG27" s="643"/>
      <c r="KAH27" s="643"/>
      <c r="KAI27" s="643"/>
      <c r="KAJ27" s="643"/>
      <c r="KAK27" s="643"/>
      <c r="KAL27" s="643"/>
      <c r="KAM27" s="643"/>
      <c r="KAN27" s="643"/>
      <c r="KAO27" s="643"/>
      <c r="KAP27" s="643"/>
      <c r="KAQ27" s="643"/>
      <c r="KAR27" s="643"/>
      <c r="KAS27" s="643"/>
      <c r="KAT27" s="643"/>
      <c r="KAU27" s="643"/>
      <c r="KAV27" s="643"/>
      <c r="KAW27" s="643"/>
      <c r="KAX27" s="643"/>
      <c r="KAY27" s="643"/>
      <c r="KAZ27" s="643"/>
      <c r="KBA27" s="643"/>
      <c r="KBB27" s="643"/>
      <c r="KBC27" s="643"/>
      <c r="KBD27" s="643"/>
      <c r="KBE27" s="643"/>
      <c r="KBF27" s="643"/>
      <c r="KBG27" s="643"/>
      <c r="KBH27" s="643"/>
      <c r="KBI27" s="643"/>
      <c r="KBJ27" s="643"/>
      <c r="KBK27" s="643"/>
      <c r="KBL27" s="643"/>
      <c r="KBM27" s="643"/>
      <c r="KBN27" s="643"/>
      <c r="KBO27" s="643"/>
      <c r="KBP27" s="643"/>
      <c r="KBQ27" s="643"/>
      <c r="KBR27" s="643"/>
      <c r="KBS27" s="643"/>
      <c r="KBT27" s="643"/>
      <c r="KBU27" s="643"/>
      <c r="KBV27" s="643"/>
      <c r="KBW27" s="643"/>
      <c r="KBX27" s="643"/>
      <c r="KBY27" s="643"/>
      <c r="KBZ27" s="643"/>
      <c r="KCA27" s="643"/>
      <c r="KCB27" s="643"/>
      <c r="KCC27" s="643"/>
      <c r="KCD27" s="643"/>
      <c r="KCE27" s="643"/>
      <c r="KCF27" s="643"/>
      <c r="KCG27" s="643"/>
      <c r="KCH27" s="643"/>
      <c r="KCI27" s="643"/>
      <c r="KCJ27" s="643"/>
      <c r="KCK27" s="643"/>
      <c r="KCL27" s="643"/>
      <c r="KCM27" s="643"/>
      <c r="KCN27" s="643"/>
      <c r="KCO27" s="643"/>
      <c r="KCP27" s="643"/>
      <c r="KCQ27" s="643"/>
      <c r="KCR27" s="643"/>
      <c r="KCS27" s="643"/>
      <c r="KCT27" s="643"/>
      <c r="KCU27" s="643"/>
      <c r="KCV27" s="643"/>
      <c r="KCW27" s="643"/>
      <c r="KCX27" s="643"/>
      <c r="KCY27" s="643"/>
      <c r="KCZ27" s="643"/>
      <c r="KDA27" s="643"/>
      <c r="KDB27" s="643"/>
      <c r="KDC27" s="643"/>
      <c r="KDD27" s="643"/>
      <c r="KDE27" s="643"/>
      <c r="KDF27" s="643"/>
      <c r="KDG27" s="643"/>
      <c r="KDH27" s="643"/>
      <c r="KDI27" s="643"/>
      <c r="KDJ27" s="643"/>
      <c r="KDK27" s="643"/>
      <c r="KDL27" s="643"/>
      <c r="KDM27" s="643"/>
      <c r="KDN27" s="643"/>
      <c r="KDO27" s="643"/>
      <c r="KDP27" s="643"/>
      <c r="KDQ27" s="643"/>
      <c r="KDR27" s="643"/>
      <c r="KDS27" s="643"/>
      <c r="KDT27" s="643"/>
      <c r="KDU27" s="643"/>
      <c r="KDV27" s="643"/>
      <c r="KDW27" s="643"/>
      <c r="KDX27" s="643"/>
      <c r="KDY27" s="643"/>
      <c r="KDZ27" s="643"/>
      <c r="KEA27" s="643"/>
      <c r="KEB27" s="643"/>
      <c r="KEC27" s="643"/>
      <c r="KED27" s="643"/>
      <c r="KEE27" s="643"/>
      <c r="KEF27" s="643"/>
      <c r="KEG27" s="643"/>
      <c r="KEH27" s="643"/>
      <c r="KEI27" s="643"/>
      <c r="KEJ27" s="643"/>
      <c r="KEK27" s="643"/>
      <c r="KEL27" s="643"/>
      <c r="KEM27" s="643"/>
      <c r="KEN27" s="643"/>
      <c r="KEO27" s="643"/>
      <c r="KEP27" s="643"/>
      <c r="KEQ27" s="643"/>
      <c r="KER27" s="643"/>
      <c r="KES27" s="643"/>
      <c r="KET27" s="643"/>
      <c r="KEU27" s="643"/>
      <c r="KEV27" s="643"/>
      <c r="KEW27" s="643"/>
      <c r="KEX27" s="643"/>
      <c r="KEY27" s="643"/>
      <c r="KEZ27" s="643"/>
      <c r="KFA27" s="643"/>
      <c r="KFB27" s="643"/>
      <c r="KFC27" s="643"/>
      <c r="KFD27" s="643"/>
      <c r="KFE27" s="643"/>
      <c r="KFF27" s="643"/>
      <c r="KFG27" s="643"/>
      <c r="KFH27" s="643"/>
      <c r="KFI27" s="643"/>
      <c r="KFJ27" s="643"/>
      <c r="KFK27" s="643"/>
      <c r="KFL27" s="643"/>
      <c r="KFM27" s="643"/>
      <c r="KFN27" s="643"/>
      <c r="KFO27" s="643"/>
      <c r="KFP27" s="643"/>
      <c r="KFQ27" s="643"/>
      <c r="KFR27" s="643"/>
      <c r="KFS27" s="643"/>
      <c r="KFT27" s="643"/>
      <c r="KFU27" s="643"/>
      <c r="KFV27" s="643"/>
      <c r="KFW27" s="643"/>
      <c r="KFX27" s="643"/>
      <c r="KFY27" s="643"/>
      <c r="KFZ27" s="643"/>
      <c r="KGA27" s="643"/>
      <c r="KGB27" s="643"/>
      <c r="KGC27" s="643"/>
      <c r="KGD27" s="643"/>
      <c r="KGE27" s="643"/>
      <c r="KGF27" s="643"/>
      <c r="KGG27" s="643"/>
      <c r="KGH27" s="643"/>
      <c r="KGI27" s="643"/>
      <c r="KGJ27" s="643"/>
      <c r="KGK27" s="643"/>
      <c r="KGL27" s="643"/>
      <c r="KGM27" s="643"/>
      <c r="KGN27" s="643"/>
      <c r="KGO27" s="643"/>
      <c r="KGP27" s="643"/>
      <c r="KGQ27" s="643"/>
      <c r="KGR27" s="643"/>
      <c r="KGS27" s="643"/>
      <c r="KGT27" s="643"/>
      <c r="KGU27" s="643"/>
      <c r="KGV27" s="643"/>
      <c r="KGW27" s="643"/>
      <c r="KGX27" s="643"/>
      <c r="KGY27" s="643"/>
      <c r="KGZ27" s="643"/>
      <c r="KHA27" s="643"/>
      <c r="KHB27" s="643"/>
      <c r="KHC27" s="643"/>
      <c r="KHD27" s="643"/>
      <c r="KHE27" s="643"/>
      <c r="KHF27" s="643"/>
      <c r="KHG27" s="643"/>
      <c r="KHH27" s="643"/>
      <c r="KHI27" s="643"/>
      <c r="KHJ27" s="643"/>
      <c r="KHK27" s="643"/>
      <c r="KHL27" s="643"/>
      <c r="KHM27" s="643"/>
      <c r="KHN27" s="643"/>
      <c r="KHO27" s="643"/>
      <c r="KHP27" s="643"/>
      <c r="KHQ27" s="643"/>
      <c r="KHR27" s="643"/>
      <c r="KHS27" s="643"/>
      <c r="KHT27" s="643"/>
      <c r="KHU27" s="643"/>
      <c r="KHV27" s="643"/>
      <c r="KHW27" s="643"/>
      <c r="KHX27" s="643"/>
      <c r="KHY27" s="643"/>
      <c r="KHZ27" s="643"/>
      <c r="KIA27" s="643"/>
      <c r="KIB27" s="643"/>
      <c r="KIC27" s="643"/>
      <c r="KID27" s="643"/>
      <c r="KIE27" s="643"/>
      <c r="KIF27" s="643"/>
      <c r="KIG27" s="643"/>
      <c r="KIH27" s="643"/>
      <c r="KII27" s="643"/>
      <c r="KIJ27" s="643"/>
      <c r="KIK27" s="643"/>
      <c r="KIL27" s="643"/>
      <c r="KIM27" s="643"/>
      <c r="KIN27" s="643"/>
      <c r="KIO27" s="643"/>
      <c r="KIP27" s="643"/>
      <c r="KIQ27" s="643"/>
      <c r="KIR27" s="643"/>
      <c r="KIS27" s="643"/>
      <c r="KIT27" s="643"/>
      <c r="KIU27" s="643"/>
      <c r="KIV27" s="643"/>
      <c r="KIW27" s="643"/>
      <c r="KIX27" s="643"/>
      <c r="KIY27" s="643"/>
      <c r="KIZ27" s="643"/>
      <c r="KJA27" s="643"/>
      <c r="KJB27" s="643"/>
      <c r="KJC27" s="643"/>
      <c r="KJD27" s="643"/>
      <c r="KJE27" s="643"/>
      <c r="KJF27" s="643"/>
      <c r="KJG27" s="643"/>
      <c r="KJH27" s="643"/>
      <c r="KJI27" s="643"/>
      <c r="KJJ27" s="643"/>
      <c r="KJK27" s="643"/>
      <c r="KJL27" s="643"/>
      <c r="KJM27" s="643"/>
      <c r="KJN27" s="643"/>
      <c r="KJO27" s="643"/>
      <c r="KJP27" s="643"/>
      <c r="KJQ27" s="643"/>
      <c r="KJR27" s="643"/>
      <c r="KJS27" s="643"/>
      <c r="KJT27" s="643"/>
      <c r="KJU27" s="643"/>
      <c r="KJV27" s="643"/>
      <c r="KJW27" s="643"/>
      <c r="KJX27" s="643"/>
      <c r="KJY27" s="643"/>
      <c r="KJZ27" s="643"/>
      <c r="KKA27" s="643"/>
      <c r="KKB27" s="643"/>
      <c r="KKC27" s="643"/>
      <c r="KKD27" s="643"/>
      <c r="KKE27" s="643"/>
      <c r="KKF27" s="643"/>
      <c r="KKG27" s="643"/>
      <c r="KKH27" s="643"/>
      <c r="KKI27" s="643"/>
      <c r="KKJ27" s="643"/>
      <c r="KKK27" s="643"/>
      <c r="KKL27" s="643"/>
      <c r="KKM27" s="643"/>
      <c r="KKN27" s="643"/>
      <c r="KKO27" s="643"/>
      <c r="KKP27" s="643"/>
      <c r="KKQ27" s="643"/>
      <c r="KKR27" s="643"/>
      <c r="KKS27" s="643"/>
      <c r="KKT27" s="643"/>
      <c r="KKU27" s="643"/>
      <c r="KKV27" s="643"/>
      <c r="KKW27" s="643"/>
      <c r="KKX27" s="643"/>
      <c r="KKY27" s="643"/>
      <c r="KKZ27" s="643"/>
      <c r="KLA27" s="643"/>
      <c r="KLB27" s="643"/>
      <c r="KLC27" s="643"/>
      <c r="KLD27" s="643"/>
      <c r="KLE27" s="643"/>
      <c r="KLF27" s="643"/>
      <c r="KLG27" s="643"/>
      <c r="KLH27" s="643"/>
      <c r="KLI27" s="643"/>
      <c r="KLJ27" s="643"/>
      <c r="KLK27" s="643"/>
      <c r="KLL27" s="643"/>
      <c r="KLM27" s="643"/>
      <c r="KLN27" s="643"/>
      <c r="KLO27" s="643"/>
      <c r="KLP27" s="643"/>
      <c r="KLQ27" s="643"/>
      <c r="KLR27" s="643"/>
      <c r="KLS27" s="643"/>
      <c r="KLT27" s="643"/>
      <c r="KLU27" s="643"/>
      <c r="KLV27" s="643"/>
      <c r="KLW27" s="643"/>
      <c r="KLX27" s="643"/>
      <c r="KLY27" s="643"/>
      <c r="KLZ27" s="643"/>
      <c r="KMA27" s="643"/>
      <c r="KMB27" s="643"/>
      <c r="KMC27" s="643"/>
      <c r="KMD27" s="643"/>
      <c r="KME27" s="643"/>
      <c r="KMF27" s="643"/>
      <c r="KMG27" s="643"/>
      <c r="KMH27" s="643"/>
      <c r="KMI27" s="643"/>
      <c r="KMJ27" s="643"/>
      <c r="KMK27" s="643"/>
      <c r="KML27" s="643"/>
      <c r="KMM27" s="643"/>
      <c r="KMN27" s="643"/>
      <c r="KMO27" s="643"/>
      <c r="KMP27" s="643"/>
      <c r="KMQ27" s="643"/>
      <c r="KMR27" s="643"/>
      <c r="KMS27" s="643"/>
      <c r="KMT27" s="643"/>
      <c r="KMU27" s="643"/>
      <c r="KMV27" s="643"/>
      <c r="KMW27" s="643"/>
      <c r="KMX27" s="643"/>
      <c r="KMY27" s="643"/>
      <c r="KMZ27" s="643"/>
      <c r="KNA27" s="643"/>
      <c r="KNB27" s="643"/>
      <c r="KNC27" s="643"/>
      <c r="KND27" s="643"/>
      <c r="KNE27" s="643"/>
      <c r="KNF27" s="643"/>
      <c r="KNG27" s="643"/>
      <c r="KNH27" s="643"/>
      <c r="KNI27" s="643"/>
      <c r="KNJ27" s="643"/>
      <c r="KNK27" s="643"/>
      <c r="KNL27" s="643"/>
      <c r="KNM27" s="643"/>
      <c r="KNN27" s="643"/>
      <c r="KNO27" s="643"/>
      <c r="KNP27" s="643"/>
      <c r="KNQ27" s="643"/>
      <c r="KNR27" s="643"/>
      <c r="KNS27" s="643"/>
      <c r="KNT27" s="643"/>
      <c r="KNU27" s="643"/>
      <c r="KNV27" s="643"/>
      <c r="KNW27" s="643"/>
      <c r="KNX27" s="643"/>
      <c r="KNY27" s="643"/>
      <c r="KNZ27" s="643"/>
      <c r="KOA27" s="643"/>
      <c r="KOB27" s="643"/>
      <c r="KOC27" s="643"/>
      <c r="KOD27" s="643"/>
      <c r="KOE27" s="643"/>
      <c r="KOF27" s="643"/>
      <c r="KOG27" s="643"/>
      <c r="KOH27" s="643"/>
      <c r="KOI27" s="643"/>
      <c r="KOJ27" s="643"/>
      <c r="KOK27" s="643"/>
      <c r="KOL27" s="643"/>
      <c r="KOM27" s="643"/>
      <c r="KON27" s="643"/>
      <c r="KOO27" s="643"/>
      <c r="KOP27" s="643"/>
      <c r="KOQ27" s="643"/>
      <c r="KOR27" s="643"/>
      <c r="KOS27" s="643"/>
      <c r="KOT27" s="643"/>
      <c r="KOU27" s="643"/>
      <c r="KOV27" s="643"/>
      <c r="KOW27" s="643"/>
      <c r="KOX27" s="643"/>
      <c r="KOY27" s="643"/>
      <c r="KOZ27" s="643"/>
      <c r="KPA27" s="643"/>
      <c r="KPB27" s="643"/>
      <c r="KPC27" s="643"/>
      <c r="KPD27" s="643"/>
      <c r="KPE27" s="643"/>
      <c r="KPF27" s="643"/>
      <c r="KPG27" s="643"/>
      <c r="KPH27" s="643"/>
      <c r="KPI27" s="643"/>
      <c r="KPJ27" s="643"/>
      <c r="KPK27" s="643"/>
      <c r="KPL27" s="643"/>
      <c r="KPM27" s="643"/>
      <c r="KPN27" s="643"/>
      <c r="KPO27" s="643"/>
      <c r="KPP27" s="643"/>
      <c r="KPQ27" s="643"/>
      <c r="KPR27" s="643"/>
      <c r="KPS27" s="643"/>
      <c r="KPT27" s="643"/>
      <c r="KPU27" s="643"/>
      <c r="KPV27" s="643"/>
      <c r="KPW27" s="643"/>
      <c r="KPX27" s="643"/>
      <c r="KPY27" s="643"/>
      <c r="KPZ27" s="643"/>
      <c r="KQA27" s="643"/>
      <c r="KQB27" s="643"/>
      <c r="KQC27" s="643"/>
      <c r="KQD27" s="643"/>
      <c r="KQE27" s="643"/>
      <c r="KQF27" s="643"/>
      <c r="KQG27" s="643"/>
      <c r="KQH27" s="643"/>
      <c r="KQI27" s="643"/>
      <c r="KQJ27" s="643"/>
      <c r="KQK27" s="643"/>
      <c r="KQL27" s="643"/>
      <c r="KQM27" s="643"/>
      <c r="KQN27" s="643"/>
      <c r="KQO27" s="643"/>
      <c r="KQP27" s="643"/>
      <c r="KQQ27" s="643"/>
      <c r="KQR27" s="643"/>
      <c r="KQS27" s="643"/>
      <c r="KQT27" s="643"/>
      <c r="KQU27" s="643"/>
      <c r="KQV27" s="643"/>
      <c r="KQW27" s="643"/>
      <c r="KQX27" s="643"/>
      <c r="KQY27" s="643"/>
      <c r="KQZ27" s="643"/>
      <c r="KRA27" s="643"/>
      <c r="KRB27" s="643"/>
      <c r="KRC27" s="643"/>
      <c r="KRD27" s="643"/>
      <c r="KRE27" s="643"/>
      <c r="KRF27" s="643"/>
      <c r="KRG27" s="643"/>
      <c r="KRH27" s="643"/>
      <c r="KRI27" s="643"/>
      <c r="KRJ27" s="643"/>
      <c r="KRK27" s="643"/>
      <c r="KRL27" s="643"/>
      <c r="KRM27" s="643"/>
      <c r="KRN27" s="643"/>
      <c r="KRO27" s="643"/>
      <c r="KRP27" s="643"/>
      <c r="KRQ27" s="643"/>
      <c r="KRR27" s="643"/>
      <c r="KRS27" s="643"/>
      <c r="KRT27" s="643"/>
      <c r="KRU27" s="643"/>
      <c r="KRV27" s="643"/>
      <c r="KRW27" s="643"/>
      <c r="KRX27" s="643"/>
      <c r="KRY27" s="643"/>
      <c r="KRZ27" s="643"/>
      <c r="KSA27" s="643"/>
      <c r="KSB27" s="643"/>
      <c r="KSC27" s="643"/>
      <c r="KSD27" s="643"/>
      <c r="KSE27" s="643"/>
      <c r="KSF27" s="643"/>
      <c r="KSG27" s="643"/>
      <c r="KSH27" s="643"/>
      <c r="KSI27" s="643"/>
      <c r="KSJ27" s="643"/>
      <c r="KSK27" s="643"/>
      <c r="KSL27" s="643"/>
      <c r="KSM27" s="643"/>
      <c r="KSN27" s="643"/>
      <c r="KSO27" s="643"/>
      <c r="KSP27" s="643"/>
      <c r="KSQ27" s="643"/>
      <c r="KSR27" s="643"/>
      <c r="KSS27" s="643"/>
      <c r="KST27" s="643"/>
      <c r="KSU27" s="643"/>
      <c r="KSV27" s="643"/>
      <c r="KSW27" s="643"/>
      <c r="KSX27" s="643"/>
      <c r="KSY27" s="643"/>
      <c r="KSZ27" s="643"/>
      <c r="KTA27" s="643"/>
      <c r="KTB27" s="643"/>
      <c r="KTC27" s="643"/>
      <c r="KTD27" s="643"/>
      <c r="KTE27" s="643"/>
      <c r="KTF27" s="643"/>
      <c r="KTG27" s="643"/>
      <c r="KTH27" s="643"/>
      <c r="KTI27" s="643"/>
      <c r="KTJ27" s="643"/>
      <c r="KTK27" s="643"/>
      <c r="KTL27" s="643"/>
      <c r="KTM27" s="643"/>
      <c r="KTN27" s="643"/>
      <c r="KTO27" s="643"/>
      <c r="KTP27" s="643"/>
      <c r="KTQ27" s="643"/>
      <c r="KTR27" s="643"/>
      <c r="KTS27" s="643"/>
      <c r="KTT27" s="643"/>
      <c r="KTU27" s="643"/>
      <c r="KTV27" s="643"/>
      <c r="KTW27" s="643"/>
      <c r="KTX27" s="643"/>
      <c r="KTY27" s="643"/>
      <c r="KTZ27" s="643"/>
      <c r="KUA27" s="643"/>
      <c r="KUB27" s="643"/>
      <c r="KUC27" s="643"/>
      <c r="KUD27" s="643"/>
      <c r="KUE27" s="643"/>
      <c r="KUF27" s="643"/>
      <c r="KUG27" s="643"/>
      <c r="KUH27" s="643"/>
      <c r="KUI27" s="643"/>
      <c r="KUJ27" s="643"/>
      <c r="KUK27" s="643"/>
      <c r="KUL27" s="643"/>
      <c r="KUM27" s="643"/>
      <c r="KUN27" s="643"/>
      <c r="KUO27" s="643"/>
      <c r="KUP27" s="643"/>
      <c r="KUQ27" s="643"/>
      <c r="KUR27" s="643"/>
      <c r="KUS27" s="643"/>
      <c r="KUT27" s="643"/>
      <c r="KUU27" s="643"/>
      <c r="KUV27" s="643"/>
      <c r="KUW27" s="643"/>
      <c r="KUX27" s="643"/>
      <c r="KUY27" s="643"/>
      <c r="KUZ27" s="643"/>
      <c r="KVA27" s="643"/>
      <c r="KVB27" s="643"/>
      <c r="KVC27" s="643"/>
      <c r="KVD27" s="643"/>
      <c r="KVE27" s="643"/>
      <c r="KVF27" s="643"/>
      <c r="KVG27" s="643"/>
      <c r="KVH27" s="643"/>
      <c r="KVI27" s="643"/>
      <c r="KVJ27" s="643"/>
      <c r="KVK27" s="643"/>
      <c r="KVL27" s="643"/>
      <c r="KVM27" s="643"/>
      <c r="KVN27" s="643"/>
      <c r="KVO27" s="643"/>
      <c r="KVP27" s="643"/>
      <c r="KVQ27" s="643"/>
      <c r="KVR27" s="643"/>
      <c r="KVS27" s="643"/>
      <c r="KVT27" s="643"/>
      <c r="KVU27" s="643"/>
      <c r="KVV27" s="643"/>
      <c r="KVW27" s="643"/>
      <c r="KVX27" s="643"/>
      <c r="KVY27" s="643"/>
      <c r="KVZ27" s="643"/>
      <c r="KWA27" s="643"/>
      <c r="KWB27" s="643"/>
      <c r="KWC27" s="643"/>
      <c r="KWD27" s="643"/>
      <c r="KWE27" s="643"/>
      <c r="KWF27" s="643"/>
      <c r="KWG27" s="643"/>
      <c r="KWH27" s="643"/>
      <c r="KWI27" s="643"/>
      <c r="KWJ27" s="643"/>
      <c r="KWK27" s="643"/>
      <c r="KWL27" s="643"/>
      <c r="KWM27" s="643"/>
      <c r="KWN27" s="643"/>
      <c r="KWO27" s="643"/>
      <c r="KWP27" s="643"/>
      <c r="KWQ27" s="643"/>
      <c r="KWR27" s="643"/>
      <c r="KWS27" s="643"/>
      <c r="KWT27" s="643"/>
      <c r="KWU27" s="643"/>
      <c r="KWV27" s="643"/>
      <c r="KWW27" s="643"/>
      <c r="KWX27" s="643"/>
      <c r="KWY27" s="643"/>
      <c r="KWZ27" s="643"/>
      <c r="KXA27" s="643"/>
      <c r="KXB27" s="643"/>
      <c r="KXC27" s="643"/>
      <c r="KXD27" s="643"/>
      <c r="KXE27" s="643"/>
      <c r="KXF27" s="643"/>
      <c r="KXG27" s="643"/>
      <c r="KXH27" s="643"/>
      <c r="KXI27" s="643"/>
      <c r="KXJ27" s="643"/>
      <c r="KXK27" s="643"/>
      <c r="KXL27" s="643"/>
      <c r="KXM27" s="643"/>
      <c r="KXN27" s="643"/>
      <c r="KXO27" s="643"/>
      <c r="KXP27" s="643"/>
      <c r="KXQ27" s="643"/>
      <c r="KXR27" s="643"/>
      <c r="KXS27" s="643"/>
      <c r="KXT27" s="643"/>
      <c r="KXU27" s="643"/>
      <c r="KXV27" s="643"/>
      <c r="KXW27" s="643"/>
      <c r="KXX27" s="643"/>
      <c r="KXY27" s="643"/>
      <c r="KXZ27" s="643"/>
      <c r="KYA27" s="643"/>
      <c r="KYB27" s="643"/>
      <c r="KYC27" s="643"/>
      <c r="KYD27" s="643"/>
      <c r="KYE27" s="643"/>
      <c r="KYF27" s="643"/>
      <c r="KYG27" s="643"/>
      <c r="KYH27" s="643"/>
      <c r="KYI27" s="643"/>
      <c r="KYJ27" s="643"/>
      <c r="KYK27" s="643"/>
      <c r="KYL27" s="643"/>
      <c r="KYM27" s="643"/>
      <c r="KYN27" s="643"/>
      <c r="KYO27" s="643"/>
      <c r="KYP27" s="643"/>
      <c r="KYQ27" s="643"/>
      <c r="KYR27" s="643"/>
      <c r="KYS27" s="643"/>
      <c r="KYT27" s="643"/>
      <c r="KYU27" s="643"/>
      <c r="KYV27" s="643"/>
      <c r="KYW27" s="643"/>
      <c r="KYX27" s="643"/>
      <c r="KYY27" s="643"/>
      <c r="KYZ27" s="643"/>
      <c r="KZA27" s="643"/>
      <c r="KZB27" s="643"/>
      <c r="KZC27" s="643"/>
      <c r="KZD27" s="643"/>
      <c r="KZE27" s="643"/>
      <c r="KZF27" s="643"/>
      <c r="KZG27" s="643"/>
      <c r="KZH27" s="643"/>
      <c r="KZI27" s="643"/>
      <c r="KZJ27" s="643"/>
      <c r="KZK27" s="643"/>
      <c r="KZL27" s="643"/>
      <c r="KZM27" s="643"/>
      <c r="KZN27" s="643"/>
      <c r="KZO27" s="643"/>
      <c r="KZP27" s="643"/>
      <c r="KZQ27" s="643"/>
      <c r="KZR27" s="643"/>
      <c r="KZS27" s="643"/>
      <c r="KZT27" s="643"/>
      <c r="KZU27" s="643"/>
      <c r="KZV27" s="643"/>
      <c r="KZW27" s="643"/>
      <c r="KZX27" s="643"/>
      <c r="KZY27" s="643"/>
      <c r="KZZ27" s="643"/>
      <c r="LAA27" s="643"/>
      <c r="LAB27" s="643"/>
      <c r="LAC27" s="643"/>
      <c r="LAD27" s="643"/>
      <c r="LAE27" s="643"/>
      <c r="LAF27" s="643"/>
      <c r="LAG27" s="643"/>
      <c r="LAH27" s="643"/>
      <c r="LAI27" s="643"/>
      <c r="LAJ27" s="643"/>
      <c r="LAK27" s="643"/>
      <c r="LAL27" s="643"/>
      <c r="LAM27" s="643"/>
      <c r="LAN27" s="643"/>
      <c r="LAO27" s="643"/>
      <c r="LAP27" s="643"/>
      <c r="LAQ27" s="643"/>
      <c r="LAR27" s="643"/>
      <c r="LAS27" s="643"/>
      <c r="LAT27" s="643"/>
      <c r="LAU27" s="643"/>
      <c r="LAV27" s="643"/>
      <c r="LAW27" s="643"/>
      <c r="LAX27" s="643"/>
      <c r="LAY27" s="643"/>
      <c r="LAZ27" s="643"/>
      <c r="LBA27" s="643"/>
      <c r="LBB27" s="643"/>
      <c r="LBC27" s="643"/>
      <c r="LBD27" s="643"/>
      <c r="LBE27" s="643"/>
      <c r="LBF27" s="643"/>
      <c r="LBG27" s="643"/>
      <c r="LBH27" s="643"/>
      <c r="LBI27" s="643"/>
      <c r="LBJ27" s="643"/>
      <c r="LBK27" s="643"/>
      <c r="LBL27" s="643"/>
      <c r="LBM27" s="643"/>
      <c r="LBN27" s="643"/>
      <c r="LBO27" s="643"/>
      <c r="LBP27" s="643"/>
      <c r="LBQ27" s="643"/>
      <c r="LBR27" s="643"/>
      <c r="LBS27" s="643"/>
      <c r="LBT27" s="643"/>
      <c r="LBU27" s="643"/>
      <c r="LBV27" s="643"/>
      <c r="LBW27" s="643"/>
      <c r="LBX27" s="643"/>
      <c r="LBY27" s="643"/>
      <c r="LBZ27" s="643"/>
      <c r="LCA27" s="643"/>
      <c r="LCB27" s="643"/>
      <c r="LCC27" s="643"/>
      <c r="LCD27" s="643"/>
      <c r="LCE27" s="643"/>
      <c r="LCF27" s="643"/>
      <c r="LCG27" s="643"/>
      <c r="LCH27" s="643"/>
      <c r="LCI27" s="643"/>
      <c r="LCJ27" s="643"/>
      <c r="LCK27" s="643"/>
      <c r="LCL27" s="643"/>
      <c r="LCM27" s="643"/>
      <c r="LCN27" s="643"/>
      <c r="LCO27" s="643"/>
      <c r="LCP27" s="643"/>
      <c r="LCQ27" s="643"/>
      <c r="LCR27" s="643"/>
      <c r="LCS27" s="643"/>
      <c r="LCT27" s="643"/>
      <c r="LCU27" s="643"/>
      <c r="LCV27" s="643"/>
      <c r="LCW27" s="643"/>
      <c r="LCX27" s="643"/>
      <c r="LCY27" s="643"/>
      <c r="LCZ27" s="643"/>
      <c r="LDA27" s="643"/>
      <c r="LDB27" s="643"/>
      <c r="LDC27" s="643"/>
      <c r="LDD27" s="643"/>
      <c r="LDE27" s="643"/>
      <c r="LDF27" s="643"/>
      <c r="LDG27" s="643"/>
      <c r="LDH27" s="643"/>
      <c r="LDI27" s="643"/>
      <c r="LDJ27" s="643"/>
      <c r="LDK27" s="643"/>
      <c r="LDL27" s="643"/>
      <c r="LDM27" s="643"/>
      <c r="LDN27" s="643"/>
      <c r="LDO27" s="643"/>
      <c r="LDP27" s="643"/>
      <c r="LDQ27" s="643"/>
      <c r="LDR27" s="643"/>
      <c r="LDS27" s="643"/>
      <c r="LDT27" s="643"/>
      <c r="LDU27" s="643"/>
      <c r="LDV27" s="643"/>
      <c r="LDW27" s="643"/>
      <c r="LDX27" s="643"/>
      <c r="LDY27" s="643"/>
      <c r="LDZ27" s="643"/>
      <c r="LEA27" s="643"/>
      <c r="LEB27" s="643"/>
      <c r="LEC27" s="643"/>
      <c r="LED27" s="643"/>
      <c r="LEE27" s="643"/>
      <c r="LEF27" s="643"/>
      <c r="LEG27" s="643"/>
      <c r="LEH27" s="643"/>
      <c r="LEI27" s="643"/>
      <c r="LEJ27" s="643"/>
      <c r="LEK27" s="643"/>
      <c r="LEL27" s="643"/>
      <c r="LEM27" s="643"/>
      <c r="LEN27" s="643"/>
      <c r="LEO27" s="643"/>
      <c r="LEP27" s="643"/>
      <c r="LEQ27" s="643"/>
      <c r="LER27" s="643"/>
      <c r="LES27" s="643"/>
      <c r="LET27" s="643"/>
      <c r="LEU27" s="643"/>
      <c r="LEV27" s="643"/>
      <c r="LEW27" s="643"/>
      <c r="LEX27" s="643"/>
      <c r="LEY27" s="643"/>
      <c r="LEZ27" s="643"/>
      <c r="LFA27" s="643"/>
      <c r="LFB27" s="643"/>
      <c r="LFC27" s="643"/>
      <c r="LFD27" s="643"/>
      <c r="LFE27" s="643"/>
      <c r="LFF27" s="643"/>
      <c r="LFG27" s="643"/>
      <c r="LFH27" s="643"/>
      <c r="LFI27" s="643"/>
      <c r="LFJ27" s="643"/>
      <c r="LFK27" s="643"/>
      <c r="LFL27" s="643"/>
      <c r="LFM27" s="643"/>
      <c r="LFN27" s="643"/>
      <c r="LFO27" s="643"/>
      <c r="LFP27" s="643"/>
      <c r="LFQ27" s="643"/>
      <c r="LFR27" s="643"/>
      <c r="LFS27" s="643"/>
      <c r="LFT27" s="643"/>
      <c r="LFU27" s="643"/>
      <c r="LFV27" s="643"/>
      <c r="LFW27" s="643"/>
      <c r="LFX27" s="643"/>
      <c r="LFY27" s="643"/>
      <c r="LFZ27" s="643"/>
      <c r="LGA27" s="643"/>
      <c r="LGB27" s="643"/>
      <c r="LGC27" s="643"/>
      <c r="LGD27" s="643"/>
      <c r="LGE27" s="643"/>
      <c r="LGF27" s="643"/>
      <c r="LGG27" s="643"/>
      <c r="LGH27" s="643"/>
      <c r="LGI27" s="643"/>
      <c r="LGJ27" s="643"/>
      <c r="LGK27" s="643"/>
      <c r="LGL27" s="643"/>
      <c r="LGM27" s="643"/>
      <c r="LGN27" s="643"/>
      <c r="LGO27" s="643"/>
      <c r="LGP27" s="643"/>
      <c r="LGQ27" s="643"/>
      <c r="LGR27" s="643"/>
      <c r="LGS27" s="643"/>
      <c r="LGT27" s="643"/>
      <c r="LGU27" s="643"/>
      <c r="LGV27" s="643"/>
      <c r="LGW27" s="643"/>
      <c r="LGX27" s="643"/>
      <c r="LGY27" s="643"/>
      <c r="LGZ27" s="643"/>
      <c r="LHA27" s="643"/>
      <c r="LHB27" s="643"/>
      <c r="LHC27" s="643"/>
      <c r="LHD27" s="643"/>
      <c r="LHE27" s="643"/>
      <c r="LHF27" s="643"/>
      <c r="LHG27" s="643"/>
      <c r="LHH27" s="643"/>
      <c r="LHI27" s="643"/>
      <c r="LHJ27" s="643"/>
      <c r="LHK27" s="643"/>
      <c r="LHL27" s="643"/>
      <c r="LHM27" s="643"/>
      <c r="LHN27" s="643"/>
      <c r="LHO27" s="643"/>
      <c r="LHP27" s="643"/>
      <c r="LHQ27" s="643"/>
      <c r="LHR27" s="643"/>
      <c r="LHS27" s="643"/>
      <c r="LHT27" s="643"/>
      <c r="LHU27" s="643"/>
      <c r="LHV27" s="643"/>
      <c r="LHW27" s="643"/>
      <c r="LHX27" s="643"/>
      <c r="LHY27" s="643"/>
      <c r="LHZ27" s="643"/>
      <c r="LIA27" s="643"/>
      <c r="LIB27" s="643"/>
      <c r="LIC27" s="643"/>
      <c r="LID27" s="643"/>
      <c r="LIE27" s="643"/>
      <c r="LIF27" s="643"/>
      <c r="LIG27" s="643"/>
      <c r="LIH27" s="643"/>
      <c r="LII27" s="643"/>
      <c r="LIJ27" s="643"/>
      <c r="LIK27" s="643"/>
      <c r="LIL27" s="643"/>
      <c r="LIM27" s="643"/>
      <c r="LIN27" s="643"/>
      <c r="LIO27" s="643"/>
      <c r="LIP27" s="643"/>
      <c r="LIQ27" s="643"/>
      <c r="LIR27" s="643"/>
      <c r="LIS27" s="643"/>
      <c r="LIT27" s="643"/>
      <c r="LIU27" s="643"/>
      <c r="LIV27" s="643"/>
      <c r="LIW27" s="643"/>
      <c r="LIX27" s="643"/>
      <c r="LIY27" s="643"/>
      <c r="LIZ27" s="643"/>
      <c r="LJA27" s="643"/>
      <c r="LJB27" s="643"/>
      <c r="LJC27" s="643"/>
      <c r="LJD27" s="643"/>
      <c r="LJE27" s="643"/>
      <c r="LJF27" s="643"/>
      <c r="LJG27" s="643"/>
      <c r="LJH27" s="643"/>
      <c r="LJI27" s="643"/>
      <c r="LJJ27" s="643"/>
      <c r="LJK27" s="643"/>
      <c r="LJL27" s="643"/>
      <c r="LJM27" s="643"/>
      <c r="LJN27" s="643"/>
      <c r="LJO27" s="643"/>
      <c r="LJP27" s="643"/>
      <c r="LJQ27" s="643"/>
      <c r="LJR27" s="643"/>
      <c r="LJS27" s="643"/>
      <c r="LJT27" s="643"/>
      <c r="LJU27" s="643"/>
      <c r="LJV27" s="643"/>
      <c r="LJW27" s="643"/>
      <c r="LJX27" s="643"/>
      <c r="LJY27" s="643"/>
      <c r="LJZ27" s="643"/>
      <c r="LKA27" s="643"/>
      <c r="LKB27" s="643"/>
      <c r="LKC27" s="643"/>
      <c r="LKD27" s="643"/>
      <c r="LKE27" s="643"/>
      <c r="LKF27" s="643"/>
      <c r="LKG27" s="643"/>
      <c r="LKH27" s="643"/>
      <c r="LKI27" s="643"/>
      <c r="LKJ27" s="643"/>
      <c r="LKK27" s="643"/>
      <c r="LKL27" s="643"/>
      <c r="LKM27" s="643"/>
      <c r="LKN27" s="643"/>
      <c r="LKO27" s="643"/>
      <c r="LKP27" s="643"/>
      <c r="LKQ27" s="643"/>
      <c r="LKR27" s="643"/>
      <c r="LKS27" s="643"/>
      <c r="LKT27" s="643"/>
      <c r="LKU27" s="643"/>
      <c r="LKV27" s="643"/>
      <c r="LKW27" s="643"/>
      <c r="LKX27" s="643"/>
      <c r="LKY27" s="643"/>
      <c r="LKZ27" s="643"/>
      <c r="LLA27" s="643"/>
      <c r="LLB27" s="643"/>
      <c r="LLC27" s="643"/>
      <c r="LLD27" s="643"/>
      <c r="LLE27" s="643"/>
      <c r="LLF27" s="643"/>
      <c r="LLG27" s="643"/>
      <c r="LLH27" s="643"/>
      <c r="LLI27" s="643"/>
      <c r="LLJ27" s="643"/>
      <c r="LLK27" s="643"/>
      <c r="LLL27" s="643"/>
      <c r="LLM27" s="643"/>
      <c r="LLN27" s="643"/>
      <c r="LLO27" s="643"/>
      <c r="LLP27" s="643"/>
      <c r="LLQ27" s="643"/>
      <c r="LLR27" s="643"/>
      <c r="LLS27" s="643"/>
      <c r="LLT27" s="643"/>
      <c r="LLU27" s="643"/>
      <c r="LLV27" s="643"/>
      <c r="LLW27" s="643"/>
      <c r="LLX27" s="643"/>
      <c r="LLY27" s="643"/>
      <c r="LLZ27" s="643"/>
      <c r="LMA27" s="643"/>
      <c r="LMB27" s="643"/>
      <c r="LMC27" s="643"/>
      <c r="LMD27" s="643"/>
      <c r="LME27" s="643"/>
      <c r="LMF27" s="643"/>
      <c r="LMG27" s="643"/>
      <c r="LMH27" s="643"/>
      <c r="LMI27" s="643"/>
      <c r="LMJ27" s="643"/>
      <c r="LMK27" s="643"/>
      <c r="LML27" s="643"/>
      <c r="LMM27" s="643"/>
      <c r="LMN27" s="643"/>
      <c r="LMO27" s="643"/>
      <c r="LMP27" s="643"/>
      <c r="LMQ27" s="643"/>
      <c r="LMR27" s="643"/>
      <c r="LMS27" s="643"/>
      <c r="LMT27" s="643"/>
      <c r="LMU27" s="643"/>
      <c r="LMV27" s="643"/>
      <c r="LMW27" s="643"/>
      <c r="LMX27" s="643"/>
      <c r="LMY27" s="643"/>
      <c r="LMZ27" s="643"/>
      <c r="LNA27" s="643"/>
      <c r="LNB27" s="643"/>
      <c r="LNC27" s="643"/>
      <c r="LND27" s="643"/>
      <c r="LNE27" s="643"/>
      <c r="LNF27" s="643"/>
      <c r="LNG27" s="643"/>
      <c r="LNH27" s="643"/>
      <c r="LNI27" s="643"/>
      <c r="LNJ27" s="643"/>
      <c r="LNK27" s="643"/>
      <c r="LNL27" s="643"/>
      <c r="LNM27" s="643"/>
      <c r="LNN27" s="643"/>
      <c r="LNO27" s="643"/>
      <c r="LNP27" s="643"/>
      <c r="LNQ27" s="643"/>
      <c r="LNR27" s="643"/>
      <c r="LNS27" s="643"/>
      <c r="LNT27" s="643"/>
      <c r="LNU27" s="643"/>
      <c r="LNV27" s="643"/>
      <c r="LNW27" s="643"/>
      <c r="LNX27" s="643"/>
      <c r="LNY27" s="643"/>
      <c r="LNZ27" s="643"/>
      <c r="LOA27" s="643"/>
      <c r="LOB27" s="643"/>
      <c r="LOC27" s="643"/>
      <c r="LOD27" s="643"/>
      <c r="LOE27" s="643"/>
      <c r="LOF27" s="643"/>
      <c r="LOG27" s="643"/>
      <c r="LOH27" s="643"/>
      <c r="LOI27" s="643"/>
      <c r="LOJ27" s="643"/>
      <c r="LOK27" s="643"/>
      <c r="LOL27" s="643"/>
      <c r="LOM27" s="643"/>
      <c r="LON27" s="643"/>
      <c r="LOO27" s="643"/>
      <c r="LOP27" s="643"/>
      <c r="LOQ27" s="643"/>
      <c r="LOR27" s="643"/>
      <c r="LOS27" s="643"/>
      <c r="LOT27" s="643"/>
      <c r="LOU27" s="643"/>
      <c r="LOV27" s="643"/>
      <c r="LOW27" s="643"/>
      <c r="LOX27" s="643"/>
      <c r="LOY27" s="643"/>
      <c r="LOZ27" s="643"/>
      <c r="LPA27" s="643"/>
      <c r="LPB27" s="643"/>
      <c r="LPC27" s="643"/>
      <c r="LPD27" s="643"/>
      <c r="LPE27" s="643"/>
      <c r="LPF27" s="643"/>
      <c r="LPG27" s="643"/>
      <c r="LPH27" s="643"/>
      <c r="LPI27" s="643"/>
      <c r="LPJ27" s="643"/>
      <c r="LPK27" s="643"/>
      <c r="LPL27" s="643"/>
      <c r="LPM27" s="643"/>
      <c r="LPN27" s="643"/>
      <c r="LPO27" s="643"/>
      <c r="LPP27" s="643"/>
      <c r="LPQ27" s="643"/>
      <c r="LPR27" s="643"/>
      <c r="LPS27" s="643"/>
      <c r="LPT27" s="643"/>
      <c r="LPU27" s="643"/>
      <c r="LPV27" s="643"/>
      <c r="LPW27" s="643"/>
      <c r="LPX27" s="643"/>
      <c r="LPY27" s="643"/>
      <c r="LPZ27" s="643"/>
      <c r="LQA27" s="643"/>
      <c r="LQB27" s="643"/>
      <c r="LQC27" s="643"/>
      <c r="LQD27" s="643"/>
      <c r="LQE27" s="643"/>
      <c r="LQF27" s="643"/>
      <c r="LQG27" s="643"/>
      <c r="LQH27" s="643"/>
      <c r="LQI27" s="643"/>
      <c r="LQJ27" s="643"/>
      <c r="LQK27" s="643"/>
      <c r="LQL27" s="643"/>
      <c r="LQM27" s="643"/>
      <c r="LQN27" s="643"/>
      <c r="LQO27" s="643"/>
      <c r="LQP27" s="643"/>
      <c r="LQQ27" s="643"/>
      <c r="LQR27" s="643"/>
      <c r="LQS27" s="643"/>
      <c r="LQT27" s="643"/>
      <c r="LQU27" s="643"/>
      <c r="LQV27" s="643"/>
      <c r="LQW27" s="643"/>
      <c r="LQX27" s="643"/>
      <c r="LQY27" s="643"/>
      <c r="LQZ27" s="643"/>
      <c r="LRA27" s="643"/>
      <c r="LRB27" s="643"/>
      <c r="LRC27" s="643"/>
      <c r="LRD27" s="643"/>
      <c r="LRE27" s="643"/>
      <c r="LRF27" s="643"/>
      <c r="LRG27" s="643"/>
      <c r="LRH27" s="643"/>
      <c r="LRI27" s="643"/>
      <c r="LRJ27" s="643"/>
      <c r="LRK27" s="643"/>
      <c r="LRL27" s="643"/>
      <c r="LRM27" s="643"/>
      <c r="LRN27" s="643"/>
      <c r="LRO27" s="643"/>
      <c r="LRP27" s="643"/>
      <c r="LRQ27" s="643"/>
      <c r="LRR27" s="643"/>
      <c r="LRS27" s="643"/>
      <c r="LRT27" s="643"/>
      <c r="LRU27" s="643"/>
      <c r="LRV27" s="643"/>
      <c r="LRW27" s="643"/>
      <c r="LRX27" s="643"/>
      <c r="LRY27" s="643"/>
      <c r="LRZ27" s="643"/>
      <c r="LSA27" s="643"/>
      <c r="LSB27" s="643"/>
      <c r="LSC27" s="643"/>
      <c r="LSD27" s="643"/>
      <c r="LSE27" s="643"/>
      <c r="LSF27" s="643"/>
      <c r="LSG27" s="643"/>
      <c r="LSH27" s="643"/>
      <c r="LSI27" s="643"/>
      <c r="LSJ27" s="643"/>
      <c r="LSK27" s="643"/>
      <c r="LSL27" s="643"/>
      <c r="LSM27" s="643"/>
      <c r="LSN27" s="643"/>
      <c r="LSO27" s="643"/>
      <c r="LSP27" s="643"/>
      <c r="LSQ27" s="643"/>
      <c r="LSR27" s="643"/>
      <c r="LSS27" s="643"/>
      <c r="LST27" s="643"/>
      <c r="LSU27" s="643"/>
      <c r="LSV27" s="643"/>
      <c r="LSW27" s="643"/>
      <c r="LSX27" s="643"/>
      <c r="LSY27" s="643"/>
      <c r="LSZ27" s="643"/>
      <c r="LTA27" s="643"/>
      <c r="LTB27" s="643"/>
      <c r="LTC27" s="643"/>
      <c r="LTD27" s="643"/>
      <c r="LTE27" s="643"/>
      <c r="LTF27" s="643"/>
      <c r="LTG27" s="643"/>
      <c r="LTH27" s="643"/>
      <c r="LTI27" s="643"/>
      <c r="LTJ27" s="643"/>
      <c r="LTK27" s="643"/>
      <c r="LTL27" s="643"/>
      <c r="LTM27" s="643"/>
      <c r="LTN27" s="643"/>
      <c r="LTO27" s="643"/>
      <c r="LTP27" s="643"/>
      <c r="LTQ27" s="643"/>
      <c r="LTR27" s="643"/>
      <c r="LTS27" s="643"/>
      <c r="LTT27" s="643"/>
      <c r="LTU27" s="643"/>
      <c r="LTV27" s="643"/>
      <c r="LTW27" s="643"/>
      <c r="LTX27" s="643"/>
      <c r="LTY27" s="643"/>
      <c r="LTZ27" s="643"/>
      <c r="LUA27" s="643"/>
      <c r="LUB27" s="643"/>
      <c r="LUC27" s="643"/>
      <c r="LUD27" s="643"/>
      <c r="LUE27" s="643"/>
      <c r="LUF27" s="643"/>
      <c r="LUG27" s="643"/>
      <c r="LUH27" s="643"/>
      <c r="LUI27" s="643"/>
      <c r="LUJ27" s="643"/>
      <c r="LUK27" s="643"/>
      <c r="LUL27" s="643"/>
      <c r="LUM27" s="643"/>
      <c r="LUN27" s="643"/>
      <c r="LUO27" s="643"/>
      <c r="LUP27" s="643"/>
      <c r="LUQ27" s="643"/>
      <c r="LUR27" s="643"/>
      <c r="LUS27" s="643"/>
      <c r="LUT27" s="643"/>
      <c r="LUU27" s="643"/>
      <c r="LUV27" s="643"/>
      <c r="LUW27" s="643"/>
      <c r="LUX27" s="643"/>
      <c r="LUY27" s="643"/>
      <c r="LUZ27" s="643"/>
      <c r="LVA27" s="643"/>
      <c r="LVB27" s="643"/>
      <c r="LVC27" s="643"/>
      <c r="LVD27" s="643"/>
      <c r="LVE27" s="643"/>
      <c r="LVF27" s="643"/>
      <c r="LVG27" s="643"/>
      <c r="LVH27" s="643"/>
      <c r="LVI27" s="643"/>
      <c r="LVJ27" s="643"/>
      <c r="LVK27" s="643"/>
      <c r="LVL27" s="643"/>
      <c r="LVM27" s="643"/>
      <c r="LVN27" s="643"/>
      <c r="LVO27" s="643"/>
      <c r="LVP27" s="643"/>
      <c r="LVQ27" s="643"/>
      <c r="LVR27" s="643"/>
      <c r="LVS27" s="643"/>
      <c r="LVT27" s="643"/>
      <c r="LVU27" s="643"/>
      <c r="LVV27" s="643"/>
      <c r="LVW27" s="643"/>
      <c r="LVX27" s="643"/>
      <c r="LVY27" s="643"/>
      <c r="LVZ27" s="643"/>
      <c r="LWA27" s="643"/>
      <c r="LWB27" s="643"/>
      <c r="LWC27" s="643"/>
      <c r="LWD27" s="643"/>
      <c r="LWE27" s="643"/>
      <c r="LWF27" s="643"/>
      <c r="LWG27" s="643"/>
      <c r="LWH27" s="643"/>
      <c r="LWI27" s="643"/>
      <c r="LWJ27" s="643"/>
      <c r="LWK27" s="643"/>
      <c r="LWL27" s="643"/>
      <c r="LWM27" s="643"/>
      <c r="LWN27" s="643"/>
      <c r="LWO27" s="643"/>
      <c r="LWP27" s="643"/>
      <c r="LWQ27" s="643"/>
      <c r="LWR27" s="643"/>
      <c r="LWS27" s="643"/>
      <c r="LWT27" s="643"/>
      <c r="LWU27" s="643"/>
      <c r="LWV27" s="643"/>
      <c r="LWW27" s="643"/>
      <c r="LWX27" s="643"/>
      <c r="LWY27" s="643"/>
      <c r="LWZ27" s="643"/>
      <c r="LXA27" s="643"/>
      <c r="LXB27" s="643"/>
      <c r="LXC27" s="643"/>
      <c r="LXD27" s="643"/>
      <c r="LXE27" s="643"/>
      <c r="LXF27" s="643"/>
      <c r="LXG27" s="643"/>
      <c r="LXH27" s="643"/>
      <c r="LXI27" s="643"/>
      <c r="LXJ27" s="643"/>
      <c r="LXK27" s="643"/>
      <c r="LXL27" s="643"/>
      <c r="LXM27" s="643"/>
      <c r="LXN27" s="643"/>
      <c r="LXO27" s="643"/>
      <c r="LXP27" s="643"/>
      <c r="LXQ27" s="643"/>
      <c r="LXR27" s="643"/>
      <c r="LXS27" s="643"/>
      <c r="LXT27" s="643"/>
      <c r="LXU27" s="643"/>
      <c r="LXV27" s="643"/>
      <c r="LXW27" s="643"/>
      <c r="LXX27" s="643"/>
      <c r="LXY27" s="643"/>
      <c r="LXZ27" s="643"/>
      <c r="LYA27" s="643"/>
      <c r="LYB27" s="643"/>
      <c r="LYC27" s="643"/>
      <c r="LYD27" s="643"/>
      <c r="LYE27" s="643"/>
      <c r="LYF27" s="643"/>
      <c r="LYG27" s="643"/>
      <c r="LYH27" s="643"/>
      <c r="LYI27" s="643"/>
      <c r="LYJ27" s="643"/>
      <c r="LYK27" s="643"/>
      <c r="LYL27" s="643"/>
      <c r="LYM27" s="643"/>
      <c r="LYN27" s="643"/>
      <c r="LYO27" s="643"/>
      <c r="LYP27" s="643"/>
      <c r="LYQ27" s="643"/>
      <c r="LYR27" s="643"/>
      <c r="LYS27" s="643"/>
      <c r="LYT27" s="643"/>
      <c r="LYU27" s="643"/>
      <c r="LYV27" s="643"/>
      <c r="LYW27" s="643"/>
      <c r="LYX27" s="643"/>
      <c r="LYY27" s="643"/>
      <c r="LYZ27" s="643"/>
      <c r="LZA27" s="643"/>
      <c r="LZB27" s="643"/>
      <c r="LZC27" s="643"/>
      <c r="LZD27" s="643"/>
      <c r="LZE27" s="643"/>
      <c r="LZF27" s="643"/>
      <c r="LZG27" s="643"/>
      <c r="LZH27" s="643"/>
      <c r="LZI27" s="643"/>
      <c r="LZJ27" s="643"/>
      <c r="LZK27" s="643"/>
      <c r="LZL27" s="643"/>
      <c r="LZM27" s="643"/>
      <c r="LZN27" s="643"/>
      <c r="LZO27" s="643"/>
      <c r="LZP27" s="643"/>
      <c r="LZQ27" s="643"/>
      <c r="LZR27" s="643"/>
      <c r="LZS27" s="643"/>
      <c r="LZT27" s="643"/>
      <c r="LZU27" s="643"/>
      <c r="LZV27" s="643"/>
      <c r="LZW27" s="643"/>
      <c r="LZX27" s="643"/>
      <c r="LZY27" s="643"/>
      <c r="LZZ27" s="643"/>
      <c r="MAA27" s="643"/>
      <c r="MAB27" s="643"/>
      <c r="MAC27" s="643"/>
      <c r="MAD27" s="643"/>
      <c r="MAE27" s="643"/>
      <c r="MAF27" s="643"/>
      <c r="MAG27" s="643"/>
      <c r="MAH27" s="643"/>
      <c r="MAI27" s="643"/>
      <c r="MAJ27" s="643"/>
      <c r="MAK27" s="643"/>
      <c r="MAL27" s="643"/>
      <c r="MAM27" s="643"/>
      <c r="MAN27" s="643"/>
      <c r="MAO27" s="643"/>
      <c r="MAP27" s="643"/>
      <c r="MAQ27" s="643"/>
      <c r="MAR27" s="643"/>
      <c r="MAS27" s="643"/>
      <c r="MAT27" s="643"/>
      <c r="MAU27" s="643"/>
      <c r="MAV27" s="643"/>
      <c r="MAW27" s="643"/>
      <c r="MAX27" s="643"/>
      <c r="MAY27" s="643"/>
      <c r="MAZ27" s="643"/>
      <c r="MBA27" s="643"/>
      <c r="MBB27" s="643"/>
      <c r="MBC27" s="643"/>
      <c r="MBD27" s="643"/>
      <c r="MBE27" s="643"/>
      <c r="MBF27" s="643"/>
      <c r="MBG27" s="643"/>
      <c r="MBH27" s="643"/>
      <c r="MBI27" s="643"/>
      <c r="MBJ27" s="643"/>
      <c r="MBK27" s="643"/>
      <c r="MBL27" s="643"/>
      <c r="MBM27" s="643"/>
      <c r="MBN27" s="643"/>
      <c r="MBO27" s="643"/>
      <c r="MBP27" s="643"/>
      <c r="MBQ27" s="643"/>
      <c r="MBR27" s="643"/>
      <c r="MBS27" s="643"/>
      <c r="MBT27" s="643"/>
      <c r="MBU27" s="643"/>
      <c r="MBV27" s="643"/>
      <c r="MBW27" s="643"/>
      <c r="MBX27" s="643"/>
      <c r="MBY27" s="643"/>
      <c r="MBZ27" s="643"/>
      <c r="MCA27" s="643"/>
      <c r="MCB27" s="643"/>
      <c r="MCC27" s="643"/>
      <c r="MCD27" s="643"/>
      <c r="MCE27" s="643"/>
      <c r="MCF27" s="643"/>
      <c r="MCG27" s="643"/>
      <c r="MCH27" s="643"/>
      <c r="MCI27" s="643"/>
      <c r="MCJ27" s="643"/>
      <c r="MCK27" s="643"/>
      <c r="MCL27" s="643"/>
      <c r="MCM27" s="643"/>
      <c r="MCN27" s="643"/>
      <c r="MCO27" s="643"/>
      <c r="MCP27" s="643"/>
      <c r="MCQ27" s="643"/>
      <c r="MCR27" s="643"/>
      <c r="MCS27" s="643"/>
      <c r="MCT27" s="643"/>
      <c r="MCU27" s="643"/>
      <c r="MCV27" s="643"/>
      <c r="MCW27" s="643"/>
      <c r="MCX27" s="643"/>
      <c r="MCY27" s="643"/>
      <c r="MCZ27" s="643"/>
      <c r="MDA27" s="643"/>
      <c r="MDB27" s="643"/>
      <c r="MDC27" s="643"/>
      <c r="MDD27" s="643"/>
      <c r="MDE27" s="643"/>
      <c r="MDF27" s="643"/>
      <c r="MDG27" s="643"/>
      <c r="MDH27" s="643"/>
      <c r="MDI27" s="643"/>
      <c r="MDJ27" s="643"/>
      <c r="MDK27" s="643"/>
      <c r="MDL27" s="643"/>
      <c r="MDM27" s="643"/>
      <c r="MDN27" s="643"/>
      <c r="MDO27" s="643"/>
      <c r="MDP27" s="643"/>
      <c r="MDQ27" s="643"/>
      <c r="MDR27" s="643"/>
      <c r="MDS27" s="643"/>
      <c r="MDT27" s="643"/>
      <c r="MDU27" s="643"/>
      <c r="MDV27" s="643"/>
      <c r="MDW27" s="643"/>
      <c r="MDX27" s="643"/>
      <c r="MDY27" s="643"/>
      <c r="MDZ27" s="643"/>
      <c r="MEA27" s="643"/>
      <c r="MEB27" s="643"/>
      <c r="MEC27" s="643"/>
      <c r="MED27" s="643"/>
      <c r="MEE27" s="643"/>
      <c r="MEF27" s="643"/>
      <c r="MEG27" s="643"/>
      <c r="MEH27" s="643"/>
      <c r="MEI27" s="643"/>
      <c r="MEJ27" s="643"/>
      <c r="MEK27" s="643"/>
      <c r="MEL27" s="643"/>
      <c r="MEM27" s="643"/>
      <c r="MEN27" s="643"/>
      <c r="MEO27" s="643"/>
      <c r="MEP27" s="643"/>
      <c r="MEQ27" s="643"/>
      <c r="MER27" s="643"/>
      <c r="MES27" s="643"/>
      <c r="MET27" s="643"/>
      <c r="MEU27" s="643"/>
      <c r="MEV27" s="643"/>
      <c r="MEW27" s="643"/>
      <c r="MEX27" s="643"/>
      <c r="MEY27" s="643"/>
      <c r="MEZ27" s="643"/>
      <c r="MFA27" s="643"/>
      <c r="MFB27" s="643"/>
      <c r="MFC27" s="643"/>
      <c r="MFD27" s="643"/>
      <c r="MFE27" s="643"/>
      <c r="MFF27" s="643"/>
      <c r="MFG27" s="643"/>
      <c r="MFH27" s="643"/>
      <c r="MFI27" s="643"/>
      <c r="MFJ27" s="643"/>
      <c r="MFK27" s="643"/>
      <c r="MFL27" s="643"/>
      <c r="MFM27" s="643"/>
      <c r="MFN27" s="643"/>
      <c r="MFO27" s="643"/>
      <c r="MFP27" s="643"/>
      <c r="MFQ27" s="643"/>
      <c r="MFR27" s="643"/>
      <c r="MFS27" s="643"/>
      <c r="MFT27" s="643"/>
      <c r="MFU27" s="643"/>
      <c r="MFV27" s="643"/>
      <c r="MFW27" s="643"/>
      <c r="MFX27" s="643"/>
      <c r="MFY27" s="643"/>
      <c r="MFZ27" s="643"/>
      <c r="MGA27" s="643"/>
      <c r="MGB27" s="643"/>
      <c r="MGC27" s="643"/>
      <c r="MGD27" s="643"/>
      <c r="MGE27" s="643"/>
      <c r="MGF27" s="643"/>
      <c r="MGG27" s="643"/>
      <c r="MGH27" s="643"/>
      <c r="MGI27" s="643"/>
      <c r="MGJ27" s="643"/>
      <c r="MGK27" s="643"/>
      <c r="MGL27" s="643"/>
      <c r="MGM27" s="643"/>
      <c r="MGN27" s="643"/>
      <c r="MGO27" s="643"/>
      <c r="MGP27" s="643"/>
      <c r="MGQ27" s="643"/>
      <c r="MGR27" s="643"/>
      <c r="MGS27" s="643"/>
      <c r="MGT27" s="643"/>
      <c r="MGU27" s="643"/>
      <c r="MGV27" s="643"/>
      <c r="MGW27" s="643"/>
      <c r="MGX27" s="643"/>
      <c r="MGY27" s="643"/>
      <c r="MGZ27" s="643"/>
      <c r="MHA27" s="643"/>
      <c r="MHB27" s="643"/>
      <c r="MHC27" s="643"/>
      <c r="MHD27" s="643"/>
      <c r="MHE27" s="643"/>
      <c r="MHF27" s="643"/>
      <c r="MHG27" s="643"/>
      <c r="MHH27" s="643"/>
      <c r="MHI27" s="643"/>
      <c r="MHJ27" s="643"/>
      <c r="MHK27" s="643"/>
      <c r="MHL27" s="643"/>
      <c r="MHM27" s="643"/>
      <c r="MHN27" s="643"/>
      <c r="MHO27" s="643"/>
      <c r="MHP27" s="643"/>
      <c r="MHQ27" s="643"/>
      <c r="MHR27" s="643"/>
      <c r="MHS27" s="643"/>
      <c r="MHT27" s="643"/>
      <c r="MHU27" s="643"/>
      <c r="MHV27" s="643"/>
      <c r="MHW27" s="643"/>
      <c r="MHX27" s="643"/>
      <c r="MHY27" s="643"/>
      <c r="MHZ27" s="643"/>
      <c r="MIA27" s="643"/>
      <c r="MIB27" s="643"/>
      <c r="MIC27" s="643"/>
      <c r="MID27" s="643"/>
      <c r="MIE27" s="643"/>
      <c r="MIF27" s="643"/>
      <c r="MIG27" s="643"/>
      <c r="MIH27" s="643"/>
      <c r="MII27" s="643"/>
      <c r="MIJ27" s="643"/>
      <c r="MIK27" s="643"/>
      <c r="MIL27" s="643"/>
      <c r="MIM27" s="643"/>
      <c r="MIN27" s="643"/>
      <c r="MIO27" s="643"/>
      <c r="MIP27" s="643"/>
      <c r="MIQ27" s="643"/>
      <c r="MIR27" s="643"/>
      <c r="MIS27" s="643"/>
      <c r="MIT27" s="643"/>
      <c r="MIU27" s="643"/>
      <c r="MIV27" s="643"/>
      <c r="MIW27" s="643"/>
      <c r="MIX27" s="643"/>
      <c r="MIY27" s="643"/>
      <c r="MIZ27" s="643"/>
      <c r="MJA27" s="643"/>
      <c r="MJB27" s="643"/>
      <c r="MJC27" s="643"/>
      <c r="MJD27" s="643"/>
      <c r="MJE27" s="643"/>
      <c r="MJF27" s="643"/>
      <c r="MJG27" s="643"/>
      <c r="MJH27" s="643"/>
      <c r="MJI27" s="643"/>
      <c r="MJJ27" s="643"/>
      <c r="MJK27" s="643"/>
      <c r="MJL27" s="643"/>
      <c r="MJM27" s="643"/>
      <c r="MJN27" s="643"/>
      <c r="MJO27" s="643"/>
      <c r="MJP27" s="643"/>
      <c r="MJQ27" s="643"/>
      <c r="MJR27" s="643"/>
      <c r="MJS27" s="643"/>
      <c r="MJT27" s="643"/>
      <c r="MJU27" s="643"/>
      <c r="MJV27" s="643"/>
      <c r="MJW27" s="643"/>
      <c r="MJX27" s="643"/>
      <c r="MJY27" s="643"/>
      <c r="MJZ27" s="643"/>
      <c r="MKA27" s="643"/>
      <c r="MKB27" s="643"/>
      <c r="MKC27" s="643"/>
      <c r="MKD27" s="643"/>
      <c r="MKE27" s="643"/>
      <c r="MKF27" s="643"/>
      <c r="MKG27" s="643"/>
      <c r="MKH27" s="643"/>
      <c r="MKI27" s="643"/>
      <c r="MKJ27" s="643"/>
      <c r="MKK27" s="643"/>
      <c r="MKL27" s="643"/>
      <c r="MKM27" s="643"/>
      <c r="MKN27" s="643"/>
      <c r="MKO27" s="643"/>
      <c r="MKP27" s="643"/>
      <c r="MKQ27" s="643"/>
      <c r="MKR27" s="643"/>
      <c r="MKS27" s="643"/>
      <c r="MKT27" s="643"/>
      <c r="MKU27" s="643"/>
      <c r="MKV27" s="643"/>
      <c r="MKW27" s="643"/>
      <c r="MKX27" s="643"/>
      <c r="MKY27" s="643"/>
      <c r="MKZ27" s="643"/>
      <c r="MLA27" s="643"/>
      <c r="MLB27" s="643"/>
      <c r="MLC27" s="643"/>
      <c r="MLD27" s="643"/>
      <c r="MLE27" s="643"/>
      <c r="MLF27" s="643"/>
      <c r="MLG27" s="643"/>
      <c r="MLH27" s="643"/>
      <c r="MLI27" s="643"/>
      <c r="MLJ27" s="643"/>
      <c r="MLK27" s="643"/>
      <c r="MLL27" s="643"/>
      <c r="MLM27" s="643"/>
      <c r="MLN27" s="643"/>
      <c r="MLO27" s="643"/>
      <c r="MLP27" s="643"/>
      <c r="MLQ27" s="643"/>
      <c r="MLR27" s="643"/>
      <c r="MLS27" s="643"/>
      <c r="MLT27" s="643"/>
      <c r="MLU27" s="643"/>
      <c r="MLV27" s="643"/>
      <c r="MLW27" s="643"/>
      <c r="MLX27" s="643"/>
      <c r="MLY27" s="643"/>
      <c r="MLZ27" s="643"/>
      <c r="MMA27" s="643"/>
      <c r="MMB27" s="643"/>
      <c r="MMC27" s="643"/>
      <c r="MMD27" s="643"/>
      <c r="MME27" s="643"/>
      <c r="MMF27" s="643"/>
      <c r="MMG27" s="643"/>
      <c r="MMH27" s="643"/>
      <c r="MMI27" s="643"/>
      <c r="MMJ27" s="643"/>
      <c r="MMK27" s="643"/>
      <c r="MML27" s="643"/>
      <c r="MMM27" s="643"/>
      <c r="MMN27" s="643"/>
      <c r="MMO27" s="643"/>
      <c r="MMP27" s="643"/>
      <c r="MMQ27" s="643"/>
      <c r="MMR27" s="643"/>
      <c r="MMS27" s="643"/>
      <c r="MMT27" s="643"/>
      <c r="MMU27" s="643"/>
      <c r="MMV27" s="643"/>
      <c r="MMW27" s="643"/>
      <c r="MMX27" s="643"/>
      <c r="MMY27" s="643"/>
      <c r="MMZ27" s="643"/>
      <c r="MNA27" s="643"/>
      <c r="MNB27" s="643"/>
      <c r="MNC27" s="643"/>
      <c r="MND27" s="643"/>
      <c r="MNE27" s="643"/>
      <c r="MNF27" s="643"/>
      <c r="MNG27" s="643"/>
      <c r="MNH27" s="643"/>
      <c r="MNI27" s="643"/>
      <c r="MNJ27" s="643"/>
      <c r="MNK27" s="643"/>
      <c r="MNL27" s="643"/>
      <c r="MNM27" s="643"/>
      <c r="MNN27" s="643"/>
      <c r="MNO27" s="643"/>
      <c r="MNP27" s="643"/>
      <c r="MNQ27" s="643"/>
      <c r="MNR27" s="643"/>
      <c r="MNS27" s="643"/>
      <c r="MNT27" s="643"/>
      <c r="MNU27" s="643"/>
      <c r="MNV27" s="643"/>
      <c r="MNW27" s="643"/>
      <c r="MNX27" s="643"/>
      <c r="MNY27" s="643"/>
      <c r="MNZ27" s="643"/>
      <c r="MOA27" s="643"/>
      <c r="MOB27" s="643"/>
      <c r="MOC27" s="643"/>
      <c r="MOD27" s="643"/>
      <c r="MOE27" s="643"/>
      <c r="MOF27" s="643"/>
      <c r="MOG27" s="643"/>
      <c r="MOH27" s="643"/>
      <c r="MOI27" s="643"/>
      <c r="MOJ27" s="643"/>
      <c r="MOK27" s="643"/>
      <c r="MOL27" s="643"/>
      <c r="MOM27" s="643"/>
      <c r="MON27" s="643"/>
      <c r="MOO27" s="643"/>
      <c r="MOP27" s="643"/>
      <c r="MOQ27" s="643"/>
      <c r="MOR27" s="643"/>
      <c r="MOS27" s="643"/>
      <c r="MOT27" s="643"/>
      <c r="MOU27" s="643"/>
      <c r="MOV27" s="643"/>
      <c r="MOW27" s="643"/>
      <c r="MOX27" s="643"/>
      <c r="MOY27" s="643"/>
      <c r="MOZ27" s="643"/>
      <c r="MPA27" s="643"/>
      <c r="MPB27" s="643"/>
      <c r="MPC27" s="643"/>
      <c r="MPD27" s="643"/>
      <c r="MPE27" s="643"/>
      <c r="MPF27" s="643"/>
      <c r="MPG27" s="643"/>
      <c r="MPH27" s="643"/>
      <c r="MPI27" s="643"/>
      <c r="MPJ27" s="643"/>
      <c r="MPK27" s="643"/>
      <c r="MPL27" s="643"/>
      <c r="MPM27" s="643"/>
      <c r="MPN27" s="643"/>
      <c r="MPO27" s="643"/>
      <c r="MPP27" s="643"/>
      <c r="MPQ27" s="643"/>
      <c r="MPR27" s="643"/>
      <c r="MPS27" s="643"/>
      <c r="MPT27" s="643"/>
      <c r="MPU27" s="643"/>
      <c r="MPV27" s="643"/>
      <c r="MPW27" s="643"/>
      <c r="MPX27" s="643"/>
      <c r="MPY27" s="643"/>
      <c r="MPZ27" s="643"/>
      <c r="MQA27" s="643"/>
      <c r="MQB27" s="643"/>
      <c r="MQC27" s="643"/>
      <c r="MQD27" s="643"/>
      <c r="MQE27" s="643"/>
      <c r="MQF27" s="643"/>
      <c r="MQG27" s="643"/>
      <c r="MQH27" s="643"/>
      <c r="MQI27" s="643"/>
      <c r="MQJ27" s="643"/>
      <c r="MQK27" s="643"/>
      <c r="MQL27" s="643"/>
      <c r="MQM27" s="643"/>
      <c r="MQN27" s="643"/>
      <c r="MQO27" s="643"/>
      <c r="MQP27" s="643"/>
      <c r="MQQ27" s="643"/>
      <c r="MQR27" s="643"/>
      <c r="MQS27" s="643"/>
      <c r="MQT27" s="643"/>
      <c r="MQU27" s="643"/>
      <c r="MQV27" s="643"/>
      <c r="MQW27" s="643"/>
      <c r="MQX27" s="643"/>
      <c r="MQY27" s="643"/>
      <c r="MQZ27" s="643"/>
      <c r="MRA27" s="643"/>
      <c r="MRB27" s="643"/>
      <c r="MRC27" s="643"/>
      <c r="MRD27" s="643"/>
      <c r="MRE27" s="643"/>
      <c r="MRF27" s="643"/>
      <c r="MRG27" s="643"/>
      <c r="MRH27" s="643"/>
      <c r="MRI27" s="643"/>
      <c r="MRJ27" s="643"/>
      <c r="MRK27" s="643"/>
      <c r="MRL27" s="643"/>
      <c r="MRM27" s="643"/>
      <c r="MRN27" s="643"/>
      <c r="MRO27" s="643"/>
      <c r="MRP27" s="643"/>
      <c r="MRQ27" s="643"/>
      <c r="MRR27" s="643"/>
      <c r="MRS27" s="643"/>
      <c r="MRT27" s="643"/>
      <c r="MRU27" s="643"/>
      <c r="MRV27" s="643"/>
      <c r="MRW27" s="643"/>
      <c r="MRX27" s="643"/>
      <c r="MRY27" s="643"/>
      <c r="MRZ27" s="643"/>
      <c r="MSA27" s="643"/>
      <c r="MSB27" s="643"/>
      <c r="MSC27" s="643"/>
      <c r="MSD27" s="643"/>
      <c r="MSE27" s="643"/>
      <c r="MSF27" s="643"/>
      <c r="MSG27" s="643"/>
      <c r="MSH27" s="643"/>
      <c r="MSI27" s="643"/>
      <c r="MSJ27" s="643"/>
      <c r="MSK27" s="643"/>
      <c r="MSL27" s="643"/>
      <c r="MSM27" s="643"/>
      <c r="MSN27" s="643"/>
      <c r="MSO27" s="643"/>
      <c r="MSP27" s="643"/>
      <c r="MSQ27" s="643"/>
      <c r="MSR27" s="643"/>
      <c r="MSS27" s="643"/>
      <c r="MST27" s="643"/>
      <c r="MSU27" s="643"/>
      <c r="MSV27" s="643"/>
      <c r="MSW27" s="643"/>
      <c r="MSX27" s="643"/>
      <c r="MSY27" s="643"/>
      <c r="MSZ27" s="643"/>
      <c r="MTA27" s="643"/>
      <c r="MTB27" s="643"/>
      <c r="MTC27" s="643"/>
      <c r="MTD27" s="643"/>
      <c r="MTE27" s="643"/>
      <c r="MTF27" s="643"/>
      <c r="MTG27" s="643"/>
      <c r="MTH27" s="643"/>
      <c r="MTI27" s="643"/>
      <c r="MTJ27" s="643"/>
      <c r="MTK27" s="643"/>
      <c r="MTL27" s="643"/>
      <c r="MTM27" s="643"/>
      <c r="MTN27" s="643"/>
      <c r="MTO27" s="643"/>
      <c r="MTP27" s="643"/>
      <c r="MTQ27" s="643"/>
      <c r="MTR27" s="643"/>
      <c r="MTS27" s="643"/>
      <c r="MTT27" s="643"/>
      <c r="MTU27" s="643"/>
      <c r="MTV27" s="643"/>
      <c r="MTW27" s="643"/>
      <c r="MTX27" s="643"/>
      <c r="MTY27" s="643"/>
      <c r="MTZ27" s="643"/>
      <c r="MUA27" s="643"/>
      <c r="MUB27" s="643"/>
      <c r="MUC27" s="643"/>
      <c r="MUD27" s="643"/>
      <c r="MUE27" s="643"/>
      <c r="MUF27" s="643"/>
      <c r="MUG27" s="643"/>
      <c r="MUH27" s="643"/>
      <c r="MUI27" s="643"/>
      <c r="MUJ27" s="643"/>
      <c r="MUK27" s="643"/>
      <c r="MUL27" s="643"/>
      <c r="MUM27" s="643"/>
      <c r="MUN27" s="643"/>
      <c r="MUO27" s="643"/>
      <c r="MUP27" s="643"/>
      <c r="MUQ27" s="643"/>
      <c r="MUR27" s="643"/>
      <c r="MUS27" s="643"/>
      <c r="MUT27" s="643"/>
      <c r="MUU27" s="643"/>
      <c r="MUV27" s="643"/>
      <c r="MUW27" s="643"/>
      <c r="MUX27" s="643"/>
      <c r="MUY27" s="643"/>
      <c r="MUZ27" s="643"/>
      <c r="MVA27" s="643"/>
      <c r="MVB27" s="643"/>
      <c r="MVC27" s="643"/>
      <c r="MVD27" s="643"/>
      <c r="MVE27" s="643"/>
      <c r="MVF27" s="643"/>
      <c r="MVG27" s="643"/>
      <c r="MVH27" s="643"/>
      <c r="MVI27" s="643"/>
      <c r="MVJ27" s="643"/>
      <c r="MVK27" s="643"/>
      <c r="MVL27" s="643"/>
      <c r="MVM27" s="643"/>
      <c r="MVN27" s="643"/>
      <c r="MVO27" s="643"/>
      <c r="MVP27" s="643"/>
      <c r="MVQ27" s="643"/>
      <c r="MVR27" s="643"/>
      <c r="MVS27" s="643"/>
      <c r="MVT27" s="643"/>
      <c r="MVU27" s="643"/>
      <c r="MVV27" s="643"/>
      <c r="MVW27" s="643"/>
      <c r="MVX27" s="643"/>
      <c r="MVY27" s="643"/>
      <c r="MVZ27" s="643"/>
      <c r="MWA27" s="643"/>
      <c r="MWB27" s="643"/>
      <c r="MWC27" s="643"/>
      <c r="MWD27" s="643"/>
      <c r="MWE27" s="643"/>
      <c r="MWF27" s="643"/>
      <c r="MWG27" s="643"/>
      <c r="MWH27" s="643"/>
      <c r="MWI27" s="643"/>
      <c r="MWJ27" s="643"/>
      <c r="MWK27" s="643"/>
      <c r="MWL27" s="643"/>
      <c r="MWM27" s="643"/>
      <c r="MWN27" s="643"/>
      <c r="MWO27" s="643"/>
      <c r="MWP27" s="643"/>
      <c r="MWQ27" s="643"/>
      <c r="MWR27" s="643"/>
      <c r="MWS27" s="643"/>
      <c r="MWT27" s="643"/>
      <c r="MWU27" s="643"/>
      <c r="MWV27" s="643"/>
      <c r="MWW27" s="643"/>
      <c r="MWX27" s="643"/>
      <c r="MWY27" s="643"/>
      <c r="MWZ27" s="643"/>
      <c r="MXA27" s="643"/>
      <c r="MXB27" s="643"/>
      <c r="MXC27" s="643"/>
      <c r="MXD27" s="643"/>
      <c r="MXE27" s="643"/>
      <c r="MXF27" s="643"/>
      <c r="MXG27" s="643"/>
      <c r="MXH27" s="643"/>
      <c r="MXI27" s="643"/>
      <c r="MXJ27" s="643"/>
      <c r="MXK27" s="643"/>
      <c r="MXL27" s="643"/>
      <c r="MXM27" s="643"/>
      <c r="MXN27" s="643"/>
      <c r="MXO27" s="643"/>
      <c r="MXP27" s="643"/>
      <c r="MXQ27" s="643"/>
      <c r="MXR27" s="643"/>
      <c r="MXS27" s="643"/>
      <c r="MXT27" s="643"/>
      <c r="MXU27" s="643"/>
      <c r="MXV27" s="643"/>
      <c r="MXW27" s="643"/>
      <c r="MXX27" s="643"/>
      <c r="MXY27" s="643"/>
      <c r="MXZ27" s="643"/>
      <c r="MYA27" s="643"/>
      <c r="MYB27" s="643"/>
      <c r="MYC27" s="643"/>
      <c r="MYD27" s="643"/>
      <c r="MYE27" s="643"/>
      <c r="MYF27" s="643"/>
      <c r="MYG27" s="643"/>
      <c r="MYH27" s="643"/>
      <c r="MYI27" s="643"/>
      <c r="MYJ27" s="643"/>
      <c r="MYK27" s="643"/>
      <c r="MYL27" s="643"/>
      <c r="MYM27" s="643"/>
      <c r="MYN27" s="643"/>
      <c r="MYO27" s="643"/>
      <c r="MYP27" s="643"/>
      <c r="MYQ27" s="643"/>
      <c r="MYR27" s="643"/>
      <c r="MYS27" s="643"/>
      <c r="MYT27" s="643"/>
      <c r="MYU27" s="643"/>
      <c r="MYV27" s="643"/>
      <c r="MYW27" s="643"/>
      <c r="MYX27" s="643"/>
      <c r="MYY27" s="643"/>
      <c r="MYZ27" s="643"/>
      <c r="MZA27" s="643"/>
      <c r="MZB27" s="643"/>
      <c r="MZC27" s="643"/>
      <c r="MZD27" s="643"/>
      <c r="MZE27" s="643"/>
      <c r="MZF27" s="643"/>
      <c r="MZG27" s="643"/>
      <c r="MZH27" s="643"/>
      <c r="MZI27" s="643"/>
      <c r="MZJ27" s="643"/>
      <c r="MZK27" s="643"/>
      <c r="MZL27" s="643"/>
      <c r="MZM27" s="643"/>
      <c r="MZN27" s="643"/>
      <c r="MZO27" s="643"/>
      <c r="MZP27" s="643"/>
      <c r="MZQ27" s="643"/>
      <c r="MZR27" s="643"/>
      <c r="MZS27" s="643"/>
      <c r="MZT27" s="643"/>
      <c r="MZU27" s="643"/>
      <c r="MZV27" s="643"/>
      <c r="MZW27" s="643"/>
      <c r="MZX27" s="643"/>
      <c r="MZY27" s="643"/>
      <c r="MZZ27" s="643"/>
      <c r="NAA27" s="643"/>
      <c r="NAB27" s="643"/>
      <c r="NAC27" s="643"/>
      <c r="NAD27" s="643"/>
      <c r="NAE27" s="643"/>
      <c r="NAF27" s="643"/>
      <c r="NAG27" s="643"/>
      <c r="NAH27" s="643"/>
      <c r="NAI27" s="643"/>
      <c r="NAJ27" s="643"/>
      <c r="NAK27" s="643"/>
      <c r="NAL27" s="643"/>
      <c r="NAM27" s="643"/>
      <c r="NAN27" s="643"/>
      <c r="NAO27" s="643"/>
      <c r="NAP27" s="643"/>
      <c r="NAQ27" s="643"/>
      <c r="NAR27" s="643"/>
      <c r="NAS27" s="643"/>
      <c r="NAT27" s="643"/>
      <c r="NAU27" s="643"/>
      <c r="NAV27" s="643"/>
      <c r="NAW27" s="643"/>
      <c r="NAX27" s="643"/>
      <c r="NAY27" s="643"/>
      <c r="NAZ27" s="643"/>
      <c r="NBA27" s="643"/>
      <c r="NBB27" s="643"/>
      <c r="NBC27" s="643"/>
      <c r="NBD27" s="643"/>
      <c r="NBE27" s="643"/>
      <c r="NBF27" s="643"/>
      <c r="NBG27" s="643"/>
      <c r="NBH27" s="643"/>
      <c r="NBI27" s="643"/>
      <c r="NBJ27" s="643"/>
      <c r="NBK27" s="643"/>
      <c r="NBL27" s="643"/>
      <c r="NBM27" s="643"/>
      <c r="NBN27" s="643"/>
      <c r="NBO27" s="643"/>
      <c r="NBP27" s="643"/>
      <c r="NBQ27" s="643"/>
      <c r="NBR27" s="643"/>
      <c r="NBS27" s="643"/>
      <c r="NBT27" s="643"/>
      <c r="NBU27" s="643"/>
      <c r="NBV27" s="643"/>
      <c r="NBW27" s="643"/>
      <c r="NBX27" s="643"/>
      <c r="NBY27" s="643"/>
      <c r="NBZ27" s="643"/>
      <c r="NCA27" s="643"/>
      <c r="NCB27" s="643"/>
      <c r="NCC27" s="643"/>
      <c r="NCD27" s="643"/>
      <c r="NCE27" s="643"/>
      <c r="NCF27" s="643"/>
      <c r="NCG27" s="643"/>
      <c r="NCH27" s="643"/>
      <c r="NCI27" s="643"/>
      <c r="NCJ27" s="643"/>
      <c r="NCK27" s="643"/>
      <c r="NCL27" s="643"/>
      <c r="NCM27" s="643"/>
      <c r="NCN27" s="643"/>
      <c r="NCO27" s="643"/>
      <c r="NCP27" s="643"/>
      <c r="NCQ27" s="643"/>
      <c r="NCR27" s="643"/>
      <c r="NCS27" s="643"/>
      <c r="NCT27" s="643"/>
      <c r="NCU27" s="643"/>
      <c r="NCV27" s="643"/>
      <c r="NCW27" s="643"/>
      <c r="NCX27" s="643"/>
      <c r="NCY27" s="643"/>
      <c r="NCZ27" s="643"/>
      <c r="NDA27" s="643"/>
      <c r="NDB27" s="643"/>
      <c r="NDC27" s="643"/>
      <c r="NDD27" s="643"/>
      <c r="NDE27" s="643"/>
      <c r="NDF27" s="643"/>
      <c r="NDG27" s="643"/>
      <c r="NDH27" s="643"/>
      <c r="NDI27" s="643"/>
      <c r="NDJ27" s="643"/>
      <c r="NDK27" s="643"/>
      <c r="NDL27" s="643"/>
      <c r="NDM27" s="643"/>
      <c r="NDN27" s="643"/>
      <c r="NDO27" s="643"/>
      <c r="NDP27" s="643"/>
      <c r="NDQ27" s="643"/>
      <c r="NDR27" s="643"/>
      <c r="NDS27" s="643"/>
      <c r="NDT27" s="643"/>
      <c r="NDU27" s="643"/>
      <c r="NDV27" s="643"/>
      <c r="NDW27" s="643"/>
      <c r="NDX27" s="643"/>
      <c r="NDY27" s="643"/>
      <c r="NDZ27" s="643"/>
      <c r="NEA27" s="643"/>
      <c r="NEB27" s="643"/>
      <c r="NEC27" s="643"/>
      <c r="NED27" s="643"/>
      <c r="NEE27" s="643"/>
      <c r="NEF27" s="643"/>
      <c r="NEG27" s="643"/>
      <c r="NEH27" s="643"/>
      <c r="NEI27" s="643"/>
      <c r="NEJ27" s="643"/>
      <c r="NEK27" s="643"/>
      <c r="NEL27" s="643"/>
      <c r="NEM27" s="643"/>
      <c r="NEN27" s="643"/>
      <c r="NEO27" s="643"/>
      <c r="NEP27" s="643"/>
      <c r="NEQ27" s="643"/>
      <c r="NER27" s="643"/>
      <c r="NES27" s="643"/>
      <c r="NET27" s="643"/>
      <c r="NEU27" s="643"/>
      <c r="NEV27" s="643"/>
      <c r="NEW27" s="643"/>
      <c r="NEX27" s="643"/>
      <c r="NEY27" s="643"/>
      <c r="NEZ27" s="643"/>
      <c r="NFA27" s="643"/>
      <c r="NFB27" s="643"/>
      <c r="NFC27" s="643"/>
      <c r="NFD27" s="643"/>
      <c r="NFE27" s="643"/>
      <c r="NFF27" s="643"/>
      <c r="NFG27" s="643"/>
      <c r="NFH27" s="643"/>
      <c r="NFI27" s="643"/>
      <c r="NFJ27" s="643"/>
      <c r="NFK27" s="643"/>
      <c r="NFL27" s="643"/>
      <c r="NFM27" s="643"/>
      <c r="NFN27" s="643"/>
      <c r="NFO27" s="643"/>
      <c r="NFP27" s="643"/>
      <c r="NFQ27" s="643"/>
      <c r="NFR27" s="643"/>
      <c r="NFS27" s="643"/>
      <c r="NFT27" s="643"/>
      <c r="NFU27" s="643"/>
      <c r="NFV27" s="643"/>
      <c r="NFW27" s="643"/>
      <c r="NFX27" s="643"/>
      <c r="NFY27" s="643"/>
      <c r="NFZ27" s="643"/>
      <c r="NGA27" s="643"/>
      <c r="NGB27" s="643"/>
      <c r="NGC27" s="643"/>
      <c r="NGD27" s="643"/>
      <c r="NGE27" s="643"/>
      <c r="NGF27" s="643"/>
      <c r="NGG27" s="643"/>
      <c r="NGH27" s="643"/>
      <c r="NGI27" s="643"/>
      <c r="NGJ27" s="643"/>
      <c r="NGK27" s="643"/>
      <c r="NGL27" s="643"/>
      <c r="NGM27" s="643"/>
      <c r="NGN27" s="643"/>
      <c r="NGO27" s="643"/>
      <c r="NGP27" s="643"/>
      <c r="NGQ27" s="643"/>
      <c r="NGR27" s="643"/>
      <c r="NGS27" s="643"/>
      <c r="NGT27" s="643"/>
      <c r="NGU27" s="643"/>
      <c r="NGV27" s="643"/>
      <c r="NGW27" s="643"/>
      <c r="NGX27" s="643"/>
      <c r="NGY27" s="643"/>
      <c r="NGZ27" s="643"/>
      <c r="NHA27" s="643"/>
      <c r="NHB27" s="643"/>
      <c r="NHC27" s="643"/>
      <c r="NHD27" s="643"/>
      <c r="NHE27" s="643"/>
      <c r="NHF27" s="643"/>
      <c r="NHG27" s="643"/>
      <c r="NHH27" s="643"/>
      <c r="NHI27" s="643"/>
      <c r="NHJ27" s="643"/>
      <c r="NHK27" s="643"/>
      <c r="NHL27" s="643"/>
      <c r="NHM27" s="643"/>
      <c r="NHN27" s="643"/>
      <c r="NHO27" s="643"/>
      <c r="NHP27" s="643"/>
      <c r="NHQ27" s="643"/>
      <c r="NHR27" s="643"/>
      <c r="NHS27" s="643"/>
      <c r="NHT27" s="643"/>
      <c r="NHU27" s="643"/>
      <c r="NHV27" s="643"/>
      <c r="NHW27" s="643"/>
      <c r="NHX27" s="643"/>
      <c r="NHY27" s="643"/>
      <c r="NHZ27" s="643"/>
      <c r="NIA27" s="643"/>
      <c r="NIB27" s="643"/>
      <c r="NIC27" s="643"/>
      <c r="NID27" s="643"/>
      <c r="NIE27" s="643"/>
      <c r="NIF27" s="643"/>
      <c r="NIG27" s="643"/>
      <c r="NIH27" s="643"/>
      <c r="NII27" s="643"/>
      <c r="NIJ27" s="643"/>
      <c r="NIK27" s="643"/>
      <c r="NIL27" s="643"/>
      <c r="NIM27" s="643"/>
      <c r="NIN27" s="643"/>
      <c r="NIO27" s="643"/>
      <c r="NIP27" s="643"/>
      <c r="NIQ27" s="643"/>
      <c r="NIR27" s="643"/>
      <c r="NIS27" s="643"/>
      <c r="NIT27" s="643"/>
      <c r="NIU27" s="643"/>
      <c r="NIV27" s="643"/>
      <c r="NIW27" s="643"/>
      <c r="NIX27" s="643"/>
      <c r="NIY27" s="643"/>
      <c r="NIZ27" s="643"/>
      <c r="NJA27" s="643"/>
      <c r="NJB27" s="643"/>
      <c r="NJC27" s="643"/>
      <c r="NJD27" s="643"/>
      <c r="NJE27" s="643"/>
      <c r="NJF27" s="643"/>
      <c r="NJG27" s="643"/>
      <c r="NJH27" s="643"/>
      <c r="NJI27" s="643"/>
      <c r="NJJ27" s="643"/>
      <c r="NJK27" s="643"/>
      <c r="NJL27" s="643"/>
      <c r="NJM27" s="643"/>
      <c r="NJN27" s="643"/>
      <c r="NJO27" s="643"/>
      <c r="NJP27" s="643"/>
      <c r="NJQ27" s="643"/>
      <c r="NJR27" s="643"/>
      <c r="NJS27" s="643"/>
      <c r="NJT27" s="643"/>
      <c r="NJU27" s="643"/>
      <c r="NJV27" s="643"/>
      <c r="NJW27" s="643"/>
      <c r="NJX27" s="643"/>
      <c r="NJY27" s="643"/>
      <c r="NJZ27" s="643"/>
      <c r="NKA27" s="643"/>
      <c r="NKB27" s="643"/>
      <c r="NKC27" s="643"/>
      <c r="NKD27" s="643"/>
      <c r="NKE27" s="643"/>
      <c r="NKF27" s="643"/>
      <c r="NKG27" s="643"/>
      <c r="NKH27" s="643"/>
      <c r="NKI27" s="643"/>
      <c r="NKJ27" s="643"/>
      <c r="NKK27" s="643"/>
      <c r="NKL27" s="643"/>
      <c r="NKM27" s="643"/>
      <c r="NKN27" s="643"/>
      <c r="NKO27" s="643"/>
      <c r="NKP27" s="643"/>
      <c r="NKQ27" s="643"/>
      <c r="NKR27" s="643"/>
      <c r="NKS27" s="643"/>
      <c r="NKT27" s="643"/>
      <c r="NKU27" s="643"/>
      <c r="NKV27" s="643"/>
      <c r="NKW27" s="643"/>
      <c r="NKX27" s="643"/>
      <c r="NKY27" s="643"/>
      <c r="NKZ27" s="643"/>
      <c r="NLA27" s="643"/>
      <c r="NLB27" s="643"/>
      <c r="NLC27" s="643"/>
      <c r="NLD27" s="643"/>
      <c r="NLE27" s="643"/>
      <c r="NLF27" s="643"/>
      <c r="NLG27" s="643"/>
      <c r="NLH27" s="643"/>
      <c r="NLI27" s="643"/>
      <c r="NLJ27" s="643"/>
      <c r="NLK27" s="643"/>
      <c r="NLL27" s="643"/>
      <c r="NLM27" s="643"/>
      <c r="NLN27" s="643"/>
      <c r="NLO27" s="643"/>
      <c r="NLP27" s="643"/>
      <c r="NLQ27" s="643"/>
      <c r="NLR27" s="643"/>
      <c r="NLS27" s="643"/>
      <c r="NLT27" s="643"/>
      <c r="NLU27" s="643"/>
      <c r="NLV27" s="643"/>
      <c r="NLW27" s="643"/>
      <c r="NLX27" s="643"/>
      <c r="NLY27" s="643"/>
      <c r="NLZ27" s="643"/>
      <c r="NMA27" s="643"/>
      <c r="NMB27" s="643"/>
      <c r="NMC27" s="643"/>
      <c r="NMD27" s="643"/>
      <c r="NME27" s="643"/>
      <c r="NMF27" s="643"/>
      <c r="NMG27" s="643"/>
      <c r="NMH27" s="643"/>
      <c r="NMI27" s="643"/>
      <c r="NMJ27" s="643"/>
      <c r="NMK27" s="643"/>
      <c r="NML27" s="643"/>
      <c r="NMM27" s="643"/>
      <c r="NMN27" s="643"/>
      <c r="NMO27" s="643"/>
      <c r="NMP27" s="643"/>
      <c r="NMQ27" s="643"/>
      <c r="NMR27" s="643"/>
      <c r="NMS27" s="643"/>
      <c r="NMT27" s="643"/>
      <c r="NMU27" s="643"/>
      <c r="NMV27" s="643"/>
      <c r="NMW27" s="643"/>
      <c r="NMX27" s="643"/>
      <c r="NMY27" s="643"/>
      <c r="NMZ27" s="643"/>
      <c r="NNA27" s="643"/>
      <c r="NNB27" s="643"/>
      <c r="NNC27" s="643"/>
      <c r="NND27" s="643"/>
      <c r="NNE27" s="643"/>
      <c r="NNF27" s="643"/>
      <c r="NNG27" s="643"/>
      <c r="NNH27" s="643"/>
      <c r="NNI27" s="643"/>
      <c r="NNJ27" s="643"/>
      <c r="NNK27" s="643"/>
      <c r="NNL27" s="643"/>
      <c r="NNM27" s="643"/>
      <c r="NNN27" s="643"/>
      <c r="NNO27" s="643"/>
      <c r="NNP27" s="643"/>
      <c r="NNQ27" s="643"/>
      <c r="NNR27" s="643"/>
      <c r="NNS27" s="643"/>
      <c r="NNT27" s="643"/>
      <c r="NNU27" s="643"/>
      <c r="NNV27" s="643"/>
      <c r="NNW27" s="643"/>
      <c r="NNX27" s="643"/>
      <c r="NNY27" s="643"/>
      <c r="NNZ27" s="643"/>
      <c r="NOA27" s="643"/>
      <c r="NOB27" s="643"/>
      <c r="NOC27" s="643"/>
      <c r="NOD27" s="643"/>
      <c r="NOE27" s="643"/>
      <c r="NOF27" s="643"/>
      <c r="NOG27" s="643"/>
      <c r="NOH27" s="643"/>
      <c r="NOI27" s="643"/>
      <c r="NOJ27" s="643"/>
      <c r="NOK27" s="643"/>
      <c r="NOL27" s="643"/>
      <c r="NOM27" s="643"/>
      <c r="NON27" s="643"/>
      <c r="NOO27" s="643"/>
      <c r="NOP27" s="643"/>
      <c r="NOQ27" s="643"/>
      <c r="NOR27" s="643"/>
      <c r="NOS27" s="643"/>
      <c r="NOT27" s="643"/>
      <c r="NOU27" s="643"/>
      <c r="NOV27" s="643"/>
      <c r="NOW27" s="643"/>
      <c r="NOX27" s="643"/>
      <c r="NOY27" s="643"/>
      <c r="NOZ27" s="643"/>
      <c r="NPA27" s="643"/>
      <c r="NPB27" s="643"/>
      <c r="NPC27" s="643"/>
      <c r="NPD27" s="643"/>
      <c r="NPE27" s="643"/>
      <c r="NPF27" s="643"/>
      <c r="NPG27" s="643"/>
      <c r="NPH27" s="643"/>
      <c r="NPI27" s="643"/>
      <c r="NPJ27" s="643"/>
      <c r="NPK27" s="643"/>
      <c r="NPL27" s="643"/>
      <c r="NPM27" s="643"/>
      <c r="NPN27" s="643"/>
      <c r="NPO27" s="643"/>
      <c r="NPP27" s="643"/>
      <c r="NPQ27" s="643"/>
      <c r="NPR27" s="643"/>
      <c r="NPS27" s="643"/>
      <c r="NPT27" s="643"/>
      <c r="NPU27" s="643"/>
      <c r="NPV27" s="643"/>
      <c r="NPW27" s="643"/>
      <c r="NPX27" s="643"/>
      <c r="NPY27" s="643"/>
      <c r="NPZ27" s="643"/>
      <c r="NQA27" s="643"/>
      <c r="NQB27" s="643"/>
      <c r="NQC27" s="643"/>
      <c r="NQD27" s="643"/>
      <c r="NQE27" s="643"/>
      <c r="NQF27" s="643"/>
      <c r="NQG27" s="643"/>
      <c r="NQH27" s="643"/>
      <c r="NQI27" s="643"/>
      <c r="NQJ27" s="643"/>
      <c r="NQK27" s="643"/>
      <c r="NQL27" s="643"/>
      <c r="NQM27" s="643"/>
      <c r="NQN27" s="643"/>
      <c r="NQO27" s="643"/>
      <c r="NQP27" s="643"/>
      <c r="NQQ27" s="643"/>
      <c r="NQR27" s="643"/>
      <c r="NQS27" s="643"/>
      <c r="NQT27" s="643"/>
      <c r="NQU27" s="643"/>
      <c r="NQV27" s="643"/>
      <c r="NQW27" s="643"/>
      <c r="NQX27" s="643"/>
      <c r="NQY27" s="643"/>
      <c r="NQZ27" s="643"/>
      <c r="NRA27" s="643"/>
      <c r="NRB27" s="643"/>
      <c r="NRC27" s="643"/>
      <c r="NRD27" s="643"/>
      <c r="NRE27" s="643"/>
      <c r="NRF27" s="643"/>
      <c r="NRG27" s="643"/>
      <c r="NRH27" s="643"/>
      <c r="NRI27" s="643"/>
      <c r="NRJ27" s="643"/>
      <c r="NRK27" s="643"/>
      <c r="NRL27" s="643"/>
      <c r="NRM27" s="643"/>
      <c r="NRN27" s="643"/>
      <c r="NRO27" s="643"/>
      <c r="NRP27" s="643"/>
      <c r="NRQ27" s="643"/>
      <c r="NRR27" s="643"/>
      <c r="NRS27" s="643"/>
      <c r="NRT27" s="643"/>
      <c r="NRU27" s="643"/>
      <c r="NRV27" s="643"/>
      <c r="NRW27" s="643"/>
      <c r="NRX27" s="643"/>
      <c r="NRY27" s="643"/>
      <c r="NRZ27" s="643"/>
      <c r="NSA27" s="643"/>
      <c r="NSB27" s="643"/>
      <c r="NSC27" s="643"/>
      <c r="NSD27" s="643"/>
      <c r="NSE27" s="643"/>
      <c r="NSF27" s="643"/>
      <c r="NSG27" s="643"/>
      <c r="NSH27" s="643"/>
      <c r="NSI27" s="643"/>
      <c r="NSJ27" s="643"/>
      <c r="NSK27" s="643"/>
      <c r="NSL27" s="643"/>
      <c r="NSM27" s="643"/>
      <c r="NSN27" s="643"/>
      <c r="NSO27" s="643"/>
      <c r="NSP27" s="643"/>
      <c r="NSQ27" s="643"/>
      <c r="NSR27" s="643"/>
      <c r="NSS27" s="643"/>
      <c r="NST27" s="643"/>
      <c r="NSU27" s="643"/>
      <c r="NSV27" s="643"/>
      <c r="NSW27" s="643"/>
      <c r="NSX27" s="643"/>
      <c r="NSY27" s="643"/>
      <c r="NSZ27" s="643"/>
      <c r="NTA27" s="643"/>
      <c r="NTB27" s="643"/>
      <c r="NTC27" s="643"/>
      <c r="NTD27" s="643"/>
      <c r="NTE27" s="643"/>
      <c r="NTF27" s="643"/>
      <c r="NTG27" s="643"/>
      <c r="NTH27" s="643"/>
      <c r="NTI27" s="643"/>
      <c r="NTJ27" s="643"/>
      <c r="NTK27" s="643"/>
      <c r="NTL27" s="643"/>
      <c r="NTM27" s="643"/>
      <c r="NTN27" s="643"/>
      <c r="NTO27" s="643"/>
      <c r="NTP27" s="643"/>
      <c r="NTQ27" s="643"/>
      <c r="NTR27" s="643"/>
      <c r="NTS27" s="643"/>
      <c r="NTT27" s="643"/>
      <c r="NTU27" s="643"/>
      <c r="NTV27" s="643"/>
      <c r="NTW27" s="643"/>
      <c r="NTX27" s="643"/>
      <c r="NTY27" s="643"/>
      <c r="NTZ27" s="643"/>
      <c r="NUA27" s="643"/>
      <c r="NUB27" s="643"/>
      <c r="NUC27" s="643"/>
      <c r="NUD27" s="643"/>
      <c r="NUE27" s="643"/>
      <c r="NUF27" s="643"/>
      <c r="NUG27" s="643"/>
      <c r="NUH27" s="643"/>
      <c r="NUI27" s="643"/>
      <c r="NUJ27" s="643"/>
      <c r="NUK27" s="643"/>
      <c r="NUL27" s="643"/>
      <c r="NUM27" s="643"/>
      <c r="NUN27" s="643"/>
      <c r="NUO27" s="643"/>
      <c r="NUP27" s="643"/>
      <c r="NUQ27" s="643"/>
      <c r="NUR27" s="643"/>
      <c r="NUS27" s="643"/>
      <c r="NUT27" s="643"/>
      <c r="NUU27" s="643"/>
      <c r="NUV27" s="643"/>
      <c r="NUW27" s="643"/>
      <c r="NUX27" s="643"/>
      <c r="NUY27" s="643"/>
      <c r="NUZ27" s="643"/>
      <c r="NVA27" s="643"/>
      <c r="NVB27" s="643"/>
      <c r="NVC27" s="643"/>
      <c r="NVD27" s="643"/>
      <c r="NVE27" s="643"/>
      <c r="NVF27" s="643"/>
      <c r="NVG27" s="643"/>
      <c r="NVH27" s="643"/>
      <c r="NVI27" s="643"/>
      <c r="NVJ27" s="643"/>
      <c r="NVK27" s="643"/>
      <c r="NVL27" s="643"/>
      <c r="NVM27" s="643"/>
      <c r="NVN27" s="643"/>
      <c r="NVO27" s="643"/>
      <c r="NVP27" s="643"/>
      <c r="NVQ27" s="643"/>
      <c r="NVR27" s="643"/>
      <c r="NVS27" s="643"/>
      <c r="NVT27" s="643"/>
      <c r="NVU27" s="643"/>
      <c r="NVV27" s="643"/>
      <c r="NVW27" s="643"/>
      <c r="NVX27" s="643"/>
      <c r="NVY27" s="643"/>
      <c r="NVZ27" s="643"/>
      <c r="NWA27" s="643"/>
      <c r="NWB27" s="643"/>
      <c r="NWC27" s="643"/>
      <c r="NWD27" s="643"/>
      <c r="NWE27" s="643"/>
      <c r="NWF27" s="643"/>
      <c r="NWG27" s="643"/>
      <c r="NWH27" s="643"/>
      <c r="NWI27" s="643"/>
      <c r="NWJ27" s="643"/>
      <c r="NWK27" s="643"/>
      <c r="NWL27" s="643"/>
      <c r="NWM27" s="643"/>
      <c r="NWN27" s="643"/>
      <c r="NWO27" s="643"/>
      <c r="NWP27" s="643"/>
      <c r="NWQ27" s="643"/>
      <c r="NWR27" s="643"/>
      <c r="NWS27" s="643"/>
      <c r="NWT27" s="643"/>
      <c r="NWU27" s="643"/>
      <c r="NWV27" s="643"/>
      <c r="NWW27" s="643"/>
      <c r="NWX27" s="643"/>
      <c r="NWY27" s="643"/>
      <c r="NWZ27" s="643"/>
      <c r="NXA27" s="643"/>
      <c r="NXB27" s="643"/>
      <c r="NXC27" s="643"/>
      <c r="NXD27" s="643"/>
      <c r="NXE27" s="643"/>
      <c r="NXF27" s="643"/>
      <c r="NXG27" s="643"/>
      <c r="NXH27" s="643"/>
      <c r="NXI27" s="643"/>
      <c r="NXJ27" s="643"/>
      <c r="NXK27" s="643"/>
      <c r="NXL27" s="643"/>
      <c r="NXM27" s="643"/>
      <c r="NXN27" s="643"/>
      <c r="NXO27" s="643"/>
      <c r="NXP27" s="643"/>
      <c r="NXQ27" s="643"/>
      <c r="NXR27" s="643"/>
      <c r="NXS27" s="643"/>
      <c r="NXT27" s="643"/>
      <c r="NXU27" s="643"/>
      <c r="NXV27" s="643"/>
      <c r="NXW27" s="643"/>
      <c r="NXX27" s="643"/>
      <c r="NXY27" s="643"/>
      <c r="NXZ27" s="643"/>
      <c r="NYA27" s="643"/>
      <c r="NYB27" s="643"/>
      <c r="NYC27" s="643"/>
      <c r="NYD27" s="643"/>
      <c r="NYE27" s="643"/>
      <c r="NYF27" s="643"/>
      <c r="NYG27" s="643"/>
      <c r="NYH27" s="643"/>
      <c r="NYI27" s="643"/>
      <c r="NYJ27" s="643"/>
      <c r="NYK27" s="643"/>
      <c r="NYL27" s="643"/>
      <c r="NYM27" s="643"/>
      <c r="NYN27" s="643"/>
      <c r="NYO27" s="643"/>
      <c r="NYP27" s="643"/>
      <c r="NYQ27" s="643"/>
      <c r="NYR27" s="643"/>
      <c r="NYS27" s="643"/>
      <c r="NYT27" s="643"/>
      <c r="NYU27" s="643"/>
      <c r="NYV27" s="643"/>
      <c r="NYW27" s="643"/>
      <c r="NYX27" s="643"/>
      <c r="NYY27" s="643"/>
      <c r="NYZ27" s="643"/>
      <c r="NZA27" s="643"/>
      <c r="NZB27" s="643"/>
      <c r="NZC27" s="643"/>
      <c r="NZD27" s="643"/>
      <c r="NZE27" s="643"/>
      <c r="NZF27" s="643"/>
      <c r="NZG27" s="643"/>
      <c r="NZH27" s="643"/>
      <c r="NZI27" s="643"/>
      <c r="NZJ27" s="643"/>
      <c r="NZK27" s="643"/>
      <c r="NZL27" s="643"/>
      <c r="NZM27" s="643"/>
      <c r="NZN27" s="643"/>
      <c r="NZO27" s="643"/>
      <c r="NZP27" s="643"/>
      <c r="NZQ27" s="643"/>
      <c r="NZR27" s="643"/>
      <c r="NZS27" s="643"/>
      <c r="NZT27" s="643"/>
      <c r="NZU27" s="643"/>
      <c r="NZV27" s="643"/>
      <c r="NZW27" s="643"/>
      <c r="NZX27" s="643"/>
      <c r="NZY27" s="643"/>
      <c r="NZZ27" s="643"/>
      <c r="OAA27" s="643"/>
      <c r="OAB27" s="643"/>
      <c r="OAC27" s="643"/>
      <c r="OAD27" s="643"/>
      <c r="OAE27" s="643"/>
      <c r="OAF27" s="643"/>
      <c r="OAG27" s="643"/>
      <c r="OAH27" s="643"/>
      <c r="OAI27" s="643"/>
      <c r="OAJ27" s="643"/>
      <c r="OAK27" s="643"/>
      <c r="OAL27" s="643"/>
      <c r="OAM27" s="643"/>
      <c r="OAN27" s="643"/>
      <c r="OAO27" s="643"/>
      <c r="OAP27" s="643"/>
      <c r="OAQ27" s="643"/>
      <c r="OAR27" s="643"/>
      <c r="OAS27" s="643"/>
      <c r="OAT27" s="643"/>
      <c r="OAU27" s="643"/>
      <c r="OAV27" s="643"/>
      <c r="OAW27" s="643"/>
      <c r="OAX27" s="643"/>
      <c r="OAY27" s="643"/>
      <c r="OAZ27" s="643"/>
      <c r="OBA27" s="643"/>
      <c r="OBB27" s="643"/>
      <c r="OBC27" s="643"/>
      <c r="OBD27" s="643"/>
      <c r="OBE27" s="643"/>
      <c r="OBF27" s="643"/>
      <c r="OBG27" s="643"/>
      <c r="OBH27" s="643"/>
      <c r="OBI27" s="643"/>
      <c r="OBJ27" s="643"/>
      <c r="OBK27" s="643"/>
      <c r="OBL27" s="643"/>
      <c r="OBM27" s="643"/>
      <c r="OBN27" s="643"/>
      <c r="OBO27" s="643"/>
      <c r="OBP27" s="643"/>
      <c r="OBQ27" s="643"/>
      <c r="OBR27" s="643"/>
      <c r="OBS27" s="643"/>
      <c r="OBT27" s="643"/>
      <c r="OBU27" s="643"/>
      <c r="OBV27" s="643"/>
      <c r="OBW27" s="643"/>
      <c r="OBX27" s="643"/>
      <c r="OBY27" s="643"/>
      <c r="OBZ27" s="643"/>
      <c r="OCA27" s="643"/>
      <c r="OCB27" s="643"/>
      <c r="OCC27" s="643"/>
      <c r="OCD27" s="643"/>
      <c r="OCE27" s="643"/>
      <c r="OCF27" s="643"/>
      <c r="OCG27" s="643"/>
      <c r="OCH27" s="643"/>
      <c r="OCI27" s="643"/>
      <c r="OCJ27" s="643"/>
      <c r="OCK27" s="643"/>
      <c r="OCL27" s="643"/>
      <c r="OCM27" s="643"/>
      <c r="OCN27" s="643"/>
      <c r="OCO27" s="643"/>
      <c r="OCP27" s="643"/>
      <c r="OCQ27" s="643"/>
      <c r="OCR27" s="643"/>
      <c r="OCS27" s="643"/>
      <c r="OCT27" s="643"/>
      <c r="OCU27" s="643"/>
      <c r="OCV27" s="643"/>
      <c r="OCW27" s="643"/>
      <c r="OCX27" s="643"/>
      <c r="OCY27" s="643"/>
      <c r="OCZ27" s="643"/>
      <c r="ODA27" s="643"/>
      <c r="ODB27" s="643"/>
      <c r="ODC27" s="643"/>
      <c r="ODD27" s="643"/>
      <c r="ODE27" s="643"/>
      <c r="ODF27" s="643"/>
      <c r="ODG27" s="643"/>
      <c r="ODH27" s="643"/>
      <c r="ODI27" s="643"/>
      <c r="ODJ27" s="643"/>
      <c r="ODK27" s="643"/>
      <c r="ODL27" s="643"/>
      <c r="ODM27" s="643"/>
      <c r="ODN27" s="643"/>
      <c r="ODO27" s="643"/>
      <c r="ODP27" s="643"/>
      <c r="ODQ27" s="643"/>
      <c r="ODR27" s="643"/>
      <c r="ODS27" s="643"/>
      <c r="ODT27" s="643"/>
      <c r="ODU27" s="643"/>
      <c r="ODV27" s="643"/>
      <c r="ODW27" s="643"/>
      <c r="ODX27" s="643"/>
      <c r="ODY27" s="643"/>
      <c r="ODZ27" s="643"/>
      <c r="OEA27" s="643"/>
      <c r="OEB27" s="643"/>
      <c r="OEC27" s="643"/>
      <c r="OED27" s="643"/>
      <c r="OEE27" s="643"/>
      <c r="OEF27" s="643"/>
      <c r="OEG27" s="643"/>
      <c r="OEH27" s="643"/>
      <c r="OEI27" s="643"/>
      <c r="OEJ27" s="643"/>
      <c r="OEK27" s="643"/>
      <c r="OEL27" s="643"/>
      <c r="OEM27" s="643"/>
      <c r="OEN27" s="643"/>
      <c r="OEO27" s="643"/>
      <c r="OEP27" s="643"/>
      <c r="OEQ27" s="643"/>
      <c r="OER27" s="643"/>
      <c r="OES27" s="643"/>
      <c r="OET27" s="643"/>
      <c r="OEU27" s="643"/>
      <c r="OEV27" s="643"/>
      <c r="OEW27" s="643"/>
      <c r="OEX27" s="643"/>
      <c r="OEY27" s="643"/>
      <c r="OEZ27" s="643"/>
      <c r="OFA27" s="643"/>
      <c r="OFB27" s="643"/>
      <c r="OFC27" s="643"/>
      <c r="OFD27" s="643"/>
      <c r="OFE27" s="643"/>
      <c r="OFF27" s="643"/>
      <c r="OFG27" s="643"/>
      <c r="OFH27" s="643"/>
      <c r="OFI27" s="643"/>
      <c r="OFJ27" s="643"/>
      <c r="OFK27" s="643"/>
      <c r="OFL27" s="643"/>
      <c r="OFM27" s="643"/>
      <c r="OFN27" s="643"/>
      <c r="OFO27" s="643"/>
      <c r="OFP27" s="643"/>
      <c r="OFQ27" s="643"/>
      <c r="OFR27" s="643"/>
      <c r="OFS27" s="643"/>
      <c r="OFT27" s="643"/>
      <c r="OFU27" s="643"/>
      <c r="OFV27" s="643"/>
      <c r="OFW27" s="643"/>
      <c r="OFX27" s="643"/>
      <c r="OFY27" s="643"/>
      <c r="OFZ27" s="643"/>
      <c r="OGA27" s="643"/>
      <c r="OGB27" s="643"/>
      <c r="OGC27" s="643"/>
      <c r="OGD27" s="643"/>
      <c r="OGE27" s="643"/>
      <c r="OGF27" s="643"/>
      <c r="OGG27" s="643"/>
      <c r="OGH27" s="643"/>
      <c r="OGI27" s="643"/>
      <c r="OGJ27" s="643"/>
      <c r="OGK27" s="643"/>
      <c r="OGL27" s="643"/>
      <c r="OGM27" s="643"/>
      <c r="OGN27" s="643"/>
      <c r="OGO27" s="643"/>
      <c r="OGP27" s="643"/>
      <c r="OGQ27" s="643"/>
      <c r="OGR27" s="643"/>
      <c r="OGS27" s="643"/>
      <c r="OGT27" s="643"/>
      <c r="OGU27" s="643"/>
      <c r="OGV27" s="643"/>
      <c r="OGW27" s="643"/>
      <c r="OGX27" s="643"/>
      <c r="OGY27" s="643"/>
      <c r="OGZ27" s="643"/>
      <c r="OHA27" s="643"/>
      <c r="OHB27" s="643"/>
      <c r="OHC27" s="643"/>
      <c r="OHD27" s="643"/>
      <c r="OHE27" s="643"/>
      <c r="OHF27" s="643"/>
      <c r="OHG27" s="643"/>
      <c r="OHH27" s="643"/>
      <c r="OHI27" s="643"/>
      <c r="OHJ27" s="643"/>
      <c r="OHK27" s="643"/>
      <c r="OHL27" s="643"/>
      <c r="OHM27" s="643"/>
      <c r="OHN27" s="643"/>
      <c r="OHO27" s="643"/>
      <c r="OHP27" s="643"/>
      <c r="OHQ27" s="643"/>
      <c r="OHR27" s="643"/>
      <c r="OHS27" s="643"/>
      <c r="OHT27" s="643"/>
      <c r="OHU27" s="643"/>
      <c r="OHV27" s="643"/>
      <c r="OHW27" s="643"/>
      <c r="OHX27" s="643"/>
      <c r="OHY27" s="643"/>
      <c r="OHZ27" s="643"/>
      <c r="OIA27" s="643"/>
      <c r="OIB27" s="643"/>
      <c r="OIC27" s="643"/>
      <c r="OID27" s="643"/>
      <c r="OIE27" s="643"/>
      <c r="OIF27" s="643"/>
      <c r="OIG27" s="643"/>
      <c r="OIH27" s="643"/>
      <c r="OII27" s="643"/>
      <c r="OIJ27" s="643"/>
      <c r="OIK27" s="643"/>
      <c r="OIL27" s="643"/>
      <c r="OIM27" s="643"/>
      <c r="OIN27" s="643"/>
      <c r="OIO27" s="643"/>
      <c r="OIP27" s="643"/>
      <c r="OIQ27" s="643"/>
      <c r="OIR27" s="643"/>
      <c r="OIS27" s="643"/>
      <c r="OIT27" s="643"/>
      <c r="OIU27" s="643"/>
      <c r="OIV27" s="643"/>
      <c r="OIW27" s="643"/>
      <c r="OIX27" s="643"/>
      <c r="OIY27" s="643"/>
      <c r="OIZ27" s="643"/>
      <c r="OJA27" s="643"/>
      <c r="OJB27" s="643"/>
      <c r="OJC27" s="643"/>
      <c r="OJD27" s="643"/>
      <c r="OJE27" s="643"/>
      <c r="OJF27" s="643"/>
      <c r="OJG27" s="643"/>
      <c r="OJH27" s="643"/>
      <c r="OJI27" s="643"/>
      <c r="OJJ27" s="643"/>
      <c r="OJK27" s="643"/>
      <c r="OJL27" s="643"/>
      <c r="OJM27" s="643"/>
      <c r="OJN27" s="643"/>
      <c r="OJO27" s="643"/>
      <c r="OJP27" s="643"/>
      <c r="OJQ27" s="643"/>
      <c r="OJR27" s="643"/>
      <c r="OJS27" s="643"/>
      <c r="OJT27" s="643"/>
      <c r="OJU27" s="643"/>
      <c r="OJV27" s="643"/>
      <c r="OJW27" s="643"/>
      <c r="OJX27" s="643"/>
      <c r="OJY27" s="643"/>
      <c r="OJZ27" s="643"/>
      <c r="OKA27" s="643"/>
      <c r="OKB27" s="643"/>
      <c r="OKC27" s="643"/>
      <c r="OKD27" s="643"/>
      <c r="OKE27" s="643"/>
      <c r="OKF27" s="643"/>
      <c r="OKG27" s="643"/>
      <c r="OKH27" s="643"/>
      <c r="OKI27" s="643"/>
      <c r="OKJ27" s="643"/>
      <c r="OKK27" s="643"/>
      <c r="OKL27" s="643"/>
      <c r="OKM27" s="643"/>
      <c r="OKN27" s="643"/>
      <c r="OKO27" s="643"/>
      <c r="OKP27" s="643"/>
      <c r="OKQ27" s="643"/>
      <c r="OKR27" s="643"/>
      <c r="OKS27" s="643"/>
      <c r="OKT27" s="643"/>
      <c r="OKU27" s="643"/>
      <c r="OKV27" s="643"/>
      <c r="OKW27" s="643"/>
      <c r="OKX27" s="643"/>
      <c r="OKY27" s="643"/>
      <c r="OKZ27" s="643"/>
      <c r="OLA27" s="643"/>
      <c r="OLB27" s="643"/>
      <c r="OLC27" s="643"/>
      <c r="OLD27" s="643"/>
      <c r="OLE27" s="643"/>
      <c r="OLF27" s="643"/>
      <c r="OLG27" s="643"/>
      <c r="OLH27" s="643"/>
      <c r="OLI27" s="643"/>
      <c r="OLJ27" s="643"/>
      <c r="OLK27" s="643"/>
      <c r="OLL27" s="643"/>
      <c r="OLM27" s="643"/>
      <c r="OLN27" s="643"/>
      <c r="OLO27" s="643"/>
      <c r="OLP27" s="643"/>
      <c r="OLQ27" s="643"/>
      <c r="OLR27" s="643"/>
      <c r="OLS27" s="643"/>
      <c r="OLT27" s="643"/>
      <c r="OLU27" s="643"/>
      <c r="OLV27" s="643"/>
      <c r="OLW27" s="643"/>
      <c r="OLX27" s="643"/>
      <c r="OLY27" s="643"/>
      <c r="OLZ27" s="643"/>
      <c r="OMA27" s="643"/>
      <c r="OMB27" s="643"/>
      <c r="OMC27" s="643"/>
      <c r="OMD27" s="643"/>
      <c r="OME27" s="643"/>
      <c r="OMF27" s="643"/>
      <c r="OMG27" s="643"/>
      <c r="OMH27" s="643"/>
      <c r="OMI27" s="643"/>
      <c r="OMJ27" s="643"/>
      <c r="OMK27" s="643"/>
      <c r="OML27" s="643"/>
      <c r="OMM27" s="643"/>
      <c r="OMN27" s="643"/>
      <c r="OMO27" s="643"/>
      <c r="OMP27" s="643"/>
      <c r="OMQ27" s="643"/>
      <c r="OMR27" s="643"/>
      <c r="OMS27" s="643"/>
      <c r="OMT27" s="643"/>
      <c r="OMU27" s="643"/>
      <c r="OMV27" s="643"/>
      <c r="OMW27" s="643"/>
      <c r="OMX27" s="643"/>
      <c r="OMY27" s="643"/>
      <c r="OMZ27" s="643"/>
      <c r="ONA27" s="643"/>
      <c r="ONB27" s="643"/>
      <c r="ONC27" s="643"/>
      <c r="OND27" s="643"/>
      <c r="ONE27" s="643"/>
      <c r="ONF27" s="643"/>
      <c r="ONG27" s="643"/>
      <c r="ONH27" s="643"/>
      <c r="ONI27" s="643"/>
      <c r="ONJ27" s="643"/>
      <c r="ONK27" s="643"/>
      <c r="ONL27" s="643"/>
      <c r="ONM27" s="643"/>
      <c r="ONN27" s="643"/>
      <c r="ONO27" s="643"/>
      <c r="ONP27" s="643"/>
      <c r="ONQ27" s="643"/>
      <c r="ONR27" s="643"/>
      <c r="ONS27" s="643"/>
      <c r="ONT27" s="643"/>
      <c r="ONU27" s="643"/>
      <c r="ONV27" s="643"/>
      <c r="ONW27" s="643"/>
      <c r="ONX27" s="643"/>
      <c r="ONY27" s="643"/>
      <c r="ONZ27" s="643"/>
      <c r="OOA27" s="643"/>
      <c r="OOB27" s="643"/>
      <c r="OOC27" s="643"/>
      <c r="OOD27" s="643"/>
      <c r="OOE27" s="643"/>
      <c r="OOF27" s="643"/>
      <c r="OOG27" s="643"/>
      <c r="OOH27" s="643"/>
      <c r="OOI27" s="643"/>
      <c r="OOJ27" s="643"/>
      <c r="OOK27" s="643"/>
      <c r="OOL27" s="643"/>
      <c r="OOM27" s="643"/>
      <c r="OON27" s="643"/>
      <c r="OOO27" s="643"/>
      <c r="OOP27" s="643"/>
      <c r="OOQ27" s="643"/>
      <c r="OOR27" s="643"/>
      <c r="OOS27" s="643"/>
      <c r="OOT27" s="643"/>
      <c r="OOU27" s="643"/>
      <c r="OOV27" s="643"/>
      <c r="OOW27" s="643"/>
      <c r="OOX27" s="643"/>
      <c r="OOY27" s="643"/>
      <c r="OOZ27" s="643"/>
      <c r="OPA27" s="643"/>
      <c r="OPB27" s="643"/>
      <c r="OPC27" s="643"/>
      <c r="OPD27" s="643"/>
      <c r="OPE27" s="643"/>
      <c r="OPF27" s="643"/>
      <c r="OPG27" s="643"/>
      <c r="OPH27" s="643"/>
      <c r="OPI27" s="643"/>
      <c r="OPJ27" s="643"/>
      <c r="OPK27" s="643"/>
      <c r="OPL27" s="643"/>
      <c r="OPM27" s="643"/>
      <c r="OPN27" s="643"/>
      <c r="OPO27" s="643"/>
      <c r="OPP27" s="643"/>
      <c r="OPQ27" s="643"/>
      <c r="OPR27" s="643"/>
      <c r="OPS27" s="643"/>
      <c r="OPT27" s="643"/>
      <c r="OPU27" s="643"/>
      <c r="OPV27" s="643"/>
      <c r="OPW27" s="643"/>
      <c r="OPX27" s="643"/>
      <c r="OPY27" s="643"/>
      <c r="OPZ27" s="643"/>
      <c r="OQA27" s="643"/>
      <c r="OQB27" s="643"/>
      <c r="OQC27" s="643"/>
      <c r="OQD27" s="643"/>
      <c r="OQE27" s="643"/>
      <c r="OQF27" s="643"/>
      <c r="OQG27" s="643"/>
      <c r="OQH27" s="643"/>
      <c r="OQI27" s="643"/>
      <c r="OQJ27" s="643"/>
      <c r="OQK27" s="643"/>
      <c r="OQL27" s="643"/>
      <c r="OQM27" s="643"/>
      <c r="OQN27" s="643"/>
      <c r="OQO27" s="643"/>
      <c r="OQP27" s="643"/>
      <c r="OQQ27" s="643"/>
      <c r="OQR27" s="643"/>
      <c r="OQS27" s="643"/>
      <c r="OQT27" s="643"/>
      <c r="OQU27" s="643"/>
      <c r="OQV27" s="643"/>
      <c r="OQW27" s="643"/>
      <c r="OQX27" s="643"/>
      <c r="OQY27" s="643"/>
      <c r="OQZ27" s="643"/>
      <c r="ORA27" s="643"/>
      <c r="ORB27" s="643"/>
      <c r="ORC27" s="643"/>
      <c r="ORD27" s="643"/>
      <c r="ORE27" s="643"/>
      <c r="ORF27" s="643"/>
      <c r="ORG27" s="643"/>
      <c r="ORH27" s="643"/>
      <c r="ORI27" s="643"/>
      <c r="ORJ27" s="643"/>
      <c r="ORK27" s="643"/>
      <c r="ORL27" s="643"/>
      <c r="ORM27" s="643"/>
      <c r="ORN27" s="643"/>
      <c r="ORO27" s="643"/>
      <c r="ORP27" s="643"/>
      <c r="ORQ27" s="643"/>
      <c r="ORR27" s="643"/>
      <c r="ORS27" s="643"/>
      <c r="ORT27" s="643"/>
      <c r="ORU27" s="643"/>
      <c r="ORV27" s="643"/>
      <c r="ORW27" s="643"/>
      <c r="ORX27" s="643"/>
      <c r="ORY27" s="643"/>
      <c r="ORZ27" s="643"/>
      <c r="OSA27" s="643"/>
      <c r="OSB27" s="643"/>
      <c r="OSC27" s="643"/>
      <c r="OSD27" s="643"/>
      <c r="OSE27" s="643"/>
      <c r="OSF27" s="643"/>
      <c r="OSG27" s="643"/>
      <c r="OSH27" s="643"/>
      <c r="OSI27" s="643"/>
      <c r="OSJ27" s="643"/>
      <c r="OSK27" s="643"/>
      <c r="OSL27" s="643"/>
      <c r="OSM27" s="643"/>
      <c r="OSN27" s="643"/>
      <c r="OSO27" s="643"/>
      <c r="OSP27" s="643"/>
      <c r="OSQ27" s="643"/>
      <c r="OSR27" s="643"/>
      <c r="OSS27" s="643"/>
      <c r="OST27" s="643"/>
      <c r="OSU27" s="643"/>
      <c r="OSV27" s="643"/>
      <c r="OSW27" s="643"/>
      <c r="OSX27" s="643"/>
      <c r="OSY27" s="643"/>
      <c r="OSZ27" s="643"/>
      <c r="OTA27" s="643"/>
      <c r="OTB27" s="643"/>
      <c r="OTC27" s="643"/>
      <c r="OTD27" s="643"/>
      <c r="OTE27" s="643"/>
      <c r="OTF27" s="643"/>
      <c r="OTG27" s="643"/>
      <c r="OTH27" s="643"/>
      <c r="OTI27" s="643"/>
      <c r="OTJ27" s="643"/>
      <c r="OTK27" s="643"/>
      <c r="OTL27" s="643"/>
      <c r="OTM27" s="643"/>
      <c r="OTN27" s="643"/>
      <c r="OTO27" s="643"/>
      <c r="OTP27" s="643"/>
      <c r="OTQ27" s="643"/>
      <c r="OTR27" s="643"/>
      <c r="OTS27" s="643"/>
      <c r="OTT27" s="643"/>
      <c r="OTU27" s="643"/>
      <c r="OTV27" s="643"/>
      <c r="OTW27" s="643"/>
      <c r="OTX27" s="643"/>
      <c r="OTY27" s="643"/>
      <c r="OTZ27" s="643"/>
      <c r="OUA27" s="643"/>
      <c r="OUB27" s="643"/>
      <c r="OUC27" s="643"/>
      <c r="OUD27" s="643"/>
      <c r="OUE27" s="643"/>
      <c r="OUF27" s="643"/>
      <c r="OUG27" s="643"/>
      <c r="OUH27" s="643"/>
      <c r="OUI27" s="643"/>
      <c r="OUJ27" s="643"/>
      <c r="OUK27" s="643"/>
      <c r="OUL27" s="643"/>
      <c r="OUM27" s="643"/>
      <c r="OUN27" s="643"/>
      <c r="OUO27" s="643"/>
      <c r="OUP27" s="643"/>
      <c r="OUQ27" s="643"/>
      <c r="OUR27" s="643"/>
      <c r="OUS27" s="643"/>
      <c r="OUT27" s="643"/>
      <c r="OUU27" s="643"/>
      <c r="OUV27" s="643"/>
      <c r="OUW27" s="643"/>
      <c r="OUX27" s="643"/>
      <c r="OUY27" s="643"/>
      <c r="OUZ27" s="643"/>
      <c r="OVA27" s="643"/>
      <c r="OVB27" s="643"/>
      <c r="OVC27" s="643"/>
      <c r="OVD27" s="643"/>
      <c r="OVE27" s="643"/>
      <c r="OVF27" s="643"/>
      <c r="OVG27" s="643"/>
      <c r="OVH27" s="643"/>
      <c r="OVI27" s="643"/>
      <c r="OVJ27" s="643"/>
      <c r="OVK27" s="643"/>
      <c r="OVL27" s="643"/>
      <c r="OVM27" s="643"/>
      <c r="OVN27" s="643"/>
      <c r="OVO27" s="643"/>
      <c r="OVP27" s="643"/>
      <c r="OVQ27" s="643"/>
      <c r="OVR27" s="643"/>
      <c r="OVS27" s="643"/>
      <c r="OVT27" s="643"/>
      <c r="OVU27" s="643"/>
      <c r="OVV27" s="643"/>
      <c r="OVW27" s="643"/>
      <c r="OVX27" s="643"/>
      <c r="OVY27" s="643"/>
      <c r="OVZ27" s="643"/>
      <c r="OWA27" s="643"/>
      <c r="OWB27" s="643"/>
      <c r="OWC27" s="643"/>
      <c r="OWD27" s="643"/>
      <c r="OWE27" s="643"/>
      <c r="OWF27" s="643"/>
      <c r="OWG27" s="643"/>
      <c r="OWH27" s="643"/>
      <c r="OWI27" s="643"/>
      <c r="OWJ27" s="643"/>
      <c r="OWK27" s="643"/>
      <c r="OWL27" s="643"/>
      <c r="OWM27" s="643"/>
      <c r="OWN27" s="643"/>
      <c r="OWO27" s="643"/>
      <c r="OWP27" s="643"/>
      <c r="OWQ27" s="643"/>
      <c r="OWR27" s="643"/>
      <c r="OWS27" s="643"/>
      <c r="OWT27" s="643"/>
      <c r="OWU27" s="643"/>
      <c r="OWV27" s="643"/>
      <c r="OWW27" s="643"/>
      <c r="OWX27" s="643"/>
      <c r="OWY27" s="643"/>
      <c r="OWZ27" s="643"/>
      <c r="OXA27" s="643"/>
      <c r="OXB27" s="643"/>
      <c r="OXC27" s="643"/>
      <c r="OXD27" s="643"/>
      <c r="OXE27" s="643"/>
      <c r="OXF27" s="643"/>
      <c r="OXG27" s="643"/>
      <c r="OXH27" s="643"/>
      <c r="OXI27" s="643"/>
      <c r="OXJ27" s="643"/>
      <c r="OXK27" s="643"/>
      <c r="OXL27" s="643"/>
      <c r="OXM27" s="643"/>
      <c r="OXN27" s="643"/>
      <c r="OXO27" s="643"/>
      <c r="OXP27" s="643"/>
      <c r="OXQ27" s="643"/>
      <c r="OXR27" s="643"/>
      <c r="OXS27" s="643"/>
      <c r="OXT27" s="643"/>
      <c r="OXU27" s="643"/>
      <c r="OXV27" s="643"/>
      <c r="OXW27" s="643"/>
      <c r="OXX27" s="643"/>
      <c r="OXY27" s="643"/>
      <c r="OXZ27" s="643"/>
      <c r="OYA27" s="643"/>
      <c r="OYB27" s="643"/>
      <c r="OYC27" s="643"/>
      <c r="OYD27" s="643"/>
      <c r="OYE27" s="643"/>
      <c r="OYF27" s="643"/>
      <c r="OYG27" s="643"/>
      <c r="OYH27" s="643"/>
      <c r="OYI27" s="643"/>
      <c r="OYJ27" s="643"/>
      <c r="OYK27" s="643"/>
      <c r="OYL27" s="643"/>
      <c r="OYM27" s="643"/>
      <c r="OYN27" s="643"/>
      <c r="OYO27" s="643"/>
      <c r="OYP27" s="643"/>
      <c r="OYQ27" s="643"/>
      <c r="OYR27" s="643"/>
      <c r="OYS27" s="643"/>
      <c r="OYT27" s="643"/>
      <c r="OYU27" s="643"/>
      <c r="OYV27" s="643"/>
      <c r="OYW27" s="643"/>
      <c r="OYX27" s="643"/>
      <c r="OYY27" s="643"/>
      <c r="OYZ27" s="643"/>
      <c r="OZA27" s="643"/>
      <c r="OZB27" s="643"/>
      <c r="OZC27" s="643"/>
      <c r="OZD27" s="643"/>
      <c r="OZE27" s="643"/>
      <c r="OZF27" s="643"/>
      <c r="OZG27" s="643"/>
      <c r="OZH27" s="643"/>
      <c r="OZI27" s="643"/>
      <c r="OZJ27" s="643"/>
      <c r="OZK27" s="643"/>
      <c r="OZL27" s="643"/>
      <c r="OZM27" s="643"/>
      <c r="OZN27" s="643"/>
      <c r="OZO27" s="643"/>
      <c r="OZP27" s="643"/>
      <c r="OZQ27" s="643"/>
      <c r="OZR27" s="643"/>
      <c r="OZS27" s="643"/>
      <c r="OZT27" s="643"/>
      <c r="OZU27" s="643"/>
      <c r="OZV27" s="643"/>
      <c r="OZW27" s="643"/>
      <c r="OZX27" s="643"/>
      <c r="OZY27" s="643"/>
      <c r="OZZ27" s="643"/>
      <c r="PAA27" s="643"/>
      <c r="PAB27" s="643"/>
      <c r="PAC27" s="643"/>
      <c r="PAD27" s="643"/>
      <c r="PAE27" s="643"/>
      <c r="PAF27" s="643"/>
      <c r="PAG27" s="643"/>
      <c r="PAH27" s="643"/>
      <c r="PAI27" s="643"/>
      <c r="PAJ27" s="643"/>
      <c r="PAK27" s="643"/>
      <c r="PAL27" s="643"/>
      <c r="PAM27" s="643"/>
      <c r="PAN27" s="643"/>
      <c r="PAO27" s="643"/>
      <c r="PAP27" s="643"/>
      <c r="PAQ27" s="643"/>
      <c r="PAR27" s="643"/>
      <c r="PAS27" s="643"/>
      <c r="PAT27" s="643"/>
      <c r="PAU27" s="643"/>
      <c r="PAV27" s="643"/>
      <c r="PAW27" s="643"/>
      <c r="PAX27" s="643"/>
      <c r="PAY27" s="643"/>
      <c r="PAZ27" s="643"/>
      <c r="PBA27" s="643"/>
      <c r="PBB27" s="643"/>
      <c r="PBC27" s="643"/>
      <c r="PBD27" s="643"/>
      <c r="PBE27" s="643"/>
      <c r="PBF27" s="643"/>
      <c r="PBG27" s="643"/>
      <c r="PBH27" s="643"/>
      <c r="PBI27" s="643"/>
      <c r="PBJ27" s="643"/>
      <c r="PBK27" s="643"/>
      <c r="PBL27" s="643"/>
      <c r="PBM27" s="643"/>
      <c r="PBN27" s="643"/>
      <c r="PBO27" s="643"/>
      <c r="PBP27" s="643"/>
      <c r="PBQ27" s="643"/>
      <c r="PBR27" s="643"/>
      <c r="PBS27" s="643"/>
      <c r="PBT27" s="643"/>
      <c r="PBU27" s="643"/>
      <c r="PBV27" s="643"/>
      <c r="PBW27" s="643"/>
      <c r="PBX27" s="643"/>
      <c r="PBY27" s="643"/>
      <c r="PBZ27" s="643"/>
      <c r="PCA27" s="643"/>
      <c r="PCB27" s="643"/>
      <c r="PCC27" s="643"/>
      <c r="PCD27" s="643"/>
      <c r="PCE27" s="643"/>
      <c r="PCF27" s="643"/>
      <c r="PCG27" s="643"/>
      <c r="PCH27" s="643"/>
      <c r="PCI27" s="643"/>
      <c r="PCJ27" s="643"/>
      <c r="PCK27" s="643"/>
      <c r="PCL27" s="643"/>
      <c r="PCM27" s="643"/>
      <c r="PCN27" s="643"/>
      <c r="PCO27" s="643"/>
      <c r="PCP27" s="643"/>
      <c r="PCQ27" s="643"/>
      <c r="PCR27" s="643"/>
      <c r="PCS27" s="643"/>
      <c r="PCT27" s="643"/>
      <c r="PCU27" s="643"/>
      <c r="PCV27" s="643"/>
      <c r="PCW27" s="643"/>
      <c r="PCX27" s="643"/>
      <c r="PCY27" s="643"/>
      <c r="PCZ27" s="643"/>
      <c r="PDA27" s="643"/>
      <c r="PDB27" s="643"/>
      <c r="PDC27" s="643"/>
      <c r="PDD27" s="643"/>
      <c r="PDE27" s="643"/>
      <c r="PDF27" s="643"/>
      <c r="PDG27" s="643"/>
      <c r="PDH27" s="643"/>
      <c r="PDI27" s="643"/>
      <c r="PDJ27" s="643"/>
      <c r="PDK27" s="643"/>
      <c r="PDL27" s="643"/>
      <c r="PDM27" s="643"/>
      <c r="PDN27" s="643"/>
      <c r="PDO27" s="643"/>
      <c r="PDP27" s="643"/>
      <c r="PDQ27" s="643"/>
      <c r="PDR27" s="643"/>
      <c r="PDS27" s="643"/>
      <c r="PDT27" s="643"/>
      <c r="PDU27" s="643"/>
      <c r="PDV27" s="643"/>
      <c r="PDW27" s="643"/>
      <c r="PDX27" s="643"/>
      <c r="PDY27" s="643"/>
      <c r="PDZ27" s="643"/>
      <c r="PEA27" s="643"/>
      <c r="PEB27" s="643"/>
      <c r="PEC27" s="643"/>
      <c r="PED27" s="643"/>
      <c r="PEE27" s="643"/>
      <c r="PEF27" s="643"/>
      <c r="PEG27" s="643"/>
      <c r="PEH27" s="643"/>
      <c r="PEI27" s="643"/>
      <c r="PEJ27" s="643"/>
      <c r="PEK27" s="643"/>
      <c r="PEL27" s="643"/>
      <c r="PEM27" s="643"/>
      <c r="PEN27" s="643"/>
      <c r="PEO27" s="643"/>
      <c r="PEP27" s="643"/>
      <c r="PEQ27" s="643"/>
      <c r="PER27" s="643"/>
      <c r="PES27" s="643"/>
      <c r="PET27" s="643"/>
      <c r="PEU27" s="643"/>
      <c r="PEV27" s="643"/>
      <c r="PEW27" s="643"/>
      <c r="PEX27" s="643"/>
      <c r="PEY27" s="643"/>
      <c r="PEZ27" s="643"/>
      <c r="PFA27" s="643"/>
      <c r="PFB27" s="643"/>
      <c r="PFC27" s="643"/>
      <c r="PFD27" s="643"/>
      <c r="PFE27" s="643"/>
      <c r="PFF27" s="643"/>
      <c r="PFG27" s="643"/>
      <c r="PFH27" s="643"/>
      <c r="PFI27" s="643"/>
      <c r="PFJ27" s="643"/>
      <c r="PFK27" s="643"/>
      <c r="PFL27" s="643"/>
      <c r="PFM27" s="643"/>
      <c r="PFN27" s="643"/>
      <c r="PFO27" s="643"/>
      <c r="PFP27" s="643"/>
      <c r="PFQ27" s="643"/>
      <c r="PFR27" s="643"/>
      <c r="PFS27" s="643"/>
      <c r="PFT27" s="643"/>
      <c r="PFU27" s="643"/>
      <c r="PFV27" s="643"/>
      <c r="PFW27" s="643"/>
      <c r="PFX27" s="643"/>
      <c r="PFY27" s="643"/>
      <c r="PFZ27" s="643"/>
      <c r="PGA27" s="643"/>
      <c r="PGB27" s="643"/>
      <c r="PGC27" s="643"/>
      <c r="PGD27" s="643"/>
      <c r="PGE27" s="643"/>
      <c r="PGF27" s="643"/>
      <c r="PGG27" s="643"/>
      <c r="PGH27" s="643"/>
      <c r="PGI27" s="643"/>
      <c r="PGJ27" s="643"/>
      <c r="PGK27" s="643"/>
      <c r="PGL27" s="643"/>
      <c r="PGM27" s="643"/>
      <c r="PGN27" s="643"/>
      <c r="PGO27" s="643"/>
      <c r="PGP27" s="643"/>
      <c r="PGQ27" s="643"/>
      <c r="PGR27" s="643"/>
      <c r="PGS27" s="643"/>
      <c r="PGT27" s="643"/>
      <c r="PGU27" s="643"/>
      <c r="PGV27" s="643"/>
      <c r="PGW27" s="643"/>
      <c r="PGX27" s="643"/>
      <c r="PGY27" s="643"/>
      <c r="PGZ27" s="643"/>
      <c r="PHA27" s="643"/>
      <c r="PHB27" s="643"/>
      <c r="PHC27" s="643"/>
      <c r="PHD27" s="643"/>
      <c r="PHE27" s="643"/>
      <c r="PHF27" s="643"/>
      <c r="PHG27" s="643"/>
      <c r="PHH27" s="643"/>
      <c r="PHI27" s="643"/>
      <c r="PHJ27" s="643"/>
      <c r="PHK27" s="643"/>
      <c r="PHL27" s="643"/>
      <c r="PHM27" s="643"/>
      <c r="PHN27" s="643"/>
      <c r="PHO27" s="643"/>
      <c r="PHP27" s="643"/>
      <c r="PHQ27" s="643"/>
      <c r="PHR27" s="643"/>
      <c r="PHS27" s="643"/>
      <c r="PHT27" s="643"/>
      <c r="PHU27" s="643"/>
      <c r="PHV27" s="643"/>
      <c r="PHW27" s="643"/>
      <c r="PHX27" s="643"/>
      <c r="PHY27" s="643"/>
      <c r="PHZ27" s="643"/>
      <c r="PIA27" s="643"/>
      <c r="PIB27" s="643"/>
      <c r="PIC27" s="643"/>
      <c r="PID27" s="643"/>
      <c r="PIE27" s="643"/>
      <c r="PIF27" s="643"/>
      <c r="PIG27" s="643"/>
      <c r="PIH27" s="643"/>
      <c r="PII27" s="643"/>
      <c r="PIJ27" s="643"/>
      <c r="PIK27" s="643"/>
      <c r="PIL27" s="643"/>
      <c r="PIM27" s="643"/>
      <c r="PIN27" s="643"/>
      <c r="PIO27" s="643"/>
      <c r="PIP27" s="643"/>
      <c r="PIQ27" s="643"/>
      <c r="PIR27" s="643"/>
      <c r="PIS27" s="643"/>
      <c r="PIT27" s="643"/>
      <c r="PIU27" s="643"/>
      <c r="PIV27" s="643"/>
      <c r="PIW27" s="643"/>
      <c r="PIX27" s="643"/>
      <c r="PIY27" s="643"/>
      <c r="PIZ27" s="643"/>
      <c r="PJA27" s="643"/>
      <c r="PJB27" s="643"/>
      <c r="PJC27" s="643"/>
      <c r="PJD27" s="643"/>
      <c r="PJE27" s="643"/>
      <c r="PJF27" s="643"/>
      <c r="PJG27" s="643"/>
      <c r="PJH27" s="643"/>
      <c r="PJI27" s="643"/>
      <c r="PJJ27" s="643"/>
      <c r="PJK27" s="643"/>
      <c r="PJL27" s="643"/>
      <c r="PJM27" s="643"/>
      <c r="PJN27" s="643"/>
      <c r="PJO27" s="643"/>
      <c r="PJP27" s="643"/>
      <c r="PJQ27" s="643"/>
      <c r="PJR27" s="643"/>
      <c r="PJS27" s="643"/>
      <c r="PJT27" s="643"/>
      <c r="PJU27" s="643"/>
      <c r="PJV27" s="643"/>
      <c r="PJW27" s="643"/>
      <c r="PJX27" s="643"/>
      <c r="PJY27" s="643"/>
      <c r="PJZ27" s="643"/>
      <c r="PKA27" s="643"/>
      <c r="PKB27" s="643"/>
      <c r="PKC27" s="643"/>
      <c r="PKD27" s="643"/>
      <c r="PKE27" s="643"/>
      <c r="PKF27" s="643"/>
      <c r="PKG27" s="643"/>
      <c r="PKH27" s="643"/>
      <c r="PKI27" s="643"/>
      <c r="PKJ27" s="643"/>
      <c r="PKK27" s="643"/>
      <c r="PKL27" s="643"/>
      <c r="PKM27" s="643"/>
      <c r="PKN27" s="643"/>
      <c r="PKO27" s="643"/>
      <c r="PKP27" s="643"/>
      <c r="PKQ27" s="643"/>
      <c r="PKR27" s="643"/>
      <c r="PKS27" s="643"/>
      <c r="PKT27" s="643"/>
      <c r="PKU27" s="643"/>
      <c r="PKV27" s="643"/>
      <c r="PKW27" s="643"/>
      <c r="PKX27" s="643"/>
      <c r="PKY27" s="643"/>
      <c r="PKZ27" s="643"/>
      <c r="PLA27" s="643"/>
      <c r="PLB27" s="643"/>
      <c r="PLC27" s="643"/>
      <c r="PLD27" s="643"/>
      <c r="PLE27" s="643"/>
      <c r="PLF27" s="643"/>
      <c r="PLG27" s="643"/>
      <c r="PLH27" s="643"/>
      <c r="PLI27" s="643"/>
      <c r="PLJ27" s="643"/>
      <c r="PLK27" s="643"/>
      <c r="PLL27" s="643"/>
      <c r="PLM27" s="643"/>
      <c r="PLN27" s="643"/>
      <c r="PLO27" s="643"/>
      <c r="PLP27" s="643"/>
      <c r="PLQ27" s="643"/>
      <c r="PLR27" s="643"/>
      <c r="PLS27" s="643"/>
      <c r="PLT27" s="643"/>
      <c r="PLU27" s="643"/>
      <c r="PLV27" s="643"/>
      <c r="PLW27" s="643"/>
      <c r="PLX27" s="643"/>
      <c r="PLY27" s="643"/>
      <c r="PLZ27" s="643"/>
      <c r="PMA27" s="643"/>
      <c r="PMB27" s="643"/>
      <c r="PMC27" s="643"/>
      <c r="PMD27" s="643"/>
      <c r="PME27" s="643"/>
      <c r="PMF27" s="643"/>
      <c r="PMG27" s="643"/>
      <c r="PMH27" s="643"/>
      <c r="PMI27" s="643"/>
      <c r="PMJ27" s="643"/>
      <c r="PMK27" s="643"/>
      <c r="PML27" s="643"/>
      <c r="PMM27" s="643"/>
      <c r="PMN27" s="643"/>
      <c r="PMO27" s="643"/>
      <c r="PMP27" s="643"/>
      <c r="PMQ27" s="643"/>
      <c r="PMR27" s="643"/>
      <c r="PMS27" s="643"/>
      <c r="PMT27" s="643"/>
      <c r="PMU27" s="643"/>
      <c r="PMV27" s="643"/>
      <c r="PMW27" s="643"/>
      <c r="PMX27" s="643"/>
      <c r="PMY27" s="643"/>
      <c r="PMZ27" s="643"/>
      <c r="PNA27" s="643"/>
      <c r="PNB27" s="643"/>
      <c r="PNC27" s="643"/>
      <c r="PND27" s="643"/>
      <c r="PNE27" s="643"/>
      <c r="PNF27" s="643"/>
      <c r="PNG27" s="643"/>
      <c r="PNH27" s="643"/>
      <c r="PNI27" s="643"/>
      <c r="PNJ27" s="643"/>
      <c r="PNK27" s="643"/>
      <c r="PNL27" s="643"/>
      <c r="PNM27" s="643"/>
      <c r="PNN27" s="643"/>
      <c r="PNO27" s="643"/>
      <c r="PNP27" s="643"/>
      <c r="PNQ27" s="643"/>
      <c r="PNR27" s="643"/>
      <c r="PNS27" s="643"/>
      <c r="PNT27" s="643"/>
      <c r="PNU27" s="643"/>
      <c r="PNV27" s="643"/>
      <c r="PNW27" s="643"/>
      <c r="PNX27" s="643"/>
      <c r="PNY27" s="643"/>
      <c r="PNZ27" s="643"/>
      <c r="POA27" s="643"/>
      <c r="POB27" s="643"/>
      <c r="POC27" s="643"/>
      <c r="POD27" s="643"/>
      <c r="POE27" s="643"/>
      <c r="POF27" s="643"/>
      <c r="POG27" s="643"/>
      <c r="POH27" s="643"/>
      <c r="POI27" s="643"/>
      <c r="POJ27" s="643"/>
      <c r="POK27" s="643"/>
      <c r="POL27" s="643"/>
      <c r="POM27" s="643"/>
      <c r="PON27" s="643"/>
      <c r="POO27" s="643"/>
      <c r="POP27" s="643"/>
      <c r="POQ27" s="643"/>
      <c r="POR27" s="643"/>
      <c r="POS27" s="643"/>
      <c r="POT27" s="643"/>
      <c r="POU27" s="643"/>
      <c r="POV27" s="643"/>
      <c r="POW27" s="643"/>
      <c r="POX27" s="643"/>
      <c r="POY27" s="643"/>
      <c r="POZ27" s="643"/>
      <c r="PPA27" s="643"/>
      <c r="PPB27" s="643"/>
      <c r="PPC27" s="643"/>
      <c r="PPD27" s="643"/>
      <c r="PPE27" s="643"/>
      <c r="PPF27" s="643"/>
      <c r="PPG27" s="643"/>
      <c r="PPH27" s="643"/>
      <c r="PPI27" s="643"/>
      <c r="PPJ27" s="643"/>
      <c r="PPK27" s="643"/>
      <c r="PPL27" s="643"/>
      <c r="PPM27" s="643"/>
      <c r="PPN27" s="643"/>
      <c r="PPO27" s="643"/>
      <c r="PPP27" s="643"/>
      <c r="PPQ27" s="643"/>
      <c r="PPR27" s="643"/>
      <c r="PPS27" s="643"/>
      <c r="PPT27" s="643"/>
      <c r="PPU27" s="643"/>
      <c r="PPV27" s="643"/>
      <c r="PPW27" s="643"/>
      <c r="PPX27" s="643"/>
      <c r="PPY27" s="643"/>
      <c r="PPZ27" s="643"/>
      <c r="PQA27" s="643"/>
      <c r="PQB27" s="643"/>
      <c r="PQC27" s="643"/>
      <c r="PQD27" s="643"/>
      <c r="PQE27" s="643"/>
      <c r="PQF27" s="643"/>
      <c r="PQG27" s="643"/>
      <c r="PQH27" s="643"/>
      <c r="PQI27" s="643"/>
      <c r="PQJ27" s="643"/>
      <c r="PQK27" s="643"/>
      <c r="PQL27" s="643"/>
      <c r="PQM27" s="643"/>
      <c r="PQN27" s="643"/>
      <c r="PQO27" s="643"/>
      <c r="PQP27" s="643"/>
      <c r="PQQ27" s="643"/>
      <c r="PQR27" s="643"/>
      <c r="PQS27" s="643"/>
      <c r="PQT27" s="643"/>
      <c r="PQU27" s="643"/>
      <c r="PQV27" s="643"/>
      <c r="PQW27" s="643"/>
      <c r="PQX27" s="643"/>
      <c r="PQY27" s="643"/>
      <c r="PQZ27" s="643"/>
      <c r="PRA27" s="643"/>
      <c r="PRB27" s="643"/>
      <c r="PRC27" s="643"/>
      <c r="PRD27" s="643"/>
      <c r="PRE27" s="643"/>
      <c r="PRF27" s="643"/>
      <c r="PRG27" s="643"/>
      <c r="PRH27" s="643"/>
      <c r="PRI27" s="643"/>
      <c r="PRJ27" s="643"/>
      <c r="PRK27" s="643"/>
      <c r="PRL27" s="643"/>
      <c r="PRM27" s="643"/>
      <c r="PRN27" s="643"/>
      <c r="PRO27" s="643"/>
      <c r="PRP27" s="643"/>
      <c r="PRQ27" s="643"/>
      <c r="PRR27" s="643"/>
      <c r="PRS27" s="643"/>
      <c r="PRT27" s="643"/>
      <c r="PRU27" s="643"/>
      <c r="PRV27" s="643"/>
      <c r="PRW27" s="643"/>
      <c r="PRX27" s="643"/>
      <c r="PRY27" s="643"/>
      <c r="PRZ27" s="643"/>
      <c r="PSA27" s="643"/>
      <c r="PSB27" s="643"/>
      <c r="PSC27" s="643"/>
      <c r="PSD27" s="643"/>
      <c r="PSE27" s="643"/>
      <c r="PSF27" s="643"/>
      <c r="PSG27" s="643"/>
      <c r="PSH27" s="643"/>
      <c r="PSI27" s="643"/>
      <c r="PSJ27" s="643"/>
      <c r="PSK27" s="643"/>
      <c r="PSL27" s="643"/>
      <c r="PSM27" s="643"/>
      <c r="PSN27" s="643"/>
      <c r="PSO27" s="643"/>
      <c r="PSP27" s="643"/>
      <c r="PSQ27" s="643"/>
      <c r="PSR27" s="643"/>
      <c r="PSS27" s="643"/>
      <c r="PST27" s="643"/>
      <c r="PSU27" s="643"/>
      <c r="PSV27" s="643"/>
      <c r="PSW27" s="643"/>
      <c r="PSX27" s="643"/>
      <c r="PSY27" s="643"/>
      <c r="PSZ27" s="643"/>
      <c r="PTA27" s="643"/>
      <c r="PTB27" s="643"/>
      <c r="PTC27" s="643"/>
      <c r="PTD27" s="643"/>
      <c r="PTE27" s="643"/>
      <c r="PTF27" s="643"/>
      <c r="PTG27" s="643"/>
      <c r="PTH27" s="643"/>
      <c r="PTI27" s="643"/>
      <c r="PTJ27" s="643"/>
      <c r="PTK27" s="643"/>
      <c r="PTL27" s="643"/>
      <c r="PTM27" s="643"/>
      <c r="PTN27" s="643"/>
      <c r="PTO27" s="643"/>
      <c r="PTP27" s="643"/>
      <c r="PTQ27" s="643"/>
      <c r="PTR27" s="643"/>
      <c r="PTS27" s="643"/>
      <c r="PTT27" s="643"/>
      <c r="PTU27" s="643"/>
      <c r="PTV27" s="643"/>
      <c r="PTW27" s="643"/>
      <c r="PTX27" s="643"/>
      <c r="PTY27" s="643"/>
      <c r="PTZ27" s="643"/>
      <c r="PUA27" s="643"/>
      <c r="PUB27" s="643"/>
      <c r="PUC27" s="643"/>
      <c r="PUD27" s="643"/>
      <c r="PUE27" s="643"/>
      <c r="PUF27" s="643"/>
      <c r="PUG27" s="643"/>
      <c r="PUH27" s="643"/>
      <c r="PUI27" s="643"/>
      <c r="PUJ27" s="643"/>
      <c r="PUK27" s="643"/>
      <c r="PUL27" s="643"/>
      <c r="PUM27" s="643"/>
      <c r="PUN27" s="643"/>
      <c r="PUO27" s="643"/>
      <c r="PUP27" s="643"/>
      <c r="PUQ27" s="643"/>
      <c r="PUR27" s="643"/>
      <c r="PUS27" s="643"/>
      <c r="PUT27" s="643"/>
      <c r="PUU27" s="643"/>
      <c r="PUV27" s="643"/>
      <c r="PUW27" s="643"/>
      <c r="PUX27" s="643"/>
      <c r="PUY27" s="643"/>
      <c r="PUZ27" s="643"/>
      <c r="PVA27" s="643"/>
      <c r="PVB27" s="643"/>
      <c r="PVC27" s="643"/>
      <c r="PVD27" s="643"/>
      <c r="PVE27" s="643"/>
      <c r="PVF27" s="643"/>
      <c r="PVG27" s="643"/>
      <c r="PVH27" s="643"/>
      <c r="PVI27" s="643"/>
      <c r="PVJ27" s="643"/>
      <c r="PVK27" s="643"/>
      <c r="PVL27" s="643"/>
      <c r="PVM27" s="643"/>
      <c r="PVN27" s="643"/>
      <c r="PVO27" s="643"/>
      <c r="PVP27" s="643"/>
      <c r="PVQ27" s="643"/>
      <c r="PVR27" s="643"/>
      <c r="PVS27" s="643"/>
      <c r="PVT27" s="643"/>
      <c r="PVU27" s="643"/>
      <c r="PVV27" s="643"/>
      <c r="PVW27" s="643"/>
      <c r="PVX27" s="643"/>
      <c r="PVY27" s="643"/>
      <c r="PVZ27" s="643"/>
      <c r="PWA27" s="643"/>
      <c r="PWB27" s="643"/>
      <c r="PWC27" s="643"/>
      <c r="PWD27" s="643"/>
      <c r="PWE27" s="643"/>
      <c r="PWF27" s="643"/>
      <c r="PWG27" s="643"/>
      <c r="PWH27" s="643"/>
      <c r="PWI27" s="643"/>
      <c r="PWJ27" s="643"/>
      <c r="PWK27" s="643"/>
      <c r="PWL27" s="643"/>
      <c r="PWM27" s="643"/>
      <c r="PWN27" s="643"/>
      <c r="PWO27" s="643"/>
      <c r="PWP27" s="643"/>
      <c r="PWQ27" s="643"/>
      <c r="PWR27" s="643"/>
      <c r="PWS27" s="643"/>
      <c r="PWT27" s="643"/>
      <c r="PWU27" s="643"/>
      <c r="PWV27" s="643"/>
      <c r="PWW27" s="643"/>
      <c r="PWX27" s="643"/>
      <c r="PWY27" s="643"/>
      <c r="PWZ27" s="643"/>
      <c r="PXA27" s="643"/>
      <c r="PXB27" s="643"/>
      <c r="PXC27" s="643"/>
      <c r="PXD27" s="643"/>
      <c r="PXE27" s="643"/>
      <c r="PXF27" s="643"/>
      <c r="PXG27" s="643"/>
      <c r="PXH27" s="643"/>
      <c r="PXI27" s="643"/>
      <c r="PXJ27" s="643"/>
      <c r="PXK27" s="643"/>
      <c r="PXL27" s="643"/>
      <c r="PXM27" s="643"/>
      <c r="PXN27" s="643"/>
      <c r="PXO27" s="643"/>
      <c r="PXP27" s="643"/>
      <c r="PXQ27" s="643"/>
      <c r="PXR27" s="643"/>
      <c r="PXS27" s="643"/>
      <c r="PXT27" s="643"/>
      <c r="PXU27" s="643"/>
      <c r="PXV27" s="643"/>
      <c r="PXW27" s="643"/>
      <c r="PXX27" s="643"/>
      <c r="PXY27" s="643"/>
      <c r="PXZ27" s="643"/>
      <c r="PYA27" s="643"/>
      <c r="PYB27" s="643"/>
      <c r="PYC27" s="643"/>
      <c r="PYD27" s="643"/>
      <c r="PYE27" s="643"/>
      <c r="PYF27" s="643"/>
      <c r="PYG27" s="643"/>
      <c r="PYH27" s="643"/>
      <c r="PYI27" s="643"/>
      <c r="PYJ27" s="643"/>
      <c r="PYK27" s="643"/>
      <c r="PYL27" s="643"/>
      <c r="PYM27" s="643"/>
      <c r="PYN27" s="643"/>
      <c r="PYO27" s="643"/>
      <c r="PYP27" s="643"/>
      <c r="PYQ27" s="643"/>
      <c r="PYR27" s="643"/>
      <c r="PYS27" s="643"/>
      <c r="PYT27" s="643"/>
      <c r="PYU27" s="643"/>
      <c r="PYV27" s="643"/>
      <c r="PYW27" s="643"/>
      <c r="PYX27" s="643"/>
      <c r="PYY27" s="643"/>
      <c r="PYZ27" s="643"/>
      <c r="PZA27" s="643"/>
      <c r="PZB27" s="643"/>
      <c r="PZC27" s="643"/>
      <c r="PZD27" s="643"/>
      <c r="PZE27" s="643"/>
      <c r="PZF27" s="643"/>
      <c r="PZG27" s="643"/>
      <c r="PZH27" s="643"/>
      <c r="PZI27" s="643"/>
      <c r="PZJ27" s="643"/>
      <c r="PZK27" s="643"/>
      <c r="PZL27" s="643"/>
      <c r="PZM27" s="643"/>
      <c r="PZN27" s="643"/>
      <c r="PZO27" s="643"/>
      <c r="PZP27" s="643"/>
      <c r="PZQ27" s="643"/>
      <c r="PZR27" s="643"/>
      <c r="PZS27" s="643"/>
      <c r="PZT27" s="643"/>
      <c r="PZU27" s="643"/>
      <c r="PZV27" s="643"/>
      <c r="PZW27" s="643"/>
      <c r="PZX27" s="643"/>
      <c r="PZY27" s="643"/>
      <c r="PZZ27" s="643"/>
      <c r="QAA27" s="643"/>
      <c r="QAB27" s="643"/>
      <c r="QAC27" s="643"/>
      <c r="QAD27" s="643"/>
      <c r="QAE27" s="643"/>
      <c r="QAF27" s="643"/>
      <c r="QAG27" s="643"/>
      <c r="QAH27" s="643"/>
      <c r="QAI27" s="643"/>
      <c r="QAJ27" s="643"/>
      <c r="QAK27" s="643"/>
      <c r="QAL27" s="643"/>
      <c r="QAM27" s="643"/>
      <c r="QAN27" s="643"/>
      <c r="QAO27" s="643"/>
      <c r="QAP27" s="643"/>
      <c r="QAQ27" s="643"/>
      <c r="QAR27" s="643"/>
      <c r="QAS27" s="643"/>
      <c r="QAT27" s="643"/>
      <c r="QAU27" s="643"/>
      <c r="QAV27" s="643"/>
      <c r="QAW27" s="643"/>
      <c r="QAX27" s="643"/>
      <c r="QAY27" s="643"/>
      <c r="QAZ27" s="643"/>
      <c r="QBA27" s="643"/>
      <c r="QBB27" s="643"/>
      <c r="QBC27" s="643"/>
      <c r="QBD27" s="643"/>
      <c r="QBE27" s="643"/>
      <c r="QBF27" s="643"/>
      <c r="QBG27" s="643"/>
      <c r="QBH27" s="643"/>
      <c r="QBI27" s="643"/>
      <c r="QBJ27" s="643"/>
      <c r="QBK27" s="643"/>
      <c r="QBL27" s="643"/>
      <c r="QBM27" s="643"/>
      <c r="QBN27" s="643"/>
      <c r="QBO27" s="643"/>
      <c r="QBP27" s="643"/>
      <c r="QBQ27" s="643"/>
      <c r="QBR27" s="643"/>
      <c r="QBS27" s="643"/>
      <c r="QBT27" s="643"/>
      <c r="QBU27" s="643"/>
      <c r="QBV27" s="643"/>
      <c r="QBW27" s="643"/>
      <c r="QBX27" s="643"/>
      <c r="QBY27" s="643"/>
      <c r="QBZ27" s="643"/>
      <c r="QCA27" s="643"/>
      <c r="QCB27" s="643"/>
      <c r="QCC27" s="643"/>
      <c r="QCD27" s="643"/>
      <c r="QCE27" s="643"/>
      <c r="QCF27" s="643"/>
      <c r="QCG27" s="643"/>
      <c r="QCH27" s="643"/>
      <c r="QCI27" s="643"/>
      <c r="QCJ27" s="643"/>
      <c r="QCK27" s="643"/>
      <c r="QCL27" s="643"/>
      <c r="QCM27" s="643"/>
      <c r="QCN27" s="643"/>
      <c r="QCO27" s="643"/>
      <c r="QCP27" s="643"/>
      <c r="QCQ27" s="643"/>
      <c r="QCR27" s="643"/>
      <c r="QCS27" s="643"/>
      <c r="QCT27" s="643"/>
      <c r="QCU27" s="643"/>
      <c r="QCV27" s="643"/>
      <c r="QCW27" s="643"/>
      <c r="QCX27" s="643"/>
      <c r="QCY27" s="643"/>
      <c r="QCZ27" s="643"/>
      <c r="QDA27" s="643"/>
      <c r="QDB27" s="643"/>
      <c r="QDC27" s="643"/>
      <c r="QDD27" s="643"/>
      <c r="QDE27" s="643"/>
      <c r="QDF27" s="643"/>
      <c r="QDG27" s="643"/>
      <c r="QDH27" s="643"/>
      <c r="QDI27" s="643"/>
      <c r="QDJ27" s="643"/>
      <c r="QDK27" s="643"/>
      <c r="QDL27" s="643"/>
      <c r="QDM27" s="643"/>
      <c r="QDN27" s="643"/>
      <c r="QDO27" s="643"/>
      <c r="QDP27" s="643"/>
      <c r="QDQ27" s="643"/>
      <c r="QDR27" s="643"/>
      <c r="QDS27" s="643"/>
      <c r="QDT27" s="643"/>
      <c r="QDU27" s="643"/>
      <c r="QDV27" s="643"/>
      <c r="QDW27" s="643"/>
      <c r="QDX27" s="643"/>
      <c r="QDY27" s="643"/>
      <c r="QDZ27" s="643"/>
      <c r="QEA27" s="643"/>
      <c r="QEB27" s="643"/>
      <c r="QEC27" s="643"/>
      <c r="QED27" s="643"/>
      <c r="QEE27" s="643"/>
      <c r="QEF27" s="643"/>
      <c r="QEG27" s="643"/>
      <c r="QEH27" s="643"/>
      <c r="QEI27" s="643"/>
      <c r="QEJ27" s="643"/>
      <c r="QEK27" s="643"/>
      <c r="QEL27" s="643"/>
      <c r="QEM27" s="643"/>
      <c r="QEN27" s="643"/>
      <c r="QEO27" s="643"/>
      <c r="QEP27" s="643"/>
      <c r="QEQ27" s="643"/>
      <c r="QER27" s="643"/>
      <c r="QES27" s="643"/>
      <c r="QET27" s="643"/>
      <c r="QEU27" s="643"/>
      <c r="QEV27" s="643"/>
      <c r="QEW27" s="643"/>
      <c r="QEX27" s="643"/>
      <c r="QEY27" s="643"/>
      <c r="QEZ27" s="643"/>
      <c r="QFA27" s="643"/>
      <c r="QFB27" s="643"/>
      <c r="QFC27" s="643"/>
      <c r="QFD27" s="643"/>
      <c r="QFE27" s="643"/>
      <c r="QFF27" s="643"/>
      <c r="QFG27" s="643"/>
      <c r="QFH27" s="643"/>
      <c r="QFI27" s="643"/>
      <c r="QFJ27" s="643"/>
      <c r="QFK27" s="643"/>
      <c r="QFL27" s="643"/>
      <c r="QFM27" s="643"/>
      <c r="QFN27" s="643"/>
      <c r="QFO27" s="643"/>
      <c r="QFP27" s="643"/>
      <c r="QFQ27" s="643"/>
      <c r="QFR27" s="643"/>
      <c r="QFS27" s="643"/>
      <c r="QFT27" s="643"/>
      <c r="QFU27" s="643"/>
      <c r="QFV27" s="643"/>
      <c r="QFW27" s="643"/>
      <c r="QFX27" s="643"/>
      <c r="QFY27" s="643"/>
      <c r="QFZ27" s="643"/>
      <c r="QGA27" s="643"/>
      <c r="QGB27" s="643"/>
      <c r="QGC27" s="643"/>
      <c r="QGD27" s="643"/>
      <c r="QGE27" s="643"/>
      <c r="QGF27" s="643"/>
      <c r="QGG27" s="643"/>
      <c r="QGH27" s="643"/>
      <c r="QGI27" s="643"/>
      <c r="QGJ27" s="643"/>
      <c r="QGK27" s="643"/>
      <c r="QGL27" s="643"/>
      <c r="QGM27" s="643"/>
      <c r="QGN27" s="643"/>
      <c r="QGO27" s="643"/>
      <c r="QGP27" s="643"/>
      <c r="QGQ27" s="643"/>
      <c r="QGR27" s="643"/>
      <c r="QGS27" s="643"/>
      <c r="QGT27" s="643"/>
      <c r="QGU27" s="643"/>
      <c r="QGV27" s="643"/>
      <c r="QGW27" s="643"/>
      <c r="QGX27" s="643"/>
      <c r="QGY27" s="643"/>
      <c r="QGZ27" s="643"/>
      <c r="QHA27" s="643"/>
      <c r="QHB27" s="643"/>
      <c r="QHC27" s="643"/>
      <c r="QHD27" s="643"/>
      <c r="QHE27" s="643"/>
      <c r="QHF27" s="643"/>
      <c r="QHG27" s="643"/>
      <c r="QHH27" s="643"/>
      <c r="QHI27" s="643"/>
      <c r="QHJ27" s="643"/>
      <c r="QHK27" s="643"/>
      <c r="QHL27" s="643"/>
      <c r="QHM27" s="643"/>
      <c r="QHN27" s="643"/>
      <c r="QHO27" s="643"/>
      <c r="QHP27" s="643"/>
      <c r="QHQ27" s="643"/>
      <c r="QHR27" s="643"/>
      <c r="QHS27" s="643"/>
      <c r="QHT27" s="643"/>
      <c r="QHU27" s="643"/>
      <c r="QHV27" s="643"/>
      <c r="QHW27" s="643"/>
      <c r="QHX27" s="643"/>
      <c r="QHY27" s="643"/>
      <c r="QHZ27" s="643"/>
      <c r="QIA27" s="643"/>
      <c r="QIB27" s="643"/>
      <c r="QIC27" s="643"/>
      <c r="QID27" s="643"/>
      <c r="QIE27" s="643"/>
      <c r="QIF27" s="643"/>
      <c r="QIG27" s="643"/>
      <c r="QIH27" s="643"/>
      <c r="QII27" s="643"/>
      <c r="QIJ27" s="643"/>
      <c r="QIK27" s="643"/>
      <c r="QIL27" s="643"/>
      <c r="QIM27" s="643"/>
      <c r="QIN27" s="643"/>
      <c r="QIO27" s="643"/>
      <c r="QIP27" s="643"/>
      <c r="QIQ27" s="643"/>
      <c r="QIR27" s="643"/>
      <c r="QIS27" s="643"/>
      <c r="QIT27" s="643"/>
      <c r="QIU27" s="643"/>
      <c r="QIV27" s="643"/>
      <c r="QIW27" s="643"/>
      <c r="QIX27" s="643"/>
      <c r="QIY27" s="643"/>
      <c r="QIZ27" s="643"/>
      <c r="QJA27" s="643"/>
      <c r="QJB27" s="643"/>
      <c r="QJC27" s="643"/>
      <c r="QJD27" s="643"/>
      <c r="QJE27" s="643"/>
      <c r="QJF27" s="643"/>
      <c r="QJG27" s="643"/>
      <c r="QJH27" s="643"/>
      <c r="QJI27" s="643"/>
      <c r="QJJ27" s="643"/>
      <c r="QJK27" s="643"/>
      <c r="QJL27" s="643"/>
      <c r="QJM27" s="643"/>
      <c r="QJN27" s="643"/>
      <c r="QJO27" s="643"/>
      <c r="QJP27" s="643"/>
      <c r="QJQ27" s="643"/>
      <c r="QJR27" s="643"/>
      <c r="QJS27" s="643"/>
      <c r="QJT27" s="643"/>
      <c r="QJU27" s="643"/>
      <c r="QJV27" s="643"/>
      <c r="QJW27" s="643"/>
      <c r="QJX27" s="643"/>
      <c r="QJY27" s="643"/>
      <c r="QJZ27" s="643"/>
      <c r="QKA27" s="643"/>
      <c r="QKB27" s="643"/>
      <c r="QKC27" s="643"/>
      <c r="QKD27" s="643"/>
      <c r="QKE27" s="643"/>
      <c r="QKF27" s="643"/>
      <c r="QKG27" s="643"/>
      <c r="QKH27" s="643"/>
      <c r="QKI27" s="643"/>
      <c r="QKJ27" s="643"/>
      <c r="QKK27" s="643"/>
      <c r="QKL27" s="643"/>
      <c r="QKM27" s="643"/>
      <c r="QKN27" s="643"/>
      <c r="QKO27" s="643"/>
      <c r="QKP27" s="643"/>
      <c r="QKQ27" s="643"/>
      <c r="QKR27" s="643"/>
      <c r="QKS27" s="643"/>
      <c r="QKT27" s="643"/>
      <c r="QKU27" s="643"/>
      <c r="QKV27" s="643"/>
      <c r="QKW27" s="643"/>
      <c r="QKX27" s="643"/>
      <c r="QKY27" s="643"/>
      <c r="QKZ27" s="643"/>
      <c r="QLA27" s="643"/>
      <c r="QLB27" s="643"/>
      <c r="QLC27" s="643"/>
      <c r="QLD27" s="643"/>
      <c r="QLE27" s="643"/>
      <c r="QLF27" s="643"/>
      <c r="QLG27" s="643"/>
      <c r="QLH27" s="643"/>
      <c r="QLI27" s="643"/>
      <c r="QLJ27" s="643"/>
      <c r="QLK27" s="643"/>
      <c r="QLL27" s="643"/>
      <c r="QLM27" s="643"/>
      <c r="QLN27" s="643"/>
      <c r="QLO27" s="643"/>
      <c r="QLP27" s="643"/>
      <c r="QLQ27" s="643"/>
      <c r="QLR27" s="643"/>
      <c r="QLS27" s="643"/>
      <c r="QLT27" s="643"/>
      <c r="QLU27" s="643"/>
      <c r="QLV27" s="643"/>
      <c r="QLW27" s="643"/>
      <c r="QLX27" s="643"/>
      <c r="QLY27" s="643"/>
      <c r="QLZ27" s="643"/>
      <c r="QMA27" s="643"/>
      <c r="QMB27" s="643"/>
      <c r="QMC27" s="643"/>
      <c r="QMD27" s="643"/>
      <c r="QME27" s="643"/>
      <c r="QMF27" s="643"/>
      <c r="QMG27" s="643"/>
      <c r="QMH27" s="643"/>
      <c r="QMI27" s="643"/>
      <c r="QMJ27" s="643"/>
      <c r="QMK27" s="643"/>
      <c r="QML27" s="643"/>
      <c r="QMM27" s="643"/>
      <c r="QMN27" s="643"/>
      <c r="QMO27" s="643"/>
      <c r="QMP27" s="643"/>
      <c r="QMQ27" s="643"/>
      <c r="QMR27" s="643"/>
      <c r="QMS27" s="643"/>
      <c r="QMT27" s="643"/>
      <c r="QMU27" s="643"/>
      <c r="QMV27" s="643"/>
      <c r="QMW27" s="643"/>
      <c r="QMX27" s="643"/>
      <c r="QMY27" s="643"/>
      <c r="QMZ27" s="643"/>
      <c r="QNA27" s="643"/>
      <c r="QNB27" s="643"/>
      <c r="QNC27" s="643"/>
      <c r="QND27" s="643"/>
      <c r="QNE27" s="643"/>
      <c r="QNF27" s="643"/>
      <c r="QNG27" s="643"/>
      <c r="QNH27" s="643"/>
      <c r="QNI27" s="643"/>
      <c r="QNJ27" s="643"/>
      <c r="QNK27" s="643"/>
      <c r="QNL27" s="643"/>
      <c r="QNM27" s="643"/>
      <c r="QNN27" s="643"/>
      <c r="QNO27" s="643"/>
      <c r="QNP27" s="643"/>
      <c r="QNQ27" s="643"/>
      <c r="QNR27" s="643"/>
      <c r="QNS27" s="643"/>
      <c r="QNT27" s="643"/>
      <c r="QNU27" s="643"/>
      <c r="QNV27" s="643"/>
      <c r="QNW27" s="643"/>
      <c r="QNX27" s="643"/>
      <c r="QNY27" s="643"/>
      <c r="QNZ27" s="643"/>
      <c r="QOA27" s="643"/>
      <c r="QOB27" s="643"/>
      <c r="QOC27" s="643"/>
      <c r="QOD27" s="643"/>
      <c r="QOE27" s="643"/>
      <c r="QOF27" s="643"/>
      <c r="QOG27" s="643"/>
      <c r="QOH27" s="643"/>
      <c r="QOI27" s="643"/>
      <c r="QOJ27" s="643"/>
      <c r="QOK27" s="643"/>
      <c r="QOL27" s="643"/>
      <c r="QOM27" s="643"/>
      <c r="QON27" s="643"/>
      <c r="QOO27" s="643"/>
      <c r="QOP27" s="643"/>
      <c r="QOQ27" s="643"/>
      <c r="QOR27" s="643"/>
      <c r="QOS27" s="643"/>
      <c r="QOT27" s="643"/>
      <c r="QOU27" s="643"/>
      <c r="QOV27" s="643"/>
      <c r="QOW27" s="643"/>
      <c r="QOX27" s="643"/>
      <c r="QOY27" s="643"/>
      <c r="QOZ27" s="643"/>
      <c r="QPA27" s="643"/>
      <c r="QPB27" s="643"/>
      <c r="QPC27" s="643"/>
      <c r="QPD27" s="643"/>
      <c r="QPE27" s="643"/>
      <c r="QPF27" s="643"/>
      <c r="QPG27" s="643"/>
      <c r="QPH27" s="643"/>
      <c r="QPI27" s="643"/>
      <c r="QPJ27" s="643"/>
      <c r="QPK27" s="643"/>
      <c r="QPL27" s="643"/>
      <c r="QPM27" s="643"/>
      <c r="QPN27" s="643"/>
      <c r="QPO27" s="643"/>
      <c r="QPP27" s="643"/>
      <c r="QPQ27" s="643"/>
      <c r="QPR27" s="643"/>
      <c r="QPS27" s="643"/>
      <c r="QPT27" s="643"/>
      <c r="QPU27" s="643"/>
      <c r="QPV27" s="643"/>
      <c r="QPW27" s="643"/>
      <c r="QPX27" s="643"/>
      <c r="QPY27" s="643"/>
      <c r="QPZ27" s="643"/>
      <c r="QQA27" s="643"/>
      <c r="QQB27" s="643"/>
      <c r="QQC27" s="643"/>
      <c r="QQD27" s="643"/>
      <c r="QQE27" s="643"/>
      <c r="QQF27" s="643"/>
      <c r="QQG27" s="643"/>
      <c r="QQH27" s="643"/>
      <c r="QQI27" s="643"/>
      <c r="QQJ27" s="643"/>
      <c r="QQK27" s="643"/>
      <c r="QQL27" s="643"/>
      <c r="QQM27" s="643"/>
      <c r="QQN27" s="643"/>
      <c r="QQO27" s="643"/>
      <c r="QQP27" s="643"/>
      <c r="QQQ27" s="643"/>
      <c r="QQR27" s="643"/>
      <c r="QQS27" s="643"/>
      <c r="QQT27" s="643"/>
      <c r="QQU27" s="643"/>
      <c r="QQV27" s="643"/>
      <c r="QQW27" s="643"/>
      <c r="QQX27" s="643"/>
      <c r="QQY27" s="643"/>
      <c r="QQZ27" s="643"/>
      <c r="QRA27" s="643"/>
      <c r="QRB27" s="643"/>
      <c r="QRC27" s="643"/>
      <c r="QRD27" s="643"/>
      <c r="QRE27" s="643"/>
      <c r="QRF27" s="643"/>
      <c r="QRG27" s="643"/>
      <c r="QRH27" s="643"/>
      <c r="QRI27" s="643"/>
      <c r="QRJ27" s="643"/>
      <c r="QRK27" s="643"/>
      <c r="QRL27" s="643"/>
      <c r="QRM27" s="643"/>
      <c r="QRN27" s="643"/>
      <c r="QRO27" s="643"/>
      <c r="QRP27" s="643"/>
      <c r="QRQ27" s="643"/>
      <c r="QRR27" s="643"/>
      <c r="QRS27" s="643"/>
      <c r="QRT27" s="643"/>
      <c r="QRU27" s="643"/>
      <c r="QRV27" s="643"/>
      <c r="QRW27" s="643"/>
      <c r="QRX27" s="643"/>
      <c r="QRY27" s="643"/>
      <c r="QRZ27" s="643"/>
      <c r="QSA27" s="643"/>
      <c r="QSB27" s="643"/>
      <c r="QSC27" s="643"/>
      <c r="QSD27" s="643"/>
      <c r="QSE27" s="643"/>
      <c r="QSF27" s="643"/>
      <c r="QSG27" s="643"/>
      <c r="QSH27" s="643"/>
      <c r="QSI27" s="643"/>
      <c r="QSJ27" s="643"/>
      <c r="QSK27" s="643"/>
      <c r="QSL27" s="643"/>
      <c r="QSM27" s="643"/>
      <c r="QSN27" s="643"/>
      <c r="QSO27" s="643"/>
      <c r="QSP27" s="643"/>
      <c r="QSQ27" s="643"/>
      <c r="QSR27" s="643"/>
      <c r="QSS27" s="643"/>
      <c r="QST27" s="643"/>
      <c r="QSU27" s="643"/>
      <c r="QSV27" s="643"/>
      <c r="QSW27" s="643"/>
      <c r="QSX27" s="643"/>
      <c r="QSY27" s="643"/>
      <c r="QSZ27" s="643"/>
      <c r="QTA27" s="643"/>
      <c r="QTB27" s="643"/>
      <c r="QTC27" s="643"/>
      <c r="QTD27" s="643"/>
      <c r="QTE27" s="643"/>
      <c r="QTF27" s="643"/>
      <c r="QTG27" s="643"/>
      <c r="QTH27" s="643"/>
      <c r="QTI27" s="643"/>
      <c r="QTJ27" s="643"/>
      <c r="QTK27" s="643"/>
      <c r="QTL27" s="643"/>
      <c r="QTM27" s="643"/>
      <c r="QTN27" s="643"/>
      <c r="QTO27" s="643"/>
      <c r="QTP27" s="643"/>
      <c r="QTQ27" s="643"/>
      <c r="QTR27" s="643"/>
      <c r="QTS27" s="643"/>
      <c r="QTT27" s="643"/>
      <c r="QTU27" s="643"/>
      <c r="QTV27" s="643"/>
      <c r="QTW27" s="643"/>
      <c r="QTX27" s="643"/>
      <c r="QTY27" s="643"/>
      <c r="QTZ27" s="643"/>
      <c r="QUA27" s="643"/>
      <c r="QUB27" s="643"/>
      <c r="QUC27" s="643"/>
      <c r="QUD27" s="643"/>
      <c r="QUE27" s="643"/>
      <c r="QUF27" s="643"/>
      <c r="QUG27" s="643"/>
      <c r="QUH27" s="643"/>
      <c r="QUI27" s="643"/>
      <c r="QUJ27" s="643"/>
      <c r="QUK27" s="643"/>
      <c r="QUL27" s="643"/>
      <c r="QUM27" s="643"/>
      <c r="QUN27" s="643"/>
      <c r="QUO27" s="643"/>
      <c r="QUP27" s="643"/>
      <c r="QUQ27" s="643"/>
      <c r="QUR27" s="643"/>
      <c r="QUS27" s="643"/>
      <c r="QUT27" s="643"/>
      <c r="QUU27" s="643"/>
      <c r="QUV27" s="643"/>
      <c r="QUW27" s="643"/>
      <c r="QUX27" s="643"/>
      <c r="QUY27" s="643"/>
      <c r="QUZ27" s="643"/>
      <c r="QVA27" s="643"/>
      <c r="QVB27" s="643"/>
      <c r="QVC27" s="643"/>
      <c r="QVD27" s="643"/>
      <c r="QVE27" s="643"/>
      <c r="QVF27" s="643"/>
      <c r="QVG27" s="643"/>
      <c r="QVH27" s="643"/>
      <c r="QVI27" s="643"/>
      <c r="QVJ27" s="643"/>
      <c r="QVK27" s="643"/>
      <c r="QVL27" s="643"/>
      <c r="QVM27" s="643"/>
      <c r="QVN27" s="643"/>
      <c r="QVO27" s="643"/>
      <c r="QVP27" s="643"/>
      <c r="QVQ27" s="643"/>
      <c r="QVR27" s="643"/>
      <c r="QVS27" s="643"/>
      <c r="QVT27" s="643"/>
      <c r="QVU27" s="643"/>
      <c r="QVV27" s="643"/>
      <c r="QVW27" s="643"/>
      <c r="QVX27" s="643"/>
      <c r="QVY27" s="643"/>
      <c r="QVZ27" s="643"/>
      <c r="QWA27" s="643"/>
      <c r="QWB27" s="643"/>
      <c r="QWC27" s="643"/>
      <c r="QWD27" s="643"/>
      <c r="QWE27" s="643"/>
      <c r="QWF27" s="643"/>
      <c r="QWG27" s="643"/>
      <c r="QWH27" s="643"/>
      <c r="QWI27" s="643"/>
      <c r="QWJ27" s="643"/>
      <c r="QWK27" s="643"/>
      <c r="QWL27" s="643"/>
      <c r="QWM27" s="643"/>
      <c r="QWN27" s="643"/>
      <c r="QWO27" s="643"/>
      <c r="QWP27" s="643"/>
      <c r="QWQ27" s="643"/>
      <c r="QWR27" s="643"/>
      <c r="QWS27" s="643"/>
      <c r="QWT27" s="643"/>
      <c r="QWU27" s="643"/>
      <c r="QWV27" s="643"/>
      <c r="QWW27" s="643"/>
      <c r="QWX27" s="643"/>
      <c r="QWY27" s="643"/>
      <c r="QWZ27" s="643"/>
      <c r="QXA27" s="643"/>
      <c r="QXB27" s="643"/>
      <c r="QXC27" s="643"/>
      <c r="QXD27" s="643"/>
      <c r="QXE27" s="643"/>
      <c r="QXF27" s="643"/>
      <c r="QXG27" s="643"/>
      <c r="QXH27" s="643"/>
      <c r="QXI27" s="643"/>
      <c r="QXJ27" s="643"/>
      <c r="QXK27" s="643"/>
      <c r="QXL27" s="643"/>
      <c r="QXM27" s="643"/>
      <c r="QXN27" s="643"/>
      <c r="QXO27" s="643"/>
      <c r="QXP27" s="643"/>
      <c r="QXQ27" s="643"/>
      <c r="QXR27" s="643"/>
      <c r="QXS27" s="643"/>
      <c r="QXT27" s="643"/>
      <c r="QXU27" s="643"/>
      <c r="QXV27" s="643"/>
      <c r="QXW27" s="643"/>
      <c r="QXX27" s="643"/>
      <c r="QXY27" s="643"/>
      <c r="QXZ27" s="643"/>
      <c r="QYA27" s="643"/>
      <c r="QYB27" s="643"/>
      <c r="QYC27" s="643"/>
      <c r="QYD27" s="643"/>
      <c r="QYE27" s="643"/>
      <c r="QYF27" s="643"/>
      <c r="QYG27" s="643"/>
      <c r="QYH27" s="643"/>
      <c r="QYI27" s="643"/>
      <c r="QYJ27" s="643"/>
      <c r="QYK27" s="643"/>
      <c r="QYL27" s="643"/>
      <c r="QYM27" s="643"/>
      <c r="QYN27" s="643"/>
      <c r="QYO27" s="643"/>
      <c r="QYP27" s="643"/>
      <c r="QYQ27" s="643"/>
      <c r="QYR27" s="643"/>
      <c r="QYS27" s="643"/>
      <c r="QYT27" s="643"/>
      <c r="QYU27" s="643"/>
      <c r="QYV27" s="643"/>
      <c r="QYW27" s="643"/>
      <c r="QYX27" s="643"/>
      <c r="QYY27" s="643"/>
      <c r="QYZ27" s="643"/>
      <c r="QZA27" s="643"/>
      <c r="QZB27" s="643"/>
      <c r="QZC27" s="643"/>
      <c r="QZD27" s="643"/>
      <c r="QZE27" s="643"/>
      <c r="QZF27" s="643"/>
      <c r="QZG27" s="643"/>
      <c r="QZH27" s="643"/>
      <c r="QZI27" s="643"/>
      <c r="QZJ27" s="643"/>
      <c r="QZK27" s="643"/>
      <c r="QZL27" s="643"/>
      <c r="QZM27" s="643"/>
      <c r="QZN27" s="643"/>
      <c r="QZO27" s="643"/>
      <c r="QZP27" s="643"/>
      <c r="QZQ27" s="643"/>
      <c r="QZR27" s="643"/>
      <c r="QZS27" s="643"/>
      <c r="QZT27" s="643"/>
      <c r="QZU27" s="643"/>
      <c r="QZV27" s="643"/>
      <c r="QZW27" s="643"/>
      <c r="QZX27" s="643"/>
      <c r="QZY27" s="643"/>
      <c r="QZZ27" s="643"/>
      <c r="RAA27" s="643"/>
      <c r="RAB27" s="643"/>
      <c r="RAC27" s="643"/>
      <c r="RAD27" s="643"/>
      <c r="RAE27" s="643"/>
      <c r="RAF27" s="643"/>
      <c r="RAG27" s="643"/>
      <c r="RAH27" s="643"/>
      <c r="RAI27" s="643"/>
      <c r="RAJ27" s="643"/>
      <c r="RAK27" s="643"/>
      <c r="RAL27" s="643"/>
      <c r="RAM27" s="643"/>
      <c r="RAN27" s="643"/>
      <c r="RAO27" s="643"/>
      <c r="RAP27" s="643"/>
      <c r="RAQ27" s="643"/>
      <c r="RAR27" s="643"/>
      <c r="RAS27" s="643"/>
      <c r="RAT27" s="643"/>
      <c r="RAU27" s="643"/>
      <c r="RAV27" s="643"/>
      <c r="RAW27" s="643"/>
      <c r="RAX27" s="643"/>
      <c r="RAY27" s="643"/>
      <c r="RAZ27" s="643"/>
      <c r="RBA27" s="643"/>
      <c r="RBB27" s="643"/>
      <c r="RBC27" s="643"/>
      <c r="RBD27" s="643"/>
      <c r="RBE27" s="643"/>
      <c r="RBF27" s="643"/>
      <c r="RBG27" s="643"/>
      <c r="RBH27" s="643"/>
      <c r="RBI27" s="643"/>
      <c r="RBJ27" s="643"/>
      <c r="RBK27" s="643"/>
      <c r="RBL27" s="643"/>
      <c r="RBM27" s="643"/>
      <c r="RBN27" s="643"/>
      <c r="RBO27" s="643"/>
      <c r="RBP27" s="643"/>
      <c r="RBQ27" s="643"/>
      <c r="RBR27" s="643"/>
      <c r="RBS27" s="643"/>
      <c r="RBT27" s="643"/>
      <c r="RBU27" s="643"/>
      <c r="RBV27" s="643"/>
      <c r="RBW27" s="643"/>
      <c r="RBX27" s="643"/>
      <c r="RBY27" s="643"/>
      <c r="RBZ27" s="643"/>
      <c r="RCA27" s="643"/>
      <c r="RCB27" s="643"/>
      <c r="RCC27" s="643"/>
      <c r="RCD27" s="643"/>
      <c r="RCE27" s="643"/>
      <c r="RCF27" s="643"/>
      <c r="RCG27" s="643"/>
      <c r="RCH27" s="643"/>
      <c r="RCI27" s="643"/>
      <c r="RCJ27" s="643"/>
      <c r="RCK27" s="643"/>
      <c r="RCL27" s="643"/>
      <c r="RCM27" s="643"/>
      <c r="RCN27" s="643"/>
      <c r="RCO27" s="643"/>
      <c r="RCP27" s="643"/>
      <c r="RCQ27" s="643"/>
      <c r="RCR27" s="643"/>
      <c r="RCS27" s="643"/>
      <c r="RCT27" s="643"/>
      <c r="RCU27" s="643"/>
      <c r="RCV27" s="643"/>
      <c r="RCW27" s="643"/>
      <c r="RCX27" s="643"/>
      <c r="RCY27" s="643"/>
      <c r="RCZ27" s="643"/>
      <c r="RDA27" s="643"/>
      <c r="RDB27" s="643"/>
      <c r="RDC27" s="643"/>
      <c r="RDD27" s="643"/>
      <c r="RDE27" s="643"/>
      <c r="RDF27" s="643"/>
      <c r="RDG27" s="643"/>
      <c r="RDH27" s="643"/>
      <c r="RDI27" s="643"/>
      <c r="RDJ27" s="643"/>
      <c r="RDK27" s="643"/>
      <c r="RDL27" s="643"/>
      <c r="RDM27" s="643"/>
      <c r="RDN27" s="643"/>
      <c r="RDO27" s="643"/>
      <c r="RDP27" s="643"/>
      <c r="RDQ27" s="643"/>
      <c r="RDR27" s="643"/>
      <c r="RDS27" s="643"/>
      <c r="RDT27" s="643"/>
      <c r="RDU27" s="643"/>
      <c r="RDV27" s="643"/>
      <c r="RDW27" s="643"/>
      <c r="RDX27" s="643"/>
      <c r="RDY27" s="643"/>
      <c r="RDZ27" s="643"/>
      <c r="REA27" s="643"/>
      <c r="REB27" s="643"/>
      <c r="REC27" s="643"/>
      <c r="RED27" s="643"/>
      <c r="REE27" s="643"/>
      <c r="REF27" s="643"/>
      <c r="REG27" s="643"/>
      <c r="REH27" s="643"/>
      <c r="REI27" s="643"/>
      <c r="REJ27" s="643"/>
      <c r="REK27" s="643"/>
      <c r="REL27" s="643"/>
      <c r="REM27" s="643"/>
      <c r="REN27" s="643"/>
      <c r="REO27" s="643"/>
      <c r="REP27" s="643"/>
      <c r="REQ27" s="643"/>
      <c r="RER27" s="643"/>
      <c r="RES27" s="643"/>
      <c r="RET27" s="643"/>
      <c r="REU27" s="643"/>
      <c r="REV27" s="643"/>
      <c r="REW27" s="643"/>
      <c r="REX27" s="643"/>
      <c r="REY27" s="643"/>
      <c r="REZ27" s="643"/>
      <c r="RFA27" s="643"/>
      <c r="RFB27" s="643"/>
      <c r="RFC27" s="643"/>
      <c r="RFD27" s="643"/>
      <c r="RFE27" s="643"/>
      <c r="RFF27" s="643"/>
      <c r="RFG27" s="643"/>
      <c r="RFH27" s="643"/>
      <c r="RFI27" s="643"/>
      <c r="RFJ27" s="643"/>
      <c r="RFK27" s="643"/>
      <c r="RFL27" s="643"/>
      <c r="RFM27" s="643"/>
      <c r="RFN27" s="643"/>
      <c r="RFO27" s="643"/>
      <c r="RFP27" s="643"/>
      <c r="RFQ27" s="643"/>
      <c r="RFR27" s="643"/>
      <c r="RFS27" s="643"/>
      <c r="RFT27" s="643"/>
      <c r="RFU27" s="643"/>
      <c r="RFV27" s="643"/>
      <c r="RFW27" s="643"/>
      <c r="RFX27" s="643"/>
      <c r="RFY27" s="643"/>
      <c r="RFZ27" s="643"/>
      <c r="RGA27" s="643"/>
      <c r="RGB27" s="643"/>
      <c r="RGC27" s="643"/>
      <c r="RGD27" s="643"/>
      <c r="RGE27" s="643"/>
      <c r="RGF27" s="643"/>
      <c r="RGG27" s="643"/>
      <c r="RGH27" s="643"/>
      <c r="RGI27" s="643"/>
      <c r="RGJ27" s="643"/>
      <c r="RGK27" s="643"/>
      <c r="RGL27" s="643"/>
      <c r="RGM27" s="643"/>
      <c r="RGN27" s="643"/>
      <c r="RGO27" s="643"/>
      <c r="RGP27" s="643"/>
      <c r="RGQ27" s="643"/>
      <c r="RGR27" s="643"/>
      <c r="RGS27" s="643"/>
      <c r="RGT27" s="643"/>
      <c r="RGU27" s="643"/>
      <c r="RGV27" s="643"/>
      <c r="RGW27" s="643"/>
      <c r="RGX27" s="643"/>
      <c r="RGY27" s="643"/>
      <c r="RGZ27" s="643"/>
      <c r="RHA27" s="643"/>
      <c r="RHB27" s="643"/>
      <c r="RHC27" s="643"/>
      <c r="RHD27" s="643"/>
      <c r="RHE27" s="643"/>
      <c r="RHF27" s="643"/>
      <c r="RHG27" s="643"/>
      <c r="RHH27" s="643"/>
      <c r="RHI27" s="643"/>
      <c r="RHJ27" s="643"/>
      <c r="RHK27" s="643"/>
      <c r="RHL27" s="643"/>
      <c r="RHM27" s="643"/>
      <c r="RHN27" s="643"/>
      <c r="RHO27" s="643"/>
      <c r="RHP27" s="643"/>
      <c r="RHQ27" s="643"/>
      <c r="RHR27" s="643"/>
      <c r="RHS27" s="643"/>
      <c r="RHT27" s="643"/>
      <c r="RHU27" s="643"/>
      <c r="RHV27" s="643"/>
      <c r="RHW27" s="643"/>
      <c r="RHX27" s="643"/>
      <c r="RHY27" s="643"/>
      <c r="RHZ27" s="643"/>
      <c r="RIA27" s="643"/>
      <c r="RIB27" s="643"/>
      <c r="RIC27" s="643"/>
      <c r="RID27" s="643"/>
      <c r="RIE27" s="643"/>
      <c r="RIF27" s="643"/>
      <c r="RIG27" s="643"/>
      <c r="RIH27" s="643"/>
      <c r="RII27" s="643"/>
      <c r="RIJ27" s="643"/>
      <c r="RIK27" s="643"/>
      <c r="RIL27" s="643"/>
      <c r="RIM27" s="643"/>
      <c r="RIN27" s="643"/>
      <c r="RIO27" s="643"/>
      <c r="RIP27" s="643"/>
      <c r="RIQ27" s="643"/>
      <c r="RIR27" s="643"/>
      <c r="RIS27" s="643"/>
      <c r="RIT27" s="643"/>
      <c r="RIU27" s="643"/>
      <c r="RIV27" s="643"/>
      <c r="RIW27" s="643"/>
      <c r="RIX27" s="643"/>
      <c r="RIY27" s="643"/>
      <c r="RIZ27" s="643"/>
      <c r="RJA27" s="643"/>
      <c r="RJB27" s="643"/>
      <c r="RJC27" s="643"/>
      <c r="RJD27" s="643"/>
      <c r="RJE27" s="643"/>
      <c r="RJF27" s="643"/>
      <c r="RJG27" s="643"/>
      <c r="RJH27" s="643"/>
      <c r="RJI27" s="643"/>
      <c r="RJJ27" s="643"/>
      <c r="RJK27" s="643"/>
      <c r="RJL27" s="643"/>
      <c r="RJM27" s="643"/>
      <c r="RJN27" s="643"/>
      <c r="RJO27" s="643"/>
      <c r="RJP27" s="643"/>
      <c r="RJQ27" s="643"/>
      <c r="RJR27" s="643"/>
      <c r="RJS27" s="643"/>
      <c r="RJT27" s="643"/>
      <c r="RJU27" s="643"/>
      <c r="RJV27" s="643"/>
      <c r="RJW27" s="643"/>
      <c r="RJX27" s="643"/>
      <c r="RJY27" s="643"/>
      <c r="RJZ27" s="643"/>
      <c r="RKA27" s="643"/>
      <c r="RKB27" s="643"/>
      <c r="RKC27" s="643"/>
      <c r="RKD27" s="643"/>
      <c r="RKE27" s="643"/>
      <c r="RKF27" s="643"/>
      <c r="RKG27" s="643"/>
      <c r="RKH27" s="643"/>
      <c r="RKI27" s="643"/>
      <c r="RKJ27" s="643"/>
      <c r="RKK27" s="643"/>
      <c r="RKL27" s="643"/>
      <c r="RKM27" s="643"/>
      <c r="RKN27" s="643"/>
      <c r="RKO27" s="643"/>
      <c r="RKP27" s="643"/>
      <c r="RKQ27" s="643"/>
      <c r="RKR27" s="643"/>
      <c r="RKS27" s="643"/>
      <c r="RKT27" s="643"/>
      <c r="RKU27" s="643"/>
      <c r="RKV27" s="643"/>
      <c r="RKW27" s="643"/>
      <c r="RKX27" s="643"/>
      <c r="RKY27" s="643"/>
      <c r="RKZ27" s="643"/>
      <c r="RLA27" s="643"/>
      <c r="RLB27" s="643"/>
      <c r="RLC27" s="643"/>
      <c r="RLD27" s="643"/>
      <c r="RLE27" s="643"/>
      <c r="RLF27" s="643"/>
      <c r="RLG27" s="643"/>
      <c r="RLH27" s="643"/>
      <c r="RLI27" s="643"/>
      <c r="RLJ27" s="643"/>
      <c r="RLK27" s="643"/>
      <c r="RLL27" s="643"/>
      <c r="RLM27" s="643"/>
      <c r="RLN27" s="643"/>
      <c r="RLO27" s="643"/>
      <c r="RLP27" s="643"/>
      <c r="RLQ27" s="643"/>
      <c r="RLR27" s="643"/>
      <c r="RLS27" s="643"/>
      <c r="RLT27" s="643"/>
      <c r="RLU27" s="643"/>
      <c r="RLV27" s="643"/>
      <c r="RLW27" s="643"/>
      <c r="RLX27" s="643"/>
      <c r="RLY27" s="643"/>
      <c r="RLZ27" s="643"/>
      <c r="RMA27" s="643"/>
      <c r="RMB27" s="643"/>
      <c r="RMC27" s="643"/>
      <c r="RMD27" s="643"/>
      <c r="RME27" s="643"/>
      <c r="RMF27" s="643"/>
      <c r="RMG27" s="643"/>
      <c r="RMH27" s="643"/>
      <c r="RMI27" s="643"/>
      <c r="RMJ27" s="643"/>
      <c r="RMK27" s="643"/>
      <c r="RML27" s="643"/>
      <c r="RMM27" s="643"/>
      <c r="RMN27" s="643"/>
      <c r="RMO27" s="643"/>
      <c r="RMP27" s="643"/>
      <c r="RMQ27" s="643"/>
      <c r="RMR27" s="643"/>
      <c r="RMS27" s="643"/>
      <c r="RMT27" s="643"/>
      <c r="RMU27" s="643"/>
      <c r="RMV27" s="643"/>
      <c r="RMW27" s="643"/>
      <c r="RMX27" s="643"/>
      <c r="RMY27" s="643"/>
      <c r="RMZ27" s="643"/>
      <c r="RNA27" s="643"/>
      <c r="RNB27" s="643"/>
      <c r="RNC27" s="643"/>
      <c r="RND27" s="643"/>
      <c r="RNE27" s="643"/>
      <c r="RNF27" s="643"/>
      <c r="RNG27" s="643"/>
      <c r="RNH27" s="643"/>
      <c r="RNI27" s="643"/>
      <c r="RNJ27" s="643"/>
      <c r="RNK27" s="643"/>
      <c r="RNL27" s="643"/>
      <c r="RNM27" s="643"/>
      <c r="RNN27" s="643"/>
      <c r="RNO27" s="643"/>
      <c r="RNP27" s="643"/>
      <c r="RNQ27" s="643"/>
      <c r="RNR27" s="643"/>
      <c r="RNS27" s="643"/>
      <c r="RNT27" s="643"/>
      <c r="RNU27" s="643"/>
      <c r="RNV27" s="643"/>
      <c r="RNW27" s="643"/>
      <c r="RNX27" s="643"/>
      <c r="RNY27" s="643"/>
      <c r="RNZ27" s="643"/>
      <c r="ROA27" s="643"/>
      <c r="ROB27" s="643"/>
      <c r="ROC27" s="643"/>
      <c r="ROD27" s="643"/>
      <c r="ROE27" s="643"/>
      <c r="ROF27" s="643"/>
      <c r="ROG27" s="643"/>
      <c r="ROH27" s="643"/>
      <c r="ROI27" s="643"/>
      <c r="ROJ27" s="643"/>
      <c r="ROK27" s="643"/>
      <c r="ROL27" s="643"/>
      <c r="ROM27" s="643"/>
      <c r="RON27" s="643"/>
      <c r="ROO27" s="643"/>
      <c r="ROP27" s="643"/>
      <c r="ROQ27" s="643"/>
      <c r="ROR27" s="643"/>
      <c r="ROS27" s="643"/>
      <c r="ROT27" s="643"/>
      <c r="ROU27" s="643"/>
      <c r="ROV27" s="643"/>
      <c r="ROW27" s="643"/>
      <c r="ROX27" s="643"/>
      <c r="ROY27" s="643"/>
      <c r="ROZ27" s="643"/>
      <c r="RPA27" s="643"/>
      <c r="RPB27" s="643"/>
      <c r="RPC27" s="643"/>
      <c r="RPD27" s="643"/>
      <c r="RPE27" s="643"/>
      <c r="RPF27" s="643"/>
      <c r="RPG27" s="643"/>
      <c r="RPH27" s="643"/>
      <c r="RPI27" s="643"/>
      <c r="RPJ27" s="643"/>
      <c r="RPK27" s="643"/>
      <c r="RPL27" s="643"/>
      <c r="RPM27" s="643"/>
      <c r="RPN27" s="643"/>
      <c r="RPO27" s="643"/>
      <c r="RPP27" s="643"/>
      <c r="RPQ27" s="643"/>
      <c r="RPR27" s="643"/>
      <c r="RPS27" s="643"/>
      <c r="RPT27" s="643"/>
      <c r="RPU27" s="643"/>
      <c r="RPV27" s="643"/>
      <c r="RPW27" s="643"/>
      <c r="RPX27" s="643"/>
      <c r="RPY27" s="643"/>
      <c r="RPZ27" s="643"/>
      <c r="RQA27" s="643"/>
      <c r="RQB27" s="643"/>
      <c r="RQC27" s="643"/>
      <c r="RQD27" s="643"/>
      <c r="RQE27" s="643"/>
      <c r="RQF27" s="643"/>
      <c r="RQG27" s="643"/>
      <c r="RQH27" s="643"/>
      <c r="RQI27" s="643"/>
      <c r="RQJ27" s="643"/>
      <c r="RQK27" s="643"/>
      <c r="RQL27" s="643"/>
      <c r="RQM27" s="643"/>
      <c r="RQN27" s="643"/>
      <c r="RQO27" s="643"/>
      <c r="RQP27" s="643"/>
      <c r="RQQ27" s="643"/>
      <c r="RQR27" s="643"/>
      <c r="RQS27" s="643"/>
      <c r="RQT27" s="643"/>
      <c r="RQU27" s="643"/>
      <c r="RQV27" s="643"/>
      <c r="RQW27" s="643"/>
      <c r="RQX27" s="643"/>
      <c r="RQY27" s="643"/>
      <c r="RQZ27" s="643"/>
      <c r="RRA27" s="643"/>
      <c r="RRB27" s="643"/>
      <c r="RRC27" s="643"/>
      <c r="RRD27" s="643"/>
      <c r="RRE27" s="643"/>
      <c r="RRF27" s="643"/>
      <c r="RRG27" s="643"/>
      <c r="RRH27" s="643"/>
      <c r="RRI27" s="643"/>
      <c r="RRJ27" s="643"/>
      <c r="RRK27" s="643"/>
      <c r="RRL27" s="643"/>
      <c r="RRM27" s="643"/>
      <c r="RRN27" s="643"/>
      <c r="RRO27" s="643"/>
      <c r="RRP27" s="643"/>
      <c r="RRQ27" s="643"/>
      <c r="RRR27" s="643"/>
      <c r="RRS27" s="643"/>
      <c r="RRT27" s="643"/>
      <c r="RRU27" s="643"/>
      <c r="RRV27" s="643"/>
      <c r="RRW27" s="643"/>
      <c r="RRX27" s="643"/>
      <c r="RRY27" s="643"/>
      <c r="RRZ27" s="643"/>
      <c r="RSA27" s="643"/>
      <c r="RSB27" s="643"/>
      <c r="RSC27" s="643"/>
      <c r="RSD27" s="643"/>
      <c r="RSE27" s="643"/>
      <c r="RSF27" s="643"/>
      <c r="RSG27" s="643"/>
      <c r="RSH27" s="643"/>
      <c r="RSI27" s="643"/>
      <c r="RSJ27" s="643"/>
      <c r="RSK27" s="643"/>
      <c r="RSL27" s="643"/>
      <c r="RSM27" s="643"/>
      <c r="RSN27" s="643"/>
      <c r="RSO27" s="643"/>
      <c r="RSP27" s="643"/>
      <c r="RSQ27" s="643"/>
      <c r="RSR27" s="643"/>
      <c r="RSS27" s="643"/>
      <c r="RST27" s="643"/>
      <c r="RSU27" s="643"/>
      <c r="RSV27" s="643"/>
      <c r="RSW27" s="643"/>
      <c r="RSX27" s="643"/>
      <c r="RSY27" s="643"/>
      <c r="RSZ27" s="643"/>
      <c r="RTA27" s="643"/>
      <c r="RTB27" s="643"/>
      <c r="RTC27" s="643"/>
      <c r="RTD27" s="643"/>
      <c r="RTE27" s="643"/>
      <c r="RTF27" s="643"/>
      <c r="RTG27" s="643"/>
      <c r="RTH27" s="643"/>
      <c r="RTI27" s="643"/>
      <c r="RTJ27" s="643"/>
      <c r="RTK27" s="643"/>
      <c r="RTL27" s="643"/>
      <c r="RTM27" s="643"/>
      <c r="RTN27" s="643"/>
      <c r="RTO27" s="643"/>
      <c r="RTP27" s="643"/>
      <c r="RTQ27" s="643"/>
      <c r="RTR27" s="643"/>
      <c r="RTS27" s="643"/>
      <c r="RTT27" s="643"/>
      <c r="RTU27" s="643"/>
      <c r="RTV27" s="643"/>
      <c r="RTW27" s="643"/>
      <c r="RTX27" s="643"/>
      <c r="RTY27" s="643"/>
      <c r="RTZ27" s="643"/>
      <c r="RUA27" s="643"/>
      <c r="RUB27" s="643"/>
      <c r="RUC27" s="643"/>
      <c r="RUD27" s="643"/>
      <c r="RUE27" s="643"/>
      <c r="RUF27" s="643"/>
      <c r="RUG27" s="643"/>
      <c r="RUH27" s="643"/>
      <c r="RUI27" s="643"/>
      <c r="RUJ27" s="643"/>
      <c r="RUK27" s="643"/>
      <c r="RUL27" s="643"/>
      <c r="RUM27" s="643"/>
      <c r="RUN27" s="643"/>
      <c r="RUO27" s="643"/>
      <c r="RUP27" s="643"/>
      <c r="RUQ27" s="643"/>
      <c r="RUR27" s="643"/>
      <c r="RUS27" s="643"/>
      <c r="RUT27" s="643"/>
      <c r="RUU27" s="643"/>
      <c r="RUV27" s="643"/>
      <c r="RUW27" s="643"/>
      <c r="RUX27" s="643"/>
      <c r="RUY27" s="643"/>
      <c r="RUZ27" s="643"/>
      <c r="RVA27" s="643"/>
      <c r="RVB27" s="643"/>
      <c r="RVC27" s="643"/>
      <c r="RVD27" s="643"/>
      <c r="RVE27" s="643"/>
      <c r="RVF27" s="643"/>
      <c r="RVG27" s="643"/>
      <c r="RVH27" s="643"/>
      <c r="RVI27" s="643"/>
      <c r="RVJ27" s="643"/>
      <c r="RVK27" s="643"/>
      <c r="RVL27" s="643"/>
      <c r="RVM27" s="643"/>
      <c r="RVN27" s="643"/>
      <c r="RVO27" s="643"/>
      <c r="RVP27" s="643"/>
      <c r="RVQ27" s="643"/>
      <c r="RVR27" s="643"/>
      <c r="RVS27" s="643"/>
      <c r="RVT27" s="643"/>
      <c r="RVU27" s="643"/>
      <c r="RVV27" s="643"/>
      <c r="RVW27" s="643"/>
      <c r="RVX27" s="643"/>
      <c r="RVY27" s="643"/>
      <c r="RVZ27" s="643"/>
      <c r="RWA27" s="643"/>
      <c r="RWB27" s="643"/>
      <c r="RWC27" s="643"/>
      <c r="RWD27" s="643"/>
      <c r="RWE27" s="643"/>
      <c r="RWF27" s="643"/>
      <c r="RWG27" s="643"/>
      <c r="RWH27" s="643"/>
      <c r="RWI27" s="643"/>
      <c r="RWJ27" s="643"/>
      <c r="RWK27" s="643"/>
      <c r="RWL27" s="643"/>
      <c r="RWM27" s="643"/>
      <c r="RWN27" s="643"/>
      <c r="RWO27" s="643"/>
      <c r="RWP27" s="643"/>
      <c r="RWQ27" s="643"/>
      <c r="RWR27" s="643"/>
      <c r="RWS27" s="643"/>
      <c r="RWT27" s="643"/>
      <c r="RWU27" s="643"/>
      <c r="RWV27" s="643"/>
      <c r="RWW27" s="643"/>
      <c r="RWX27" s="643"/>
      <c r="RWY27" s="643"/>
      <c r="RWZ27" s="643"/>
      <c r="RXA27" s="643"/>
      <c r="RXB27" s="643"/>
      <c r="RXC27" s="643"/>
      <c r="RXD27" s="643"/>
      <c r="RXE27" s="643"/>
      <c r="RXF27" s="643"/>
      <c r="RXG27" s="643"/>
      <c r="RXH27" s="643"/>
      <c r="RXI27" s="643"/>
      <c r="RXJ27" s="643"/>
      <c r="RXK27" s="643"/>
      <c r="RXL27" s="643"/>
      <c r="RXM27" s="643"/>
      <c r="RXN27" s="643"/>
      <c r="RXO27" s="643"/>
      <c r="RXP27" s="643"/>
      <c r="RXQ27" s="643"/>
      <c r="RXR27" s="643"/>
      <c r="RXS27" s="643"/>
      <c r="RXT27" s="643"/>
      <c r="RXU27" s="643"/>
      <c r="RXV27" s="643"/>
      <c r="RXW27" s="643"/>
      <c r="RXX27" s="643"/>
      <c r="RXY27" s="643"/>
      <c r="RXZ27" s="643"/>
      <c r="RYA27" s="643"/>
      <c r="RYB27" s="643"/>
      <c r="RYC27" s="643"/>
      <c r="RYD27" s="643"/>
      <c r="RYE27" s="643"/>
      <c r="RYF27" s="643"/>
      <c r="RYG27" s="643"/>
      <c r="RYH27" s="643"/>
      <c r="RYI27" s="643"/>
      <c r="RYJ27" s="643"/>
      <c r="RYK27" s="643"/>
      <c r="RYL27" s="643"/>
      <c r="RYM27" s="643"/>
      <c r="RYN27" s="643"/>
      <c r="RYO27" s="643"/>
      <c r="RYP27" s="643"/>
      <c r="RYQ27" s="643"/>
      <c r="RYR27" s="643"/>
      <c r="RYS27" s="643"/>
      <c r="RYT27" s="643"/>
      <c r="RYU27" s="643"/>
      <c r="RYV27" s="643"/>
      <c r="RYW27" s="643"/>
      <c r="RYX27" s="643"/>
      <c r="RYY27" s="643"/>
      <c r="RYZ27" s="643"/>
      <c r="RZA27" s="643"/>
      <c r="RZB27" s="643"/>
      <c r="RZC27" s="643"/>
      <c r="RZD27" s="643"/>
      <c r="RZE27" s="643"/>
      <c r="RZF27" s="643"/>
      <c r="RZG27" s="643"/>
      <c r="RZH27" s="643"/>
      <c r="RZI27" s="643"/>
      <c r="RZJ27" s="643"/>
      <c r="RZK27" s="643"/>
      <c r="RZL27" s="643"/>
      <c r="RZM27" s="643"/>
      <c r="RZN27" s="643"/>
      <c r="RZO27" s="643"/>
      <c r="RZP27" s="643"/>
      <c r="RZQ27" s="643"/>
      <c r="RZR27" s="643"/>
      <c r="RZS27" s="643"/>
      <c r="RZT27" s="643"/>
      <c r="RZU27" s="643"/>
      <c r="RZV27" s="643"/>
      <c r="RZW27" s="643"/>
      <c r="RZX27" s="643"/>
      <c r="RZY27" s="643"/>
      <c r="RZZ27" s="643"/>
      <c r="SAA27" s="643"/>
      <c r="SAB27" s="643"/>
      <c r="SAC27" s="643"/>
      <c r="SAD27" s="643"/>
      <c r="SAE27" s="643"/>
      <c r="SAF27" s="643"/>
      <c r="SAG27" s="643"/>
      <c r="SAH27" s="643"/>
      <c r="SAI27" s="643"/>
      <c r="SAJ27" s="643"/>
      <c r="SAK27" s="643"/>
      <c r="SAL27" s="643"/>
      <c r="SAM27" s="643"/>
      <c r="SAN27" s="643"/>
      <c r="SAO27" s="643"/>
      <c r="SAP27" s="643"/>
      <c r="SAQ27" s="643"/>
      <c r="SAR27" s="643"/>
      <c r="SAS27" s="643"/>
      <c r="SAT27" s="643"/>
      <c r="SAU27" s="643"/>
      <c r="SAV27" s="643"/>
      <c r="SAW27" s="643"/>
      <c r="SAX27" s="643"/>
      <c r="SAY27" s="643"/>
      <c r="SAZ27" s="643"/>
      <c r="SBA27" s="643"/>
      <c r="SBB27" s="643"/>
      <c r="SBC27" s="643"/>
      <c r="SBD27" s="643"/>
      <c r="SBE27" s="643"/>
      <c r="SBF27" s="643"/>
      <c r="SBG27" s="643"/>
      <c r="SBH27" s="643"/>
      <c r="SBI27" s="643"/>
      <c r="SBJ27" s="643"/>
      <c r="SBK27" s="643"/>
      <c r="SBL27" s="643"/>
      <c r="SBM27" s="643"/>
      <c r="SBN27" s="643"/>
      <c r="SBO27" s="643"/>
      <c r="SBP27" s="643"/>
      <c r="SBQ27" s="643"/>
      <c r="SBR27" s="643"/>
      <c r="SBS27" s="643"/>
      <c r="SBT27" s="643"/>
      <c r="SBU27" s="643"/>
      <c r="SBV27" s="643"/>
      <c r="SBW27" s="643"/>
      <c r="SBX27" s="643"/>
      <c r="SBY27" s="643"/>
      <c r="SBZ27" s="643"/>
      <c r="SCA27" s="643"/>
      <c r="SCB27" s="643"/>
      <c r="SCC27" s="643"/>
      <c r="SCD27" s="643"/>
      <c r="SCE27" s="643"/>
      <c r="SCF27" s="643"/>
      <c r="SCG27" s="643"/>
      <c r="SCH27" s="643"/>
      <c r="SCI27" s="643"/>
      <c r="SCJ27" s="643"/>
      <c r="SCK27" s="643"/>
      <c r="SCL27" s="643"/>
      <c r="SCM27" s="643"/>
      <c r="SCN27" s="643"/>
      <c r="SCO27" s="643"/>
      <c r="SCP27" s="643"/>
      <c r="SCQ27" s="643"/>
      <c r="SCR27" s="643"/>
      <c r="SCS27" s="643"/>
      <c r="SCT27" s="643"/>
      <c r="SCU27" s="643"/>
      <c r="SCV27" s="643"/>
      <c r="SCW27" s="643"/>
      <c r="SCX27" s="643"/>
      <c r="SCY27" s="643"/>
      <c r="SCZ27" s="643"/>
      <c r="SDA27" s="643"/>
      <c r="SDB27" s="643"/>
      <c r="SDC27" s="643"/>
      <c r="SDD27" s="643"/>
      <c r="SDE27" s="643"/>
      <c r="SDF27" s="643"/>
      <c r="SDG27" s="643"/>
      <c r="SDH27" s="643"/>
      <c r="SDI27" s="643"/>
      <c r="SDJ27" s="643"/>
      <c r="SDK27" s="643"/>
      <c r="SDL27" s="643"/>
      <c r="SDM27" s="643"/>
      <c r="SDN27" s="643"/>
      <c r="SDO27" s="643"/>
      <c r="SDP27" s="643"/>
      <c r="SDQ27" s="643"/>
      <c r="SDR27" s="643"/>
      <c r="SDS27" s="643"/>
      <c r="SDT27" s="643"/>
      <c r="SDU27" s="643"/>
      <c r="SDV27" s="643"/>
      <c r="SDW27" s="643"/>
      <c r="SDX27" s="643"/>
      <c r="SDY27" s="643"/>
      <c r="SDZ27" s="643"/>
      <c r="SEA27" s="643"/>
      <c r="SEB27" s="643"/>
      <c r="SEC27" s="643"/>
      <c r="SED27" s="643"/>
      <c r="SEE27" s="643"/>
      <c r="SEF27" s="643"/>
      <c r="SEG27" s="643"/>
      <c r="SEH27" s="643"/>
      <c r="SEI27" s="643"/>
      <c r="SEJ27" s="643"/>
      <c r="SEK27" s="643"/>
      <c r="SEL27" s="643"/>
      <c r="SEM27" s="643"/>
      <c r="SEN27" s="643"/>
      <c r="SEO27" s="643"/>
      <c r="SEP27" s="643"/>
      <c r="SEQ27" s="643"/>
      <c r="SER27" s="643"/>
      <c r="SES27" s="643"/>
      <c r="SET27" s="643"/>
      <c r="SEU27" s="643"/>
      <c r="SEV27" s="643"/>
      <c r="SEW27" s="643"/>
      <c r="SEX27" s="643"/>
      <c r="SEY27" s="643"/>
      <c r="SEZ27" s="643"/>
      <c r="SFA27" s="643"/>
      <c r="SFB27" s="643"/>
      <c r="SFC27" s="643"/>
      <c r="SFD27" s="643"/>
      <c r="SFE27" s="643"/>
      <c r="SFF27" s="643"/>
      <c r="SFG27" s="643"/>
      <c r="SFH27" s="643"/>
      <c r="SFI27" s="643"/>
      <c r="SFJ27" s="643"/>
      <c r="SFK27" s="643"/>
      <c r="SFL27" s="643"/>
      <c r="SFM27" s="643"/>
      <c r="SFN27" s="643"/>
      <c r="SFO27" s="643"/>
      <c r="SFP27" s="643"/>
      <c r="SFQ27" s="643"/>
      <c r="SFR27" s="643"/>
      <c r="SFS27" s="643"/>
      <c r="SFT27" s="643"/>
      <c r="SFU27" s="643"/>
      <c r="SFV27" s="643"/>
      <c r="SFW27" s="643"/>
      <c r="SFX27" s="643"/>
      <c r="SFY27" s="643"/>
      <c r="SFZ27" s="643"/>
      <c r="SGA27" s="643"/>
      <c r="SGB27" s="643"/>
      <c r="SGC27" s="643"/>
      <c r="SGD27" s="643"/>
      <c r="SGE27" s="643"/>
      <c r="SGF27" s="643"/>
      <c r="SGG27" s="643"/>
      <c r="SGH27" s="643"/>
      <c r="SGI27" s="643"/>
      <c r="SGJ27" s="643"/>
      <c r="SGK27" s="643"/>
      <c r="SGL27" s="643"/>
      <c r="SGM27" s="643"/>
      <c r="SGN27" s="643"/>
      <c r="SGO27" s="643"/>
      <c r="SGP27" s="643"/>
      <c r="SGQ27" s="643"/>
      <c r="SGR27" s="643"/>
      <c r="SGS27" s="643"/>
      <c r="SGT27" s="643"/>
      <c r="SGU27" s="643"/>
      <c r="SGV27" s="643"/>
      <c r="SGW27" s="643"/>
      <c r="SGX27" s="643"/>
      <c r="SGY27" s="643"/>
      <c r="SGZ27" s="643"/>
      <c r="SHA27" s="643"/>
      <c r="SHB27" s="643"/>
      <c r="SHC27" s="643"/>
      <c r="SHD27" s="643"/>
      <c r="SHE27" s="643"/>
      <c r="SHF27" s="643"/>
      <c r="SHG27" s="643"/>
      <c r="SHH27" s="643"/>
      <c r="SHI27" s="643"/>
      <c r="SHJ27" s="643"/>
      <c r="SHK27" s="643"/>
      <c r="SHL27" s="643"/>
      <c r="SHM27" s="643"/>
      <c r="SHN27" s="643"/>
      <c r="SHO27" s="643"/>
      <c r="SHP27" s="643"/>
      <c r="SHQ27" s="643"/>
      <c r="SHR27" s="643"/>
      <c r="SHS27" s="643"/>
      <c r="SHT27" s="643"/>
      <c r="SHU27" s="643"/>
      <c r="SHV27" s="643"/>
      <c r="SHW27" s="643"/>
      <c r="SHX27" s="643"/>
      <c r="SHY27" s="643"/>
      <c r="SHZ27" s="643"/>
      <c r="SIA27" s="643"/>
      <c r="SIB27" s="643"/>
      <c r="SIC27" s="643"/>
      <c r="SID27" s="643"/>
      <c r="SIE27" s="643"/>
      <c r="SIF27" s="643"/>
      <c r="SIG27" s="643"/>
      <c r="SIH27" s="643"/>
      <c r="SII27" s="643"/>
      <c r="SIJ27" s="643"/>
      <c r="SIK27" s="643"/>
      <c r="SIL27" s="643"/>
      <c r="SIM27" s="643"/>
      <c r="SIN27" s="643"/>
      <c r="SIO27" s="643"/>
      <c r="SIP27" s="643"/>
      <c r="SIQ27" s="643"/>
      <c r="SIR27" s="643"/>
      <c r="SIS27" s="643"/>
      <c r="SIT27" s="643"/>
      <c r="SIU27" s="643"/>
      <c r="SIV27" s="643"/>
      <c r="SIW27" s="643"/>
      <c r="SIX27" s="643"/>
      <c r="SIY27" s="643"/>
      <c r="SIZ27" s="643"/>
      <c r="SJA27" s="643"/>
      <c r="SJB27" s="643"/>
      <c r="SJC27" s="643"/>
      <c r="SJD27" s="643"/>
      <c r="SJE27" s="643"/>
      <c r="SJF27" s="643"/>
      <c r="SJG27" s="643"/>
      <c r="SJH27" s="643"/>
      <c r="SJI27" s="643"/>
      <c r="SJJ27" s="643"/>
      <c r="SJK27" s="643"/>
      <c r="SJL27" s="643"/>
      <c r="SJM27" s="643"/>
      <c r="SJN27" s="643"/>
      <c r="SJO27" s="643"/>
      <c r="SJP27" s="643"/>
      <c r="SJQ27" s="643"/>
      <c r="SJR27" s="643"/>
      <c r="SJS27" s="643"/>
      <c r="SJT27" s="643"/>
      <c r="SJU27" s="643"/>
      <c r="SJV27" s="643"/>
      <c r="SJW27" s="643"/>
      <c r="SJX27" s="643"/>
      <c r="SJY27" s="643"/>
      <c r="SJZ27" s="643"/>
      <c r="SKA27" s="643"/>
      <c r="SKB27" s="643"/>
      <c r="SKC27" s="643"/>
      <c r="SKD27" s="643"/>
      <c r="SKE27" s="643"/>
      <c r="SKF27" s="643"/>
      <c r="SKG27" s="643"/>
      <c r="SKH27" s="643"/>
      <c r="SKI27" s="643"/>
      <c r="SKJ27" s="643"/>
      <c r="SKK27" s="643"/>
      <c r="SKL27" s="643"/>
      <c r="SKM27" s="643"/>
      <c r="SKN27" s="643"/>
      <c r="SKO27" s="643"/>
      <c r="SKP27" s="643"/>
      <c r="SKQ27" s="643"/>
      <c r="SKR27" s="643"/>
      <c r="SKS27" s="643"/>
      <c r="SKT27" s="643"/>
      <c r="SKU27" s="643"/>
      <c r="SKV27" s="643"/>
      <c r="SKW27" s="643"/>
      <c r="SKX27" s="643"/>
      <c r="SKY27" s="643"/>
      <c r="SKZ27" s="643"/>
      <c r="SLA27" s="643"/>
      <c r="SLB27" s="643"/>
      <c r="SLC27" s="643"/>
      <c r="SLD27" s="643"/>
      <c r="SLE27" s="643"/>
      <c r="SLF27" s="643"/>
      <c r="SLG27" s="643"/>
      <c r="SLH27" s="643"/>
      <c r="SLI27" s="643"/>
      <c r="SLJ27" s="643"/>
      <c r="SLK27" s="643"/>
      <c r="SLL27" s="643"/>
      <c r="SLM27" s="643"/>
      <c r="SLN27" s="643"/>
      <c r="SLO27" s="643"/>
      <c r="SLP27" s="643"/>
      <c r="SLQ27" s="643"/>
      <c r="SLR27" s="643"/>
      <c r="SLS27" s="643"/>
      <c r="SLT27" s="643"/>
      <c r="SLU27" s="643"/>
      <c r="SLV27" s="643"/>
      <c r="SLW27" s="643"/>
      <c r="SLX27" s="643"/>
      <c r="SLY27" s="643"/>
      <c r="SLZ27" s="643"/>
      <c r="SMA27" s="643"/>
      <c r="SMB27" s="643"/>
      <c r="SMC27" s="643"/>
      <c r="SMD27" s="643"/>
      <c r="SME27" s="643"/>
      <c r="SMF27" s="643"/>
      <c r="SMG27" s="643"/>
      <c r="SMH27" s="643"/>
      <c r="SMI27" s="643"/>
      <c r="SMJ27" s="643"/>
      <c r="SMK27" s="643"/>
      <c r="SML27" s="643"/>
      <c r="SMM27" s="643"/>
      <c r="SMN27" s="643"/>
      <c r="SMO27" s="643"/>
      <c r="SMP27" s="643"/>
      <c r="SMQ27" s="643"/>
      <c r="SMR27" s="643"/>
      <c r="SMS27" s="643"/>
      <c r="SMT27" s="643"/>
      <c r="SMU27" s="643"/>
      <c r="SMV27" s="643"/>
      <c r="SMW27" s="643"/>
      <c r="SMX27" s="643"/>
      <c r="SMY27" s="643"/>
      <c r="SMZ27" s="643"/>
      <c r="SNA27" s="643"/>
      <c r="SNB27" s="643"/>
      <c r="SNC27" s="643"/>
      <c r="SND27" s="643"/>
      <c r="SNE27" s="643"/>
      <c r="SNF27" s="643"/>
      <c r="SNG27" s="643"/>
      <c r="SNH27" s="643"/>
      <c r="SNI27" s="643"/>
      <c r="SNJ27" s="643"/>
      <c r="SNK27" s="643"/>
      <c r="SNL27" s="643"/>
      <c r="SNM27" s="643"/>
      <c r="SNN27" s="643"/>
      <c r="SNO27" s="643"/>
      <c r="SNP27" s="643"/>
      <c r="SNQ27" s="643"/>
      <c r="SNR27" s="643"/>
      <c r="SNS27" s="643"/>
      <c r="SNT27" s="643"/>
      <c r="SNU27" s="643"/>
      <c r="SNV27" s="643"/>
      <c r="SNW27" s="643"/>
      <c r="SNX27" s="643"/>
      <c r="SNY27" s="643"/>
      <c r="SNZ27" s="643"/>
      <c r="SOA27" s="643"/>
      <c r="SOB27" s="643"/>
      <c r="SOC27" s="643"/>
      <c r="SOD27" s="643"/>
      <c r="SOE27" s="643"/>
      <c r="SOF27" s="643"/>
      <c r="SOG27" s="643"/>
      <c r="SOH27" s="643"/>
      <c r="SOI27" s="643"/>
      <c r="SOJ27" s="643"/>
      <c r="SOK27" s="643"/>
      <c r="SOL27" s="643"/>
      <c r="SOM27" s="643"/>
      <c r="SON27" s="643"/>
      <c r="SOO27" s="643"/>
      <c r="SOP27" s="643"/>
      <c r="SOQ27" s="643"/>
      <c r="SOR27" s="643"/>
      <c r="SOS27" s="643"/>
      <c r="SOT27" s="643"/>
      <c r="SOU27" s="643"/>
      <c r="SOV27" s="643"/>
      <c r="SOW27" s="643"/>
      <c r="SOX27" s="643"/>
      <c r="SOY27" s="643"/>
      <c r="SOZ27" s="643"/>
      <c r="SPA27" s="643"/>
      <c r="SPB27" s="643"/>
      <c r="SPC27" s="643"/>
      <c r="SPD27" s="643"/>
      <c r="SPE27" s="643"/>
      <c r="SPF27" s="643"/>
      <c r="SPG27" s="643"/>
      <c r="SPH27" s="643"/>
      <c r="SPI27" s="643"/>
      <c r="SPJ27" s="643"/>
      <c r="SPK27" s="643"/>
      <c r="SPL27" s="643"/>
      <c r="SPM27" s="643"/>
      <c r="SPN27" s="643"/>
      <c r="SPO27" s="643"/>
      <c r="SPP27" s="643"/>
      <c r="SPQ27" s="643"/>
      <c r="SPR27" s="643"/>
      <c r="SPS27" s="643"/>
      <c r="SPT27" s="643"/>
      <c r="SPU27" s="643"/>
      <c r="SPV27" s="643"/>
      <c r="SPW27" s="643"/>
      <c r="SPX27" s="643"/>
      <c r="SPY27" s="643"/>
      <c r="SPZ27" s="643"/>
      <c r="SQA27" s="643"/>
      <c r="SQB27" s="643"/>
      <c r="SQC27" s="643"/>
      <c r="SQD27" s="643"/>
      <c r="SQE27" s="643"/>
      <c r="SQF27" s="643"/>
      <c r="SQG27" s="643"/>
      <c r="SQH27" s="643"/>
      <c r="SQI27" s="643"/>
      <c r="SQJ27" s="643"/>
      <c r="SQK27" s="643"/>
      <c r="SQL27" s="643"/>
      <c r="SQM27" s="643"/>
      <c r="SQN27" s="643"/>
      <c r="SQO27" s="643"/>
      <c r="SQP27" s="643"/>
      <c r="SQQ27" s="643"/>
      <c r="SQR27" s="643"/>
      <c r="SQS27" s="643"/>
      <c r="SQT27" s="643"/>
      <c r="SQU27" s="643"/>
      <c r="SQV27" s="643"/>
      <c r="SQW27" s="643"/>
      <c r="SQX27" s="643"/>
      <c r="SQY27" s="643"/>
      <c r="SQZ27" s="643"/>
      <c r="SRA27" s="643"/>
      <c r="SRB27" s="643"/>
      <c r="SRC27" s="643"/>
      <c r="SRD27" s="643"/>
      <c r="SRE27" s="643"/>
      <c r="SRF27" s="643"/>
      <c r="SRG27" s="643"/>
      <c r="SRH27" s="643"/>
      <c r="SRI27" s="643"/>
      <c r="SRJ27" s="643"/>
      <c r="SRK27" s="643"/>
      <c r="SRL27" s="643"/>
      <c r="SRM27" s="643"/>
      <c r="SRN27" s="643"/>
      <c r="SRO27" s="643"/>
      <c r="SRP27" s="643"/>
      <c r="SRQ27" s="643"/>
      <c r="SRR27" s="643"/>
      <c r="SRS27" s="643"/>
      <c r="SRT27" s="643"/>
      <c r="SRU27" s="643"/>
      <c r="SRV27" s="643"/>
      <c r="SRW27" s="643"/>
      <c r="SRX27" s="643"/>
      <c r="SRY27" s="643"/>
      <c r="SRZ27" s="643"/>
      <c r="SSA27" s="643"/>
      <c r="SSB27" s="643"/>
      <c r="SSC27" s="643"/>
      <c r="SSD27" s="643"/>
      <c r="SSE27" s="643"/>
      <c r="SSF27" s="643"/>
      <c r="SSG27" s="643"/>
      <c r="SSH27" s="643"/>
      <c r="SSI27" s="643"/>
      <c r="SSJ27" s="643"/>
      <c r="SSK27" s="643"/>
      <c r="SSL27" s="643"/>
      <c r="SSM27" s="643"/>
      <c r="SSN27" s="643"/>
      <c r="SSO27" s="643"/>
      <c r="SSP27" s="643"/>
      <c r="SSQ27" s="643"/>
      <c r="SSR27" s="643"/>
      <c r="SSS27" s="643"/>
      <c r="SST27" s="643"/>
      <c r="SSU27" s="643"/>
      <c r="SSV27" s="643"/>
      <c r="SSW27" s="643"/>
      <c r="SSX27" s="643"/>
      <c r="SSY27" s="643"/>
      <c r="SSZ27" s="643"/>
      <c r="STA27" s="643"/>
      <c r="STB27" s="643"/>
      <c r="STC27" s="643"/>
      <c r="STD27" s="643"/>
      <c r="STE27" s="643"/>
      <c r="STF27" s="643"/>
      <c r="STG27" s="643"/>
      <c r="STH27" s="643"/>
      <c r="STI27" s="643"/>
      <c r="STJ27" s="643"/>
      <c r="STK27" s="643"/>
      <c r="STL27" s="643"/>
      <c r="STM27" s="643"/>
      <c r="STN27" s="643"/>
      <c r="STO27" s="643"/>
      <c r="STP27" s="643"/>
      <c r="STQ27" s="643"/>
      <c r="STR27" s="643"/>
      <c r="STS27" s="643"/>
      <c r="STT27" s="643"/>
      <c r="STU27" s="643"/>
      <c r="STV27" s="643"/>
      <c r="STW27" s="643"/>
      <c r="STX27" s="643"/>
      <c r="STY27" s="643"/>
      <c r="STZ27" s="643"/>
      <c r="SUA27" s="643"/>
      <c r="SUB27" s="643"/>
      <c r="SUC27" s="643"/>
      <c r="SUD27" s="643"/>
      <c r="SUE27" s="643"/>
      <c r="SUF27" s="643"/>
      <c r="SUG27" s="643"/>
      <c r="SUH27" s="643"/>
      <c r="SUI27" s="643"/>
      <c r="SUJ27" s="643"/>
      <c r="SUK27" s="643"/>
      <c r="SUL27" s="643"/>
      <c r="SUM27" s="643"/>
      <c r="SUN27" s="643"/>
      <c r="SUO27" s="643"/>
      <c r="SUP27" s="643"/>
      <c r="SUQ27" s="643"/>
      <c r="SUR27" s="643"/>
      <c r="SUS27" s="643"/>
      <c r="SUT27" s="643"/>
      <c r="SUU27" s="643"/>
      <c r="SUV27" s="643"/>
      <c r="SUW27" s="643"/>
      <c r="SUX27" s="643"/>
      <c r="SUY27" s="643"/>
      <c r="SUZ27" s="643"/>
      <c r="SVA27" s="643"/>
      <c r="SVB27" s="643"/>
      <c r="SVC27" s="643"/>
      <c r="SVD27" s="643"/>
      <c r="SVE27" s="643"/>
      <c r="SVF27" s="643"/>
      <c r="SVG27" s="643"/>
      <c r="SVH27" s="643"/>
      <c r="SVI27" s="643"/>
      <c r="SVJ27" s="643"/>
      <c r="SVK27" s="643"/>
      <c r="SVL27" s="643"/>
      <c r="SVM27" s="643"/>
      <c r="SVN27" s="643"/>
      <c r="SVO27" s="643"/>
      <c r="SVP27" s="643"/>
      <c r="SVQ27" s="643"/>
      <c r="SVR27" s="643"/>
      <c r="SVS27" s="643"/>
      <c r="SVT27" s="643"/>
      <c r="SVU27" s="643"/>
      <c r="SVV27" s="643"/>
      <c r="SVW27" s="643"/>
      <c r="SVX27" s="643"/>
      <c r="SVY27" s="643"/>
      <c r="SVZ27" s="643"/>
      <c r="SWA27" s="643"/>
      <c r="SWB27" s="643"/>
      <c r="SWC27" s="643"/>
      <c r="SWD27" s="643"/>
      <c r="SWE27" s="643"/>
      <c r="SWF27" s="643"/>
      <c r="SWG27" s="643"/>
      <c r="SWH27" s="643"/>
      <c r="SWI27" s="643"/>
      <c r="SWJ27" s="643"/>
      <c r="SWK27" s="643"/>
      <c r="SWL27" s="643"/>
      <c r="SWM27" s="643"/>
      <c r="SWN27" s="643"/>
      <c r="SWO27" s="643"/>
      <c r="SWP27" s="643"/>
      <c r="SWQ27" s="643"/>
      <c r="SWR27" s="643"/>
      <c r="SWS27" s="643"/>
      <c r="SWT27" s="643"/>
      <c r="SWU27" s="643"/>
      <c r="SWV27" s="643"/>
      <c r="SWW27" s="643"/>
      <c r="SWX27" s="643"/>
      <c r="SWY27" s="643"/>
      <c r="SWZ27" s="643"/>
      <c r="SXA27" s="643"/>
      <c r="SXB27" s="643"/>
      <c r="SXC27" s="643"/>
      <c r="SXD27" s="643"/>
      <c r="SXE27" s="643"/>
      <c r="SXF27" s="643"/>
      <c r="SXG27" s="643"/>
      <c r="SXH27" s="643"/>
      <c r="SXI27" s="643"/>
      <c r="SXJ27" s="643"/>
      <c r="SXK27" s="643"/>
      <c r="SXL27" s="643"/>
      <c r="SXM27" s="643"/>
      <c r="SXN27" s="643"/>
      <c r="SXO27" s="643"/>
      <c r="SXP27" s="643"/>
      <c r="SXQ27" s="643"/>
      <c r="SXR27" s="643"/>
      <c r="SXS27" s="643"/>
      <c r="SXT27" s="643"/>
      <c r="SXU27" s="643"/>
      <c r="SXV27" s="643"/>
      <c r="SXW27" s="643"/>
      <c r="SXX27" s="643"/>
      <c r="SXY27" s="643"/>
      <c r="SXZ27" s="643"/>
      <c r="SYA27" s="643"/>
      <c r="SYB27" s="643"/>
      <c r="SYC27" s="643"/>
      <c r="SYD27" s="643"/>
      <c r="SYE27" s="643"/>
      <c r="SYF27" s="643"/>
      <c r="SYG27" s="643"/>
      <c r="SYH27" s="643"/>
      <c r="SYI27" s="643"/>
      <c r="SYJ27" s="643"/>
      <c r="SYK27" s="643"/>
      <c r="SYL27" s="643"/>
      <c r="SYM27" s="643"/>
      <c r="SYN27" s="643"/>
      <c r="SYO27" s="643"/>
      <c r="SYP27" s="643"/>
      <c r="SYQ27" s="643"/>
      <c r="SYR27" s="643"/>
      <c r="SYS27" s="643"/>
      <c r="SYT27" s="643"/>
      <c r="SYU27" s="643"/>
      <c r="SYV27" s="643"/>
      <c r="SYW27" s="643"/>
      <c r="SYX27" s="643"/>
      <c r="SYY27" s="643"/>
      <c r="SYZ27" s="643"/>
      <c r="SZA27" s="643"/>
      <c r="SZB27" s="643"/>
      <c r="SZC27" s="643"/>
      <c r="SZD27" s="643"/>
      <c r="SZE27" s="643"/>
      <c r="SZF27" s="643"/>
      <c r="SZG27" s="643"/>
      <c r="SZH27" s="643"/>
      <c r="SZI27" s="643"/>
      <c r="SZJ27" s="643"/>
      <c r="SZK27" s="643"/>
      <c r="SZL27" s="643"/>
      <c r="SZM27" s="643"/>
      <c r="SZN27" s="643"/>
      <c r="SZO27" s="643"/>
      <c r="SZP27" s="643"/>
      <c r="SZQ27" s="643"/>
      <c r="SZR27" s="643"/>
      <c r="SZS27" s="643"/>
      <c r="SZT27" s="643"/>
      <c r="SZU27" s="643"/>
      <c r="SZV27" s="643"/>
      <c r="SZW27" s="643"/>
      <c r="SZX27" s="643"/>
      <c r="SZY27" s="643"/>
      <c r="SZZ27" s="643"/>
      <c r="TAA27" s="643"/>
      <c r="TAB27" s="643"/>
      <c r="TAC27" s="643"/>
      <c r="TAD27" s="643"/>
      <c r="TAE27" s="643"/>
      <c r="TAF27" s="643"/>
      <c r="TAG27" s="643"/>
      <c r="TAH27" s="643"/>
      <c r="TAI27" s="643"/>
      <c r="TAJ27" s="643"/>
      <c r="TAK27" s="643"/>
      <c r="TAL27" s="643"/>
      <c r="TAM27" s="643"/>
      <c r="TAN27" s="643"/>
      <c r="TAO27" s="643"/>
      <c r="TAP27" s="643"/>
      <c r="TAQ27" s="643"/>
      <c r="TAR27" s="643"/>
      <c r="TAS27" s="643"/>
      <c r="TAT27" s="643"/>
      <c r="TAU27" s="643"/>
      <c r="TAV27" s="643"/>
      <c r="TAW27" s="643"/>
      <c r="TAX27" s="643"/>
      <c r="TAY27" s="643"/>
      <c r="TAZ27" s="643"/>
      <c r="TBA27" s="643"/>
      <c r="TBB27" s="643"/>
      <c r="TBC27" s="643"/>
      <c r="TBD27" s="643"/>
      <c r="TBE27" s="643"/>
      <c r="TBF27" s="643"/>
      <c r="TBG27" s="643"/>
      <c r="TBH27" s="643"/>
      <c r="TBI27" s="643"/>
      <c r="TBJ27" s="643"/>
      <c r="TBK27" s="643"/>
      <c r="TBL27" s="643"/>
      <c r="TBM27" s="643"/>
      <c r="TBN27" s="643"/>
      <c r="TBO27" s="643"/>
      <c r="TBP27" s="643"/>
      <c r="TBQ27" s="643"/>
      <c r="TBR27" s="643"/>
      <c r="TBS27" s="643"/>
      <c r="TBT27" s="643"/>
      <c r="TBU27" s="643"/>
      <c r="TBV27" s="643"/>
      <c r="TBW27" s="643"/>
      <c r="TBX27" s="643"/>
      <c r="TBY27" s="643"/>
      <c r="TBZ27" s="643"/>
      <c r="TCA27" s="643"/>
      <c r="TCB27" s="643"/>
      <c r="TCC27" s="643"/>
      <c r="TCD27" s="643"/>
      <c r="TCE27" s="643"/>
      <c r="TCF27" s="643"/>
      <c r="TCG27" s="643"/>
      <c r="TCH27" s="643"/>
      <c r="TCI27" s="643"/>
      <c r="TCJ27" s="643"/>
      <c r="TCK27" s="643"/>
      <c r="TCL27" s="643"/>
      <c r="TCM27" s="643"/>
      <c r="TCN27" s="643"/>
      <c r="TCO27" s="643"/>
      <c r="TCP27" s="643"/>
      <c r="TCQ27" s="643"/>
      <c r="TCR27" s="643"/>
      <c r="TCS27" s="643"/>
      <c r="TCT27" s="643"/>
      <c r="TCU27" s="643"/>
      <c r="TCV27" s="643"/>
      <c r="TCW27" s="643"/>
      <c r="TCX27" s="643"/>
      <c r="TCY27" s="643"/>
      <c r="TCZ27" s="643"/>
      <c r="TDA27" s="643"/>
      <c r="TDB27" s="643"/>
      <c r="TDC27" s="643"/>
      <c r="TDD27" s="643"/>
      <c r="TDE27" s="643"/>
      <c r="TDF27" s="643"/>
      <c r="TDG27" s="643"/>
      <c r="TDH27" s="643"/>
      <c r="TDI27" s="643"/>
      <c r="TDJ27" s="643"/>
      <c r="TDK27" s="643"/>
      <c r="TDL27" s="643"/>
      <c r="TDM27" s="643"/>
      <c r="TDN27" s="643"/>
      <c r="TDO27" s="643"/>
      <c r="TDP27" s="643"/>
      <c r="TDQ27" s="643"/>
      <c r="TDR27" s="643"/>
      <c r="TDS27" s="643"/>
      <c r="TDT27" s="643"/>
      <c r="TDU27" s="643"/>
      <c r="TDV27" s="643"/>
      <c r="TDW27" s="643"/>
      <c r="TDX27" s="643"/>
      <c r="TDY27" s="643"/>
      <c r="TDZ27" s="643"/>
      <c r="TEA27" s="643"/>
      <c r="TEB27" s="643"/>
      <c r="TEC27" s="643"/>
      <c r="TED27" s="643"/>
      <c r="TEE27" s="643"/>
      <c r="TEF27" s="643"/>
      <c r="TEG27" s="643"/>
      <c r="TEH27" s="643"/>
      <c r="TEI27" s="643"/>
      <c r="TEJ27" s="643"/>
      <c r="TEK27" s="643"/>
      <c r="TEL27" s="643"/>
      <c r="TEM27" s="643"/>
      <c r="TEN27" s="643"/>
      <c r="TEO27" s="643"/>
      <c r="TEP27" s="643"/>
      <c r="TEQ27" s="643"/>
      <c r="TER27" s="643"/>
      <c r="TES27" s="643"/>
      <c r="TET27" s="643"/>
      <c r="TEU27" s="643"/>
      <c r="TEV27" s="643"/>
      <c r="TEW27" s="643"/>
      <c r="TEX27" s="643"/>
      <c r="TEY27" s="643"/>
      <c r="TEZ27" s="643"/>
      <c r="TFA27" s="643"/>
      <c r="TFB27" s="643"/>
      <c r="TFC27" s="643"/>
      <c r="TFD27" s="643"/>
      <c r="TFE27" s="643"/>
      <c r="TFF27" s="643"/>
      <c r="TFG27" s="643"/>
      <c r="TFH27" s="643"/>
      <c r="TFI27" s="643"/>
      <c r="TFJ27" s="643"/>
      <c r="TFK27" s="643"/>
      <c r="TFL27" s="643"/>
      <c r="TFM27" s="643"/>
      <c r="TFN27" s="643"/>
      <c r="TFO27" s="643"/>
      <c r="TFP27" s="643"/>
      <c r="TFQ27" s="643"/>
      <c r="TFR27" s="643"/>
      <c r="TFS27" s="643"/>
      <c r="TFT27" s="643"/>
      <c r="TFU27" s="643"/>
      <c r="TFV27" s="643"/>
      <c r="TFW27" s="643"/>
      <c r="TFX27" s="643"/>
      <c r="TFY27" s="643"/>
      <c r="TFZ27" s="643"/>
      <c r="TGA27" s="643"/>
      <c r="TGB27" s="643"/>
      <c r="TGC27" s="643"/>
      <c r="TGD27" s="643"/>
      <c r="TGE27" s="643"/>
      <c r="TGF27" s="643"/>
      <c r="TGG27" s="643"/>
      <c r="TGH27" s="643"/>
      <c r="TGI27" s="643"/>
      <c r="TGJ27" s="643"/>
      <c r="TGK27" s="643"/>
      <c r="TGL27" s="643"/>
      <c r="TGM27" s="643"/>
      <c r="TGN27" s="643"/>
      <c r="TGO27" s="643"/>
      <c r="TGP27" s="643"/>
      <c r="TGQ27" s="643"/>
      <c r="TGR27" s="643"/>
      <c r="TGS27" s="643"/>
      <c r="TGT27" s="643"/>
      <c r="TGU27" s="643"/>
      <c r="TGV27" s="643"/>
      <c r="TGW27" s="643"/>
      <c r="TGX27" s="643"/>
      <c r="TGY27" s="643"/>
      <c r="TGZ27" s="643"/>
      <c r="THA27" s="643"/>
      <c r="THB27" s="643"/>
      <c r="THC27" s="643"/>
      <c r="THD27" s="643"/>
      <c r="THE27" s="643"/>
      <c r="THF27" s="643"/>
      <c r="THG27" s="643"/>
      <c r="THH27" s="643"/>
      <c r="THI27" s="643"/>
      <c r="THJ27" s="643"/>
      <c r="THK27" s="643"/>
      <c r="THL27" s="643"/>
      <c r="THM27" s="643"/>
      <c r="THN27" s="643"/>
      <c r="THO27" s="643"/>
      <c r="THP27" s="643"/>
      <c r="THQ27" s="643"/>
      <c r="THR27" s="643"/>
      <c r="THS27" s="643"/>
      <c r="THT27" s="643"/>
      <c r="THU27" s="643"/>
      <c r="THV27" s="643"/>
      <c r="THW27" s="643"/>
      <c r="THX27" s="643"/>
      <c r="THY27" s="643"/>
      <c r="THZ27" s="643"/>
      <c r="TIA27" s="643"/>
      <c r="TIB27" s="643"/>
      <c r="TIC27" s="643"/>
      <c r="TID27" s="643"/>
      <c r="TIE27" s="643"/>
      <c r="TIF27" s="643"/>
      <c r="TIG27" s="643"/>
      <c r="TIH27" s="643"/>
      <c r="TII27" s="643"/>
      <c r="TIJ27" s="643"/>
      <c r="TIK27" s="643"/>
      <c r="TIL27" s="643"/>
      <c r="TIM27" s="643"/>
      <c r="TIN27" s="643"/>
      <c r="TIO27" s="643"/>
      <c r="TIP27" s="643"/>
      <c r="TIQ27" s="643"/>
      <c r="TIR27" s="643"/>
      <c r="TIS27" s="643"/>
      <c r="TIT27" s="643"/>
      <c r="TIU27" s="643"/>
      <c r="TIV27" s="643"/>
      <c r="TIW27" s="643"/>
      <c r="TIX27" s="643"/>
      <c r="TIY27" s="643"/>
      <c r="TIZ27" s="643"/>
      <c r="TJA27" s="643"/>
      <c r="TJB27" s="643"/>
      <c r="TJC27" s="643"/>
      <c r="TJD27" s="643"/>
      <c r="TJE27" s="643"/>
      <c r="TJF27" s="643"/>
      <c r="TJG27" s="643"/>
      <c r="TJH27" s="643"/>
      <c r="TJI27" s="643"/>
      <c r="TJJ27" s="643"/>
      <c r="TJK27" s="643"/>
      <c r="TJL27" s="643"/>
      <c r="TJM27" s="643"/>
      <c r="TJN27" s="643"/>
      <c r="TJO27" s="643"/>
      <c r="TJP27" s="643"/>
      <c r="TJQ27" s="643"/>
      <c r="TJR27" s="643"/>
      <c r="TJS27" s="643"/>
      <c r="TJT27" s="643"/>
      <c r="TJU27" s="643"/>
      <c r="TJV27" s="643"/>
      <c r="TJW27" s="643"/>
      <c r="TJX27" s="643"/>
      <c r="TJY27" s="643"/>
      <c r="TJZ27" s="643"/>
      <c r="TKA27" s="643"/>
      <c r="TKB27" s="643"/>
      <c r="TKC27" s="643"/>
      <c r="TKD27" s="643"/>
      <c r="TKE27" s="643"/>
      <c r="TKF27" s="643"/>
      <c r="TKG27" s="643"/>
      <c r="TKH27" s="643"/>
      <c r="TKI27" s="643"/>
      <c r="TKJ27" s="643"/>
      <c r="TKK27" s="643"/>
      <c r="TKL27" s="643"/>
      <c r="TKM27" s="643"/>
      <c r="TKN27" s="643"/>
      <c r="TKO27" s="643"/>
      <c r="TKP27" s="643"/>
      <c r="TKQ27" s="643"/>
      <c r="TKR27" s="643"/>
      <c r="TKS27" s="643"/>
      <c r="TKT27" s="643"/>
      <c r="TKU27" s="643"/>
      <c r="TKV27" s="643"/>
      <c r="TKW27" s="643"/>
      <c r="TKX27" s="643"/>
      <c r="TKY27" s="643"/>
      <c r="TKZ27" s="643"/>
      <c r="TLA27" s="643"/>
      <c r="TLB27" s="643"/>
      <c r="TLC27" s="643"/>
      <c r="TLD27" s="643"/>
      <c r="TLE27" s="643"/>
      <c r="TLF27" s="643"/>
      <c r="TLG27" s="643"/>
      <c r="TLH27" s="643"/>
      <c r="TLI27" s="643"/>
      <c r="TLJ27" s="643"/>
      <c r="TLK27" s="643"/>
      <c r="TLL27" s="643"/>
      <c r="TLM27" s="643"/>
      <c r="TLN27" s="643"/>
      <c r="TLO27" s="643"/>
      <c r="TLP27" s="643"/>
      <c r="TLQ27" s="643"/>
      <c r="TLR27" s="643"/>
      <c r="TLS27" s="643"/>
      <c r="TLT27" s="643"/>
      <c r="TLU27" s="643"/>
      <c r="TLV27" s="643"/>
      <c r="TLW27" s="643"/>
      <c r="TLX27" s="643"/>
      <c r="TLY27" s="643"/>
      <c r="TLZ27" s="643"/>
      <c r="TMA27" s="643"/>
      <c r="TMB27" s="643"/>
      <c r="TMC27" s="643"/>
      <c r="TMD27" s="643"/>
      <c r="TME27" s="643"/>
      <c r="TMF27" s="643"/>
      <c r="TMG27" s="643"/>
      <c r="TMH27" s="643"/>
      <c r="TMI27" s="643"/>
      <c r="TMJ27" s="643"/>
      <c r="TMK27" s="643"/>
      <c r="TML27" s="643"/>
      <c r="TMM27" s="643"/>
      <c r="TMN27" s="643"/>
      <c r="TMO27" s="643"/>
      <c r="TMP27" s="643"/>
      <c r="TMQ27" s="643"/>
      <c r="TMR27" s="643"/>
      <c r="TMS27" s="643"/>
      <c r="TMT27" s="643"/>
      <c r="TMU27" s="643"/>
      <c r="TMV27" s="643"/>
      <c r="TMW27" s="643"/>
      <c r="TMX27" s="643"/>
      <c r="TMY27" s="643"/>
      <c r="TMZ27" s="643"/>
      <c r="TNA27" s="643"/>
      <c r="TNB27" s="643"/>
      <c r="TNC27" s="643"/>
      <c r="TND27" s="643"/>
      <c r="TNE27" s="643"/>
      <c r="TNF27" s="643"/>
      <c r="TNG27" s="643"/>
      <c r="TNH27" s="643"/>
      <c r="TNI27" s="643"/>
      <c r="TNJ27" s="643"/>
      <c r="TNK27" s="643"/>
      <c r="TNL27" s="643"/>
      <c r="TNM27" s="643"/>
      <c r="TNN27" s="643"/>
      <c r="TNO27" s="643"/>
      <c r="TNP27" s="643"/>
      <c r="TNQ27" s="643"/>
      <c r="TNR27" s="643"/>
      <c r="TNS27" s="643"/>
      <c r="TNT27" s="643"/>
      <c r="TNU27" s="643"/>
      <c r="TNV27" s="643"/>
      <c r="TNW27" s="643"/>
      <c r="TNX27" s="643"/>
      <c r="TNY27" s="643"/>
      <c r="TNZ27" s="643"/>
      <c r="TOA27" s="643"/>
      <c r="TOB27" s="643"/>
      <c r="TOC27" s="643"/>
      <c r="TOD27" s="643"/>
      <c r="TOE27" s="643"/>
      <c r="TOF27" s="643"/>
      <c r="TOG27" s="643"/>
      <c r="TOH27" s="643"/>
      <c r="TOI27" s="643"/>
      <c r="TOJ27" s="643"/>
      <c r="TOK27" s="643"/>
      <c r="TOL27" s="643"/>
      <c r="TOM27" s="643"/>
      <c r="TON27" s="643"/>
      <c r="TOO27" s="643"/>
      <c r="TOP27" s="643"/>
      <c r="TOQ27" s="643"/>
      <c r="TOR27" s="643"/>
      <c r="TOS27" s="643"/>
      <c r="TOT27" s="643"/>
      <c r="TOU27" s="643"/>
      <c r="TOV27" s="643"/>
      <c r="TOW27" s="643"/>
      <c r="TOX27" s="643"/>
      <c r="TOY27" s="643"/>
      <c r="TOZ27" s="643"/>
      <c r="TPA27" s="643"/>
      <c r="TPB27" s="643"/>
      <c r="TPC27" s="643"/>
      <c r="TPD27" s="643"/>
      <c r="TPE27" s="643"/>
      <c r="TPF27" s="643"/>
      <c r="TPG27" s="643"/>
      <c r="TPH27" s="643"/>
      <c r="TPI27" s="643"/>
      <c r="TPJ27" s="643"/>
      <c r="TPK27" s="643"/>
      <c r="TPL27" s="643"/>
      <c r="TPM27" s="643"/>
      <c r="TPN27" s="643"/>
      <c r="TPO27" s="643"/>
      <c r="TPP27" s="643"/>
      <c r="TPQ27" s="643"/>
      <c r="TPR27" s="643"/>
      <c r="TPS27" s="643"/>
      <c r="TPT27" s="643"/>
      <c r="TPU27" s="643"/>
      <c r="TPV27" s="643"/>
      <c r="TPW27" s="643"/>
      <c r="TPX27" s="643"/>
      <c r="TPY27" s="643"/>
      <c r="TPZ27" s="643"/>
      <c r="TQA27" s="643"/>
      <c r="TQB27" s="643"/>
      <c r="TQC27" s="643"/>
      <c r="TQD27" s="643"/>
      <c r="TQE27" s="643"/>
      <c r="TQF27" s="643"/>
      <c r="TQG27" s="643"/>
      <c r="TQH27" s="643"/>
      <c r="TQI27" s="643"/>
      <c r="TQJ27" s="643"/>
      <c r="TQK27" s="643"/>
      <c r="TQL27" s="643"/>
      <c r="TQM27" s="643"/>
      <c r="TQN27" s="643"/>
      <c r="TQO27" s="643"/>
      <c r="TQP27" s="643"/>
      <c r="TQQ27" s="643"/>
      <c r="TQR27" s="643"/>
      <c r="TQS27" s="643"/>
      <c r="TQT27" s="643"/>
      <c r="TQU27" s="643"/>
      <c r="TQV27" s="643"/>
      <c r="TQW27" s="643"/>
      <c r="TQX27" s="643"/>
      <c r="TQY27" s="643"/>
      <c r="TQZ27" s="643"/>
      <c r="TRA27" s="643"/>
      <c r="TRB27" s="643"/>
      <c r="TRC27" s="643"/>
      <c r="TRD27" s="643"/>
      <c r="TRE27" s="643"/>
      <c r="TRF27" s="643"/>
      <c r="TRG27" s="643"/>
      <c r="TRH27" s="643"/>
      <c r="TRI27" s="643"/>
      <c r="TRJ27" s="643"/>
      <c r="TRK27" s="643"/>
      <c r="TRL27" s="643"/>
      <c r="TRM27" s="643"/>
      <c r="TRN27" s="643"/>
      <c r="TRO27" s="643"/>
      <c r="TRP27" s="643"/>
      <c r="TRQ27" s="643"/>
      <c r="TRR27" s="643"/>
      <c r="TRS27" s="643"/>
      <c r="TRT27" s="643"/>
      <c r="TRU27" s="643"/>
      <c r="TRV27" s="643"/>
      <c r="TRW27" s="643"/>
      <c r="TRX27" s="643"/>
      <c r="TRY27" s="643"/>
      <c r="TRZ27" s="643"/>
      <c r="TSA27" s="643"/>
      <c r="TSB27" s="643"/>
      <c r="TSC27" s="643"/>
      <c r="TSD27" s="643"/>
      <c r="TSE27" s="643"/>
      <c r="TSF27" s="643"/>
      <c r="TSG27" s="643"/>
      <c r="TSH27" s="643"/>
      <c r="TSI27" s="643"/>
      <c r="TSJ27" s="643"/>
      <c r="TSK27" s="643"/>
      <c r="TSL27" s="643"/>
      <c r="TSM27" s="643"/>
      <c r="TSN27" s="643"/>
      <c r="TSO27" s="643"/>
      <c r="TSP27" s="643"/>
      <c r="TSQ27" s="643"/>
      <c r="TSR27" s="643"/>
      <c r="TSS27" s="643"/>
      <c r="TST27" s="643"/>
      <c r="TSU27" s="643"/>
      <c r="TSV27" s="643"/>
      <c r="TSW27" s="643"/>
      <c r="TSX27" s="643"/>
      <c r="TSY27" s="643"/>
      <c r="TSZ27" s="643"/>
      <c r="TTA27" s="643"/>
      <c r="TTB27" s="643"/>
      <c r="TTC27" s="643"/>
      <c r="TTD27" s="643"/>
      <c r="TTE27" s="643"/>
      <c r="TTF27" s="643"/>
      <c r="TTG27" s="643"/>
      <c r="TTH27" s="643"/>
      <c r="TTI27" s="643"/>
      <c r="TTJ27" s="643"/>
      <c r="TTK27" s="643"/>
      <c r="TTL27" s="643"/>
      <c r="TTM27" s="643"/>
      <c r="TTN27" s="643"/>
      <c r="TTO27" s="643"/>
      <c r="TTP27" s="643"/>
      <c r="TTQ27" s="643"/>
      <c r="TTR27" s="643"/>
      <c r="TTS27" s="643"/>
      <c r="TTT27" s="643"/>
      <c r="TTU27" s="643"/>
      <c r="TTV27" s="643"/>
      <c r="TTW27" s="643"/>
      <c r="TTX27" s="643"/>
      <c r="TTY27" s="643"/>
      <c r="TTZ27" s="643"/>
      <c r="TUA27" s="643"/>
      <c r="TUB27" s="643"/>
      <c r="TUC27" s="643"/>
      <c r="TUD27" s="643"/>
      <c r="TUE27" s="643"/>
      <c r="TUF27" s="643"/>
      <c r="TUG27" s="643"/>
      <c r="TUH27" s="643"/>
      <c r="TUI27" s="643"/>
      <c r="TUJ27" s="643"/>
      <c r="TUK27" s="643"/>
      <c r="TUL27" s="643"/>
      <c r="TUM27" s="643"/>
      <c r="TUN27" s="643"/>
      <c r="TUO27" s="643"/>
      <c r="TUP27" s="643"/>
      <c r="TUQ27" s="643"/>
      <c r="TUR27" s="643"/>
      <c r="TUS27" s="643"/>
      <c r="TUT27" s="643"/>
      <c r="TUU27" s="643"/>
      <c r="TUV27" s="643"/>
      <c r="TUW27" s="643"/>
      <c r="TUX27" s="643"/>
      <c r="TUY27" s="643"/>
      <c r="TUZ27" s="643"/>
      <c r="TVA27" s="643"/>
      <c r="TVB27" s="643"/>
      <c r="TVC27" s="643"/>
      <c r="TVD27" s="643"/>
      <c r="TVE27" s="643"/>
      <c r="TVF27" s="643"/>
      <c r="TVG27" s="643"/>
      <c r="TVH27" s="643"/>
      <c r="TVI27" s="643"/>
      <c r="TVJ27" s="643"/>
      <c r="TVK27" s="643"/>
      <c r="TVL27" s="643"/>
      <c r="TVM27" s="643"/>
      <c r="TVN27" s="643"/>
      <c r="TVO27" s="643"/>
      <c r="TVP27" s="643"/>
      <c r="TVQ27" s="643"/>
      <c r="TVR27" s="643"/>
      <c r="TVS27" s="643"/>
      <c r="TVT27" s="643"/>
      <c r="TVU27" s="643"/>
      <c r="TVV27" s="643"/>
      <c r="TVW27" s="643"/>
      <c r="TVX27" s="643"/>
      <c r="TVY27" s="643"/>
      <c r="TVZ27" s="643"/>
      <c r="TWA27" s="643"/>
      <c r="TWB27" s="643"/>
      <c r="TWC27" s="643"/>
      <c r="TWD27" s="643"/>
      <c r="TWE27" s="643"/>
      <c r="TWF27" s="643"/>
      <c r="TWG27" s="643"/>
      <c r="TWH27" s="643"/>
      <c r="TWI27" s="643"/>
      <c r="TWJ27" s="643"/>
      <c r="TWK27" s="643"/>
      <c r="TWL27" s="643"/>
      <c r="TWM27" s="643"/>
      <c r="TWN27" s="643"/>
      <c r="TWO27" s="643"/>
      <c r="TWP27" s="643"/>
      <c r="TWQ27" s="643"/>
      <c r="TWR27" s="643"/>
      <c r="TWS27" s="643"/>
      <c r="TWT27" s="643"/>
      <c r="TWU27" s="643"/>
      <c r="TWV27" s="643"/>
      <c r="TWW27" s="643"/>
      <c r="TWX27" s="643"/>
      <c r="TWY27" s="643"/>
      <c r="TWZ27" s="643"/>
      <c r="TXA27" s="643"/>
      <c r="TXB27" s="643"/>
      <c r="TXC27" s="643"/>
      <c r="TXD27" s="643"/>
      <c r="TXE27" s="643"/>
      <c r="TXF27" s="643"/>
      <c r="TXG27" s="643"/>
      <c r="TXH27" s="643"/>
      <c r="TXI27" s="643"/>
      <c r="TXJ27" s="643"/>
      <c r="TXK27" s="643"/>
      <c r="TXL27" s="643"/>
      <c r="TXM27" s="643"/>
      <c r="TXN27" s="643"/>
      <c r="TXO27" s="643"/>
      <c r="TXP27" s="643"/>
      <c r="TXQ27" s="643"/>
      <c r="TXR27" s="643"/>
      <c r="TXS27" s="643"/>
      <c r="TXT27" s="643"/>
      <c r="TXU27" s="643"/>
      <c r="TXV27" s="643"/>
      <c r="TXW27" s="643"/>
      <c r="TXX27" s="643"/>
      <c r="TXY27" s="643"/>
      <c r="TXZ27" s="643"/>
      <c r="TYA27" s="643"/>
      <c r="TYB27" s="643"/>
      <c r="TYC27" s="643"/>
      <c r="TYD27" s="643"/>
      <c r="TYE27" s="643"/>
      <c r="TYF27" s="643"/>
      <c r="TYG27" s="643"/>
      <c r="TYH27" s="643"/>
      <c r="TYI27" s="643"/>
      <c r="TYJ27" s="643"/>
      <c r="TYK27" s="643"/>
      <c r="TYL27" s="643"/>
      <c r="TYM27" s="643"/>
      <c r="TYN27" s="643"/>
      <c r="TYO27" s="643"/>
      <c r="TYP27" s="643"/>
      <c r="TYQ27" s="643"/>
      <c r="TYR27" s="643"/>
      <c r="TYS27" s="643"/>
      <c r="TYT27" s="643"/>
      <c r="TYU27" s="643"/>
      <c r="TYV27" s="643"/>
      <c r="TYW27" s="643"/>
      <c r="TYX27" s="643"/>
      <c r="TYY27" s="643"/>
      <c r="TYZ27" s="643"/>
      <c r="TZA27" s="643"/>
      <c r="TZB27" s="643"/>
      <c r="TZC27" s="643"/>
      <c r="TZD27" s="643"/>
      <c r="TZE27" s="643"/>
      <c r="TZF27" s="643"/>
      <c r="TZG27" s="643"/>
      <c r="TZH27" s="643"/>
      <c r="TZI27" s="643"/>
      <c r="TZJ27" s="643"/>
      <c r="TZK27" s="643"/>
      <c r="TZL27" s="643"/>
      <c r="TZM27" s="643"/>
      <c r="TZN27" s="643"/>
      <c r="TZO27" s="643"/>
      <c r="TZP27" s="643"/>
      <c r="TZQ27" s="643"/>
      <c r="TZR27" s="643"/>
      <c r="TZS27" s="643"/>
      <c r="TZT27" s="643"/>
      <c r="TZU27" s="643"/>
      <c r="TZV27" s="643"/>
      <c r="TZW27" s="643"/>
      <c r="TZX27" s="643"/>
      <c r="TZY27" s="643"/>
      <c r="TZZ27" s="643"/>
      <c r="UAA27" s="643"/>
      <c r="UAB27" s="643"/>
      <c r="UAC27" s="643"/>
      <c r="UAD27" s="643"/>
      <c r="UAE27" s="643"/>
      <c r="UAF27" s="643"/>
      <c r="UAG27" s="643"/>
      <c r="UAH27" s="643"/>
      <c r="UAI27" s="643"/>
      <c r="UAJ27" s="643"/>
      <c r="UAK27" s="643"/>
      <c r="UAL27" s="643"/>
      <c r="UAM27" s="643"/>
      <c r="UAN27" s="643"/>
      <c r="UAO27" s="643"/>
      <c r="UAP27" s="643"/>
      <c r="UAQ27" s="643"/>
      <c r="UAR27" s="643"/>
      <c r="UAS27" s="643"/>
      <c r="UAT27" s="643"/>
      <c r="UAU27" s="643"/>
      <c r="UAV27" s="643"/>
      <c r="UAW27" s="643"/>
      <c r="UAX27" s="643"/>
      <c r="UAY27" s="643"/>
      <c r="UAZ27" s="643"/>
      <c r="UBA27" s="643"/>
      <c r="UBB27" s="643"/>
      <c r="UBC27" s="643"/>
      <c r="UBD27" s="643"/>
      <c r="UBE27" s="643"/>
      <c r="UBF27" s="643"/>
      <c r="UBG27" s="643"/>
      <c r="UBH27" s="643"/>
      <c r="UBI27" s="643"/>
      <c r="UBJ27" s="643"/>
      <c r="UBK27" s="643"/>
      <c r="UBL27" s="643"/>
      <c r="UBM27" s="643"/>
      <c r="UBN27" s="643"/>
      <c r="UBO27" s="643"/>
      <c r="UBP27" s="643"/>
      <c r="UBQ27" s="643"/>
      <c r="UBR27" s="643"/>
      <c r="UBS27" s="643"/>
      <c r="UBT27" s="643"/>
      <c r="UBU27" s="643"/>
      <c r="UBV27" s="643"/>
      <c r="UBW27" s="643"/>
      <c r="UBX27" s="643"/>
      <c r="UBY27" s="643"/>
      <c r="UBZ27" s="643"/>
      <c r="UCA27" s="643"/>
      <c r="UCB27" s="643"/>
      <c r="UCC27" s="643"/>
      <c r="UCD27" s="643"/>
      <c r="UCE27" s="643"/>
      <c r="UCF27" s="643"/>
      <c r="UCG27" s="643"/>
      <c r="UCH27" s="643"/>
      <c r="UCI27" s="643"/>
      <c r="UCJ27" s="643"/>
      <c r="UCK27" s="643"/>
      <c r="UCL27" s="643"/>
      <c r="UCM27" s="643"/>
      <c r="UCN27" s="643"/>
      <c r="UCO27" s="643"/>
      <c r="UCP27" s="643"/>
      <c r="UCQ27" s="643"/>
      <c r="UCR27" s="643"/>
      <c r="UCS27" s="643"/>
      <c r="UCT27" s="643"/>
      <c r="UCU27" s="643"/>
      <c r="UCV27" s="643"/>
      <c r="UCW27" s="643"/>
      <c r="UCX27" s="643"/>
      <c r="UCY27" s="643"/>
      <c r="UCZ27" s="643"/>
      <c r="UDA27" s="643"/>
      <c r="UDB27" s="643"/>
      <c r="UDC27" s="643"/>
      <c r="UDD27" s="643"/>
      <c r="UDE27" s="643"/>
      <c r="UDF27" s="643"/>
      <c r="UDG27" s="643"/>
      <c r="UDH27" s="643"/>
      <c r="UDI27" s="643"/>
      <c r="UDJ27" s="643"/>
      <c r="UDK27" s="643"/>
      <c r="UDL27" s="643"/>
      <c r="UDM27" s="643"/>
      <c r="UDN27" s="643"/>
      <c r="UDO27" s="643"/>
      <c r="UDP27" s="643"/>
      <c r="UDQ27" s="643"/>
      <c r="UDR27" s="643"/>
      <c r="UDS27" s="643"/>
      <c r="UDT27" s="643"/>
      <c r="UDU27" s="643"/>
      <c r="UDV27" s="643"/>
      <c r="UDW27" s="643"/>
      <c r="UDX27" s="643"/>
      <c r="UDY27" s="643"/>
      <c r="UDZ27" s="643"/>
      <c r="UEA27" s="643"/>
      <c r="UEB27" s="643"/>
      <c r="UEC27" s="643"/>
      <c r="UED27" s="643"/>
      <c r="UEE27" s="643"/>
      <c r="UEF27" s="643"/>
      <c r="UEG27" s="643"/>
      <c r="UEH27" s="643"/>
      <c r="UEI27" s="643"/>
      <c r="UEJ27" s="643"/>
      <c r="UEK27" s="643"/>
      <c r="UEL27" s="643"/>
      <c r="UEM27" s="643"/>
      <c r="UEN27" s="643"/>
      <c r="UEO27" s="643"/>
      <c r="UEP27" s="643"/>
      <c r="UEQ27" s="643"/>
      <c r="UER27" s="643"/>
      <c r="UES27" s="643"/>
      <c r="UET27" s="643"/>
      <c r="UEU27" s="643"/>
      <c r="UEV27" s="643"/>
      <c r="UEW27" s="643"/>
      <c r="UEX27" s="643"/>
      <c r="UEY27" s="643"/>
      <c r="UEZ27" s="643"/>
      <c r="UFA27" s="643"/>
      <c r="UFB27" s="643"/>
      <c r="UFC27" s="643"/>
      <c r="UFD27" s="643"/>
      <c r="UFE27" s="643"/>
      <c r="UFF27" s="643"/>
      <c r="UFG27" s="643"/>
      <c r="UFH27" s="643"/>
      <c r="UFI27" s="643"/>
      <c r="UFJ27" s="643"/>
      <c r="UFK27" s="643"/>
      <c r="UFL27" s="643"/>
      <c r="UFM27" s="643"/>
      <c r="UFN27" s="643"/>
      <c r="UFO27" s="643"/>
      <c r="UFP27" s="643"/>
      <c r="UFQ27" s="643"/>
      <c r="UFR27" s="643"/>
      <c r="UFS27" s="643"/>
      <c r="UFT27" s="643"/>
      <c r="UFU27" s="643"/>
      <c r="UFV27" s="643"/>
      <c r="UFW27" s="643"/>
      <c r="UFX27" s="643"/>
      <c r="UFY27" s="643"/>
      <c r="UFZ27" s="643"/>
      <c r="UGA27" s="643"/>
      <c r="UGB27" s="643"/>
      <c r="UGC27" s="643"/>
      <c r="UGD27" s="643"/>
      <c r="UGE27" s="643"/>
      <c r="UGF27" s="643"/>
      <c r="UGG27" s="643"/>
      <c r="UGH27" s="643"/>
      <c r="UGI27" s="643"/>
      <c r="UGJ27" s="643"/>
      <c r="UGK27" s="643"/>
      <c r="UGL27" s="643"/>
      <c r="UGM27" s="643"/>
      <c r="UGN27" s="643"/>
      <c r="UGO27" s="643"/>
      <c r="UGP27" s="643"/>
      <c r="UGQ27" s="643"/>
      <c r="UGR27" s="643"/>
      <c r="UGS27" s="643"/>
      <c r="UGT27" s="643"/>
      <c r="UGU27" s="643"/>
      <c r="UGV27" s="643"/>
      <c r="UGW27" s="643"/>
      <c r="UGX27" s="643"/>
      <c r="UGY27" s="643"/>
      <c r="UGZ27" s="643"/>
      <c r="UHA27" s="643"/>
      <c r="UHB27" s="643"/>
      <c r="UHC27" s="643"/>
      <c r="UHD27" s="643"/>
      <c r="UHE27" s="643"/>
      <c r="UHF27" s="643"/>
      <c r="UHG27" s="643"/>
      <c r="UHH27" s="643"/>
      <c r="UHI27" s="643"/>
      <c r="UHJ27" s="643"/>
      <c r="UHK27" s="643"/>
      <c r="UHL27" s="643"/>
      <c r="UHM27" s="643"/>
      <c r="UHN27" s="643"/>
      <c r="UHO27" s="643"/>
      <c r="UHP27" s="643"/>
      <c r="UHQ27" s="643"/>
      <c r="UHR27" s="643"/>
      <c r="UHS27" s="643"/>
      <c r="UHT27" s="643"/>
      <c r="UHU27" s="643"/>
      <c r="UHV27" s="643"/>
      <c r="UHW27" s="643"/>
      <c r="UHX27" s="643"/>
      <c r="UHY27" s="643"/>
      <c r="UHZ27" s="643"/>
      <c r="UIA27" s="643"/>
      <c r="UIB27" s="643"/>
      <c r="UIC27" s="643"/>
      <c r="UID27" s="643"/>
      <c r="UIE27" s="643"/>
      <c r="UIF27" s="643"/>
      <c r="UIG27" s="643"/>
      <c r="UIH27" s="643"/>
      <c r="UII27" s="643"/>
      <c r="UIJ27" s="643"/>
      <c r="UIK27" s="643"/>
      <c r="UIL27" s="643"/>
      <c r="UIM27" s="643"/>
      <c r="UIN27" s="643"/>
      <c r="UIO27" s="643"/>
      <c r="UIP27" s="643"/>
      <c r="UIQ27" s="643"/>
      <c r="UIR27" s="643"/>
      <c r="UIS27" s="643"/>
      <c r="UIT27" s="643"/>
      <c r="UIU27" s="643"/>
      <c r="UIV27" s="643"/>
      <c r="UIW27" s="643"/>
      <c r="UIX27" s="643"/>
      <c r="UIY27" s="643"/>
      <c r="UIZ27" s="643"/>
      <c r="UJA27" s="643"/>
      <c r="UJB27" s="643"/>
      <c r="UJC27" s="643"/>
      <c r="UJD27" s="643"/>
      <c r="UJE27" s="643"/>
      <c r="UJF27" s="643"/>
      <c r="UJG27" s="643"/>
      <c r="UJH27" s="643"/>
      <c r="UJI27" s="643"/>
      <c r="UJJ27" s="643"/>
      <c r="UJK27" s="643"/>
      <c r="UJL27" s="643"/>
      <c r="UJM27" s="643"/>
      <c r="UJN27" s="643"/>
      <c r="UJO27" s="643"/>
      <c r="UJP27" s="643"/>
      <c r="UJQ27" s="643"/>
      <c r="UJR27" s="643"/>
      <c r="UJS27" s="643"/>
      <c r="UJT27" s="643"/>
      <c r="UJU27" s="643"/>
      <c r="UJV27" s="643"/>
      <c r="UJW27" s="643"/>
      <c r="UJX27" s="643"/>
      <c r="UJY27" s="643"/>
      <c r="UJZ27" s="643"/>
      <c r="UKA27" s="643"/>
      <c r="UKB27" s="643"/>
      <c r="UKC27" s="643"/>
      <c r="UKD27" s="643"/>
      <c r="UKE27" s="643"/>
      <c r="UKF27" s="643"/>
      <c r="UKG27" s="643"/>
      <c r="UKH27" s="643"/>
      <c r="UKI27" s="643"/>
      <c r="UKJ27" s="643"/>
      <c r="UKK27" s="643"/>
      <c r="UKL27" s="643"/>
      <c r="UKM27" s="643"/>
      <c r="UKN27" s="643"/>
      <c r="UKO27" s="643"/>
      <c r="UKP27" s="643"/>
      <c r="UKQ27" s="643"/>
      <c r="UKR27" s="643"/>
      <c r="UKS27" s="643"/>
      <c r="UKT27" s="643"/>
      <c r="UKU27" s="643"/>
      <c r="UKV27" s="643"/>
      <c r="UKW27" s="643"/>
      <c r="UKX27" s="643"/>
      <c r="UKY27" s="643"/>
      <c r="UKZ27" s="643"/>
      <c r="ULA27" s="643"/>
      <c r="ULB27" s="643"/>
      <c r="ULC27" s="643"/>
      <c r="ULD27" s="643"/>
      <c r="ULE27" s="643"/>
      <c r="ULF27" s="643"/>
      <c r="ULG27" s="643"/>
      <c r="ULH27" s="643"/>
      <c r="ULI27" s="643"/>
      <c r="ULJ27" s="643"/>
      <c r="ULK27" s="643"/>
      <c r="ULL27" s="643"/>
      <c r="ULM27" s="643"/>
      <c r="ULN27" s="643"/>
      <c r="ULO27" s="643"/>
      <c r="ULP27" s="643"/>
      <c r="ULQ27" s="643"/>
      <c r="ULR27" s="643"/>
      <c r="ULS27" s="643"/>
      <c r="ULT27" s="643"/>
      <c r="ULU27" s="643"/>
      <c r="ULV27" s="643"/>
      <c r="ULW27" s="643"/>
      <c r="ULX27" s="643"/>
      <c r="ULY27" s="643"/>
      <c r="ULZ27" s="643"/>
      <c r="UMA27" s="643"/>
      <c r="UMB27" s="643"/>
      <c r="UMC27" s="643"/>
      <c r="UMD27" s="643"/>
      <c r="UME27" s="643"/>
      <c r="UMF27" s="643"/>
      <c r="UMG27" s="643"/>
      <c r="UMH27" s="643"/>
      <c r="UMI27" s="643"/>
      <c r="UMJ27" s="643"/>
      <c r="UMK27" s="643"/>
      <c r="UML27" s="643"/>
      <c r="UMM27" s="643"/>
      <c r="UMN27" s="643"/>
      <c r="UMO27" s="643"/>
      <c r="UMP27" s="643"/>
      <c r="UMQ27" s="643"/>
      <c r="UMR27" s="643"/>
      <c r="UMS27" s="643"/>
      <c r="UMT27" s="643"/>
      <c r="UMU27" s="643"/>
      <c r="UMV27" s="643"/>
      <c r="UMW27" s="643"/>
      <c r="UMX27" s="643"/>
      <c r="UMY27" s="643"/>
      <c r="UMZ27" s="643"/>
      <c r="UNA27" s="643"/>
      <c r="UNB27" s="643"/>
      <c r="UNC27" s="643"/>
      <c r="UND27" s="643"/>
      <c r="UNE27" s="643"/>
      <c r="UNF27" s="643"/>
      <c r="UNG27" s="643"/>
      <c r="UNH27" s="643"/>
      <c r="UNI27" s="643"/>
      <c r="UNJ27" s="643"/>
      <c r="UNK27" s="643"/>
      <c r="UNL27" s="643"/>
      <c r="UNM27" s="643"/>
      <c r="UNN27" s="643"/>
      <c r="UNO27" s="643"/>
      <c r="UNP27" s="643"/>
      <c r="UNQ27" s="643"/>
      <c r="UNR27" s="643"/>
      <c r="UNS27" s="643"/>
      <c r="UNT27" s="643"/>
      <c r="UNU27" s="643"/>
      <c r="UNV27" s="643"/>
      <c r="UNW27" s="643"/>
      <c r="UNX27" s="643"/>
      <c r="UNY27" s="643"/>
      <c r="UNZ27" s="643"/>
      <c r="UOA27" s="643"/>
      <c r="UOB27" s="643"/>
      <c r="UOC27" s="643"/>
      <c r="UOD27" s="643"/>
      <c r="UOE27" s="643"/>
      <c r="UOF27" s="643"/>
      <c r="UOG27" s="643"/>
      <c r="UOH27" s="643"/>
      <c r="UOI27" s="643"/>
      <c r="UOJ27" s="643"/>
      <c r="UOK27" s="643"/>
      <c r="UOL27" s="643"/>
      <c r="UOM27" s="643"/>
      <c r="UON27" s="643"/>
      <c r="UOO27" s="643"/>
      <c r="UOP27" s="643"/>
      <c r="UOQ27" s="643"/>
      <c r="UOR27" s="643"/>
      <c r="UOS27" s="643"/>
      <c r="UOT27" s="643"/>
      <c r="UOU27" s="643"/>
      <c r="UOV27" s="643"/>
      <c r="UOW27" s="643"/>
      <c r="UOX27" s="643"/>
      <c r="UOY27" s="643"/>
      <c r="UOZ27" s="643"/>
      <c r="UPA27" s="643"/>
      <c r="UPB27" s="643"/>
      <c r="UPC27" s="643"/>
      <c r="UPD27" s="643"/>
      <c r="UPE27" s="643"/>
      <c r="UPF27" s="643"/>
      <c r="UPG27" s="643"/>
      <c r="UPH27" s="643"/>
      <c r="UPI27" s="643"/>
      <c r="UPJ27" s="643"/>
      <c r="UPK27" s="643"/>
      <c r="UPL27" s="643"/>
      <c r="UPM27" s="643"/>
      <c r="UPN27" s="643"/>
      <c r="UPO27" s="643"/>
      <c r="UPP27" s="643"/>
      <c r="UPQ27" s="643"/>
      <c r="UPR27" s="643"/>
      <c r="UPS27" s="643"/>
      <c r="UPT27" s="643"/>
      <c r="UPU27" s="643"/>
      <c r="UPV27" s="643"/>
      <c r="UPW27" s="643"/>
      <c r="UPX27" s="643"/>
      <c r="UPY27" s="643"/>
      <c r="UPZ27" s="643"/>
      <c r="UQA27" s="643"/>
      <c r="UQB27" s="643"/>
      <c r="UQC27" s="643"/>
      <c r="UQD27" s="643"/>
      <c r="UQE27" s="643"/>
      <c r="UQF27" s="643"/>
      <c r="UQG27" s="643"/>
      <c r="UQH27" s="643"/>
      <c r="UQI27" s="643"/>
      <c r="UQJ27" s="643"/>
      <c r="UQK27" s="643"/>
      <c r="UQL27" s="643"/>
      <c r="UQM27" s="643"/>
      <c r="UQN27" s="643"/>
      <c r="UQO27" s="643"/>
      <c r="UQP27" s="643"/>
      <c r="UQQ27" s="643"/>
      <c r="UQR27" s="643"/>
      <c r="UQS27" s="643"/>
      <c r="UQT27" s="643"/>
      <c r="UQU27" s="643"/>
      <c r="UQV27" s="643"/>
      <c r="UQW27" s="643"/>
      <c r="UQX27" s="643"/>
      <c r="UQY27" s="643"/>
      <c r="UQZ27" s="643"/>
      <c r="URA27" s="643"/>
      <c r="URB27" s="643"/>
      <c r="URC27" s="643"/>
      <c r="URD27" s="643"/>
      <c r="URE27" s="643"/>
      <c r="URF27" s="643"/>
      <c r="URG27" s="643"/>
      <c r="URH27" s="643"/>
      <c r="URI27" s="643"/>
      <c r="URJ27" s="643"/>
      <c r="URK27" s="643"/>
      <c r="URL27" s="643"/>
      <c r="URM27" s="643"/>
      <c r="URN27" s="643"/>
      <c r="URO27" s="643"/>
      <c r="URP27" s="643"/>
      <c r="URQ27" s="643"/>
      <c r="URR27" s="643"/>
      <c r="URS27" s="643"/>
      <c r="URT27" s="643"/>
      <c r="URU27" s="643"/>
      <c r="URV27" s="643"/>
      <c r="URW27" s="643"/>
      <c r="URX27" s="643"/>
      <c r="URY27" s="643"/>
      <c r="URZ27" s="643"/>
      <c r="USA27" s="643"/>
      <c r="USB27" s="643"/>
      <c r="USC27" s="643"/>
      <c r="USD27" s="643"/>
      <c r="USE27" s="643"/>
      <c r="USF27" s="643"/>
      <c r="USG27" s="643"/>
      <c r="USH27" s="643"/>
      <c r="USI27" s="643"/>
      <c r="USJ27" s="643"/>
      <c r="USK27" s="643"/>
      <c r="USL27" s="643"/>
      <c r="USM27" s="643"/>
      <c r="USN27" s="643"/>
      <c r="USO27" s="643"/>
      <c r="USP27" s="643"/>
      <c r="USQ27" s="643"/>
      <c r="USR27" s="643"/>
      <c r="USS27" s="643"/>
      <c r="UST27" s="643"/>
      <c r="USU27" s="643"/>
      <c r="USV27" s="643"/>
      <c r="USW27" s="643"/>
      <c r="USX27" s="643"/>
      <c r="USY27" s="643"/>
      <c r="USZ27" s="643"/>
      <c r="UTA27" s="643"/>
      <c r="UTB27" s="643"/>
      <c r="UTC27" s="643"/>
      <c r="UTD27" s="643"/>
      <c r="UTE27" s="643"/>
      <c r="UTF27" s="643"/>
      <c r="UTG27" s="643"/>
      <c r="UTH27" s="643"/>
      <c r="UTI27" s="643"/>
      <c r="UTJ27" s="643"/>
      <c r="UTK27" s="643"/>
      <c r="UTL27" s="643"/>
      <c r="UTM27" s="643"/>
      <c r="UTN27" s="643"/>
      <c r="UTO27" s="643"/>
      <c r="UTP27" s="643"/>
      <c r="UTQ27" s="643"/>
      <c r="UTR27" s="643"/>
      <c r="UTS27" s="643"/>
      <c r="UTT27" s="643"/>
      <c r="UTU27" s="643"/>
      <c r="UTV27" s="643"/>
      <c r="UTW27" s="643"/>
      <c r="UTX27" s="643"/>
      <c r="UTY27" s="643"/>
      <c r="UTZ27" s="643"/>
      <c r="UUA27" s="643"/>
      <c r="UUB27" s="643"/>
      <c r="UUC27" s="643"/>
      <c r="UUD27" s="643"/>
      <c r="UUE27" s="643"/>
      <c r="UUF27" s="643"/>
      <c r="UUG27" s="643"/>
      <c r="UUH27" s="643"/>
      <c r="UUI27" s="643"/>
      <c r="UUJ27" s="643"/>
      <c r="UUK27" s="643"/>
      <c r="UUL27" s="643"/>
      <c r="UUM27" s="643"/>
      <c r="UUN27" s="643"/>
      <c r="UUO27" s="643"/>
      <c r="UUP27" s="643"/>
      <c r="UUQ27" s="643"/>
      <c r="UUR27" s="643"/>
      <c r="UUS27" s="643"/>
      <c r="UUT27" s="643"/>
      <c r="UUU27" s="643"/>
      <c r="UUV27" s="643"/>
      <c r="UUW27" s="643"/>
      <c r="UUX27" s="643"/>
      <c r="UUY27" s="643"/>
      <c r="UUZ27" s="643"/>
      <c r="UVA27" s="643"/>
      <c r="UVB27" s="643"/>
      <c r="UVC27" s="643"/>
      <c r="UVD27" s="643"/>
      <c r="UVE27" s="643"/>
      <c r="UVF27" s="643"/>
      <c r="UVG27" s="643"/>
      <c r="UVH27" s="643"/>
      <c r="UVI27" s="643"/>
      <c r="UVJ27" s="643"/>
      <c r="UVK27" s="643"/>
      <c r="UVL27" s="643"/>
      <c r="UVM27" s="643"/>
      <c r="UVN27" s="643"/>
      <c r="UVO27" s="643"/>
      <c r="UVP27" s="643"/>
      <c r="UVQ27" s="643"/>
      <c r="UVR27" s="643"/>
      <c r="UVS27" s="643"/>
      <c r="UVT27" s="643"/>
      <c r="UVU27" s="643"/>
      <c r="UVV27" s="643"/>
      <c r="UVW27" s="643"/>
      <c r="UVX27" s="643"/>
      <c r="UVY27" s="643"/>
      <c r="UVZ27" s="643"/>
      <c r="UWA27" s="643"/>
      <c r="UWB27" s="643"/>
      <c r="UWC27" s="643"/>
      <c r="UWD27" s="643"/>
      <c r="UWE27" s="643"/>
      <c r="UWF27" s="643"/>
      <c r="UWG27" s="643"/>
      <c r="UWH27" s="643"/>
      <c r="UWI27" s="643"/>
      <c r="UWJ27" s="643"/>
      <c r="UWK27" s="643"/>
      <c r="UWL27" s="643"/>
      <c r="UWM27" s="643"/>
      <c r="UWN27" s="643"/>
      <c r="UWO27" s="643"/>
      <c r="UWP27" s="643"/>
      <c r="UWQ27" s="643"/>
      <c r="UWR27" s="643"/>
      <c r="UWS27" s="643"/>
      <c r="UWT27" s="643"/>
      <c r="UWU27" s="643"/>
      <c r="UWV27" s="643"/>
      <c r="UWW27" s="643"/>
      <c r="UWX27" s="643"/>
      <c r="UWY27" s="643"/>
      <c r="UWZ27" s="643"/>
      <c r="UXA27" s="643"/>
      <c r="UXB27" s="643"/>
      <c r="UXC27" s="643"/>
      <c r="UXD27" s="643"/>
      <c r="UXE27" s="643"/>
      <c r="UXF27" s="643"/>
      <c r="UXG27" s="643"/>
      <c r="UXH27" s="643"/>
      <c r="UXI27" s="643"/>
      <c r="UXJ27" s="643"/>
      <c r="UXK27" s="643"/>
      <c r="UXL27" s="643"/>
      <c r="UXM27" s="643"/>
      <c r="UXN27" s="643"/>
      <c r="UXO27" s="643"/>
      <c r="UXP27" s="643"/>
      <c r="UXQ27" s="643"/>
      <c r="UXR27" s="643"/>
      <c r="UXS27" s="643"/>
      <c r="UXT27" s="643"/>
      <c r="UXU27" s="643"/>
      <c r="UXV27" s="643"/>
      <c r="UXW27" s="643"/>
      <c r="UXX27" s="643"/>
      <c r="UXY27" s="643"/>
      <c r="UXZ27" s="643"/>
      <c r="UYA27" s="643"/>
      <c r="UYB27" s="643"/>
      <c r="UYC27" s="643"/>
      <c r="UYD27" s="643"/>
      <c r="UYE27" s="643"/>
      <c r="UYF27" s="643"/>
      <c r="UYG27" s="643"/>
      <c r="UYH27" s="643"/>
      <c r="UYI27" s="643"/>
      <c r="UYJ27" s="643"/>
      <c r="UYK27" s="643"/>
      <c r="UYL27" s="643"/>
      <c r="UYM27" s="643"/>
      <c r="UYN27" s="643"/>
      <c r="UYO27" s="643"/>
      <c r="UYP27" s="643"/>
      <c r="UYQ27" s="643"/>
      <c r="UYR27" s="643"/>
      <c r="UYS27" s="643"/>
      <c r="UYT27" s="643"/>
      <c r="UYU27" s="643"/>
      <c r="UYV27" s="643"/>
      <c r="UYW27" s="643"/>
      <c r="UYX27" s="643"/>
      <c r="UYY27" s="643"/>
      <c r="UYZ27" s="643"/>
      <c r="UZA27" s="643"/>
      <c r="UZB27" s="643"/>
      <c r="UZC27" s="643"/>
      <c r="UZD27" s="643"/>
      <c r="UZE27" s="643"/>
      <c r="UZF27" s="643"/>
      <c r="UZG27" s="643"/>
      <c r="UZH27" s="643"/>
      <c r="UZI27" s="643"/>
      <c r="UZJ27" s="643"/>
      <c r="UZK27" s="643"/>
      <c r="UZL27" s="643"/>
      <c r="UZM27" s="643"/>
      <c r="UZN27" s="643"/>
      <c r="UZO27" s="643"/>
      <c r="UZP27" s="643"/>
      <c r="UZQ27" s="643"/>
      <c r="UZR27" s="643"/>
      <c r="UZS27" s="643"/>
      <c r="UZT27" s="643"/>
      <c r="UZU27" s="643"/>
      <c r="UZV27" s="643"/>
      <c r="UZW27" s="643"/>
      <c r="UZX27" s="643"/>
      <c r="UZY27" s="643"/>
      <c r="UZZ27" s="643"/>
      <c r="VAA27" s="643"/>
      <c r="VAB27" s="643"/>
      <c r="VAC27" s="643"/>
      <c r="VAD27" s="643"/>
      <c r="VAE27" s="643"/>
      <c r="VAF27" s="643"/>
      <c r="VAG27" s="643"/>
      <c r="VAH27" s="643"/>
      <c r="VAI27" s="643"/>
      <c r="VAJ27" s="643"/>
      <c r="VAK27" s="643"/>
      <c r="VAL27" s="643"/>
      <c r="VAM27" s="643"/>
      <c r="VAN27" s="643"/>
      <c r="VAO27" s="643"/>
      <c r="VAP27" s="643"/>
      <c r="VAQ27" s="643"/>
      <c r="VAR27" s="643"/>
      <c r="VAS27" s="643"/>
      <c r="VAT27" s="643"/>
      <c r="VAU27" s="643"/>
      <c r="VAV27" s="643"/>
      <c r="VAW27" s="643"/>
      <c r="VAX27" s="643"/>
      <c r="VAY27" s="643"/>
      <c r="VAZ27" s="643"/>
      <c r="VBA27" s="643"/>
      <c r="VBB27" s="643"/>
      <c r="VBC27" s="643"/>
      <c r="VBD27" s="643"/>
      <c r="VBE27" s="643"/>
      <c r="VBF27" s="643"/>
      <c r="VBG27" s="643"/>
      <c r="VBH27" s="643"/>
      <c r="VBI27" s="643"/>
      <c r="VBJ27" s="643"/>
      <c r="VBK27" s="643"/>
      <c r="VBL27" s="643"/>
      <c r="VBM27" s="643"/>
      <c r="VBN27" s="643"/>
      <c r="VBO27" s="643"/>
      <c r="VBP27" s="643"/>
      <c r="VBQ27" s="643"/>
      <c r="VBR27" s="643"/>
      <c r="VBS27" s="643"/>
      <c r="VBT27" s="643"/>
      <c r="VBU27" s="643"/>
      <c r="VBV27" s="643"/>
      <c r="VBW27" s="643"/>
      <c r="VBX27" s="643"/>
      <c r="VBY27" s="643"/>
      <c r="VBZ27" s="643"/>
      <c r="VCA27" s="643"/>
      <c r="VCB27" s="643"/>
      <c r="VCC27" s="643"/>
      <c r="VCD27" s="643"/>
      <c r="VCE27" s="643"/>
      <c r="VCF27" s="643"/>
      <c r="VCG27" s="643"/>
      <c r="VCH27" s="643"/>
      <c r="VCI27" s="643"/>
      <c r="VCJ27" s="643"/>
      <c r="VCK27" s="643"/>
      <c r="VCL27" s="643"/>
      <c r="VCM27" s="643"/>
      <c r="VCN27" s="643"/>
      <c r="VCO27" s="643"/>
      <c r="VCP27" s="643"/>
      <c r="VCQ27" s="643"/>
      <c r="VCR27" s="643"/>
      <c r="VCS27" s="643"/>
      <c r="VCT27" s="643"/>
      <c r="VCU27" s="643"/>
      <c r="VCV27" s="643"/>
      <c r="VCW27" s="643"/>
      <c r="VCX27" s="643"/>
      <c r="VCY27" s="643"/>
      <c r="VCZ27" s="643"/>
      <c r="VDA27" s="643"/>
      <c r="VDB27" s="643"/>
      <c r="VDC27" s="643"/>
      <c r="VDD27" s="643"/>
      <c r="VDE27" s="643"/>
      <c r="VDF27" s="643"/>
      <c r="VDG27" s="643"/>
      <c r="VDH27" s="643"/>
      <c r="VDI27" s="643"/>
      <c r="VDJ27" s="643"/>
      <c r="VDK27" s="643"/>
      <c r="VDL27" s="643"/>
      <c r="VDM27" s="643"/>
      <c r="VDN27" s="643"/>
      <c r="VDO27" s="643"/>
      <c r="VDP27" s="643"/>
      <c r="VDQ27" s="643"/>
      <c r="VDR27" s="643"/>
      <c r="VDS27" s="643"/>
      <c r="VDT27" s="643"/>
      <c r="VDU27" s="643"/>
      <c r="VDV27" s="643"/>
      <c r="VDW27" s="643"/>
      <c r="VDX27" s="643"/>
      <c r="VDY27" s="643"/>
      <c r="VDZ27" s="643"/>
      <c r="VEA27" s="643"/>
      <c r="VEB27" s="643"/>
      <c r="VEC27" s="643"/>
      <c r="VED27" s="643"/>
      <c r="VEE27" s="643"/>
      <c r="VEF27" s="643"/>
      <c r="VEG27" s="643"/>
      <c r="VEH27" s="643"/>
      <c r="VEI27" s="643"/>
      <c r="VEJ27" s="643"/>
      <c r="VEK27" s="643"/>
      <c r="VEL27" s="643"/>
      <c r="VEM27" s="643"/>
      <c r="VEN27" s="643"/>
      <c r="VEO27" s="643"/>
      <c r="VEP27" s="643"/>
      <c r="VEQ27" s="643"/>
      <c r="VER27" s="643"/>
      <c r="VES27" s="643"/>
      <c r="VET27" s="643"/>
      <c r="VEU27" s="643"/>
      <c r="VEV27" s="643"/>
      <c r="VEW27" s="643"/>
      <c r="VEX27" s="643"/>
      <c r="VEY27" s="643"/>
      <c r="VEZ27" s="643"/>
      <c r="VFA27" s="643"/>
      <c r="VFB27" s="643"/>
      <c r="VFC27" s="643"/>
      <c r="VFD27" s="643"/>
      <c r="VFE27" s="643"/>
      <c r="VFF27" s="643"/>
      <c r="VFG27" s="643"/>
      <c r="VFH27" s="643"/>
      <c r="VFI27" s="643"/>
      <c r="VFJ27" s="643"/>
      <c r="VFK27" s="643"/>
      <c r="VFL27" s="643"/>
      <c r="VFM27" s="643"/>
      <c r="VFN27" s="643"/>
      <c r="VFO27" s="643"/>
      <c r="VFP27" s="643"/>
      <c r="VFQ27" s="643"/>
      <c r="VFR27" s="643"/>
      <c r="VFS27" s="643"/>
      <c r="VFT27" s="643"/>
      <c r="VFU27" s="643"/>
      <c r="VFV27" s="643"/>
      <c r="VFW27" s="643"/>
      <c r="VFX27" s="643"/>
      <c r="VFY27" s="643"/>
      <c r="VFZ27" s="643"/>
      <c r="VGA27" s="643"/>
      <c r="VGB27" s="643"/>
      <c r="VGC27" s="643"/>
      <c r="VGD27" s="643"/>
      <c r="VGE27" s="643"/>
      <c r="VGF27" s="643"/>
      <c r="VGG27" s="643"/>
      <c r="VGH27" s="643"/>
      <c r="VGI27" s="643"/>
      <c r="VGJ27" s="643"/>
      <c r="VGK27" s="643"/>
      <c r="VGL27" s="643"/>
      <c r="VGM27" s="643"/>
      <c r="VGN27" s="643"/>
      <c r="VGO27" s="643"/>
      <c r="VGP27" s="643"/>
      <c r="VGQ27" s="643"/>
      <c r="VGR27" s="643"/>
      <c r="VGS27" s="643"/>
      <c r="VGT27" s="643"/>
      <c r="VGU27" s="643"/>
      <c r="VGV27" s="643"/>
      <c r="VGW27" s="643"/>
      <c r="VGX27" s="643"/>
      <c r="VGY27" s="643"/>
      <c r="VGZ27" s="643"/>
      <c r="VHA27" s="643"/>
      <c r="VHB27" s="643"/>
      <c r="VHC27" s="643"/>
      <c r="VHD27" s="643"/>
      <c r="VHE27" s="643"/>
      <c r="VHF27" s="643"/>
      <c r="VHG27" s="643"/>
      <c r="VHH27" s="643"/>
      <c r="VHI27" s="643"/>
      <c r="VHJ27" s="643"/>
      <c r="VHK27" s="643"/>
      <c r="VHL27" s="643"/>
      <c r="VHM27" s="643"/>
      <c r="VHN27" s="643"/>
      <c r="VHO27" s="643"/>
      <c r="VHP27" s="643"/>
      <c r="VHQ27" s="643"/>
      <c r="VHR27" s="643"/>
      <c r="VHS27" s="643"/>
      <c r="VHT27" s="643"/>
      <c r="VHU27" s="643"/>
      <c r="VHV27" s="643"/>
      <c r="VHW27" s="643"/>
      <c r="VHX27" s="643"/>
      <c r="VHY27" s="643"/>
      <c r="VHZ27" s="643"/>
      <c r="VIA27" s="643"/>
      <c r="VIB27" s="643"/>
      <c r="VIC27" s="643"/>
      <c r="VID27" s="643"/>
      <c r="VIE27" s="643"/>
      <c r="VIF27" s="643"/>
      <c r="VIG27" s="643"/>
      <c r="VIH27" s="643"/>
      <c r="VII27" s="643"/>
      <c r="VIJ27" s="643"/>
      <c r="VIK27" s="643"/>
      <c r="VIL27" s="643"/>
      <c r="VIM27" s="643"/>
      <c r="VIN27" s="643"/>
      <c r="VIO27" s="643"/>
      <c r="VIP27" s="643"/>
      <c r="VIQ27" s="643"/>
      <c r="VIR27" s="643"/>
      <c r="VIS27" s="643"/>
      <c r="VIT27" s="643"/>
      <c r="VIU27" s="643"/>
      <c r="VIV27" s="643"/>
      <c r="VIW27" s="643"/>
      <c r="VIX27" s="643"/>
      <c r="VIY27" s="643"/>
      <c r="VIZ27" s="643"/>
      <c r="VJA27" s="643"/>
      <c r="VJB27" s="643"/>
      <c r="VJC27" s="643"/>
      <c r="VJD27" s="643"/>
      <c r="VJE27" s="643"/>
      <c r="VJF27" s="643"/>
      <c r="VJG27" s="643"/>
      <c r="VJH27" s="643"/>
      <c r="VJI27" s="643"/>
      <c r="VJJ27" s="643"/>
      <c r="VJK27" s="643"/>
      <c r="VJL27" s="643"/>
      <c r="VJM27" s="643"/>
      <c r="VJN27" s="643"/>
      <c r="VJO27" s="643"/>
      <c r="VJP27" s="643"/>
      <c r="VJQ27" s="643"/>
      <c r="VJR27" s="643"/>
      <c r="VJS27" s="643"/>
      <c r="VJT27" s="643"/>
      <c r="VJU27" s="643"/>
      <c r="VJV27" s="643"/>
      <c r="VJW27" s="643"/>
      <c r="VJX27" s="643"/>
      <c r="VJY27" s="643"/>
      <c r="VJZ27" s="643"/>
      <c r="VKA27" s="643"/>
      <c r="VKB27" s="643"/>
      <c r="VKC27" s="643"/>
      <c r="VKD27" s="643"/>
      <c r="VKE27" s="643"/>
      <c r="VKF27" s="643"/>
      <c r="VKG27" s="643"/>
      <c r="VKH27" s="643"/>
      <c r="VKI27" s="643"/>
      <c r="VKJ27" s="643"/>
      <c r="VKK27" s="643"/>
      <c r="VKL27" s="643"/>
      <c r="VKM27" s="643"/>
      <c r="VKN27" s="643"/>
      <c r="VKO27" s="643"/>
      <c r="VKP27" s="643"/>
      <c r="VKQ27" s="643"/>
      <c r="VKR27" s="643"/>
      <c r="VKS27" s="643"/>
      <c r="VKT27" s="643"/>
      <c r="VKU27" s="643"/>
      <c r="VKV27" s="643"/>
      <c r="VKW27" s="643"/>
      <c r="VKX27" s="643"/>
      <c r="VKY27" s="643"/>
      <c r="VKZ27" s="643"/>
      <c r="VLA27" s="643"/>
      <c r="VLB27" s="643"/>
      <c r="VLC27" s="643"/>
      <c r="VLD27" s="643"/>
      <c r="VLE27" s="643"/>
      <c r="VLF27" s="643"/>
      <c r="VLG27" s="643"/>
      <c r="VLH27" s="643"/>
      <c r="VLI27" s="643"/>
      <c r="VLJ27" s="643"/>
      <c r="VLK27" s="643"/>
      <c r="VLL27" s="643"/>
      <c r="VLM27" s="643"/>
      <c r="VLN27" s="643"/>
      <c r="VLO27" s="643"/>
      <c r="VLP27" s="643"/>
      <c r="VLQ27" s="643"/>
      <c r="VLR27" s="643"/>
      <c r="VLS27" s="643"/>
      <c r="VLT27" s="643"/>
      <c r="VLU27" s="643"/>
      <c r="VLV27" s="643"/>
      <c r="VLW27" s="643"/>
      <c r="VLX27" s="643"/>
      <c r="VLY27" s="643"/>
      <c r="VLZ27" s="643"/>
      <c r="VMA27" s="643"/>
      <c r="VMB27" s="643"/>
      <c r="VMC27" s="643"/>
      <c r="VMD27" s="643"/>
      <c r="VME27" s="643"/>
      <c r="VMF27" s="643"/>
      <c r="VMG27" s="643"/>
      <c r="VMH27" s="643"/>
      <c r="VMI27" s="643"/>
      <c r="VMJ27" s="643"/>
      <c r="VMK27" s="643"/>
      <c r="VML27" s="643"/>
      <c r="VMM27" s="643"/>
      <c r="VMN27" s="643"/>
      <c r="VMO27" s="643"/>
      <c r="VMP27" s="643"/>
      <c r="VMQ27" s="643"/>
      <c r="VMR27" s="643"/>
      <c r="VMS27" s="643"/>
      <c r="VMT27" s="643"/>
      <c r="VMU27" s="643"/>
      <c r="VMV27" s="643"/>
      <c r="VMW27" s="643"/>
      <c r="VMX27" s="643"/>
      <c r="VMY27" s="643"/>
      <c r="VMZ27" s="643"/>
      <c r="VNA27" s="643"/>
      <c r="VNB27" s="643"/>
      <c r="VNC27" s="643"/>
      <c r="VND27" s="643"/>
      <c r="VNE27" s="643"/>
      <c r="VNF27" s="643"/>
      <c r="VNG27" s="643"/>
      <c r="VNH27" s="643"/>
      <c r="VNI27" s="643"/>
      <c r="VNJ27" s="643"/>
      <c r="VNK27" s="643"/>
      <c r="VNL27" s="643"/>
      <c r="VNM27" s="643"/>
      <c r="VNN27" s="643"/>
      <c r="VNO27" s="643"/>
      <c r="VNP27" s="643"/>
      <c r="VNQ27" s="643"/>
      <c r="VNR27" s="643"/>
      <c r="VNS27" s="643"/>
      <c r="VNT27" s="643"/>
      <c r="VNU27" s="643"/>
      <c r="VNV27" s="643"/>
      <c r="VNW27" s="643"/>
      <c r="VNX27" s="643"/>
      <c r="VNY27" s="643"/>
      <c r="VNZ27" s="643"/>
      <c r="VOA27" s="643"/>
      <c r="VOB27" s="643"/>
      <c r="VOC27" s="643"/>
      <c r="VOD27" s="643"/>
      <c r="VOE27" s="643"/>
      <c r="VOF27" s="643"/>
      <c r="VOG27" s="643"/>
      <c r="VOH27" s="643"/>
      <c r="VOI27" s="643"/>
      <c r="VOJ27" s="643"/>
      <c r="VOK27" s="643"/>
      <c r="VOL27" s="643"/>
      <c r="VOM27" s="643"/>
      <c r="VON27" s="643"/>
      <c r="VOO27" s="643"/>
      <c r="VOP27" s="643"/>
      <c r="VOQ27" s="643"/>
      <c r="VOR27" s="643"/>
      <c r="VOS27" s="643"/>
      <c r="VOT27" s="643"/>
      <c r="VOU27" s="643"/>
      <c r="VOV27" s="643"/>
      <c r="VOW27" s="643"/>
      <c r="VOX27" s="643"/>
      <c r="VOY27" s="643"/>
      <c r="VOZ27" s="643"/>
      <c r="VPA27" s="643"/>
      <c r="VPB27" s="643"/>
      <c r="VPC27" s="643"/>
      <c r="VPD27" s="643"/>
      <c r="VPE27" s="643"/>
      <c r="VPF27" s="643"/>
      <c r="VPG27" s="643"/>
      <c r="VPH27" s="643"/>
      <c r="VPI27" s="643"/>
      <c r="VPJ27" s="643"/>
      <c r="VPK27" s="643"/>
      <c r="VPL27" s="643"/>
      <c r="VPM27" s="643"/>
      <c r="VPN27" s="643"/>
      <c r="VPO27" s="643"/>
      <c r="VPP27" s="643"/>
      <c r="VPQ27" s="643"/>
      <c r="VPR27" s="643"/>
      <c r="VPS27" s="643"/>
      <c r="VPT27" s="643"/>
      <c r="VPU27" s="643"/>
      <c r="VPV27" s="643"/>
      <c r="VPW27" s="643"/>
      <c r="VPX27" s="643"/>
      <c r="VPY27" s="643"/>
      <c r="VPZ27" s="643"/>
      <c r="VQA27" s="643"/>
      <c r="VQB27" s="643"/>
      <c r="VQC27" s="643"/>
      <c r="VQD27" s="643"/>
      <c r="VQE27" s="643"/>
      <c r="VQF27" s="643"/>
      <c r="VQG27" s="643"/>
      <c r="VQH27" s="643"/>
      <c r="VQI27" s="643"/>
      <c r="VQJ27" s="643"/>
      <c r="VQK27" s="643"/>
      <c r="VQL27" s="643"/>
      <c r="VQM27" s="643"/>
      <c r="VQN27" s="643"/>
      <c r="VQO27" s="643"/>
      <c r="VQP27" s="643"/>
      <c r="VQQ27" s="643"/>
      <c r="VQR27" s="643"/>
      <c r="VQS27" s="643"/>
      <c r="VQT27" s="643"/>
      <c r="VQU27" s="643"/>
      <c r="VQV27" s="643"/>
      <c r="VQW27" s="643"/>
      <c r="VQX27" s="643"/>
      <c r="VQY27" s="643"/>
      <c r="VQZ27" s="643"/>
      <c r="VRA27" s="643"/>
      <c r="VRB27" s="643"/>
      <c r="VRC27" s="643"/>
      <c r="VRD27" s="643"/>
      <c r="VRE27" s="643"/>
      <c r="VRF27" s="643"/>
      <c r="VRG27" s="643"/>
      <c r="VRH27" s="643"/>
      <c r="VRI27" s="643"/>
      <c r="VRJ27" s="643"/>
      <c r="VRK27" s="643"/>
      <c r="VRL27" s="643"/>
      <c r="VRM27" s="643"/>
      <c r="VRN27" s="643"/>
      <c r="VRO27" s="643"/>
      <c r="VRP27" s="643"/>
      <c r="VRQ27" s="643"/>
      <c r="VRR27" s="643"/>
      <c r="VRS27" s="643"/>
      <c r="VRT27" s="643"/>
      <c r="VRU27" s="643"/>
      <c r="VRV27" s="643"/>
      <c r="VRW27" s="643"/>
      <c r="VRX27" s="643"/>
      <c r="VRY27" s="643"/>
      <c r="VRZ27" s="643"/>
      <c r="VSA27" s="643"/>
      <c r="VSB27" s="643"/>
      <c r="VSC27" s="643"/>
      <c r="VSD27" s="643"/>
      <c r="VSE27" s="643"/>
      <c r="VSF27" s="643"/>
      <c r="VSG27" s="643"/>
      <c r="VSH27" s="643"/>
      <c r="VSI27" s="643"/>
      <c r="VSJ27" s="643"/>
      <c r="VSK27" s="643"/>
      <c r="VSL27" s="643"/>
      <c r="VSM27" s="643"/>
      <c r="VSN27" s="643"/>
      <c r="VSO27" s="643"/>
      <c r="VSP27" s="643"/>
      <c r="VSQ27" s="643"/>
      <c r="VSR27" s="643"/>
      <c r="VSS27" s="643"/>
      <c r="VST27" s="643"/>
      <c r="VSU27" s="643"/>
      <c r="VSV27" s="643"/>
      <c r="VSW27" s="643"/>
      <c r="VSX27" s="643"/>
      <c r="VSY27" s="643"/>
      <c r="VSZ27" s="643"/>
      <c r="VTA27" s="643"/>
      <c r="VTB27" s="643"/>
      <c r="VTC27" s="643"/>
      <c r="VTD27" s="643"/>
      <c r="VTE27" s="643"/>
      <c r="VTF27" s="643"/>
      <c r="VTG27" s="643"/>
      <c r="VTH27" s="643"/>
      <c r="VTI27" s="643"/>
      <c r="VTJ27" s="643"/>
      <c r="VTK27" s="643"/>
      <c r="VTL27" s="643"/>
      <c r="VTM27" s="643"/>
      <c r="VTN27" s="643"/>
      <c r="VTO27" s="643"/>
      <c r="VTP27" s="643"/>
      <c r="VTQ27" s="643"/>
      <c r="VTR27" s="643"/>
      <c r="VTS27" s="643"/>
      <c r="VTT27" s="643"/>
      <c r="VTU27" s="643"/>
      <c r="VTV27" s="643"/>
      <c r="VTW27" s="643"/>
      <c r="VTX27" s="643"/>
      <c r="VTY27" s="643"/>
      <c r="VTZ27" s="643"/>
      <c r="VUA27" s="643"/>
      <c r="VUB27" s="643"/>
      <c r="VUC27" s="643"/>
      <c r="VUD27" s="643"/>
      <c r="VUE27" s="643"/>
      <c r="VUF27" s="643"/>
      <c r="VUG27" s="643"/>
      <c r="VUH27" s="643"/>
      <c r="VUI27" s="643"/>
      <c r="VUJ27" s="643"/>
      <c r="VUK27" s="643"/>
      <c r="VUL27" s="643"/>
      <c r="VUM27" s="643"/>
      <c r="VUN27" s="643"/>
      <c r="VUO27" s="643"/>
      <c r="VUP27" s="643"/>
      <c r="VUQ27" s="643"/>
      <c r="VUR27" s="643"/>
      <c r="VUS27" s="643"/>
      <c r="VUT27" s="643"/>
      <c r="VUU27" s="643"/>
      <c r="VUV27" s="643"/>
      <c r="VUW27" s="643"/>
      <c r="VUX27" s="643"/>
      <c r="VUY27" s="643"/>
      <c r="VUZ27" s="643"/>
      <c r="VVA27" s="643"/>
      <c r="VVB27" s="643"/>
      <c r="VVC27" s="643"/>
      <c r="VVD27" s="643"/>
      <c r="VVE27" s="643"/>
      <c r="VVF27" s="643"/>
      <c r="VVG27" s="643"/>
      <c r="VVH27" s="643"/>
      <c r="VVI27" s="643"/>
      <c r="VVJ27" s="643"/>
      <c r="VVK27" s="643"/>
      <c r="VVL27" s="643"/>
      <c r="VVM27" s="643"/>
      <c r="VVN27" s="643"/>
      <c r="VVO27" s="643"/>
      <c r="VVP27" s="643"/>
      <c r="VVQ27" s="643"/>
      <c r="VVR27" s="643"/>
      <c r="VVS27" s="643"/>
      <c r="VVT27" s="643"/>
      <c r="VVU27" s="643"/>
      <c r="VVV27" s="643"/>
      <c r="VVW27" s="643"/>
      <c r="VVX27" s="643"/>
      <c r="VVY27" s="643"/>
      <c r="VVZ27" s="643"/>
      <c r="VWA27" s="643"/>
      <c r="VWB27" s="643"/>
      <c r="VWC27" s="643"/>
      <c r="VWD27" s="643"/>
      <c r="VWE27" s="643"/>
      <c r="VWF27" s="643"/>
      <c r="VWG27" s="643"/>
      <c r="VWH27" s="643"/>
      <c r="VWI27" s="643"/>
      <c r="VWJ27" s="643"/>
      <c r="VWK27" s="643"/>
      <c r="VWL27" s="643"/>
      <c r="VWM27" s="643"/>
      <c r="VWN27" s="643"/>
      <c r="VWO27" s="643"/>
      <c r="VWP27" s="643"/>
      <c r="VWQ27" s="643"/>
      <c r="VWR27" s="643"/>
      <c r="VWS27" s="643"/>
      <c r="VWT27" s="643"/>
      <c r="VWU27" s="643"/>
      <c r="VWV27" s="643"/>
      <c r="VWW27" s="643"/>
      <c r="VWX27" s="643"/>
      <c r="VWY27" s="643"/>
      <c r="VWZ27" s="643"/>
      <c r="VXA27" s="643"/>
      <c r="VXB27" s="643"/>
      <c r="VXC27" s="643"/>
      <c r="VXD27" s="643"/>
      <c r="VXE27" s="643"/>
      <c r="VXF27" s="643"/>
      <c r="VXG27" s="643"/>
      <c r="VXH27" s="643"/>
      <c r="VXI27" s="643"/>
      <c r="VXJ27" s="643"/>
      <c r="VXK27" s="643"/>
      <c r="VXL27" s="643"/>
      <c r="VXM27" s="643"/>
      <c r="VXN27" s="643"/>
      <c r="VXO27" s="643"/>
      <c r="VXP27" s="643"/>
      <c r="VXQ27" s="643"/>
      <c r="VXR27" s="643"/>
      <c r="VXS27" s="643"/>
      <c r="VXT27" s="643"/>
      <c r="VXU27" s="643"/>
      <c r="VXV27" s="643"/>
      <c r="VXW27" s="643"/>
      <c r="VXX27" s="643"/>
      <c r="VXY27" s="643"/>
      <c r="VXZ27" s="643"/>
      <c r="VYA27" s="643"/>
      <c r="VYB27" s="643"/>
      <c r="VYC27" s="643"/>
      <c r="VYD27" s="643"/>
      <c r="VYE27" s="643"/>
      <c r="VYF27" s="643"/>
      <c r="VYG27" s="643"/>
      <c r="VYH27" s="643"/>
      <c r="VYI27" s="643"/>
      <c r="VYJ27" s="643"/>
      <c r="VYK27" s="643"/>
      <c r="VYL27" s="643"/>
      <c r="VYM27" s="643"/>
      <c r="VYN27" s="643"/>
      <c r="VYO27" s="643"/>
      <c r="VYP27" s="643"/>
      <c r="VYQ27" s="643"/>
      <c r="VYR27" s="643"/>
      <c r="VYS27" s="643"/>
      <c r="VYT27" s="643"/>
      <c r="VYU27" s="643"/>
      <c r="VYV27" s="643"/>
      <c r="VYW27" s="643"/>
      <c r="VYX27" s="643"/>
      <c r="VYY27" s="643"/>
      <c r="VYZ27" s="643"/>
      <c r="VZA27" s="643"/>
      <c r="VZB27" s="643"/>
      <c r="VZC27" s="643"/>
      <c r="VZD27" s="643"/>
      <c r="VZE27" s="643"/>
      <c r="VZF27" s="643"/>
      <c r="VZG27" s="643"/>
      <c r="VZH27" s="643"/>
      <c r="VZI27" s="643"/>
      <c r="VZJ27" s="643"/>
      <c r="VZK27" s="643"/>
      <c r="VZL27" s="643"/>
      <c r="VZM27" s="643"/>
      <c r="VZN27" s="643"/>
      <c r="VZO27" s="643"/>
      <c r="VZP27" s="643"/>
      <c r="VZQ27" s="643"/>
      <c r="VZR27" s="643"/>
      <c r="VZS27" s="643"/>
      <c r="VZT27" s="643"/>
      <c r="VZU27" s="643"/>
      <c r="VZV27" s="643"/>
      <c r="VZW27" s="643"/>
      <c r="VZX27" s="643"/>
      <c r="VZY27" s="643"/>
      <c r="VZZ27" s="643"/>
      <c r="WAA27" s="643"/>
      <c r="WAB27" s="643"/>
      <c r="WAC27" s="643"/>
      <c r="WAD27" s="643"/>
      <c r="WAE27" s="643"/>
      <c r="WAF27" s="643"/>
      <c r="WAG27" s="643"/>
      <c r="WAH27" s="643"/>
      <c r="WAI27" s="643"/>
      <c r="WAJ27" s="643"/>
      <c r="WAK27" s="643"/>
      <c r="WAL27" s="643"/>
      <c r="WAM27" s="643"/>
      <c r="WAN27" s="643"/>
      <c r="WAO27" s="643"/>
      <c r="WAP27" s="643"/>
      <c r="WAQ27" s="643"/>
      <c r="WAR27" s="643"/>
      <c r="WAS27" s="643"/>
      <c r="WAT27" s="643"/>
      <c r="WAU27" s="643"/>
      <c r="WAV27" s="643"/>
      <c r="WAW27" s="643"/>
      <c r="WAX27" s="643"/>
      <c r="WAY27" s="643"/>
      <c r="WAZ27" s="643"/>
      <c r="WBA27" s="643"/>
      <c r="WBB27" s="643"/>
      <c r="WBC27" s="643"/>
      <c r="WBD27" s="643"/>
      <c r="WBE27" s="643"/>
      <c r="WBF27" s="643"/>
      <c r="WBG27" s="643"/>
      <c r="WBH27" s="643"/>
      <c r="WBI27" s="643"/>
      <c r="WBJ27" s="643"/>
      <c r="WBK27" s="643"/>
      <c r="WBL27" s="643"/>
      <c r="WBM27" s="643"/>
      <c r="WBN27" s="643"/>
      <c r="WBO27" s="643"/>
      <c r="WBP27" s="643"/>
      <c r="WBQ27" s="643"/>
      <c r="WBR27" s="643"/>
      <c r="WBS27" s="643"/>
      <c r="WBT27" s="643"/>
      <c r="WBU27" s="643"/>
      <c r="WBV27" s="643"/>
      <c r="WBW27" s="643"/>
      <c r="WBX27" s="643"/>
      <c r="WBY27" s="643"/>
      <c r="WBZ27" s="643"/>
      <c r="WCA27" s="643"/>
      <c r="WCB27" s="643"/>
      <c r="WCC27" s="643"/>
      <c r="WCD27" s="643"/>
      <c r="WCE27" s="643"/>
      <c r="WCF27" s="643"/>
      <c r="WCG27" s="643"/>
      <c r="WCH27" s="643"/>
      <c r="WCI27" s="643"/>
      <c r="WCJ27" s="643"/>
      <c r="WCK27" s="643"/>
      <c r="WCL27" s="643"/>
      <c r="WCM27" s="643"/>
      <c r="WCN27" s="643"/>
      <c r="WCO27" s="643"/>
      <c r="WCP27" s="643"/>
      <c r="WCQ27" s="643"/>
      <c r="WCR27" s="643"/>
      <c r="WCS27" s="643"/>
      <c r="WCT27" s="643"/>
      <c r="WCU27" s="643"/>
      <c r="WCV27" s="643"/>
      <c r="WCW27" s="643"/>
      <c r="WCX27" s="643"/>
      <c r="WCY27" s="643"/>
      <c r="WCZ27" s="643"/>
      <c r="WDA27" s="643"/>
      <c r="WDB27" s="643"/>
      <c r="WDC27" s="643"/>
      <c r="WDD27" s="643"/>
      <c r="WDE27" s="643"/>
      <c r="WDF27" s="643"/>
      <c r="WDG27" s="643"/>
      <c r="WDH27" s="643"/>
      <c r="WDI27" s="643"/>
      <c r="WDJ27" s="643"/>
      <c r="WDK27" s="643"/>
      <c r="WDL27" s="643"/>
      <c r="WDM27" s="643"/>
      <c r="WDN27" s="643"/>
      <c r="WDO27" s="643"/>
      <c r="WDP27" s="643"/>
      <c r="WDQ27" s="643"/>
      <c r="WDR27" s="643"/>
      <c r="WDS27" s="643"/>
      <c r="WDT27" s="643"/>
      <c r="WDU27" s="643"/>
      <c r="WDV27" s="643"/>
      <c r="WDW27" s="643"/>
      <c r="WDX27" s="643"/>
      <c r="WDY27" s="643"/>
      <c r="WDZ27" s="643"/>
      <c r="WEA27" s="643"/>
      <c r="WEB27" s="643"/>
      <c r="WEC27" s="643"/>
      <c r="WED27" s="643"/>
      <c r="WEE27" s="643"/>
      <c r="WEF27" s="643"/>
      <c r="WEG27" s="643"/>
      <c r="WEH27" s="643"/>
      <c r="WEI27" s="643"/>
      <c r="WEJ27" s="643"/>
      <c r="WEK27" s="643"/>
      <c r="WEL27" s="643"/>
      <c r="WEM27" s="643"/>
      <c r="WEN27" s="643"/>
      <c r="WEO27" s="643"/>
      <c r="WEP27" s="643"/>
      <c r="WEQ27" s="643"/>
      <c r="WER27" s="643"/>
      <c r="WES27" s="643"/>
      <c r="WET27" s="643"/>
      <c r="WEU27" s="643"/>
      <c r="WEV27" s="643"/>
      <c r="WEW27" s="643"/>
      <c r="WEX27" s="643"/>
      <c r="WEY27" s="643"/>
      <c r="WEZ27" s="643"/>
      <c r="WFA27" s="643"/>
      <c r="WFB27" s="643"/>
      <c r="WFC27" s="643"/>
      <c r="WFD27" s="643"/>
      <c r="WFE27" s="643"/>
      <c r="WFF27" s="643"/>
      <c r="WFG27" s="643"/>
      <c r="WFH27" s="643"/>
      <c r="WFI27" s="643"/>
      <c r="WFJ27" s="643"/>
      <c r="WFK27" s="643"/>
      <c r="WFL27" s="643"/>
      <c r="WFM27" s="643"/>
      <c r="WFN27" s="643"/>
      <c r="WFO27" s="643"/>
      <c r="WFP27" s="643"/>
      <c r="WFQ27" s="643"/>
      <c r="WFR27" s="643"/>
      <c r="WFS27" s="643"/>
      <c r="WFT27" s="643"/>
      <c r="WFU27" s="643"/>
      <c r="WFV27" s="643"/>
      <c r="WFW27" s="643"/>
      <c r="WFX27" s="643"/>
      <c r="WFY27" s="643"/>
      <c r="WFZ27" s="643"/>
      <c r="WGA27" s="643"/>
      <c r="WGB27" s="643"/>
      <c r="WGC27" s="643"/>
      <c r="WGD27" s="643"/>
      <c r="WGE27" s="643"/>
      <c r="WGF27" s="643"/>
      <c r="WGG27" s="643"/>
      <c r="WGH27" s="643"/>
      <c r="WGI27" s="643"/>
      <c r="WGJ27" s="643"/>
      <c r="WGK27" s="643"/>
      <c r="WGL27" s="643"/>
      <c r="WGM27" s="643"/>
      <c r="WGN27" s="643"/>
      <c r="WGO27" s="643"/>
      <c r="WGP27" s="643"/>
      <c r="WGQ27" s="643"/>
      <c r="WGR27" s="643"/>
      <c r="WGS27" s="643"/>
      <c r="WGT27" s="643"/>
      <c r="WGU27" s="643"/>
      <c r="WGV27" s="643"/>
      <c r="WGW27" s="643"/>
      <c r="WGX27" s="643"/>
      <c r="WGY27" s="643"/>
      <c r="WGZ27" s="643"/>
      <c r="WHA27" s="643"/>
      <c r="WHB27" s="643"/>
      <c r="WHC27" s="643"/>
      <c r="WHD27" s="643"/>
      <c r="WHE27" s="643"/>
      <c r="WHF27" s="643"/>
      <c r="WHG27" s="643"/>
      <c r="WHH27" s="643"/>
      <c r="WHI27" s="643"/>
      <c r="WHJ27" s="643"/>
      <c r="WHK27" s="643"/>
      <c r="WHL27" s="643"/>
      <c r="WHM27" s="643"/>
      <c r="WHN27" s="643"/>
      <c r="WHO27" s="643"/>
      <c r="WHP27" s="643"/>
      <c r="WHQ27" s="643"/>
      <c r="WHR27" s="643"/>
      <c r="WHS27" s="643"/>
      <c r="WHT27" s="643"/>
      <c r="WHU27" s="643"/>
      <c r="WHV27" s="643"/>
      <c r="WHW27" s="643"/>
      <c r="WHX27" s="643"/>
      <c r="WHY27" s="643"/>
      <c r="WHZ27" s="643"/>
      <c r="WIA27" s="643"/>
      <c r="WIB27" s="643"/>
      <c r="WIC27" s="643"/>
      <c r="WID27" s="643"/>
      <c r="WIE27" s="643"/>
      <c r="WIF27" s="643"/>
      <c r="WIG27" s="643"/>
      <c r="WIH27" s="643"/>
      <c r="WII27" s="643"/>
      <c r="WIJ27" s="643"/>
      <c r="WIK27" s="643"/>
      <c r="WIL27" s="643"/>
      <c r="WIM27" s="643"/>
      <c r="WIN27" s="643"/>
      <c r="WIO27" s="643"/>
      <c r="WIP27" s="643"/>
      <c r="WIQ27" s="643"/>
      <c r="WIR27" s="643"/>
      <c r="WIS27" s="643"/>
      <c r="WIT27" s="643"/>
      <c r="WIU27" s="643"/>
      <c r="WIV27" s="643"/>
      <c r="WIW27" s="643"/>
      <c r="WIX27" s="643"/>
      <c r="WIY27" s="643"/>
      <c r="WIZ27" s="643"/>
      <c r="WJA27" s="643"/>
      <c r="WJB27" s="643"/>
      <c r="WJC27" s="643"/>
      <c r="WJD27" s="643"/>
      <c r="WJE27" s="643"/>
      <c r="WJF27" s="643"/>
      <c r="WJG27" s="643"/>
      <c r="WJH27" s="643"/>
      <c r="WJI27" s="643"/>
      <c r="WJJ27" s="643"/>
      <c r="WJK27" s="643"/>
      <c r="WJL27" s="643"/>
      <c r="WJM27" s="643"/>
      <c r="WJN27" s="643"/>
      <c r="WJO27" s="643"/>
      <c r="WJP27" s="643"/>
      <c r="WJQ27" s="643"/>
      <c r="WJR27" s="643"/>
      <c r="WJS27" s="643"/>
      <c r="WJT27" s="643"/>
      <c r="WJU27" s="643"/>
      <c r="WJV27" s="643"/>
      <c r="WJW27" s="643"/>
      <c r="WJX27" s="643"/>
      <c r="WJY27" s="643"/>
      <c r="WJZ27" s="643"/>
      <c r="WKA27" s="643"/>
      <c r="WKB27" s="643"/>
      <c r="WKC27" s="643"/>
      <c r="WKD27" s="643"/>
      <c r="WKE27" s="643"/>
      <c r="WKF27" s="643"/>
      <c r="WKG27" s="643"/>
      <c r="WKH27" s="643"/>
      <c r="WKI27" s="643"/>
      <c r="WKJ27" s="643"/>
      <c r="WKK27" s="643"/>
      <c r="WKL27" s="643"/>
      <c r="WKM27" s="643"/>
      <c r="WKN27" s="643"/>
      <c r="WKO27" s="643"/>
      <c r="WKP27" s="643"/>
      <c r="WKQ27" s="643"/>
      <c r="WKR27" s="643"/>
      <c r="WKS27" s="643"/>
      <c r="WKT27" s="643"/>
      <c r="WKU27" s="643"/>
      <c r="WKV27" s="643"/>
      <c r="WKW27" s="643"/>
      <c r="WKX27" s="643"/>
      <c r="WKY27" s="643"/>
      <c r="WKZ27" s="643"/>
      <c r="WLA27" s="643"/>
      <c r="WLB27" s="643"/>
      <c r="WLC27" s="643"/>
      <c r="WLD27" s="643"/>
      <c r="WLE27" s="643"/>
      <c r="WLF27" s="643"/>
      <c r="WLG27" s="643"/>
      <c r="WLH27" s="643"/>
      <c r="WLI27" s="643"/>
      <c r="WLJ27" s="643"/>
      <c r="WLK27" s="643"/>
      <c r="WLL27" s="643"/>
      <c r="WLM27" s="643"/>
      <c r="WLN27" s="643"/>
      <c r="WLO27" s="643"/>
      <c r="WLP27" s="643"/>
      <c r="WLQ27" s="643"/>
      <c r="WLR27" s="643"/>
      <c r="WLS27" s="643"/>
      <c r="WLT27" s="643"/>
      <c r="WLU27" s="643"/>
      <c r="WLV27" s="643"/>
      <c r="WLW27" s="643"/>
      <c r="WLX27" s="643"/>
      <c r="WLY27" s="643"/>
      <c r="WLZ27" s="643"/>
      <c r="WMA27" s="643"/>
      <c r="WMB27" s="643"/>
      <c r="WMC27" s="643"/>
      <c r="WMD27" s="643"/>
      <c r="WME27" s="643"/>
      <c r="WMF27" s="643"/>
      <c r="WMG27" s="643"/>
      <c r="WMH27" s="643"/>
      <c r="WMI27" s="643"/>
      <c r="WMJ27" s="643"/>
      <c r="WMK27" s="643"/>
      <c r="WML27" s="643"/>
      <c r="WMM27" s="643"/>
      <c r="WMN27" s="643"/>
      <c r="WMO27" s="643"/>
      <c r="WMP27" s="643"/>
      <c r="WMQ27" s="643"/>
      <c r="WMR27" s="643"/>
      <c r="WMS27" s="643"/>
      <c r="WMT27" s="643"/>
      <c r="WMU27" s="643"/>
      <c r="WMV27" s="643"/>
      <c r="WMW27" s="643"/>
      <c r="WMX27" s="643"/>
      <c r="WMY27" s="643"/>
      <c r="WMZ27" s="643"/>
      <c r="WNA27" s="643"/>
      <c r="WNB27" s="643"/>
      <c r="WNC27" s="643"/>
      <c r="WND27" s="643"/>
      <c r="WNE27" s="643"/>
      <c r="WNF27" s="643"/>
      <c r="WNG27" s="643"/>
      <c r="WNH27" s="643"/>
      <c r="WNI27" s="643"/>
      <c r="WNJ27" s="643"/>
      <c r="WNK27" s="643"/>
      <c r="WNL27" s="643"/>
      <c r="WNM27" s="643"/>
      <c r="WNN27" s="643"/>
      <c r="WNO27" s="643"/>
      <c r="WNP27" s="643"/>
      <c r="WNQ27" s="643"/>
      <c r="WNR27" s="643"/>
      <c r="WNS27" s="643"/>
      <c r="WNT27" s="643"/>
      <c r="WNU27" s="643"/>
      <c r="WNV27" s="643"/>
      <c r="WNW27" s="643"/>
      <c r="WNX27" s="643"/>
      <c r="WNY27" s="643"/>
      <c r="WNZ27" s="643"/>
      <c r="WOA27" s="643"/>
      <c r="WOB27" s="643"/>
      <c r="WOC27" s="643"/>
      <c r="WOD27" s="643"/>
      <c r="WOE27" s="643"/>
      <c r="WOF27" s="643"/>
      <c r="WOG27" s="643"/>
      <c r="WOH27" s="643"/>
      <c r="WOI27" s="643"/>
      <c r="WOJ27" s="643"/>
      <c r="WOK27" s="643"/>
      <c r="WOL27" s="643"/>
      <c r="WOM27" s="643"/>
      <c r="WON27" s="643"/>
      <c r="WOO27" s="643"/>
      <c r="WOP27" s="643"/>
      <c r="WOQ27" s="643"/>
      <c r="WOR27" s="643"/>
      <c r="WOS27" s="643"/>
      <c r="WOT27" s="643"/>
      <c r="WOU27" s="643"/>
      <c r="WOV27" s="643"/>
      <c r="WOW27" s="643"/>
      <c r="WOX27" s="643"/>
      <c r="WOY27" s="643"/>
      <c r="WOZ27" s="643"/>
      <c r="WPA27" s="643"/>
      <c r="WPB27" s="643"/>
      <c r="WPC27" s="643"/>
      <c r="WPD27" s="643"/>
      <c r="WPE27" s="643"/>
      <c r="WPF27" s="643"/>
      <c r="WPG27" s="643"/>
      <c r="WPH27" s="643"/>
      <c r="WPI27" s="643"/>
      <c r="WPJ27" s="643"/>
      <c r="WPK27" s="643"/>
      <c r="WPL27" s="643"/>
      <c r="WPM27" s="643"/>
      <c r="WPN27" s="643"/>
      <c r="WPO27" s="643"/>
      <c r="WPP27" s="643"/>
      <c r="WPQ27" s="643"/>
      <c r="WPR27" s="643"/>
      <c r="WPS27" s="643"/>
      <c r="WPT27" s="643"/>
      <c r="WPU27" s="643"/>
      <c r="WPV27" s="643"/>
      <c r="WPW27" s="643"/>
      <c r="WPX27" s="643"/>
      <c r="WPY27" s="643"/>
      <c r="WPZ27" s="643"/>
      <c r="WQA27" s="643"/>
      <c r="WQB27" s="643"/>
      <c r="WQC27" s="643"/>
      <c r="WQD27" s="643"/>
      <c r="WQE27" s="643"/>
      <c r="WQF27" s="643"/>
      <c r="WQG27" s="643"/>
      <c r="WQH27" s="643"/>
      <c r="WQI27" s="643"/>
      <c r="WQJ27" s="643"/>
      <c r="WQK27" s="643"/>
      <c r="WQL27" s="643"/>
      <c r="WQM27" s="643"/>
      <c r="WQN27" s="643"/>
      <c r="WQO27" s="643"/>
      <c r="WQP27" s="643"/>
      <c r="WQQ27" s="643"/>
      <c r="WQR27" s="643"/>
      <c r="WQS27" s="643"/>
      <c r="WQT27" s="643"/>
      <c r="WQU27" s="643"/>
      <c r="WQV27" s="643"/>
      <c r="WQW27" s="643"/>
      <c r="WQX27" s="643"/>
      <c r="WQY27" s="643"/>
      <c r="WQZ27" s="643"/>
      <c r="WRA27" s="643"/>
      <c r="WRB27" s="643"/>
      <c r="WRC27" s="643"/>
      <c r="WRD27" s="643"/>
      <c r="WRE27" s="643"/>
      <c r="WRF27" s="643"/>
      <c r="WRG27" s="643"/>
      <c r="WRH27" s="643"/>
      <c r="WRI27" s="643"/>
      <c r="WRJ27" s="643"/>
      <c r="WRK27" s="643"/>
      <c r="WRL27" s="643"/>
      <c r="WRM27" s="643"/>
      <c r="WRN27" s="643"/>
      <c r="WRO27" s="643"/>
      <c r="WRP27" s="643"/>
      <c r="WRQ27" s="643"/>
      <c r="WRR27" s="643"/>
      <c r="WRS27" s="643"/>
      <c r="WRT27" s="643"/>
      <c r="WRU27" s="643"/>
      <c r="WRV27" s="643"/>
      <c r="WRW27" s="643"/>
      <c r="WRX27" s="643"/>
      <c r="WRY27" s="643"/>
      <c r="WRZ27" s="643"/>
      <c r="WSA27" s="643"/>
      <c r="WSB27" s="643"/>
      <c r="WSC27" s="643"/>
      <c r="WSD27" s="643"/>
      <c r="WSE27" s="643"/>
      <c r="WSF27" s="643"/>
      <c r="WSG27" s="643"/>
      <c r="WSH27" s="643"/>
      <c r="WSI27" s="643"/>
      <c r="WSJ27" s="643"/>
      <c r="WSK27" s="643"/>
      <c r="WSL27" s="643"/>
      <c r="WSM27" s="643"/>
      <c r="WSN27" s="643"/>
      <c r="WSO27" s="643"/>
      <c r="WSP27" s="643"/>
      <c r="WSQ27" s="643"/>
      <c r="WSR27" s="643"/>
      <c r="WSS27" s="643"/>
      <c r="WST27" s="643"/>
      <c r="WSU27" s="643"/>
      <c r="WSV27" s="643"/>
      <c r="WSW27" s="643"/>
      <c r="WSX27" s="643"/>
      <c r="WSY27" s="643"/>
      <c r="WSZ27" s="643"/>
      <c r="WTA27" s="643"/>
      <c r="WTB27" s="643"/>
      <c r="WTC27" s="643"/>
      <c r="WTD27" s="643"/>
      <c r="WTE27" s="643"/>
      <c r="WTF27" s="643"/>
      <c r="WTG27" s="643"/>
      <c r="WTH27" s="643"/>
      <c r="WTI27" s="643"/>
      <c r="WTJ27" s="643"/>
      <c r="WTK27" s="643"/>
      <c r="WTL27" s="643"/>
      <c r="WTM27" s="643"/>
      <c r="WTN27" s="643"/>
      <c r="WTO27" s="643"/>
      <c r="WTP27" s="643"/>
      <c r="WTQ27" s="643"/>
      <c r="WTR27" s="643"/>
      <c r="WTS27" s="643"/>
      <c r="WTT27" s="643"/>
      <c r="WTU27" s="643"/>
      <c r="WTV27" s="643"/>
      <c r="WTW27" s="643"/>
      <c r="WTX27" s="643"/>
      <c r="WTY27" s="643"/>
      <c r="WTZ27" s="643"/>
      <c r="WUA27" s="643"/>
      <c r="WUB27" s="643"/>
      <c r="WUC27" s="643"/>
      <c r="WUD27" s="643"/>
      <c r="WUE27" s="643"/>
      <c r="WUF27" s="643"/>
      <c r="WUG27" s="643"/>
      <c r="WUH27" s="643"/>
      <c r="WUI27" s="643"/>
      <c r="WUJ27" s="643"/>
      <c r="WUK27" s="643"/>
      <c r="WUL27" s="643"/>
      <c r="WUM27" s="643"/>
      <c r="WUN27" s="643"/>
      <c r="WUO27" s="643"/>
      <c r="WUP27" s="643"/>
      <c r="WUQ27" s="643"/>
      <c r="WUR27" s="643"/>
      <c r="WUS27" s="643"/>
      <c r="WUT27" s="643"/>
      <c r="WUU27" s="643"/>
      <c r="WUV27" s="643"/>
      <c r="WUW27" s="643"/>
      <c r="WUX27" s="643"/>
      <c r="WUY27" s="643"/>
      <c r="WUZ27" s="643"/>
      <c r="WVA27" s="643"/>
      <c r="WVB27" s="643"/>
      <c r="WVC27" s="643"/>
      <c r="WVD27" s="643"/>
      <c r="WVE27" s="643"/>
      <c r="WVF27" s="643"/>
      <c r="WVG27" s="643"/>
      <c r="WVH27" s="643"/>
      <c r="WVI27" s="643"/>
      <c r="WVJ27" s="643"/>
      <c r="WVK27" s="643"/>
      <c r="WVL27" s="643"/>
      <c r="WVM27" s="643"/>
      <c r="WVN27" s="643"/>
      <c r="WVO27" s="643"/>
      <c r="WVP27" s="643"/>
      <c r="WVQ27" s="643"/>
      <c r="WVR27" s="643"/>
      <c r="WVS27" s="643"/>
      <c r="WVT27" s="643"/>
      <c r="WVU27" s="643"/>
      <c r="WVV27" s="643"/>
      <c r="WVW27" s="643"/>
      <c r="WVX27" s="643"/>
      <c r="WVY27" s="643"/>
      <c r="WVZ27" s="643"/>
      <c r="WWA27" s="643"/>
      <c r="WWB27" s="643"/>
      <c r="WWC27" s="643"/>
      <c r="WWD27" s="643"/>
      <c r="WWE27" s="643"/>
      <c r="WWF27" s="643"/>
      <c r="WWG27" s="643"/>
      <c r="WWH27" s="643"/>
      <c r="WWI27" s="643"/>
      <c r="WWJ27" s="643"/>
      <c r="WWK27" s="643"/>
      <c r="WWL27" s="643"/>
      <c r="WWM27" s="643"/>
      <c r="WWN27" s="643"/>
      <c r="WWO27" s="643"/>
      <c r="WWP27" s="643"/>
      <c r="WWQ27" s="643"/>
      <c r="WWR27" s="643"/>
      <c r="WWS27" s="643"/>
      <c r="WWT27" s="643"/>
      <c r="WWU27" s="643"/>
      <c r="WWV27" s="643"/>
      <c r="WWW27" s="643"/>
      <c r="WWX27" s="643"/>
      <c r="WWY27" s="643"/>
      <c r="WWZ27" s="643"/>
      <c r="WXA27" s="643"/>
      <c r="WXB27" s="643"/>
      <c r="WXC27" s="643"/>
      <c r="WXD27" s="643"/>
      <c r="WXE27" s="643"/>
      <c r="WXF27" s="643"/>
      <c r="WXG27" s="643"/>
      <c r="WXH27" s="643"/>
      <c r="WXI27" s="643"/>
      <c r="WXJ27" s="643"/>
      <c r="WXK27" s="643"/>
      <c r="WXL27" s="643"/>
      <c r="WXM27" s="643"/>
      <c r="WXN27" s="643"/>
      <c r="WXO27" s="643"/>
      <c r="WXP27" s="643"/>
      <c r="WXQ27" s="643"/>
      <c r="WXR27" s="643"/>
      <c r="WXS27" s="643"/>
      <c r="WXT27" s="643"/>
      <c r="WXU27" s="643"/>
      <c r="WXV27" s="643"/>
      <c r="WXW27" s="643"/>
      <c r="WXX27" s="643"/>
      <c r="WXY27" s="643"/>
      <c r="WXZ27" s="643"/>
      <c r="WYA27" s="643"/>
      <c r="WYB27" s="643"/>
      <c r="WYC27" s="643"/>
      <c r="WYD27" s="643"/>
      <c r="WYE27" s="643"/>
      <c r="WYF27" s="643"/>
      <c r="WYG27" s="643"/>
      <c r="WYH27" s="643"/>
      <c r="WYI27" s="643"/>
      <c r="WYJ27" s="643"/>
      <c r="WYK27" s="643"/>
      <c r="WYL27" s="643"/>
      <c r="WYM27" s="643"/>
      <c r="WYN27" s="643"/>
      <c r="WYO27" s="643"/>
      <c r="WYP27" s="643"/>
      <c r="WYQ27" s="643"/>
      <c r="WYR27" s="643"/>
      <c r="WYS27" s="643"/>
      <c r="WYT27" s="643"/>
      <c r="WYU27" s="643"/>
      <c r="WYV27" s="643"/>
      <c r="WYW27" s="643"/>
      <c r="WYX27" s="643"/>
      <c r="WYY27" s="643"/>
      <c r="WYZ27" s="643"/>
      <c r="WZA27" s="643"/>
      <c r="WZB27" s="643"/>
      <c r="WZC27" s="643"/>
      <c r="WZD27" s="643"/>
      <c r="WZE27" s="643"/>
      <c r="WZF27" s="643"/>
      <c r="WZG27" s="643"/>
      <c r="WZH27" s="643"/>
      <c r="WZI27" s="643"/>
      <c r="WZJ27" s="643"/>
      <c r="WZK27" s="643"/>
      <c r="WZL27" s="643"/>
      <c r="WZM27" s="643"/>
      <c r="WZN27" s="643"/>
      <c r="WZO27" s="643"/>
      <c r="WZP27" s="643"/>
      <c r="WZQ27" s="643"/>
      <c r="WZR27" s="643"/>
      <c r="WZS27" s="643"/>
      <c r="WZT27" s="643"/>
      <c r="WZU27" s="643"/>
      <c r="WZV27" s="643"/>
      <c r="WZW27" s="643"/>
      <c r="WZX27" s="643"/>
      <c r="WZY27" s="643"/>
      <c r="WZZ27" s="643"/>
      <c r="XAA27" s="643"/>
      <c r="XAB27" s="643"/>
      <c r="XAC27" s="643"/>
      <c r="XAD27" s="643"/>
      <c r="XAE27" s="643"/>
      <c r="XAF27" s="643"/>
      <c r="XAG27" s="643"/>
      <c r="XAH27" s="643"/>
      <c r="XAI27" s="643"/>
      <c r="XAJ27" s="643"/>
      <c r="XAK27" s="643"/>
      <c r="XAL27" s="643"/>
      <c r="XAM27" s="643"/>
      <c r="XAN27" s="643"/>
      <c r="XAO27" s="643"/>
      <c r="XAP27" s="643"/>
      <c r="XAQ27" s="643"/>
      <c r="XAR27" s="643"/>
      <c r="XAS27" s="643"/>
      <c r="XAT27" s="643"/>
      <c r="XAU27" s="643"/>
      <c r="XAV27" s="643"/>
      <c r="XAW27" s="643"/>
      <c r="XAX27" s="643"/>
      <c r="XAY27" s="643"/>
      <c r="XAZ27" s="643"/>
      <c r="XBA27" s="643"/>
      <c r="XBB27" s="643"/>
      <c r="XBC27" s="643"/>
      <c r="XBD27" s="643"/>
      <c r="XBE27" s="643"/>
      <c r="XBF27" s="643"/>
      <c r="XBG27" s="643"/>
      <c r="XBH27" s="643"/>
      <c r="XBI27" s="643"/>
      <c r="XBJ27" s="643"/>
      <c r="XBK27" s="643"/>
      <c r="XBL27" s="643"/>
      <c r="XBM27" s="643"/>
      <c r="XBN27" s="643"/>
      <c r="XBO27" s="643"/>
      <c r="XBP27" s="643"/>
      <c r="XBQ27" s="643"/>
      <c r="XBR27" s="643"/>
      <c r="XBS27" s="643"/>
      <c r="XBT27" s="643"/>
      <c r="XBU27" s="643"/>
      <c r="XBV27" s="643"/>
      <c r="XBW27" s="643"/>
      <c r="XBX27" s="643"/>
      <c r="XBY27" s="643"/>
      <c r="XBZ27" s="643"/>
      <c r="XCA27" s="643"/>
      <c r="XCB27" s="643"/>
      <c r="XCC27" s="643"/>
      <c r="XCD27" s="643"/>
      <c r="XCE27" s="643"/>
      <c r="XCF27" s="643"/>
      <c r="XCG27" s="643"/>
      <c r="XCH27" s="643"/>
      <c r="XCI27" s="643"/>
      <c r="XCJ27" s="643"/>
      <c r="XCK27" s="643"/>
      <c r="XCL27" s="643"/>
      <c r="XCM27" s="643"/>
      <c r="XCN27" s="643"/>
      <c r="XCO27" s="643"/>
      <c r="XCP27" s="643"/>
      <c r="XCQ27" s="643"/>
      <c r="XCR27" s="643"/>
      <c r="XCS27" s="643"/>
      <c r="XCT27" s="643"/>
      <c r="XCU27" s="643"/>
      <c r="XCV27" s="643"/>
      <c r="XCW27" s="643"/>
      <c r="XCX27" s="643"/>
      <c r="XCY27" s="643"/>
      <c r="XCZ27" s="643"/>
      <c r="XDA27" s="643"/>
      <c r="XDB27" s="643"/>
      <c r="XDC27" s="643"/>
      <c r="XDD27" s="643"/>
      <c r="XDE27" s="643"/>
      <c r="XDF27" s="643"/>
      <c r="XDG27" s="643"/>
      <c r="XDH27" s="643"/>
      <c r="XDI27" s="643"/>
      <c r="XDJ27" s="643"/>
      <c r="XDK27" s="643"/>
      <c r="XDL27" s="643"/>
      <c r="XDM27" s="643"/>
      <c r="XDN27" s="643"/>
      <c r="XDO27" s="643"/>
      <c r="XDP27" s="643"/>
      <c r="XDQ27" s="643"/>
      <c r="XDR27" s="643"/>
      <c r="XDS27" s="643"/>
      <c r="XDT27" s="643"/>
      <c r="XDU27" s="643"/>
      <c r="XDV27" s="643"/>
      <c r="XDW27" s="643"/>
      <c r="XDX27" s="643"/>
      <c r="XDY27" s="643"/>
      <c r="XDZ27" s="643"/>
      <c r="XEA27" s="643"/>
      <c r="XEB27" s="643"/>
      <c r="XEC27" s="643"/>
      <c r="XED27" s="643"/>
      <c r="XEE27" s="643"/>
      <c r="XEF27" s="643"/>
      <c r="XEG27" s="643"/>
      <c r="XEH27" s="643"/>
      <c r="XEI27" s="643"/>
      <c r="XEJ27" s="643"/>
      <c r="XEK27" s="643"/>
      <c r="XEL27" s="643"/>
      <c r="XEM27" s="643"/>
      <c r="XEN27" s="643"/>
      <c r="XEO27" s="643"/>
      <c r="XEP27" s="643"/>
      <c r="XEQ27" s="643"/>
      <c r="XER27" s="643"/>
      <c r="XES27" s="643"/>
      <c r="XET27" s="643"/>
      <c r="XEU27" s="643"/>
      <c r="XEV27" s="643"/>
      <c r="XEW27" s="643"/>
      <c r="XEX27" s="643"/>
      <c r="XEY27" s="643"/>
      <c r="XEZ27" s="643"/>
      <c r="XFA27" s="643"/>
      <c r="XFB27" s="643"/>
      <c r="XFC27" s="643"/>
      <c r="XFD27" s="643"/>
    </row>
    <row r="28" spans="1:16384">
      <c r="B28" s="747" t="s">
        <v>3711</v>
      </c>
      <c r="M28" s="789"/>
      <c r="R28" s="741"/>
    </row>
    <row r="29" spans="1:16384" ht="14.1" customHeight="1">
      <c r="B29"/>
      <c r="C29" s="747" t="s">
        <v>3719</v>
      </c>
      <c r="M29" s="801"/>
      <c r="R29" s="741"/>
    </row>
    <row r="30" spans="1:16384" ht="14.1" customHeight="1">
      <c r="B30"/>
      <c r="M30" s="801"/>
      <c r="R30" s="741"/>
    </row>
    <row r="31" spans="1:16384">
      <c r="B31" t="s">
        <v>3712</v>
      </c>
      <c r="R31" s="740" t="s">
        <v>3722</v>
      </c>
      <c r="S31" s="741"/>
    </row>
    <row r="32" spans="1:16384">
      <c r="B32"/>
      <c r="C32" s="747" t="s">
        <v>3721</v>
      </c>
      <c r="M32" s="799"/>
      <c r="O32" s="747" t="s">
        <v>3683</v>
      </c>
      <c r="Q32" s="747" t="s">
        <v>3283</v>
      </c>
      <c r="R32" s="741" t="str">
        <f>IF(N17&gt;1000, "The EPA regulates the max velocity of onshore U.S. flares. The max velocity is regulated to 400 feet/sec for gas with a heating value of above 1,000 btu/scf", "The EPA regulates the max velocity of onshore U.S. flares. The max velocity is regulated to 122 feet/sec for gas with a heating value of between 200 and 1,000 btu/scf")</f>
        <v>The EPA regulates the max velocity of onshore U.S. flares. The max velocity is regulated to 122 feet/sec for gas with a heating value of between 200 and 1,000 btu/scf</v>
      </c>
    </row>
    <row r="33" spans="1:16384">
      <c r="B33"/>
      <c r="C33" s="747" t="s">
        <v>3713</v>
      </c>
      <c r="M33" s="786" t="str">
        <f>IF(ISERROR(SQRT(((M15/M22)*('Input data'!E63/'Input data'!E64))/(M32*'Input data'!E11*PI()))/('Input data'!E12*0.5))=TRUE,"NA",SQRT(((M15/M22)*('Input data'!E63/'Input data'!E64))/(M32*'Input data'!E11*PI()))/('Input data'!E12*0.5))</f>
        <v>NA</v>
      </c>
      <c r="O33" s="747" t="s">
        <v>241</v>
      </c>
      <c r="S33" s="741"/>
    </row>
    <row r="34" spans="1:16384">
      <c r="B34"/>
      <c r="R34" s="741"/>
      <c r="S34" s="741"/>
    </row>
    <row r="35" spans="1:16384">
      <c r="B35" t="s">
        <v>3714</v>
      </c>
      <c r="R35" s="741"/>
      <c r="S35" s="741"/>
    </row>
    <row r="36" spans="1:16384">
      <c r="B36"/>
      <c r="C36" s="747" t="s">
        <v>3720</v>
      </c>
      <c r="M36" s="799"/>
      <c r="O36" t="s">
        <v>241</v>
      </c>
      <c r="R36" s="740"/>
      <c r="S36" s="741"/>
    </row>
    <row r="37" spans="1:16384">
      <c r="B37"/>
      <c r="C37" s="747" t="s">
        <v>3715</v>
      </c>
      <c r="M37" s="786" t="str">
        <f>IF(ISERROR(((M15/M22)*'Input data'!E63/'Input data'!E64)/(PI()*(0.5*M36*'Input data'!E12)^2))=TRUE,"NA",(((M15/(M22))*'Input data'!E63/'Input data'!E64))/((PI()*((0.5*(M36*'Input data'!E12))^2))))</f>
        <v>NA</v>
      </c>
      <c r="O37" t="s">
        <v>3716</v>
      </c>
      <c r="R37" s="740"/>
      <c r="S37" s="741"/>
    </row>
    <row r="38" spans="1:16384">
      <c r="B38"/>
      <c r="O38"/>
      <c r="R38" s="740"/>
      <c r="S38" s="741"/>
    </row>
    <row r="39" spans="1:16384">
      <c r="A39" s="643"/>
      <c r="B39" t="s">
        <v>3717</v>
      </c>
      <c r="C39" s="643"/>
      <c r="D39" s="643"/>
      <c r="E39" s="802"/>
      <c r="I39" s="643"/>
      <c r="M39" s="786">
        <f>IF(M28=0,M36,M33)</f>
        <v>0</v>
      </c>
      <c r="O39" t="s">
        <v>241</v>
      </c>
      <c r="Q39" s="643"/>
      <c r="R39" s="740"/>
      <c r="Y39" s="643"/>
      <c r="Z39" s="643"/>
      <c r="AA39" s="643"/>
      <c r="AB39" s="643"/>
      <c r="AC39" s="643"/>
      <c r="AD39" s="643"/>
      <c r="AE39" s="643"/>
      <c r="AF39" s="643"/>
      <c r="AG39" s="643"/>
      <c r="AH39" s="643"/>
      <c r="AI39" s="643"/>
      <c r="AJ39" s="643"/>
      <c r="AK39" s="643"/>
      <c r="AL39" s="643"/>
      <c r="AM39" s="643"/>
      <c r="AN39" s="643"/>
      <c r="AO39" s="643"/>
      <c r="AP39" s="643"/>
      <c r="AQ39" s="643"/>
      <c r="AR39" s="643"/>
      <c r="AS39" s="643"/>
      <c r="AT39" s="643"/>
      <c r="AU39" s="643"/>
      <c r="AV39" s="643"/>
      <c r="AW39" s="643"/>
      <c r="AX39" s="643"/>
      <c r="AY39" s="643"/>
      <c r="AZ39" s="643"/>
      <c r="BA39" s="643"/>
      <c r="BB39" s="643"/>
      <c r="BC39" s="643"/>
      <c r="BD39" s="643"/>
      <c r="BE39" s="643"/>
      <c r="BF39" s="643"/>
      <c r="BG39" s="643"/>
      <c r="BH39" s="643"/>
      <c r="BI39" s="643"/>
      <c r="BJ39" s="643"/>
      <c r="BK39" s="643"/>
      <c r="BL39" s="643"/>
      <c r="BM39" s="643"/>
      <c r="BN39" s="643"/>
      <c r="BO39" s="643"/>
      <c r="BP39" s="643"/>
      <c r="BQ39" s="643"/>
      <c r="BR39" s="643"/>
      <c r="BS39" s="643"/>
      <c r="BT39" s="643"/>
      <c r="BU39" s="643"/>
      <c r="BV39" s="643"/>
      <c r="BW39" s="643"/>
      <c r="BX39" s="643"/>
      <c r="BY39" s="643"/>
      <c r="BZ39" s="643"/>
      <c r="CA39" s="643"/>
      <c r="CB39" s="643"/>
      <c r="CC39" s="643"/>
      <c r="CD39" s="643"/>
      <c r="CE39" s="643"/>
      <c r="CF39" s="643"/>
      <c r="CG39" s="643"/>
      <c r="CH39" s="643"/>
      <c r="CI39" s="643"/>
      <c r="CJ39" s="643"/>
      <c r="CK39" s="643"/>
      <c r="CL39" s="643"/>
      <c r="CM39" s="643"/>
      <c r="CN39" s="643"/>
      <c r="CO39" s="643"/>
      <c r="CP39" s="643"/>
      <c r="CQ39" s="643"/>
      <c r="CR39" s="643"/>
      <c r="CS39" s="643"/>
      <c r="CT39" s="643"/>
      <c r="CU39" s="643"/>
      <c r="CV39" s="643"/>
      <c r="CW39" s="643"/>
      <c r="CX39" s="643"/>
      <c r="CY39" s="643"/>
      <c r="CZ39" s="643"/>
      <c r="DA39" s="643"/>
      <c r="DB39" s="643"/>
      <c r="DC39" s="643"/>
      <c r="DD39" s="643"/>
      <c r="DE39" s="643"/>
      <c r="DF39" s="643"/>
      <c r="DG39" s="643"/>
      <c r="DH39" s="643"/>
      <c r="DI39" s="643"/>
      <c r="DJ39" s="643"/>
      <c r="DK39" s="643"/>
      <c r="DL39" s="643"/>
      <c r="DM39" s="643"/>
      <c r="DN39" s="643"/>
      <c r="DO39" s="643"/>
      <c r="DP39" s="643"/>
      <c r="DQ39" s="643"/>
      <c r="DR39" s="643"/>
      <c r="DS39" s="643"/>
      <c r="DT39" s="643"/>
      <c r="DU39" s="643"/>
      <c r="DV39" s="643"/>
      <c r="DW39" s="643"/>
      <c r="DX39" s="643"/>
      <c r="DY39" s="643"/>
      <c r="DZ39" s="643"/>
      <c r="EA39" s="643"/>
      <c r="EB39" s="643"/>
      <c r="EC39" s="643"/>
      <c r="ED39" s="643"/>
      <c r="EE39" s="643"/>
      <c r="EF39" s="643"/>
      <c r="EG39" s="643"/>
      <c r="EH39" s="643"/>
      <c r="EI39" s="643"/>
      <c r="EJ39" s="643"/>
      <c r="EK39" s="643"/>
      <c r="EL39" s="643"/>
      <c r="EM39" s="643"/>
      <c r="EN39" s="643"/>
      <c r="EO39" s="643"/>
      <c r="EP39" s="643"/>
      <c r="EQ39" s="643"/>
      <c r="ER39" s="643"/>
      <c r="ES39" s="643"/>
      <c r="ET39" s="643"/>
      <c r="EU39" s="643"/>
      <c r="EV39" s="643"/>
      <c r="EW39" s="643"/>
      <c r="EX39" s="643"/>
      <c r="EY39" s="643"/>
      <c r="EZ39" s="643"/>
      <c r="FA39" s="643"/>
      <c r="FB39" s="643"/>
      <c r="FC39" s="643"/>
      <c r="FD39" s="643"/>
      <c r="FE39" s="643"/>
      <c r="FF39" s="643"/>
      <c r="FG39" s="643"/>
      <c r="FH39" s="643"/>
      <c r="FI39" s="643"/>
      <c r="FJ39" s="643"/>
      <c r="FK39" s="643"/>
      <c r="FL39" s="643"/>
      <c r="FM39" s="643"/>
      <c r="FN39" s="643"/>
      <c r="FO39" s="643"/>
      <c r="FP39" s="643"/>
      <c r="FQ39" s="643"/>
      <c r="FR39" s="643"/>
      <c r="FS39" s="643"/>
      <c r="FT39" s="643"/>
      <c r="FU39" s="643"/>
      <c r="FV39" s="643"/>
      <c r="FW39" s="643"/>
      <c r="FX39" s="643"/>
      <c r="FY39" s="643"/>
      <c r="FZ39" s="643"/>
      <c r="GA39" s="643"/>
      <c r="GB39" s="643"/>
      <c r="GC39" s="643"/>
      <c r="GD39" s="643"/>
      <c r="GE39" s="643"/>
      <c r="GF39" s="643"/>
      <c r="GG39" s="643"/>
      <c r="GH39" s="643"/>
      <c r="GI39" s="643"/>
      <c r="GJ39" s="643"/>
      <c r="GK39" s="643"/>
      <c r="GL39" s="643"/>
      <c r="GM39" s="643"/>
      <c r="GN39" s="643"/>
      <c r="GO39" s="643"/>
      <c r="GP39" s="643"/>
      <c r="GQ39" s="643"/>
      <c r="GR39" s="643"/>
      <c r="GS39" s="643"/>
      <c r="GT39" s="643"/>
      <c r="GU39" s="643"/>
      <c r="GV39" s="643"/>
      <c r="GW39" s="643"/>
      <c r="GX39" s="643"/>
      <c r="GY39" s="643"/>
      <c r="GZ39" s="643"/>
      <c r="HA39" s="643"/>
      <c r="HB39" s="643"/>
      <c r="HC39" s="643"/>
      <c r="HD39" s="643"/>
      <c r="HE39" s="643"/>
      <c r="HF39" s="643"/>
      <c r="HG39" s="643"/>
      <c r="HH39" s="643"/>
      <c r="HI39" s="643"/>
      <c r="HJ39" s="643"/>
      <c r="HK39" s="643"/>
      <c r="HL39" s="643"/>
      <c r="HM39" s="643"/>
      <c r="HN39" s="643"/>
      <c r="HO39" s="643"/>
      <c r="HP39" s="643"/>
      <c r="HQ39" s="643"/>
      <c r="HR39" s="643"/>
      <c r="HS39" s="643"/>
      <c r="HT39" s="643"/>
      <c r="HU39" s="643"/>
      <c r="HV39" s="643"/>
      <c r="HW39" s="643"/>
      <c r="HX39" s="643"/>
      <c r="HY39" s="643"/>
      <c r="HZ39" s="643"/>
      <c r="IA39" s="643"/>
      <c r="IB39" s="643"/>
      <c r="IC39" s="643"/>
      <c r="ID39" s="643"/>
      <c r="IE39" s="643"/>
      <c r="IF39" s="643"/>
      <c r="IG39" s="643"/>
      <c r="IH39" s="643"/>
      <c r="II39" s="643"/>
      <c r="IJ39" s="643"/>
      <c r="IK39" s="643"/>
      <c r="IL39" s="643"/>
      <c r="IM39" s="643"/>
      <c r="IN39" s="643"/>
      <c r="IO39" s="643"/>
      <c r="IP39" s="643"/>
      <c r="IQ39" s="643"/>
      <c r="IR39" s="643"/>
      <c r="IS39" s="643"/>
      <c r="IT39" s="643"/>
      <c r="IU39" s="643"/>
      <c r="IV39" s="643"/>
      <c r="IW39" s="643"/>
      <c r="IX39" s="643"/>
      <c r="IY39" s="643"/>
      <c r="IZ39" s="643"/>
      <c r="JA39" s="643"/>
      <c r="JB39" s="643"/>
      <c r="JC39" s="643"/>
      <c r="JD39" s="643"/>
      <c r="JE39" s="643"/>
      <c r="JF39" s="643"/>
      <c r="JG39" s="643"/>
      <c r="JH39" s="643"/>
      <c r="JI39" s="643"/>
      <c r="JJ39" s="643"/>
      <c r="JK39" s="643"/>
      <c r="JL39" s="643"/>
      <c r="JM39" s="643"/>
      <c r="JN39" s="643"/>
      <c r="JO39" s="643"/>
      <c r="JP39" s="643"/>
      <c r="JQ39" s="643"/>
      <c r="JR39" s="643"/>
      <c r="JS39" s="643"/>
      <c r="JT39" s="643"/>
      <c r="JU39" s="643"/>
      <c r="JV39" s="643"/>
      <c r="JW39" s="643"/>
      <c r="JX39" s="643"/>
      <c r="JY39" s="643"/>
      <c r="JZ39" s="643"/>
      <c r="KA39" s="643"/>
      <c r="KB39" s="643"/>
      <c r="KC39" s="643"/>
      <c r="KD39" s="643"/>
      <c r="KE39" s="643"/>
      <c r="KF39" s="643"/>
      <c r="KG39" s="643"/>
      <c r="KH39" s="643"/>
      <c r="KI39" s="643"/>
      <c r="KJ39" s="643"/>
      <c r="KK39" s="643"/>
      <c r="KL39" s="643"/>
      <c r="KM39" s="643"/>
      <c r="KN39" s="643"/>
      <c r="KO39" s="643"/>
      <c r="KP39" s="643"/>
      <c r="KQ39" s="643"/>
      <c r="KR39" s="643"/>
      <c r="KS39" s="643"/>
      <c r="KT39" s="643"/>
      <c r="KU39" s="643"/>
      <c r="KV39" s="643"/>
      <c r="KW39" s="643"/>
      <c r="KX39" s="643"/>
      <c r="KY39" s="643"/>
      <c r="KZ39" s="643"/>
      <c r="LA39" s="643"/>
      <c r="LB39" s="643"/>
      <c r="LC39" s="643"/>
      <c r="LD39" s="643"/>
      <c r="LE39" s="643"/>
      <c r="LF39" s="643"/>
      <c r="LG39" s="643"/>
      <c r="LH39" s="643"/>
      <c r="LI39" s="643"/>
      <c r="LJ39" s="643"/>
      <c r="LK39" s="643"/>
      <c r="LL39" s="643"/>
      <c r="LM39" s="643"/>
      <c r="LN39" s="643"/>
      <c r="LO39" s="643"/>
      <c r="LP39" s="643"/>
      <c r="LQ39" s="643"/>
      <c r="LR39" s="643"/>
      <c r="LS39" s="643"/>
      <c r="LT39" s="643"/>
      <c r="LU39" s="643"/>
      <c r="LV39" s="643"/>
      <c r="LW39" s="643"/>
      <c r="LX39" s="643"/>
      <c r="LY39" s="643"/>
      <c r="LZ39" s="643"/>
      <c r="MA39" s="643"/>
      <c r="MB39" s="643"/>
      <c r="MC39" s="643"/>
      <c r="MD39" s="643"/>
      <c r="ME39" s="643"/>
      <c r="MF39" s="643"/>
      <c r="MG39" s="643"/>
      <c r="MH39" s="643"/>
      <c r="MI39" s="643"/>
      <c r="MJ39" s="643"/>
      <c r="MK39" s="643"/>
      <c r="ML39" s="643"/>
      <c r="MM39" s="643"/>
      <c r="MN39" s="643"/>
      <c r="MO39" s="643"/>
      <c r="MP39" s="643"/>
      <c r="MQ39" s="643"/>
      <c r="MR39" s="643"/>
      <c r="MS39" s="643"/>
      <c r="MT39" s="643"/>
      <c r="MU39" s="643"/>
      <c r="MV39" s="643"/>
      <c r="MW39" s="643"/>
      <c r="MX39" s="643"/>
      <c r="MY39" s="643"/>
      <c r="MZ39" s="643"/>
      <c r="NA39" s="643"/>
      <c r="NB39" s="643"/>
      <c r="NC39" s="643"/>
      <c r="ND39" s="643"/>
      <c r="NE39" s="643"/>
      <c r="NF39" s="643"/>
      <c r="NG39" s="643"/>
      <c r="NH39" s="643"/>
      <c r="NI39" s="643"/>
      <c r="NJ39" s="643"/>
      <c r="NK39" s="643"/>
      <c r="NL39" s="643"/>
      <c r="NM39" s="643"/>
      <c r="NN39" s="643"/>
      <c r="NO39" s="643"/>
      <c r="NP39" s="643"/>
      <c r="NQ39" s="643"/>
      <c r="NR39" s="643"/>
      <c r="NS39" s="643"/>
      <c r="NT39" s="643"/>
      <c r="NU39" s="643"/>
      <c r="NV39" s="643"/>
      <c r="NW39" s="643"/>
      <c r="NX39" s="643"/>
      <c r="NY39" s="643"/>
      <c r="NZ39" s="643"/>
      <c r="OA39" s="643"/>
      <c r="OB39" s="643"/>
      <c r="OC39" s="643"/>
      <c r="OD39" s="643"/>
      <c r="OE39" s="643"/>
      <c r="OF39" s="643"/>
      <c r="OG39" s="643"/>
      <c r="OH39" s="643"/>
      <c r="OI39" s="643"/>
      <c r="OJ39" s="643"/>
      <c r="OK39" s="643"/>
      <c r="OL39" s="643"/>
      <c r="OM39" s="643"/>
      <c r="ON39" s="643"/>
      <c r="OO39" s="643"/>
      <c r="OP39" s="643"/>
      <c r="OQ39" s="643"/>
      <c r="OR39" s="643"/>
      <c r="OS39" s="643"/>
      <c r="OT39" s="643"/>
      <c r="OU39" s="643"/>
      <c r="OV39" s="643"/>
      <c r="OW39" s="643"/>
      <c r="OX39" s="643"/>
      <c r="OY39" s="643"/>
      <c r="OZ39" s="643"/>
      <c r="PA39" s="643"/>
      <c r="PB39" s="643"/>
      <c r="PC39" s="643"/>
      <c r="PD39" s="643"/>
      <c r="PE39" s="643"/>
      <c r="PF39" s="643"/>
      <c r="PG39" s="643"/>
      <c r="PH39" s="643"/>
      <c r="PI39" s="643"/>
      <c r="PJ39" s="643"/>
      <c r="PK39" s="643"/>
      <c r="PL39" s="643"/>
      <c r="PM39" s="643"/>
      <c r="PN39" s="643"/>
      <c r="PO39" s="643"/>
      <c r="PP39" s="643"/>
      <c r="PQ39" s="643"/>
      <c r="PR39" s="643"/>
      <c r="PS39" s="643"/>
      <c r="PT39" s="643"/>
      <c r="PU39" s="643"/>
      <c r="PV39" s="643"/>
      <c r="PW39" s="643"/>
      <c r="PX39" s="643"/>
      <c r="PY39" s="643"/>
      <c r="PZ39" s="643"/>
      <c r="QA39" s="643"/>
      <c r="QB39" s="643"/>
      <c r="QC39" s="643"/>
      <c r="QD39" s="643"/>
      <c r="QE39" s="643"/>
      <c r="QF39" s="643"/>
      <c r="QG39" s="643"/>
      <c r="QH39" s="643"/>
      <c r="QI39" s="643"/>
      <c r="QJ39" s="643"/>
      <c r="QK39" s="643"/>
      <c r="QL39" s="643"/>
      <c r="QM39" s="643"/>
      <c r="QN39" s="643"/>
      <c r="QO39" s="643"/>
      <c r="QP39" s="643"/>
      <c r="QQ39" s="643"/>
      <c r="QR39" s="643"/>
      <c r="QS39" s="643"/>
      <c r="QT39" s="643"/>
      <c r="QU39" s="643"/>
      <c r="QV39" s="643"/>
      <c r="QW39" s="643"/>
      <c r="QX39" s="643"/>
      <c r="QY39" s="643"/>
      <c r="QZ39" s="643"/>
      <c r="RA39" s="643"/>
      <c r="RB39" s="643"/>
      <c r="RC39" s="643"/>
      <c r="RD39" s="643"/>
      <c r="RE39" s="643"/>
      <c r="RF39" s="643"/>
      <c r="RG39" s="643"/>
      <c r="RH39" s="643"/>
      <c r="RI39" s="643"/>
      <c r="RJ39" s="643"/>
      <c r="RK39" s="643"/>
      <c r="RL39" s="643"/>
      <c r="RM39" s="643"/>
      <c r="RN39" s="643"/>
      <c r="RO39" s="643"/>
      <c r="RP39" s="643"/>
      <c r="RQ39" s="643"/>
      <c r="RR39" s="643"/>
      <c r="RS39" s="643"/>
      <c r="RT39" s="643"/>
      <c r="RU39" s="643"/>
      <c r="RV39" s="643"/>
      <c r="RW39" s="643"/>
      <c r="RX39" s="643"/>
      <c r="RY39" s="643"/>
      <c r="RZ39" s="643"/>
      <c r="SA39" s="643"/>
      <c r="SB39" s="643"/>
      <c r="SC39" s="643"/>
      <c r="SD39" s="643"/>
      <c r="SE39" s="643"/>
      <c r="SF39" s="643"/>
      <c r="SG39" s="643"/>
      <c r="SH39" s="643"/>
      <c r="SI39" s="643"/>
      <c r="SJ39" s="643"/>
      <c r="SK39" s="643"/>
      <c r="SL39" s="643"/>
      <c r="SM39" s="643"/>
      <c r="SN39" s="643"/>
      <c r="SO39" s="643"/>
      <c r="SP39" s="643"/>
      <c r="SQ39" s="643"/>
      <c r="SR39" s="643"/>
      <c r="SS39" s="643"/>
      <c r="ST39" s="643"/>
      <c r="SU39" s="643"/>
      <c r="SV39" s="643"/>
      <c r="SW39" s="643"/>
      <c r="SX39" s="643"/>
      <c r="SY39" s="643"/>
      <c r="SZ39" s="643"/>
      <c r="TA39" s="643"/>
      <c r="TB39" s="643"/>
      <c r="TC39" s="643"/>
      <c r="TD39" s="643"/>
      <c r="TE39" s="643"/>
      <c r="TF39" s="643"/>
      <c r="TG39" s="643"/>
      <c r="TH39" s="643"/>
      <c r="TI39" s="643"/>
      <c r="TJ39" s="643"/>
      <c r="TK39" s="643"/>
      <c r="TL39" s="643"/>
      <c r="TM39" s="643"/>
      <c r="TN39" s="643"/>
      <c r="TO39" s="643"/>
      <c r="TP39" s="643"/>
      <c r="TQ39" s="643"/>
      <c r="TR39" s="643"/>
      <c r="TS39" s="643"/>
      <c r="TT39" s="643"/>
      <c r="TU39" s="643"/>
      <c r="TV39" s="643"/>
      <c r="TW39" s="643"/>
      <c r="TX39" s="643"/>
      <c r="TY39" s="643"/>
      <c r="TZ39" s="643"/>
      <c r="UA39" s="643"/>
      <c r="UB39" s="643"/>
      <c r="UC39" s="643"/>
      <c r="UD39" s="643"/>
      <c r="UE39" s="643"/>
      <c r="UF39" s="643"/>
      <c r="UG39" s="643"/>
      <c r="UH39" s="643"/>
      <c r="UI39" s="643"/>
      <c r="UJ39" s="643"/>
      <c r="UK39" s="643"/>
      <c r="UL39" s="643"/>
      <c r="UM39" s="643"/>
      <c r="UN39" s="643"/>
      <c r="UO39" s="643"/>
      <c r="UP39" s="643"/>
      <c r="UQ39" s="643"/>
      <c r="UR39" s="643"/>
      <c r="US39" s="643"/>
      <c r="UT39" s="643"/>
      <c r="UU39" s="643"/>
      <c r="UV39" s="643"/>
      <c r="UW39" s="643"/>
      <c r="UX39" s="643"/>
      <c r="UY39" s="643"/>
      <c r="UZ39" s="643"/>
      <c r="VA39" s="643"/>
      <c r="VB39" s="643"/>
      <c r="VC39" s="643"/>
      <c r="VD39" s="643"/>
      <c r="VE39" s="643"/>
      <c r="VF39" s="643"/>
      <c r="VG39" s="643"/>
      <c r="VH39" s="643"/>
      <c r="VI39" s="643"/>
      <c r="VJ39" s="643"/>
      <c r="VK39" s="643"/>
      <c r="VL39" s="643"/>
      <c r="VM39" s="643"/>
      <c r="VN39" s="643"/>
      <c r="VO39" s="643"/>
      <c r="VP39" s="643"/>
      <c r="VQ39" s="643"/>
      <c r="VR39" s="643"/>
      <c r="VS39" s="643"/>
      <c r="VT39" s="643"/>
      <c r="VU39" s="643"/>
      <c r="VV39" s="643"/>
      <c r="VW39" s="643"/>
      <c r="VX39" s="643"/>
      <c r="VY39" s="643"/>
      <c r="VZ39" s="643"/>
      <c r="WA39" s="643"/>
      <c r="WB39" s="643"/>
      <c r="WC39" s="643"/>
      <c r="WD39" s="643"/>
      <c r="WE39" s="643"/>
      <c r="WF39" s="643"/>
      <c r="WG39" s="643"/>
      <c r="WH39" s="643"/>
      <c r="WI39" s="643"/>
      <c r="WJ39" s="643"/>
      <c r="WK39" s="643"/>
      <c r="WL39" s="643"/>
      <c r="WM39" s="643"/>
      <c r="WN39" s="643"/>
      <c r="WO39" s="643"/>
      <c r="WP39" s="643"/>
      <c r="WQ39" s="643"/>
      <c r="WR39" s="643"/>
      <c r="WS39" s="643"/>
      <c r="WT39" s="643"/>
      <c r="WU39" s="643"/>
      <c r="WV39" s="643"/>
      <c r="WW39" s="643"/>
      <c r="WX39" s="643"/>
      <c r="WY39" s="643"/>
      <c r="WZ39" s="643"/>
      <c r="XA39" s="643"/>
      <c r="XB39" s="643"/>
      <c r="XC39" s="643"/>
      <c r="XD39" s="643"/>
      <c r="XE39" s="643"/>
      <c r="XF39" s="643"/>
      <c r="XG39" s="643"/>
      <c r="XH39" s="643"/>
      <c r="XI39" s="643"/>
      <c r="XJ39" s="643"/>
      <c r="XK39" s="643"/>
      <c r="XL39" s="643"/>
      <c r="XM39" s="643"/>
      <c r="XN39" s="643"/>
      <c r="XO39" s="643"/>
      <c r="XP39" s="643"/>
      <c r="XQ39" s="643"/>
      <c r="XR39" s="643"/>
      <c r="XS39" s="643"/>
      <c r="XT39" s="643"/>
      <c r="XU39" s="643"/>
      <c r="XV39" s="643"/>
      <c r="XW39" s="643"/>
      <c r="XX39" s="643"/>
      <c r="XY39" s="643"/>
      <c r="XZ39" s="643"/>
      <c r="YA39" s="643"/>
      <c r="YB39" s="643"/>
      <c r="YC39" s="643"/>
      <c r="YD39" s="643"/>
      <c r="YE39" s="643"/>
      <c r="YF39" s="643"/>
      <c r="YG39" s="643"/>
      <c r="YH39" s="643"/>
      <c r="YI39" s="643"/>
      <c r="YJ39" s="643"/>
      <c r="YK39" s="643"/>
      <c r="YL39" s="643"/>
      <c r="YM39" s="643"/>
      <c r="YN39" s="643"/>
      <c r="YO39" s="643"/>
      <c r="YP39" s="643"/>
      <c r="YQ39" s="643"/>
      <c r="YR39" s="643"/>
      <c r="YS39" s="643"/>
      <c r="YT39" s="643"/>
      <c r="YU39" s="643"/>
      <c r="YV39" s="643"/>
      <c r="YW39" s="643"/>
      <c r="YX39" s="643"/>
      <c r="YY39" s="643"/>
      <c r="YZ39" s="643"/>
      <c r="ZA39" s="643"/>
      <c r="ZB39" s="643"/>
      <c r="ZC39" s="643"/>
      <c r="ZD39" s="643"/>
      <c r="ZE39" s="643"/>
      <c r="ZF39" s="643"/>
      <c r="ZG39" s="643"/>
      <c r="ZH39" s="643"/>
      <c r="ZI39" s="643"/>
      <c r="ZJ39" s="643"/>
      <c r="ZK39" s="643"/>
      <c r="ZL39" s="643"/>
      <c r="ZM39" s="643"/>
      <c r="ZN39" s="643"/>
      <c r="ZO39" s="643"/>
      <c r="ZP39" s="643"/>
      <c r="ZQ39" s="643"/>
      <c r="ZR39" s="643"/>
      <c r="ZS39" s="643"/>
      <c r="ZT39" s="643"/>
      <c r="ZU39" s="643"/>
      <c r="ZV39" s="643"/>
      <c r="ZW39" s="643"/>
      <c r="ZX39" s="643"/>
      <c r="ZY39" s="643"/>
      <c r="ZZ39" s="643"/>
      <c r="AAA39" s="643"/>
      <c r="AAB39" s="643"/>
      <c r="AAC39" s="643"/>
      <c r="AAD39" s="643"/>
      <c r="AAE39" s="643"/>
      <c r="AAF39" s="643"/>
      <c r="AAG39" s="643"/>
      <c r="AAH39" s="643"/>
      <c r="AAI39" s="643"/>
      <c r="AAJ39" s="643"/>
      <c r="AAK39" s="643"/>
      <c r="AAL39" s="643"/>
      <c r="AAM39" s="643"/>
      <c r="AAN39" s="643"/>
      <c r="AAO39" s="643"/>
      <c r="AAP39" s="643"/>
      <c r="AAQ39" s="643"/>
      <c r="AAR39" s="643"/>
      <c r="AAS39" s="643"/>
      <c r="AAT39" s="643"/>
      <c r="AAU39" s="643"/>
      <c r="AAV39" s="643"/>
      <c r="AAW39" s="643"/>
      <c r="AAX39" s="643"/>
      <c r="AAY39" s="643"/>
      <c r="AAZ39" s="643"/>
      <c r="ABA39" s="643"/>
      <c r="ABB39" s="643"/>
      <c r="ABC39" s="643"/>
      <c r="ABD39" s="643"/>
      <c r="ABE39" s="643"/>
      <c r="ABF39" s="643"/>
      <c r="ABG39" s="643"/>
      <c r="ABH39" s="643"/>
      <c r="ABI39" s="643"/>
      <c r="ABJ39" s="643"/>
      <c r="ABK39" s="643"/>
      <c r="ABL39" s="643"/>
      <c r="ABM39" s="643"/>
      <c r="ABN39" s="643"/>
      <c r="ABO39" s="643"/>
      <c r="ABP39" s="643"/>
      <c r="ABQ39" s="643"/>
      <c r="ABR39" s="643"/>
      <c r="ABS39" s="643"/>
      <c r="ABT39" s="643"/>
      <c r="ABU39" s="643"/>
      <c r="ABV39" s="643"/>
      <c r="ABW39" s="643"/>
      <c r="ABX39" s="643"/>
      <c r="ABY39" s="643"/>
      <c r="ABZ39" s="643"/>
      <c r="ACA39" s="643"/>
      <c r="ACB39" s="643"/>
      <c r="ACC39" s="643"/>
      <c r="ACD39" s="643"/>
      <c r="ACE39" s="643"/>
      <c r="ACF39" s="643"/>
      <c r="ACG39" s="643"/>
      <c r="ACH39" s="643"/>
      <c r="ACI39" s="643"/>
      <c r="ACJ39" s="643"/>
      <c r="ACK39" s="643"/>
      <c r="ACL39" s="643"/>
      <c r="ACM39" s="643"/>
      <c r="ACN39" s="643"/>
      <c r="ACO39" s="643"/>
      <c r="ACP39" s="643"/>
      <c r="ACQ39" s="643"/>
      <c r="ACR39" s="643"/>
      <c r="ACS39" s="643"/>
      <c r="ACT39" s="643"/>
      <c r="ACU39" s="643"/>
      <c r="ACV39" s="643"/>
      <c r="ACW39" s="643"/>
      <c r="ACX39" s="643"/>
      <c r="ACY39" s="643"/>
      <c r="ACZ39" s="643"/>
      <c r="ADA39" s="643"/>
      <c r="ADB39" s="643"/>
      <c r="ADC39" s="643"/>
      <c r="ADD39" s="643"/>
      <c r="ADE39" s="643"/>
      <c r="ADF39" s="643"/>
      <c r="ADG39" s="643"/>
      <c r="ADH39" s="643"/>
      <c r="ADI39" s="643"/>
      <c r="ADJ39" s="643"/>
      <c r="ADK39" s="643"/>
      <c r="ADL39" s="643"/>
      <c r="ADM39" s="643"/>
      <c r="ADN39" s="643"/>
      <c r="ADO39" s="643"/>
      <c r="ADP39" s="643"/>
      <c r="ADQ39" s="643"/>
      <c r="ADR39" s="643"/>
      <c r="ADS39" s="643"/>
      <c r="ADT39" s="643"/>
      <c r="ADU39" s="643"/>
      <c r="ADV39" s="643"/>
      <c r="ADW39" s="643"/>
      <c r="ADX39" s="643"/>
      <c r="ADY39" s="643"/>
      <c r="ADZ39" s="643"/>
      <c r="AEA39" s="643"/>
      <c r="AEB39" s="643"/>
      <c r="AEC39" s="643"/>
      <c r="AED39" s="643"/>
      <c r="AEE39" s="643"/>
      <c r="AEF39" s="643"/>
      <c r="AEG39" s="643"/>
      <c r="AEH39" s="643"/>
      <c r="AEI39" s="643"/>
      <c r="AEJ39" s="643"/>
      <c r="AEK39" s="643"/>
      <c r="AEL39" s="643"/>
      <c r="AEM39" s="643"/>
      <c r="AEN39" s="643"/>
      <c r="AEO39" s="643"/>
      <c r="AEP39" s="643"/>
      <c r="AEQ39" s="643"/>
      <c r="AER39" s="643"/>
      <c r="AES39" s="643"/>
      <c r="AET39" s="643"/>
      <c r="AEU39" s="643"/>
      <c r="AEV39" s="643"/>
      <c r="AEW39" s="643"/>
      <c r="AEX39" s="643"/>
      <c r="AEY39" s="643"/>
      <c r="AEZ39" s="643"/>
      <c r="AFA39" s="643"/>
      <c r="AFB39" s="643"/>
      <c r="AFC39" s="643"/>
      <c r="AFD39" s="643"/>
      <c r="AFE39" s="643"/>
      <c r="AFF39" s="643"/>
      <c r="AFG39" s="643"/>
      <c r="AFH39" s="643"/>
      <c r="AFI39" s="643"/>
      <c r="AFJ39" s="643"/>
      <c r="AFK39" s="643"/>
      <c r="AFL39" s="643"/>
      <c r="AFM39" s="643"/>
      <c r="AFN39" s="643"/>
      <c r="AFO39" s="643"/>
      <c r="AFP39" s="643"/>
      <c r="AFQ39" s="643"/>
      <c r="AFR39" s="643"/>
      <c r="AFS39" s="643"/>
      <c r="AFT39" s="643"/>
      <c r="AFU39" s="643"/>
      <c r="AFV39" s="643"/>
      <c r="AFW39" s="643"/>
      <c r="AFX39" s="643"/>
      <c r="AFY39" s="643"/>
      <c r="AFZ39" s="643"/>
      <c r="AGA39" s="643"/>
      <c r="AGB39" s="643"/>
      <c r="AGC39" s="643"/>
      <c r="AGD39" s="643"/>
      <c r="AGE39" s="643"/>
      <c r="AGF39" s="643"/>
      <c r="AGG39" s="643"/>
      <c r="AGH39" s="643"/>
      <c r="AGI39" s="643"/>
      <c r="AGJ39" s="643"/>
      <c r="AGK39" s="643"/>
      <c r="AGL39" s="643"/>
      <c r="AGM39" s="643"/>
      <c r="AGN39" s="643"/>
      <c r="AGO39" s="643"/>
      <c r="AGP39" s="643"/>
      <c r="AGQ39" s="643"/>
      <c r="AGR39" s="643"/>
      <c r="AGS39" s="643"/>
      <c r="AGT39" s="643"/>
      <c r="AGU39" s="643"/>
      <c r="AGV39" s="643"/>
      <c r="AGW39" s="643"/>
      <c r="AGX39" s="643"/>
      <c r="AGY39" s="643"/>
      <c r="AGZ39" s="643"/>
      <c r="AHA39" s="643"/>
      <c r="AHB39" s="643"/>
      <c r="AHC39" s="643"/>
      <c r="AHD39" s="643"/>
      <c r="AHE39" s="643"/>
      <c r="AHF39" s="643"/>
      <c r="AHG39" s="643"/>
      <c r="AHH39" s="643"/>
      <c r="AHI39" s="643"/>
      <c r="AHJ39" s="643"/>
      <c r="AHK39" s="643"/>
      <c r="AHL39" s="643"/>
      <c r="AHM39" s="643"/>
      <c r="AHN39" s="643"/>
      <c r="AHO39" s="643"/>
      <c r="AHP39" s="643"/>
      <c r="AHQ39" s="643"/>
      <c r="AHR39" s="643"/>
      <c r="AHS39" s="643"/>
      <c r="AHT39" s="643"/>
      <c r="AHU39" s="643"/>
      <c r="AHV39" s="643"/>
      <c r="AHW39" s="643"/>
      <c r="AHX39" s="643"/>
      <c r="AHY39" s="643"/>
      <c r="AHZ39" s="643"/>
      <c r="AIA39" s="643"/>
      <c r="AIB39" s="643"/>
      <c r="AIC39" s="643"/>
      <c r="AID39" s="643"/>
      <c r="AIE39" s="643"/>
      <c r="AIF39" s="643"/>
      <c r="AIG39" s="643"/>
      <c r="AIH39" s="643"/>
      <c r="AII39" s="643"/>
      <c r="AIJ39" s="643"/>
      <c r="AIK39" s="643"/>
      <c r="AIL39" s="643"/>
      <c r="AIM39" s="643"/>
      <c r="AIN39" s="643"/>
      <c r="AIO39" s="643"/>
      <c r="AIP39" s="643"/>
      <c r="AIQ39" s="643"/>
      <c r="AIR39" s="643"/>
      <c r="AIS39" s="643"/>
      <c r="AIT39" s="643"/>
      <c r="AIU39" s="643"/>
      <c r="AIV39" s="643"/>
      <c r="AIW39" s="643"/>
      <c r="AIX39" s="643"/>
      <c r="AIY39" s="643"/>
      <c r="AIZ39" s="643"/>
      <c r="AJA39" s="643"/>
      <c r="AJB39" s="643"/>
      <c r="AJC39" s="643"/>
      <c r="AJD39" s="643"/>
      <c r="AJE39" s="643"/>
      <c r="AJF39" s="643"/>
      <c r="AJG39" s="643"/>
      <c r="AJH39" s="643"/>
      <c r="AJI39" s="643"/>
      <c r="AJJ39" s="643"/>
      <c r="AJK39" s="643"/>
      <c r="AJL39" s="643"/>
      <c r="AJM39" s="643"/>
      <c r="AJN39" s="643"/>
      <c r="AJO39" s="643"/>
      <c r="AJP39" s="643"/>
      <c r="AJQ39" s="643"/>
      <c r="AJR39" s="643"/>
      <c r="AJS39" s="643"/>
      <c r="AJT39" s="643"/>
      <c r="AJU39" s="643"/>
      <c r="AJV39" s="643"/>
      <c r="AJW39" s="643"/>
      <c r="AJX39" s="643"/>
      <c r="AJY39" s="643"/>
      <c r="AJZ39" s="643"/>
      <c r="AKA39" s="643"/>
      <c r="AKB39" s="643"/>
      <c r="AKC39" s="643"/>
      <c r="AKD39" s="643"/>
      <c r="AKE39" s="643"/>
      <c r="AKF39" s="643"/>
      <c r="AKG39" s="643"/>
      <c r="AKH39" s="643"/>
      <c r="AKI39" s="643"/>
      <c r="AKJ39" s="643"/>
      <c r="AKK39" s="643"/>
      <c r="AKL39" s="643"/>
      <c r="AKM39" s="643"/>
      <c r="AKN39" s="643"/>
      <c r="AKO39" s="643"/>
      <c r="AKP39" s="643"/>
      <c r="AKQ39" s="643"/>
      <c r="AKR39" s="643"/>
      <c r="AKS39" s="643"/>
      <c r="AKT39" s="643"/>
      <c r="AKU39" s="643"/>
      <c r="AKV39" s="643"/>
      <c r="AKW39" s="643"/>
      <c r="AKX39" s="643"/>
      <c r="AKY39" s="643"/>
      <c r="AKZ39" s="643"/>
      <c r="ALA39" s="643"/>
      <c r="ALB39" s="643"/>
      <c r="ALC39" s="643"/>
      <c r="ALD39" s="643"/>
      <c r="ALE39" s="643"/>
      <c r="ALF39" s="643"/>
      <c r="ALG39" s="643"/>
      <c r="ALH39" s="643"/>
      <c r="ALI39" s="643"/>
      <c r="ALJ39" s="643"/>
      <c r="ALK39" s="643"/>
      <c r="ALL39" s="643"/>
      <c r="ALM39" s="643"/>
      <c r="ALN39" s="643"/>
      <c r="ALO39" s="643"/>
      <c r="ALP39" s="643"/>
      <c r="ALQ39" s="643"/>
      <c r="ALR39" s="643"/>
      <c r="ALS39" s="643"/>
      <c r="ALT39" s="643"/>
      <c r="ALU39" s="643"/>
      <c r="ALV39" s="643"/>
      <c r="ALW39" s="643"/>
      <c r="ALX39" s="643"/>
      <c r="ALY39" s="643"/>
      <c r="ALZ39" s="643"/>
      <c r="AMA39" s="643"/>
      <c r="AMB39" s="643"/>
      <c r="AMC39" s="643"/>
      <c r="AMD39" s="643"/>
      <c r="AME39" s="643"/>
      <c r="AMF39" s="643"/>
      <c r="AMG39" s="643"/>
      <c r="AMH39" s="643"/>
      <c r="AMI39" s="643"/>
      <c r="AMJ39" s="643"/>
      <c r="AMK39" s="643"/>
      <c r="AML39" s="643"/>
      <c r="AMM39" s="643"/>
      <c r="AMN39" s="643"/>
      <c r="AMO39" s="643"/>
      <c r="AMP39" s="643"/>
      <c r="AMQ39" s="643"/>
      <c r="AMR39" s="643"/>
      <c r="AMS39" s="643"/>
      <c r="AMT39" s="643"/>
      <c r="AMU39" s="643"/>
      <c r="AMV39" s="643"/>
      <c r="AMW39" s="643"/>
      <c r="AMX39" s="643"/>
      <c r="AMY39" s="643"/>
      <c r="AMZ39" s="643"/>
      <c r="ANA39" s="643"/>
      <c r="ANB39" s="643"/>
      <c r="ANC39" s="643"/>
      <c r="AND39" s="643"/>
      <c r="ANE39" s="643"/>
      <c r="ANF39" s="643"/>
      <c r="ANG39" s="643"/>
      <c r="ANH39" s="643"/>
      <c r="ANI39" s="643"/>
      <c r="ANJ39" s="643"/>
      <c r="ANK39" s="643"/>
      <c r="ANL39" s="643"/>
      <c r="ANM39" s="643"/>
      <c r="ANN39" s="643"/>
      <c r="ANO39" s="643"/>
      <c r="ANP39" s="643"/>
      <c r="ANQ39" s="643"/>
      <c r="ANR39" s="643"/>
      <c r="ANS39" s="643"/>
      <c r="ANT39" s="643"/>
      <c r="ANU39" s="643"/>
      <c r="ANV39" s="643"/>
      <c r="ANW39" s="643"/>
      <c r="ANX39" s="643"/>
      <c r="ANY39" s="643"/>
      <c r="ANZ39" s="643"/>
      <c r="AOA39" s="643"/>
      <c r="AOB39" s="643"/>
      <c r="AOC39" s="643"/>
      <c r="AOD39" s="643"/>
      <c r="AOE39" s="643"/>
      <c r="AOF39" s="643"/>
      <c r="AOG39" s="643"/>
      <c r="AOH39" s="643"/>
      <c r="AOI39" s="643"/>
      <c r="AOJ39" s="643"/>
      <c r="AOK39" s="643"/>
      <c r="AOL39" s="643"/>
      <c r="AOM39" s="643"/>
      <c r="AON39" s="643"/>
      <c r="AOO39" s="643"/>
      <c r="AOP39" s="643"/>
      <c r="AOQ39" s="643"/>
      <c r="AOR39" s="643"/>
      <c r="AOS39" s="643"/>
      <c r="AOT39" s="643"/>
      <c r="AOU39" s="643"/>
      <c r="AOV39" s="643"/>
      <c r="AOW39" s="643"/>
      <c r="AOX39" s="643"/>
      <c r="AOY39" s="643"/>
      <c r="AOZ39" s="643"/>
      <c r="APA39" s="643"/>
      <c r="APB39" s="643"/>
      <c r="APC39" s="643"/>
      <c r="APD39" s="643"/>
      <c r="APE39" s="643"/>
      <c r="APF39" s="643"/>
      <c r="APG39" s="643"/>
      <c r="APH39" s="643"/>
      <c r="API39" s="643"/>
      <c r="APJ39" s="643"/>
      <c r="APK39" s="643"/>
      <c r="APL39" s="643"/>
      <c r="APM39" s="643"/>
      <c r="APN39" s="643"/>
      <c r="APO39" s="643"/>
      <c r="APP39" s="643"/>
      <c r="APQ39" s="643"/>
      <c r="APR39" s="643"/>
      <c r="APS39" s="643"/>
      <c r="APT39" s="643"/>
      <c r="APU39" s="643"/>
      <c r="APV39" s="643"/>
      <c r="APW39" s="643"/>
      <c r="APX39" s="643"/>
      <c r="APY39" s="643"/>
      <c r="APZ39" s="643"/>
      <c r="AQA39" s="643"/>
      <c r="AQB39" s="643"/>
      <c r="AQC39" s="643"/>
      <c r="AQD39" s="643"/>
      <c r="AQE39" s="643"/>
      <c r="AQF39" s="643"/>
      <c r="AQG39" s="643"/>
      <c r="AQH39" s="643"/>
      <c r="AQI39" s="643"/>
      <c r="AQJ39" s="643"/>
      <c r="AQK39" s="643"/>
      <c r="AQL39" s="643"/>
      <c r="AQM39" s="643"/>
      <c r="AQN39" s="643"/>
      <c r="AQO39" s="643"/>
      <c r="AQP39" s="643"/>
      <c r="AQQ39" s="643"/>
      <c r="AQR39" s="643"/>
      <c r="AQS39" s="643"/>
      <c r="AQT39" s="643"/>
      <c r="AQU39" s="643"/>
      <c r="AQV39" s="643"/>
      <c r="AQW39" s="643"/>
      <c r="AQX39" s="643"/>
      <c r="AQY39" s="643"/>
      <c r="AQZ39" s="643"/>
      <c r="ARA39" s="643"/>
      <c r="ARB39" s="643"/>
      <c r="ARC39" s="643"/>
      <c r="ARD39" s="643"/>
      <c r="ARE39" s="643"/>
      <c r="ARF39" s="643"/>
      <c r="ARG39" s="643"/>
      <c r="ARH39" s="643"/>
      <c r="ARI39" s="643"/>
      <c r="ARJ39" s="643"/>
      <c r="ARK39" s="643"/>
      <c r="ARL39" s="643"/>
      <c r="ARM39" s="643"/>
      <c r="ARN39" s="643"/>
      <c r="ARO39" s="643"/>
      <c r="ARP39" s="643"/>
      <c r="ARQ39" s="643"/>
      <c r="ARR39" s="643"/>
      <c r="ARS39" s="643"/>
      <c r="ART39" s="643"/>
      <c r="ARU39" s="643"/>
      <c r="ARV39" s="643"/>
      <c r="ARW39" s="643"/>
      <c r="ARX39" s="643"/>
      <c r="ARY39" s="643"/>
      <c r="ARZ39" s="643"/>
      <c r="ASA39" s="643"/>
      <c r="ASB39" s="643"/>
      <c r="ASC39" s="643"/>
      <c r="ASD39" s="643"/>
      <c r="ASE39" s="643"/>
      <c r="ASF39" s="643"/>
      <c r="ASG39" s="643"/>
      <c r="ASH39" s="643"/>
      <c r="ASI39" s="643"/>
      <c r="ASJ39" s="643"/>
      <c r="ASK39" s="643"/>
      <c r="ASL39" s="643"/>
      <c r="ASM39" s="643"/>
      <c r="ASN39" s="643"/>
      <c r="ASO39" s="643"/>
      <c r="ASP39" s="643"/>
      <c r="ASQ39" s="643"/>
      <c r="ASR39" s="643"/>
      <c r="ASS39" s="643"/>
      <c r="AST39" s="643"/>
      <c r="ASU39" s="643"/>
      <c r="ASV39" s="643"/>
      <c r="ASW39" s="643"/>
      <c r="ASX39" s="643"/>
      <c r="ASY39" s="643"/>
      <c r="ASZ39" s="643"/>
      <c r="ATA39" s="643"/>
      <c r="ATB39" s="643"/>
      <c r="ATC39" s="643"/>
      <c r="ATD39" s="643"/>
      <c r="ATE39" s="643"/>
      <c r="ATF39" s="643"/>
      <c r="ATG39" s="643"/>
      <c r="ATH39" s="643"/>
      <c r="ATI39" s="643"/>
      <c r="ATJ39" s="643"/>
      <c r="ATK39" s="643"/>
      <c r="ATL39" s="643"/>
      <c r="ATM39" s="643"/>
      <c r="ATN39" s="643"/>
      <c r="ATO39" s="643"/>
      <c r="ATP39" s="643"/>
      <c r="ATQ39" s="643"/>
      <c r="ATR39" s="643"/>
      <c r="ATS39" s="643"/>
      <c r="ATT39" s="643"/>
      <c r="ATU39" s="643"/>
      <c r="ATV39" s="643"/>
      <c r="ATW39" s="643"/>
      <c r="ATX39" s="643"/>
      <c r="ATY39" s="643"/>
      <c r="ATZ39" s="643"/>
      <c r="AUA39" s="643"/>
      <c r="AUB39" s="643"/>
      <c r="AUC39" s="643"/>
      <c r="AUD39" s="643"/>
      <c r="AUE39" s="643"/>
      <c r="AUF39" s="643"/>
      <c r="AUG39" s="643"/>
      <c r="AUH39" s="643"/>
      <c r="AUI39" s="643"/>
      <c r="AUJ39" s="643"/>
      <c r="AUK39" s="643"/>
      <c r="AUL39" s="643"/>
      <c r="AUM39" s="643"/>
      <c r="AUN39" s="643"/>
      <c r="AUO39" s="643"/>
      <c r="AUP39" s="643"/>
      <c r="AUQ39" s="643"/>
      <c r="AUR39" s="643"/>
      <c r="AUS39" s="643"/>
      <c r="AUT39" s="643"/>
      <c r="AUU39" s="643"/>
      <c r="AUV39" s="643"/>
      <c r="AUW39" s="643"/>
      <c r="AUX39" s="643"/>
      <c r="AUY39" s="643"/>
      <c r="AUZ39" s="643"/>
      <c r="AVA39" s="643"/>
      <c r="AVB39" s="643"/>
      <c r="AVC39" s="643"/>
      <c r="AVD39" s="643"/>
      <c r="AVE39" s="643"/>
      <c r="AVF39" s="643"/>
      <c r="AVG39" s="643"/>
      <c r="AVH39" s="643"/>
      <c r="AVI39" s="643"/>
      <c r="AVJ39" s="643"/>
      <c r="AVK39" s="643"/>
      <c r="AVL39" s="643"/>
      <c r="AVM39" s="643"/>
      <c r="AVN39" s="643"/>
      <c r="AVO39" s="643"/>
      <c r="AVP39" s="643"/>
      <c r="AVQ39" s="643"/>
      <c r="AVR39" s="643"/>
      <c r="AVS39" s="643"/>
      <c r="AVT39" s="643"/>
      <c r="AVU39" s="643"/>
      <c r="AVV39" s="643"/>
      <c r="AVW39" s="643"/>
      <c r="AVX39" s="643"/>
      <c r="AVY39" s="643"/>
      <c r="AVZ39" s="643"/>
      <c r="AWA39" s="643"/>
      <c r="AWB39" s="643"/>
      <c r="AWC39" s="643"/>
      <c r="AWD39" s="643"/>
      <c r="AWE39" s="643"/>
      <c r="AWF39" s="643"/>
      <c r="AWG39" s="643"/>
      <c r="AWH39" s="643"/>
      <c r="AWI39" s="643"/>
      <c r="AWJ39" s="643"/>
      <c r="AWK39" s="643"/>
      <c r="AWL39" s="643"/>
      <c r="AWM39" s="643"/>
      <c r="AWN39" s="643"/>
      <c r="AWO39" s="643"/>
      <c r="AWP39" s="643"/>
      <c r="AWQ39" s="643"/>
      <c r="AWR39" s="643"/>
      <c r="AWS39" s="643"/>
      <c r="AWT39" s="643"/>
      <c r="AWU39" s="643"/>
      <c r="AWV39" s="643"/>
      <c r="AWW39" s="643"/>
      <c r="AWX39" s="643"/>
      <c r="AWY39" s="643"/>
      <c r="AWZ39" s="643"/>
      <c r="AXA39" s="643"/>
      <c r="AXB39" s="643"/>
      <c r="AXC39" s="643"/>
      <c r="AXD39" s="643"/>
      <c r="AXE39" s="643"/>
      <c r="AXF39" s="643"/>
      <c r="AXG39" s="643"/>
      <c r="AXH39" s="643"/>
      <c r="AXI39" s="643"/>
      <c r="AXJ39" s="643"/>
      <c r="AXK39" s="643"/>
      <c r="AXL39" s="643"/>
      <c r="AXM39" s="643"/>
      <c r="AXN39" s="643"/>
      <c r="AXO39" s="643"/>
      <c r="AXP39" s="643"/>
      <c r="AXQ39" s="643"/>
      <c r="AXR39" s="643"/>
      <c r="AXS39" s="643"/>
      <c r="AXT39" s="643"/>
      <c r="AXU39" s="643"/>
      <c r="AXV39" s="643"/>
      <c r="AXW39" s="643"/>
      <c r="AXX39" s="643"/>
      <c r="AXY39" s="643"/>
      <c r="AXZ39" s="643"/>
      <c r="AYA39" s="643"/>
      <c r="AYB39" s="643"/>
      <c r="AYC39" s="643"/>
      <c r="AYD39" s="643"/>
      <c r="AYE39" s="643"/>
      <c r="AYF39" s="643"/>
      <c r="AYG39" s="643"/>
      <c r="AYH39" s="643"/>
      <c r="AYI39" s="643"/>
      <c r="AYJ39" s="643"/>
      <c r="AYK39" s="643"/>
      <c r="AYL39" s="643"/>
      <c r="AYM39" s="643"/>
      <c r="AYN39" s="643"/>
      <c r="AYO39" s="643"/>
      <c r="AYP39" s="643"/>
      <c r="AYQ39" s="643"/>
      <c r="AYR39" s="643"/>
      <c r="AYS39" s="643"/>
      <c r="AYT39" s="643"/>
      <c r="AYU39" s="643"/>
      <c r="AYV39" s="643"/>
      <c r="AYW39" s="643"/>
      <c r="AYX39" s="643"/>
      <c r="AYY39" s="643"/>
      <c r="AYZ39" s="643"/>
      <c r="AZA39" s="643"/>
      <c r="AZB39" s="643"/>
      <c r="AZC39" s="643"/>
      <c r="AZD39" s="643"/>
      <c r="AZE39" s="643"/>
      <c r="AZF39" s="643"/>
      <c r="AZG39" s="643"/>
      <c r="AZH39" s="643"/>
      <c r="AZI39" s="643"/>
      <c r="AZJ39" s="643"/>
      <c r="AZK39" s="643"/>
      <c r="AZL39" s="643"/>
      <c r="AZM39" s="643"/>
      <c r="AZN39" s="643"/>
      <c r="AZO39" s="643"/>
      <c r="AZP39" s="643"/>
      <c r="AZQ39" s="643"/>
      <c r="AZR39" s="643"/>
      <c r="AZS39" s="643"/>
      <c r="AZT39" s="643"/>
      <c r="AZU39" s="643"/>
      <c r="AZV39" s="643"/>
      <c r="AZW39" s="643"/>
      <c r="AZX39" s="643"/>
      <c r="AZY39" s="643"/>
      <c r="AZZ39" s="643"/>
      <c r="BAA39" s="643"/>
      <c r="BAB39" s="643"/>
      <c r="BAC39" s="643"/>
      <c r="BAD39" s="643"/>
      <c r="BAE39" s="643"/>
      <c r="BAF39" s="643"/>
      <c r="BAG39" s="643"/>
      <c r="BAH39" s="643"/>
      <c r="BAI39" s="643"/>
      <c r="BAJ39" s="643"/>
      <c r="BAK39" s="643"/>
      <c r="BAL39" s="643"/>
      <c r="BAM39" s="643"/>
      <c r="BAN39" s="643"/>
      <c r="BAO39" s="643"/>
      <c r="BAP39" s="643"/>
      <c r="BAQ39" s="643"/>
      <c r="BAR39" s="643"/>
      <c r="BAS39" s="643"/>
      <c r="BAT39" s="643"/>
      <c r="BAU39" s="643"/>
      <c r="BAV39" s="643"/>
      <c r="BAW39" s="643"/>
      <c r="BAX39" s="643"/>
      <c r="BAY39" s="643"/>
      <c r="BAZ39" s="643"/>
      <c r="BBA39" s="643"/>
      <c r="BBB39" s="643"/>
      <c r="BBC39" s="643"/>
      <c r="BBD39" s="643"/>
      <c r="BBE39" s="643"/>
      <c r="BBF39" s="643"/>
      <c r="BBG39" s="643"/>
      <c r="BBH39" s="643"/>
      <c r="BBI39" s="643"/>
      <c r="BBJ39" s="643"/>
      <c r="BBK39" s="643"/>
      <c r="BBL39" s="643"/>
      <c r="BBM39" s="643"/>
      <c r="BBN39" s="643"/>
      <c r="BBO39" s="643"/>
      <c r="BBP39" s="643"/>
      <c r="BBQ39" s="643"/>
      <c r="BBR39" s="643"/>
      <c r="BBS39" s="643"/>
      <c r="BBT39" s="643"/>
      <c r="BBU39" s="643"/>
      <c r="BBV39" s="643"/>
      <c r="BBW39" s="643"/>
      <c r="BBX39" s="643"/>
      <c r="BBY39" s="643"/>
      <c r="BBZ39" s="643"/>
      <c r="BCA39" s="643"/>
      <c r="BCB39" s="643"/>
      <c r="BCC39" s="643"/>
      <c r="BCD39" s="643"/>
      <c r="BCE39" s="643"/>
      <c r="BCF39" s="643"/>
      <c r="BCG39" s="643"/>
      <c r="BCH39" s="643"/>
      <c r="BCI39" s="643"/>
      <c r="BCJ39" s="643"/>
      <c r="BCK39" s="643"/>
      <c r="BCL39" s="643"/>
      <c r="BCM39" s="643"/>
      <c r="BCN39" s="643"/>
      <c r="BCO39" s="643"/>
      <c r="BCP39" s="643"/>
      <c r="BCQ39" s="643"/>
      <c r="BCR39" s="643"/>
      <c r="BCS39" s="643"/>
      <c r="BCT39" s="643"/>
      <c r="BCU39" s="643"/>
      <c r="BCV39" s="643"/>
      <c r="BCW39" s="643"/>
      <c r="BCX39" s="643"/>
      <c r="BCY39" s="643"/>
      <c r="BCZ39" s="643"/>
      <c r="BDA39" s="643"/>
      <c r="BDB39" s="643"/>
      <c r="BDC39" s="643"/>
      <c r="BDD39" s="643"/>
      <c r="BDE39" s="643"/>
      <c r="BDF39" s="643"/>
      <c r="BDG39" s="643"/>
      <c r="BDH39" s="643"/>
      <c r="BDI39" s="643"/>
      <c r="BDJ39" s="643"/>
      <c r="BDK39" s="643"/>
      <c r="BDL39" s="643"/>
      <c r="BDM39" s="643"/>
      <c r="BDN39" s="643"/>
      <c r="BDO39" s="643"/>
      <c r="BDP39" s="643"/>
      <c r="BDQ39" s="643"/>
      <c r="BDR39" s="643"/>
      <c r="BDS39" s="643"/>
      <c r="BDT39" s="643"/>
      <c r="BDU39" s="643"/>
      <c r="BDV39" s="643"/>
      <c r="BDW39" s="643"/>
      <c r="BDX39" s="643"/>
      <c r="BDY39" s="643"/>
      <c r="BDZ39" s="643"/>
      <c r="BEA39" s="643"/>
      <c r="BEB39" s="643"/>
      <c r="BEC39" s="643"/>
      <c r="BED39" s="643"/>
      <c r="BEE39" s="643"/>
      <c r="BEF39" s="643"/>
      <c r="BEG39" s="643"/>
      <c r="BEH39" s="643"/>
      <c r="BEI39" s="643"/>
      <c r="BEJ39" s="643"/>
      <c r="BEK39" s="643"/>
      <c r="BEL39" s="643"/>
      <c r="BEM39" s="643"/>
      <c r="BEN39" s="643"/>
      <c r="BEO39" s="643"/>
      <c r="BEP39" s="643"/>
      <c r="BEQ39" s="643"/>
      <c r="BER39" s="643"/>
      <c r="BES39" s="643"/>
      <c r="BET39" s="643"/>
      <c r="BEU39" s="643"/>
      <c r="BEV39" s="643"/>
      <c r="BEW39" s="643"/>
      <c r="BEX39" s="643"/>
      <c r="BEY39" s="643"/>
      <c r="BEZ39" s="643"/>
      <c r="BFA39" s="643"/>
      <c r="BFB39" s="643"/>
      <c r="BFC39" s="643"/>
      <c r="BFD39" s="643"/>
      <c r="BFE39" s="643"/>
      <c r="BFF39" s="643"/>
      <c r="BFG39" s="643"/>
      <c r="BFH39" s="643"/>
      <c r="BFI39" s="643"/>
      <c r="BFJ39" s="643"/>
      <c r="BFK39" s="643"/>
      <c r="BFL39" s="643"/>
      <c r="BFM39" s="643"/>
      <c r="BFN39" s="643"/>
      <c r="BFO39" s="643"/>
      <c r="BFP39" s="643"/>
      <c r="BFQ39" s="643"/>
      <c r="BFR39" s="643"/>
      <c r="BFS39" s="643"/>
      <c r="BFT39" s="643"/>
      <c r="BFU39" s="643"/>
      <c r="BFV39" s="643"/>
      <c r="BFW39" s="643"/>
      <c r="BFX39" s="643"/>
      <c r="BFY39" s="643"/>
      <c r="BFZ39" s="643"/>
      <c r="BGA39" s="643"/>
      <c r="BGB39" s="643"/>
      <c r="BGC39" s="643"/>
      <c r="BGD39" s="643"/>
      <c r="BGE39" s="643"/>
      <c r="BGF39" s="643"/>
      <c r="BGG39" s="643"/>
      <c r="BGH39" s="643"/>
      <c r="BGI39" s="643"/>
      <c r="BGJ39" s="643"/>
      <c r="BGK39" s="643"/>
      <c r="BGL39" s="643"/>
      <c r="BGM39" s="643"/>
      <c r="BGN39" s="643"/>
      <c r="BGO39" s="643"/>
      <c r="BGP39" s="643"/>
      <c r="BGQ39" s="643"/>
      <c r="BGR39" s="643"/>
      <c r="BGS39" s="643"/>
      <c r="BGT39" s="643"/>
      <c r="BGU39" s="643"/>
      <c r="BGV39" s="643"/>
      <c r="BGW39" s="643"/>
      <c r="BGX39" s="643"/>
      <c r="BGY39" s="643"/>
      <c r="BGZ39" s="643"/>
      <c r="BHA39" s="643"/>
      <c r="BHB39" s="643"/>
      <c r="BHC39" s="643"/>
      <c r="BHD39" s="643"/>
      <c r="BHE39" s="643"/>
      <c r="BHF39" s="643"/>
      <c r="BHG39" s="643"/>
      <c r="BHH39" s="643"/>
      <c r="BHI39" s="643"/>
      <c r="BHJ39" s="643"/>
      <c r="BHK39" s="643"/>
      <c r="BHL39" s="643"/>
      <c r="BHM39" s="643"/>
      <c r="BHN39" s="643"/>
      <c r="BHO39" s="643"/>
      <c r="BHP39" s="643"/>
      <c r="BHQ39" s="643"/>
      <c r="BHR39" s="643"/>
      <c r="BHS39" s="643"/>
      <c r="BHT39" s="643"/>
      <c r="BHU39" s="643"/>
      <c r="BHV39" s="643"/>
      <c r="BHW39" s="643"/>
      <c r="BHX39" s="643"/>
      <c r="BHY39" s="643"/>
      <c r="BHZ39" s="643"/>
      <c r="BIA39" s="643"/>
      <c r="BIB39" s="643"/>
      <c r="BIC39" s="643"/>
      <c r="BID39" s="643"/>
      <c r="BIE39" s="643"/>
      <c r="BIF39" s="643"/>
      <c r="BIG39" s="643"/>
      <c r="BIH39" s="643"/>
      <c r="BII39" s="643"/>
      <c r="BIJ39" s="643"/>
      <c r="BIK39" s="643"/>
      <c r="BIL39" s="643"/>
      <c r="BIM39" s="643"/>
      <c r="BIN39" s="643"/>
      <c r="BIO39" s="643"/>
      <c r="BIP39" s="643"/>
      <c r="BIQ39" s="643"/>
      <c r="BIR39" s="643"/>
      <c r="BIS39" s="643"/>
      <c r="BIT39" s="643"/>
      <c r="BIU39" s="643"/>
      <c r="BIV39" s="643"/>
      <c r="BIW39" s="643"/>
      <c r="BIX39" s="643"/>
      <c r="BIY39" s="643"/>
      <c r="BIZ39" s="643"/>
      <c r="BJA39" s="643"/>
      <c r="BJB39" s="643"/>
      <c r="BJC39" s="643"/>
      <c r="BJD39" s="643"/>
      <c r="BJE39" s="643"/>
      <c r="BJF39" s="643"/>
      <c r="BJG39" s="643"/>
      <c r="BJH39" s="643"/>
      <c r="BJI39" s="643"/>
      <c r="BJJ39" s="643"/>
      <c r="BJK39" s="643"/>
      <c r="BJL39" s="643"/>
      <c r="BJM39" s="643"/>
      <c r="BJN39" s="643"/>
      <c r="BJO39" s="643"/>
      <c r="BJP39" s="643"/>
      <c r="BJQ39" s="643"/>
      <c r="BJR39" s="643"/>
      <c r="BJS39" s="643"/>
      <c r="BJT39" s="643"/>
      <c r="BJU39" s="643"/>
      <c r="BJV39" s="643"/>
      <c r="BJW39" s="643"/>
      <c r="BJX39" s="643"/>
      <c r="BJY39" s="643"/>
      <c r="BJZ39" s="643"/>
      <c r="BKA39" s="643"/>
      <c r="BKB39" s="643"/>
      <c r="BKC39" s="643"/>
      <c r="BKD39" s="643"/>
      <c r="BKE39" s="643"/>
      <c r="BKF39" s="643"/>
      <c r="BKG39" s="643"/>
      <c r="BKH39" s="643"/>
      <c r="BKI39" s="643"/>
      <c r="BKJ39" s="643"/>
      <c r="BKK39" s="643"/>
      <c r="BKL39" s="643"/>
      <c r="BKM39" s="643"/>
      <c r="BKN39" s="643"/>
      <c r="BKO39" s="643"/>
      <c r="BKP39" s="643"/>
      <c r="BKQ39" s="643"/>
      <c r="BKR39" s="643"/>
      <c r="BKS39" s="643"/>
      <c r="BKT39" s="643"/>
      <c r="BKU39" s="643"/>
      <c r="BKV39" s="643"/>
      <c r="BKW39" s="643"/>
      <c r="BKX39" s="643"/>
      <c r="BKY39" s="643"/>
      <c r="BKZ39" s="643"/>
      <c r="BLA39" s="643"/>
      <c r="BLB39" s="643"/>
      <c r="BLC39" s="643"/>
      <c r="BLD39" s="643"/>
      <c r="BLE39" s="643"/>
      <c r="BLF39" s="643"/>
      <c r="BLG39" s="643"/>
      <c r="BLH39" s="643"/>
      <c r="BLI39" s="643"/>
      <c r="BLJ39" s="643"/>
      <c r="BLK39" s="643"/>
      <c r="BLL39" s="643"/>
      <c r="BLM39" s="643"/>
      <c r="BLN39" s="643"/>
      <c r="BLO39" s="643"/>
      <c r="BLP39" s="643"/>
      <c r="BLQ39" s="643"/>
      <c r="BLR39" s="643"/>
      <c r="BLS39" s="643"/>
      <c r="BLT39" s="643"/>
      <c r="BLU39" s="643"/>
      <c r="BLV39" s="643"/>
      <c r="BLW39" s="643"/>
      <c r="BLX39" s="643"/>
      <c r="BLY39" s="643"/>
      <c r="BLZ39" s="643"/>
      <c r="BMA39" s="643"/>
      <c r="BMB39" s="643"/>
      <c r="BMC39" s="643"/>
      <c r="BMD39" s="643"/>
      <c r="BME39" s="643"/>
      <c r="BMF39" s="643"/>
      <c r="BMG39" s="643"/>
      <c r="BMH39" s="643"/>
      <c r="BMI39" s="643"/>
      <c r="BMJ39" s="643"/>
      <c r="BMK39" s="643"/>
      <c r="BML39" s="643"/>
      <c r="BMM39" s="643"/>
      <c r="BMN39" s="643"/>
      <c r="BMO39" s="643"/>
      <c r="BMP39" s="643"/>
      <c r="BMQ39" s="643"/>
      <c r="BMR39" s="643"/>
      <c r="BMS39" s="643"/>
      <c r="BMT39" s="643"/>
      <c r="BMU39" s="643"/>
      <c r="BMV39" s="643"/>
      <c r="BMW39" s="643"/>
      <c r="BMX39" s="643"/>
      <c r="BMY39" s="643"/>
      <c r="BMZ39" s="643"/>
      <c r="BNA39" s="643"/>
      <c r="BNB39" s="643"/>
      <c r="BNC39" s="643"/>
      <c r="BND39" s="643"/>
      <c r="BNE39" s="643"/>
      <c r="BNF39" s="643"/>
      <c r="BNG39" s="643"/>
      <c r="BNH39" s="643"/>
      <c r="BNI39" s="643"/>
      <c r="BNJ39" s="643"/>
      <c r="BNK39" s="643"/>
      <c r="BNL39" s="643"/>
      <c r="BNM39" s="643"/>
      <c r="BNN39" s="643"/>
      <c r="BNO39" s="643"/>
      <c r="BNP39" s="643"/>
      <c r="BNQ39" s="643"/>
      <c r="BNR39" s="643"/>
      <c r="BNS39" s="643"/>
      <c r="BNT39" s="643"/>
      <c r="BNU39" s="643"/>
      <c r="BNV39" s="643"/>
      <c r="BNW39" s="643"/>
      <c r="BNX39" s="643"/>
      <c r="BNY39" s="643"/>
      <c r="BNZ39" s="643"/>
      <c r="BOA39" s="643"/>
      <c r="BOB39" s="643"/>
      <c r="BOC39" s="643"/>
      <c r="BOD39" s="643"/>
      <c r="BOE39" s="643"/>
      <c r="BOF39" s="643"/>
      <c r="BOG39" s="643"/>
      <c r="BOH39" s="643"/>
      <c r="BOI39" s="643"/>
      <c r="BOJ39" s="643"/>
      <c r="BOK39" s="643"/>
      <c r="BOL39" s="643"/>
      <c r="BOM39" s="643"/>
      <c r="BON39" s="643"/>
      <c r="BOO39" s="643"/>
      <c r="BOP39" s="643"/>
      <c r="BOQ39" s="643"/>
      <c r="BOR39" s="643"/>
      <c r="BOS39" s="643"/>
      <c r="BOT39" s="643"/>
      <c r="BOU39" s="643"/>
      <c r="BOV39" s="643"/>
      <c r="BOW39" s="643"/>
      <c r="BOX39" s="643"/>
      <c r="BOY39" s="643"/>
      <c r="BOZ39" s="643"/>
      <c r="BPA39" s="643"/>
      <c r="BPB39" s="643"/>
      <c r="BPC39" s="643"/>
      <c r="BPD39" s="643"/>
      <c r="BPE39" s="643"/>
      <c r="BPF39" s="643"/>
      <c r="BPG39" s="643"/>
      <c r="BPH39" s="643"/>
      <c r="BPI39" s="643"/>
      <c r="BPJ39" s="643"/>
      <c r="BPK39" s="643"/>
      <c r="BPL39" s="643"/>
      <c r="BPM39" s="643"/>
      <c r="BPN39" s="643"/>
      <c r="BPO39" s="643"/>
      <c r="BPP39" s="643"/>
      <c r="BPQ39" s="643"/>
      <c r="BPR39" s="643"/>
      <c r="BPS39" s="643"/>
      <c r="BPT39" s="643"/>
      <c r="BPU39" s="643"/>
      <c r="BPV39" s="643"/>
      <c r="BPW39" s="643"/>
      <c r="BPX39" s="643"/>
      <c r="BPY39" s="643"/>
      <c r="BPZ39" s="643"/>
      <c r="BQA39" s="643"/>
      <c r="BQB39" s="643"/>
      <c r="BQC39" s="643"/>
      <c r="BQD39" s="643"/>
      <c r="BQE39" s="643"/>
      <c r="BQF39" s="643"/>
      <c r="BQG39" s="643"/>
      <c r="BQH39" s="643"/>
      <c r="BQI39" s="643"/>
      <c r="BQJ39" s="643"/>
      <c r="BQK39" s="643"/>
      <c r="BQL39" s="643"/>
      <c r="BQM39" s="643"/>
      <c r="BQN39" s="643"/>
      <c r="BQO39" s="643"/>
      <c r="BQP39" s="643"/>
      <c r="BQQ39" s="643"/>
      <c r="BQR39" s="643"/>
      <c r="BQS39" s="643"/>
      <c r="BQT39" s="643"/>
      <c r="BQU39" s="643"/>
      <c r="BQV39" s="643"/>
      <c r="BQW39" s="643"/>
      <c r="BQX39" s="643"/>
      <c r="BQY39" s="643"/>
      <c r="BQZ39" s="643"/>
      <c r="BRA39" s="643"/>
      <c r="BRB39" s="643"/>
      <c r="BRC39" s="643"/>
      <c r="BRD39" s="643"/>
      <c r="BRE39" s="643"/>
      <c r="BRF39" s="643"/>
      <c r="BRG39" s="643"/>
      <c r="BRH39" s="643"/>
      <c r="BRI39" s="643"/>
      <c r="BRJ39" s="643"/>
      <c r="BRK39" s="643"/>
      <c r="BRL39" s="643"/>
      <c r="BRM39" s="643"/>
      <c r="BRN39" s="643"/>
      <c r="BRO39" s="643"/>
      <c r="BRP39" s="643"/>
      <c r="BRQ39" s="643"/>
      <c r="BRR39" s="643"/>
      <c r="BRS39" s="643"/>
      <c r="BRT39" s="643"/>
      <c r="BRU39" s="643"/>
      <c r="BRV39" s="643"/>
      <c r="BRW39" s="643"/>
      <c r="BRX39" s="643"/>
      <c r="BRY39" s="643"/>
      <c r="BRZ39" s="643"/>
      <c r="BSA39" s="643"/>
      <c r="BSB39" s="643"/>
      <c r="BSC39" s="643"/>
      <c r="BSD39" s="643"/>
      <c r="BSE39" s="643"/>
      <c r="BSF39" s="643"/>
      <c r="BSG39" s="643"/>
      <c r="BSH39" s="643"/>
      <c r="BSI39" s="643"/>
      <c r="BSJ39" s="643"/>
      <c r="BSK39" s="643"/>
      <c r="BSL39" s="643"/>
      <c r="BSM39" s="643"/>
      <c r="BSN39" s="643"/>
      <c r="BSO39" s="643"/>
      <c r="BSP39" s="643"/>
      <c r="BSQ39" s="643"/>
      <c r="BSR39" s="643"/>
      <c r="BSS39" s="643"/>
      <c r="BST39" s="643"/>
      <c r="BSU39" s="643"/>
      <c r="BSV39" s="643"/>
      <c r="BSW39" s="643"/>
      <c r="BSX39" s="643"/>
      <c r="BSY39" s="643"/>
      <c r="BSZ39" s="643"/>
      <c r="BTA39" s="643"/>
      <c r="BTB39" s="643"/>
      <c r="BTC39" s="643"/>
      <c r="BTD39" s="643"/>
      <c r="BTE39" s="643"/>
      <c r="BTF39" s="643"/>
      <c r="BTG39" s="643"/>
      <c r="BTH39" s="643"/>
      <c r="BTI39" s="643"/>
      <c r="BTJ39" s="643"/>
      <c r="BTK39" s="643"/>
      <c r="BTL39" s="643"/>
      <c r="BTM39" s="643"/>
      <c r="BTN39" s="643"/>
      <c r="BTO39" s="643"/>
      <c r="BTP39" s="643"/>
      <c r="BTQ39" s="643"/>
      <c r="BTR39" s="643"/>
      <c r="BTS39" s="643"/>
      <c r="BTT39" s="643"/>
      <c r="BTU39" s="643"/>
      <c r="BTV39" s="643"/>
      <c r="BTW39" s="643"/>
      <c r="BTX39" s="643"/>
      <c r="BTY39" s="643"/>
      <c r="BTZ39" s="643"/>
      <c r="BUA39" s="643"/>
      <c r="BUB39" s="643"/>
      <c r="BUC39" s="643"/>
      <c r="BUD39" s="643"/>
      <c r="BUE39" s="643"/>
      <c r="BUF39" s="643"/>
      <c r="BUG39" s="643"/>
      <c r="BUH39" s="643"/>
      <c r="BUI39" s="643"/>
      <c r="BUJ39" s="643"/>
      <c r="BUK39" s="643"/>
      <c r="BUL39" s="643"/>
      <c r="BUM39" s="643"/>
      <c r="BUN39" s="643"/>
      <c r="BUO39" s="643"/>
      <c r="BUP39" s="643"/>
      <c r="BUQ39" s="643"/>
      <c r="BUR39" s="643"/>
      <c r="BUS39" s="643"/>
      <c r="BUT39" s="643"/>
      <c r="BUU39" s="643"/>
      <c r="BUV39" s="643"/>
      <c r="BUW39" s="643"/>
      <c r="BUX39" s="643"/>
      <c r="BUY39" s="643"/>
      <c r="BUZ39" s="643"/>
      <c r="BVA39" s="643"/>
      <c r="BVB39" s="643"/>
      <c r="BVC39" s="643"/>
      <c r="BVD39" s="643"/>
      <c r="BVE39" s="643"/>
      <c r="BVF39" s="643"/>
      <c r="BVG39" s="643"/>
      <c r="BVH39" s="643"/>
      <c r="BVI39" s="643"/>
      <c r="BVJ39" s="643"/>
      <c r="BVK39" s="643"/>
      <c r="BVL39" s="643"/>
      <c r="BVM39" s="643"/>
      <c r="BVN39" s="643"/>
      <c r="BVO39" s="643"/>
      <c r="BVP39" s="643"/>
      <c r="BVQ39" s="643"/>
      <c r="BVR39" s="643"/>
      <c r="BVS39" s="643"/>
      <c r="BVT39" s="643"/>
      <c r="BVU39" s="643"/>
      <c r="BVV39" s="643"/>
      <c r="BVW39" s="643"/>
      <c r="BVX39" s="643"/>
      <c r="BVY39" s="643"/>
      <c r="BVZ39" s="643"/>
      <c r="BWA39" s="643"/>
      <c r="BWB39" s="643"/>
      <c r="BWC39" s="643"/>
      <c r="BWD39" s="643"/>
      <c r="BWE39" s="643"/>
      <c r="BWF39" s="643"/>
      <c r="BWG39" s="643"/>
      <c r="BWH39" s="643"/>
      <c r="BWI39" s="643"/>
      <c r="BWJ39" s="643"/>
      <c r="BWK39" s="643"/>
      <c r="BWL39" s="643"/>
      <c r="BWM39" s="643"/>
      <c r="BWN39" s="643"/>
      <c r="BWO39" s="643"/>
      <c r="BWP39" s="643"/>
      <c r="BWQ39" s="643"/>
      <c r="BWR39" s="643"/>
      <c r="BWS39" s="643"/>
      <c r="BWT39" s="643"/>
      <c r="BWU39" s="643"/>
      <c r="BWV39" s="643"/>
      <c r="BWW39" s="643"/>
      <c r="BWX39" s="643"/>
      <c r="BWY39" s="643"/>
      <c r="BWZ39" s="643"/>
      <c r="BXA39" s="643"/>
      <c r="BXB39" s="643"/>
      <c r="BXC39" s="643"/>
      <c r="BXD39" s="643"/>
      <c r="BXE39" s="643"/>
      <c r="BXF39" s="643"/>
      <c r="BXG39" s="643"/>
      <c r="BXH39" s="643"/>
      <c r="BXI39" s="643"/>
      <c r="BXJ39" s="643"/>
      <c r="BXK39" s="643"/>
      <c r="BXL39" s="643"/>
      <c r="BXM39" s="643"/>
      <c r="BXN39" s="643"/>
      <c r="BXO39" s="643"/>
      <c r="BXP39" s="643"/>
      <c r="BXQ39" s="643"/>
      <c r="BXR39" s="643"/>
      <c r="BXS39" s="643"/>
      <c r="BXT39" s="643"/>
      <c r="BXU39" s="643"/>
      <c r="BXV39" s="643"/>
      <c r="BXW39" s="643"/>
      <c r="BXX39" s="643"/>
      <c r="BXY39" s="643"/>
      <c r="BXZ39" s="643"/>
      <c r="BYA39" s="643"/>
      <c r="BYB39" s="643"/>
      <c r="BYC39" s="643"/>
      <c r="BYD39" s="643"/>
      <c r="BYE39" s="643"/>
      <c r="BYF39" s="643"/>
      <c r="BYG39" s="643"/>
      <c r="BYH39" s="643"/>
      <c r="BYI39" s="643"/>
      <c r="BYJ39" s="643"/>
      <c r="BYK39" s="643"/>
      <c r="BYL39" s="643"/>
      <c r="BYM39" s="643"/>
      <c r="BYN39" s="643"/>
      <c r="BYO39" s="643"/>
      <c r="BYP39" s="643"/>
      <c r="BYQ39" s="643"/>
      <c r="BYR39" s="643"/>
      <c r="BYS39" s="643"/>
      <c r="BYT39" s="643"/>
      <c r="BYU39" s="643"/>
      <c r="BYV39" s="643"/>
      <c r="BYW39" s="643"/>
      <c r="BYX39" s="643"/>
      <c r="BYY39" s="643"/>
      <c r="BYZ39" s="643"/>
      <c r="BZA39" s="643"/>
      <c r="BZB39" s="643"/>
      <c r="BZC39" s="643"/>
      <c r="BZD39" s="643"/>
      <c r="BZE39" s="643"/>
      <c r="BZF39" s="643"/>
      <c r="BZG39" s="643"/>
      <c r="BZH39" s="643"/>
      <c r="BZI39" s="643"/>
      <c r="BZJ39" s="643"/>
      <c r="BZK39" s="643"/>
      <c r="BZL39" s="643"/>
      <c r="BZM39" s="643"/>
      <c r="BZN39" s="643"/>
      <c r="BZO39" s="643"/>
      <c r="BZP39" s="643"/>
      <c r="BZQ39" s="643"/>
      <c r="BZR39" s="643"/>
      <c r="BZS39" s="643"/>
      <c r="BZT39" s="643"/>
      <c r="BZU39" s="643"/>
      <c r="BZV39" s="643"/>
      <c r="BZW39" s="643"/>
      <c r="BZX39" s="643"/>
      <c r="BZY39" s="643"/>
      <c r="BZZ39" s="643"/>
      <c r="CAA39" s="643"/>
      <c r="CAB39" s="643"/>
      <c r="CAC39" s="643"/>
      <c r="CAD39" s="643"/>
      <c r="CAE39" s="643"/>
      <c r="CAF39" s="643"/>
      <c r="CAG39" s="643"/>
      <c r="CAH39" s="643"/>
      <c r="CAI39" s="643"/>
      <c r="CAJ39" s="643"/>
      <c r="CAK39" s="643"/>
      <c r="CAL39" s="643"/>
      <c r="CAM39" s="643"/>
      <c r="CAN39" s="643"/>
      <c r="CAO39" s="643"/>
      <c r="CAP39" s="643"/>
      <c r="CAQ39" s="643"/>
      <c r="CAR39" s="643"/>
      <c r="CAS39" s="643"/>
      <c r="CAT39" s="643"/>
      <c r="CAU39" s="643"/>
      <c r="CAV39" s="643"/>
      <c r="CAW39" s="643"/>
      <c r="CAX39" s="643"/>
      <c r="CAY39" s="643"/>
      <c r="CAZ39" s="643"/>
      <c r="CBA39" s="643"/>
      <c r="CBB39" s="643"/>
      <c r="CBC39" s="643"/>
      <c r="CBD39" s="643"/>
      <c r="CBE39" s="643"/>
      <c r="CBF39" s="643"/>
      <c r="CBG39" s="643"/>
      <c r="CBH39" s="643"/>
      <c r="CBI39" s="643"/>
      <c r="CBJ39" s="643"/>
      <c r="CBK39" s="643"/>
      <c r="CBL39" s="643"/>
      <c r="CBM39" s="643"/>
      <c r="CBN39" s="643"/>
      <c r="CBO39" s="643"/>
      <c r="CBP39" s="643"/>
      <c r="CBQ39" s="643"/>
      <c r="CBR39" s="643"/>
      <c r="CBS39" s="643"/>
      <c r="CBT39" s="643"/>
      <c r="CBU39" s="643"/>
      <c r="CBV39" s="643"/>
      <c r="CBW39" s="643"/>
      <c r="CBX39" s="643"/>
      <c r="CBY39" s="643"/>
      <c r="CBZ39" s="643"/>
      <c r="CCA39" s="643"/>
      <c r="CCB39" s="643"/>
      <c r="CCC39" s="643"/>
      <c r="CCD39" s="643"/>
      <c r="CCE39" s="643"/>
      <c r="CCF39" s="643"/>
      <c r="CCG39" s="643"/>
      <c r="CCH39" s="643"/>
      <c r="CCI39" s="643"/>
      <c r="CCJ39" s="643"/>
      <c r="CCK39" s="643"/>
      <c r="CCL39" s="643"/>
      <c r="CCM39" s="643"/>
      <c r="CCN39" s="643"/>
      <c r="CCO39" s="643"/>
      <c r="CCP39" s="643"/>
      <c r="CCQ39" s="643"/>
      <c r="CCR39" s="643"/>
      <c r="CCS39" s="643"/>
      <c r="CCT39" s="643"/>
      <c r="CCU39" s="643"/>
      <c r="CCV39" s="643"/>
      <c r="CCW39" s="643"/>
      <c r="CCX39" s="643"/>
      <c r="CCY39" s="643"/>
      <c r="CCZ39" s="643"/>
      <c r="CDA39" s="643"/>
      <c r="CDB39" s="643"/>
      <c r="CDC39" s="643"/>
      <c r="CDD39" s="643"/>
      <c r="CDE39" s="643"/>
      <c r="CDF39" s="643"/>
      <c r="CDG39" s="643"/>
      <c r="CDH39" s="643"/>
      <c r="CDI39" s="643"/>
      <c r="CDJ39" s="643"/>
      <c r="CDK39" s="643"/>
      <c r="CDL39" s="643"/>
      <c r="CDM39" s="643"/>
      <c r="CDN39" s="643"/>
      <c r="CDO39" s="643"/>
      <c r="CDP39" s="643"/>
      <c r="CDQ39" s="643"/>
      <c r="CDR39" s="643"/>
      <c r="CDS39" s="643"/>
      <c r="CDT39" s="643"/>
      <c r="CDU39" s="643"/>
      <c r="CDV39" s="643"/>
      <c r="CDW39" s="643"/>
      <c r="CDX39" s="643"/>
      <c r="CDY39" s="643"/>
      <c r="CDZ39" s="643"/>
      <c r="CEA39" s="643"/>
      <c r="CEB39" s="643"/>
      <c r="CEC39" s="643"/>
      <c r="CED39" s="643"/>
      <c r="CEE39" s="643"/>
      <c r="CEF39" s="643"/>
      <c r="CEG39" s="643"/>
      <c r="CEH39" s="643"/>
      <c r="CEI39" s="643"/>
      <c r="CEJ39" s="643"/>
      <c r="CEK39" s="643"/>
      <c r="CEL39" s="643"/>
      <c r="CEM39" s="643"/>
      <c r="CEN39" s="643"/>
      <c r="CEO39" s="643"/>
      <c r="CEP39" s="643"/>
      <c r="CEQ39" s="643"/>
      <c r="CER39" s="643"/>
      <c r="CES39" s="643"/>
      <c r="CET39" s="643"/>
      <c r="CEU39" s="643"/>
      <c r="CEV39" s="643"/>
      <c r="CEW39" s="643"/>
      <c r="CEX39" s="643"/>
      <c r="CEY39" s="643"/>
      <c r="CEZ39" s="643"/>
      <c r="CFA39" s="643"/>
      <c r="CFB39" s="643"/>
      <c r="CFC39" s="643"/>
      <c r="CFD39" s="643"/>
      <c r="CFE39" s="643"/>
      <c r="CFF39" s="643"/>
      <c r="CFG39" s="643"/>
      <c r="CFH39" s="643"/>
      <c r="CFI39" s="643"/>
      <c r="CFJ39" s="643"/>
      <c r="CFK39" s="643"/>
      <c r="CFL39" s="643"/>
      <c r="CFM39" s="643"/>
      <c r="CFN39" s="643"/>
      <c r="CFO39" s="643"/>
      <c r="CFP39" s="643"/>
      <c r="CFQ39" s="643"/>
      <c r="CFR39" s="643"/>
      <c r="CFS39" s="643"/>
      <c r="CFT39" s="643"/>
      <c r="CFU39" s="643"/>
      <c r="CFV39" s="643"/>
      <c r="CFW39" s="643"/>
      <c r="CFX39" s="643"/>
      <c r="CFY39" s="643"/>
      <c r="CFZ39" s="643"/>
      <c r="CGA39" s="643"/>
      <c r="CGB39" s="643"/>
      <c r="CGC39" s="643"/>
      <c r="CGD39" s="643"/>
      <c r="CGE39" s="643"/>
      <c r="CGF39" s="643"/>
      <c r="CGG39" s="643"/>
      <c r="CGH39" s="643"/>
      <c r="CGI39" s="643"/>
      <c r="CGJ39" s="643"/>
      <c r="CGK39" s="643"/>
      <c r="CGL39" s="643"/>
      <c r="CGM39" s="643"/>
      <c r="CGN39" s="643"/>
      <c r="CGO39" s="643"/>
      <c r="CGP39" s="643"/>
      <c r="CGQ39" s="643"/>
      <c r="CGR39" s="643"/>
      <c r="CGS39" s="643"/>
      <c r="CGT39" s="643"/>
      <c r="CGU39" s="643"/>
      <c r="CGV39" s="643"/>
      <c r="CGW39" s="643"/>
      <c r="CGX39" s="643"/>
      <c r="CGY39" s="643"/>
      <c r="CGZ39" s="643"/>
      <c r="CHA39" s="643"/>
      <c r="CHB39" s="643"/>
      <c r="CHC39" s="643"/>
      <c r="CHD39" s="643"/>
      <c r="CHE39" s="643"/>
      <c r="CHF39" s="643"/>
      <c r="CHG39" s="643"/>
      <c r="CHH39" s="643"/>
      <c r="CHI39" s="643"/>
      <c r="CHJ39" s="643"/>
      <c r="CHK39" s="643"/>
      <c r="CHL39" s="643"/>
      <c r="CHM39" s="643"/>
      <c r="CHN39" s="643"/>
      <c r="CHO39" s="643"/>
      <c r="CHP39" s="643"/>
      <c r="CHQ39" s="643"/>
      <c r="CHR39" s="643"/>
      <c r="CHS39" s="643"/>
      <c r="CHT39" s="643"/>
      <c r="CHU39" s="643"/>
      <c r="CHV39" s="643"/>
      <c r="CHW39" s="643"/>
      <c r="CHX39" s="643"/>
      <c r="CHY39" s="643"/>
      <c r="CHZ39" s="643"/>
      <c r="CIA39" s="643"/>
      <c r="CIB39" s="643"/>
      <c r="CIC39" s="643"/>
      <c r="CID39" s="643"/>
      <c r="CIE39" s="643"/>
      <c r="CIF39" s="643"/>
      <c r="CIG39" s="643"/>
      <c r="CIH39" s="643"/>
      <c r="CII39" s="643"/>
      <c r="CIJ39" s="643"/>
      <c r="CIK39" s="643"/>
      <c r="CIL39" s="643"/>
      <c r="CIM39" s="643"/>
      <c r="CIN39" s="643"/>
      <c r="CIO39" s="643"/>
      <c r="CIP39" s="643"/>
      <c r="CIQ39" s="643"/>
      <c r="CIR39" s="643"/>
      <c r="CIS39" s="643"/>
      <c r="CIT39" s="643"/>
      <c r="CIU39" s="643"/>
      <c r="CIV39" s="643"/>
      <c r="CIW39" s="643"/>
      <c r="CIX39" s="643"/>
      <c r="CIY39" s="643"/>
      <c r="CIZ39" s="643"/>
      <c r="CJA39" s="643"/>
      <c r="CJB39" s="643"/>
      <c r="CJC39" s="643"/>
      <c r="CJD39" s="643"/>
      <c r="CJE39" s="643"/>
      <c r="CJF39" s="643"/>
      <c r="CJG39" s="643"/>
      <c r="CJH39" s="643"/>
      <c r="CJI39" s="643"/>
      <c r="CJJ39" s="643"/>
      <c r="CJK39" s="643"/>
      <c r="CJL39" s="643"/>
      <c r="CJM39" s="643"/>
      <c r="CJN39" s="643"/>
      <c r="CJO39" s="643"/>
      <c r="CJP39" s="643"/>
      <c r="CJQ39" s="643"/>
      <c r="CJR39" s="643"/>
      <c r="CJS39" s="643"/>
      <c r="CJT39" s="643"/>
      <c r="CJU39" s="643"/>
      <c r="CJV39" s="643"/>
      <c r="CJW39" s="643"/>
      <c r="CJX39" s="643"/>
      <c r="CJY39" s="643"/>
      <c r="CJZ39" s="643"/>
      <c r="CKA39" s="643"/>
      <c r="CKB39" s="643"/>
      <c r="CKC39" s="643"/>
      <c r="CKD39" s="643"/>
      <c r="CKE39" s="643"/>
      <c r="CKF39" s="643"/>
      <c r="CKG39" s="643"/>
      <c r="CKH39" s="643"/>
      <c r="CKI39" s="643"/>
      <c r="CKJ39" s="643"/>
      <c r="CKK39" s="643"/>
      <c r="CKL39" s="643"/>
      <c r="CKM39" s="643"/>
      <c r="CKN39" s="643"/>
      <c r="CKO39" s="643"/>
      <c r="CKP39" s="643"/>
      <c r="CKQ39" s="643"/>
      <c r="CKR39" s="643"/>
      <c r="CKS39" s="643"/>
      <c r="CKT39" s="643"/>
      <c r="CKU39" s="643"/>
      <c r="CKV39" s="643"/>
      <c r="CKW39" s="643"/>
      <c r="CKX39" s="643"/>
      <c r="CKY39" s="643"/>
      <c r="CKZ39" s="643"/>
      <c r="CLA39" s="643"/>
      <c r="CLB39" s="643"/>
      <c r="CLC39" s="643"/>
      <c r="CLD39" s="643"/>
      <c r="CLE39" s="643"/>
      <c r="CLF39" s="643"/>
      <c r="CLG39" s="643"/>
      <c r="CLH39" s="643"/>
      <c r="CLI39" s="643"/>
      <c r="CLJ39" s="643"/>
      <c r="CLK39" s="643"/>
      <c r="CLL39" s="643"/>
      <c r="CLM39" s="643"/>
      <c r="CLN39" s="643"/>
      <c r="CLO39" s="643"/>
      <c r="CLP39" s="643"/>
      <c r="CLQ39" s="643"/>
      <c r="CLR39" s="643"/>
      <c r="CLS39" s="643"/>
      <c r="CLT39" s="643"/>
      <c r="CLU39" s="643"/>
      <c r="CLV39" s="643"/>
      <c r="CLW39" s="643"/>
      <c r="CLX39" s="643"/>
      <c r="CLY39" s="643"/>
      <c r="CLZ39" s="643"/>
      <c r="CMA39" s="643"/>
      <c r="CMB39" s="643"/>
      <c r="CMC39" s="643"/>
      <c r="CMD39" s="643"/>
      <c r="CME39" s="643"/>
      <c r="CMF39" s="643"/>
      <c r="CMG39" s="643"/>
      <c r="CMH39" s="643"/>
      <c r="CMI39" s="643"/>
      <c r="CMJ39" s="643"/>
      <c r="CMK39" s="643"/>
      <c r="CML39" s="643"/>
      <c r="CMM39" s="643"/>
      <c r="CMN39" s="643"/>
      <c r="CMO39" s="643"/>
      <c r="CMP39" s="643"/>
      <c r="CMQ39" s="643"/>
      <c r="CMR39" s="643"/>
      <c r="CMS39" s="643"/>
      <c r="CMT39" s="643"/>
      <c r="CMU39" s="643"/>
      <c r="CMV39" s="643"/>
      <c r="CMW39" s="643"/>
      <c r="CMX39" s="643"/>
      <c r="CMY39" s="643"/>
      <c r="CMZ39" s="643"/>
      <c r="CNA39" s="643"/>
      <c r="CNB39" s="643"/>
      <c r="CNC39" s="643"/>
      <c r="CND39" s="643"/>
      <c r="CNE39" s="643"/>
      <c r="CNF39" s="643"/>
      <c r="CNG39" s="643"/>
      <c r="CNH39" s="643"/>
      <c r="CNI39" s="643"/>
      <c r="CNJ39" s="643"/>
      <c r="CNK39" s="643"/>
      <c r="CNL39" s="643"/>
      <c r="CNM39" s="643"/>
      <c r="CNN39" s="643"/>
      <c r="CNO39" s="643"/>
      <c r="CNP39" s="643"/>
      <c r="CNQ39" s="643"/>
      <c r="CNR39" s="643"/>
      <c r="CNS39" s="643"/>
      <c r="CNT39" s="643"/>
      <c r="CNU39" s="643"/>
      <c r="CNV39" s="643"/>
      <c r="CNW39" s="643"/>
      <c r="CNX39" s="643"/>
      <c r="CNY39" s="643"/>
      <c r="CNZ39" s="643"/>
      <c r="COA39" s="643"/>
      <c r="COB39" s="643"/>
      <c r="COC39" s="643"/>
      <c r="COD39" s="643"/>
      <c r="COE39" s="643"/>
      <c r="COF39" s="643"/>
      <c r="COG39" s="643"/>
      <c r="COH39" s="643"/>
      <c r="COI39" s="643"/>
      <c r="COJ39" s="643"/>
      <c r="COK39" s="643"/>
      <c r="COL39" s="643"/>
      <c r="COM39" s="643"/>
      <c r="CON39" s="643"/>
      <c r="COO39" s="643"/>
      <c r="COP39" s="643"/>
      <c r="COQ39" s="643"/>
      <c r="COR39" s="643"/>
      <c r="COS39" s="643"/>
      <c r="COT39" s="643"/>
      <c r="COU39" s="643"/>
      <c r="COV39" s="643"/>
      <c r="COW39" s="643"/>
      <c r="COX39" s="643"/>
      <c r="COY39" s="643"/>
      <c r="COZ39" s="643"/>
      <c r="CPA39" s="643"/>
      <c r="CPB39" s="643"/>
      <c r="CPC39" s="643"/>
      <c r="CPD39" s="643"/>
      <c r="CPE39" s="643"/>
      <c r="CPF39" s="643"/>
      <c r="CPG39" s="643"/>
      <c r="CPH39" s="643"/>
      <c r="CPI39" s="643"/>
      <c r="CPJ39" s="643"/>
      <c r="CPK39" s="643"/>
      <c r="CPL39" s="643"/>
      <c r="CPM39" s="643"/>
      <c r="CPN39" s="643"/>
      <c r="CPO39" s="643"/>
      <c r="CPP39" s="643"/>
      <c r="CPQ39" s="643"/>
      <c r="CPR39" s="643"/>
      <c r="CPS39" s="643"/>
      <c r="CPT39" s="643"/>
      <c r="CPU39" s="643"/>
      <c r="CPV39" s="643"/>
      <c r="CPW39" s="643"/>
      <c r="CPX39" s="643"/>
      <c r="CPY39" s="643"/>
      <c r="CPZ39" s="643"/>
      <c r="CQA39" s="643"/>
      <c r="CQB39" s="643"/>
      <c r="CQC39" s="643"/>
      <c r="CQD39" s="643"/>
      <c r="CQE39" s="643"/>
      <c r="CQF39" s="643"/>
      <c r="CQG39" s="643"/>
      <c r="CQH39" s="643"/>
      <c r="CQI39" s="643"/>
      <c r="CQJ39" s="643"/>
      <c r="CQK39" s="643"/>
      <c r="CQL39" s="643"/>
      <c r="CQM39" s="643"/>
      <c r="CQN39" s="643"/>
      <c r="CQO39" s="643"/>
      <c r="CQP39" s="643"/>
      <c r="CQQ39" s="643"/>
      <c r="CQR39" s="643"/>
      <c r="CQS39" s="643"/>
      <c r="CQT39" s="643"/>
      <c r="CQU39" s="643"/>
      <c r="CQV39" s="643"/>
      <c r="CQW39" s="643"/>
      <c r="CQX39" s="643"/>
      <c r="CQY39" s="643"/>
      <c r="CQZ39" s="643"/>
      <c r="CRA39" s="643"/>
      <c r="CRB39" s="643"/>
      <c r="CRC39" s="643"/>
      <c r="CRD39" s="643"/>
      <c r="CRE39" s="643"/>
      <c r="CRF39" s="643"/>
      <c r="CRG39" s="643"/>
      <c r="CRH39" s="643"/>
      <c r="CRI39" s="643"/>
      <c r="CRJ39" s="643"/>
      <c r="CRK39" s="643"/>
      <c r="CRL39" s="643"/>
      <c r="CRM39" s="643"/>
      <c r="CRN39" s="643"/>
      <c r="CRO39" s="643"/>
      <c r="CRP39" s="643"/>
      <c r="CRQ39" s="643"/>
      <c r="CRR39" s="643"/>
      <c r="CRS39" s="643"/>
      <c r="CRT39" s="643"/>
      <c r="CRU39" s="643"/>
      <c r="CRV39" s="643"/>
      <c r="CRW39" s="643"/>
      <c r="CRX39" s="643"/>
      <c r="CRY39" s="643"/>
      <c r="CRZ39" s="643"/>
      <c r="CSA39" s="643"/>
      <c r="CSB39" s="643"/>
      <c r="CSC39" s="643"/>
      <c r="CSD39" s="643"/>
      <c r="CSE39" s="643"/>
      <c r="CSF39" s="643"/>
      <c r="CSG39" s="643"/>
      <c r="CSH39" s="643"/>
      <c r="CSI39" s="643"/>
      <c r="CSJ39" s="643"/>
      <c r="CSK39" s="643"/>
      <c r="CSL39" s="643"/>
      <c r="CSM39" s="643"/>
      <c r="CSN39" s="643"/>
      <c r="CSO39" s="643"/>
      <c r="CSP39" s="643"/>
      <c r="CSQ39" s="643"/>
      <c r="CSR39" s="643"/>
      <c r="CSS39" s="643"/>
      <c r="CST39" s="643"/>
      <c r="CSU39" s="643"/>
      <c r="CSV39" s="643"/>
      <c r="CSW39" s="643"/>
      <c r="CSX39" s="643"/>
      <c r="CSY39" s="643"/>
      <c r="CSZ39" s="643"/>
      <c r="CTA39" s="643"/>
      <c r="CTB39" s="643"/>
      <c r="CTC39" s="643"/>
      <c r="CTD39" s="643"/>
      <c r="CTE39" s="643"/>
      <c r="CTF39" s="643"/>
      <c r="CTG39" s="643"/>
      <c r="CTH39" s="643"/>
      <c r="CTI39" s="643"/>
      <c r="CTJ39" s="643"/>
      <c r="CTK39" s="643"/>
      <c r="CTL39" s="643"/>
      <c r="CTM39" s="643"/>
      <c r="CTN39" s="643"/>
      <c r="CTO39" s="643"/>
      <c r="CTP39" s="643"/>
      <c r="CTQ39" s="643"/>
      <c r="CTR39" s="643"/>
      <c r="CTS39" s="643"/>
      <c r="CTT39" s="643"/>
      <c r="CTU39" s="643"/>
      <c r="CTV39" s="643"/>
      <c r="CTW39" s="643"/>
      <c r="CTX39" s="643"/>
      <c r="CTY39" s="643"/>
      <c r="CTZ39" s="643"/>
      <c r="CUA39" s="643"/>
      <c r="CUB39" s="643"/>
      <c r="CUC39" s="643"/>
      <c r="CUD39" s="643"/>
      <c r="CUE39" s="643"/>
      <c r="CUF39" s="643"/>
      <c r="CUG39" s="643"/>
      <c r="CUH39" s="643"/>
      <c r="CUI39" s="643"/>
      <c r="CUJ39" s="643"/>
      <c r="CUK39" s="643"/>
      <c r="CUL39" s="643"/>
      <c r="CUM39" s="643"/>
      <c r="CUN39" s="643"/>
      <c r="CUO39" s="643"/>
      <c r="CUP39" s="643"/>
      <c r="CUQ39" s="643"/>
      <c r="CUR39" s="643"/>
      <c r="CUS39" s="643"/>
      <c r="CUT39" s="643"/>
      <c r="CUU39" s="643"/>
      <c r="CUV39" s="643"/>
      <c r="CUW39" s="643"/>
      <c r="CUX39" s="643"/>
      <c r="CUY39" s="643"/>
      <c r="CUZ39" s="643"/>
      <c r="CVA39" s="643"/>
      <c r="CVB39" s="643"/>
      <c r="CVC39" s="643"/>
      <c r="CVD39" s="643"/>
      <c r="CVE39" s="643"/>
      <c r="CVF39" s="643"/>
      <c r="CVG39" s="643"/>
      <c r="CVH39" s="643"/>
      <c r="CVI39" s="643"/>
      <c r="CVJ39" s="643"/>
      <c r="CVK39" s="643"/>
      <c r="CVL39" s="643"/>
      <c r="CVM39" s="643"/>
      <c r="CVN39" s="643"/>
      <c r="CVO39" s="643"/>
      <c r="CVP39" s="643"/>
      <c r="CVQ39" s="643"/>
      <c r="CVR39" s="643"/>
      <c r="CVS39" s="643"/>
      <c r="CVT39" s="643"/>
      <c r="CVU39" s="643"/>
      <c r="CVV39" s="643"/>
      <c r="CVW39" s="643"/>
      <c r="CVX39" s="643"/>
      <c r="CVY39" s="643"/>
      <c r="CVZ39" s="643"/>
      <c r="CWA39" s="643"/>
      <c r="CWB39" s="643"/>
      <c r="CWC39" s="643"/>
      <c r="CWD39" s="643"/>
      <c r="CWE39" s="643"/>
      <c r="CWF39" s="643"/>
      <c r="CWG39" s="643"/>
      <c r="CWH39" s="643"/>
      <c r="CWI39" s="643"/>
      <c r="CWJ39" s="643"/>
      <c r="CWK39" s="643"/>
      <c r="CWL39" s="643"/>
      <c r="CWM39" s="643"/>
      <c r="CWN39" s="643"/>
      <c r="CWO39" s="643"/>
      <c r="CWP39" s="643"/>
      <c r="CWQ39" s="643"/>
      <c r="CWR39" s="643"/>
      <c r="CWS39" s="643"/>
      <c r="CWT39" s="643"/>
      <c r="CWU39" s="643"/>
      <c r="CWV39" s="643"/>
      <c r="CWW39" s="643"/>
      <c r="CWX39" s="643"/>
      <c r="CWY39" s="643"/>
      <c r="CWZ39" s="643"/>
      <c r="CXA39" s="643"/>
      <c r="CXB39" s="643"/>
      <c r="CXC39" s="643"/>
      <c r="CXD39" s="643"/>
      <c r="CXE39" s="643"/>
      <c r="CXF39" s="643"/>
      <c r="CXG39" s="643"/>
      <c r="CXH39" s="643"/>
      <c r="CXI39" s="643"/>
      <c r="CXJ39" s="643"/>
      <c r="CXK39" s="643"/>
      <c r="CXL39" s="643"/>
      <c r="CXM39" s="643"/>
      <c r="CXN39" s="643"/>
      <c r="CXO39" s="643"/>
      <c r="CXP39" s="643"/>
      <c r="CXQ39" s="643"/>
      <c r="CXR39" s="643"/>
      <c r="CXS39" s="643"/>
      <c r="CXT39" s="643"/>
      <c r="CXU39" s="643"/>
      <c r="CXV39" s="643"/>
      <c r="CXW39" s="643"/>
      <c r="CXX39" s="643"/>
      <c r="CXY39" s="643"/>
      <c r="CXZ39" s="643"/>
      <c r="CYA39" s="643"/>
      <c r="CYB39" s="643"/>
      <c r="CYC39" s="643"/>
      <c r="CYD39" s="643"/>
      <c r="CYE39" s="643"/>
      <c r="CYF39" s="643"/>
      <c r="CYG39" s="643"/>
      <c r="CYH39" s="643"/>
      <c r="CYI39" s="643"/>
      <c r="CYJ39" s="643"/>
      <c r="CYK39" s="643"/>
      <c r="CYL39" s="643"/>
      <c r="CYM39" s="643"/>
      <c r="CYN39" s="643"/>
      <c r="CYO39" s="643"/>
      <c r="CYP39" s="643"/>
      <c r="CYQ39" s="643"/>
      <c r="CYR39" s="643"/>
      <c r="CYS39" s="643"/>
      <c r="CYT39" s="643"/>
      <c r="CYU39" s="643"/>
      <c r="CYV39" s="643"/>
      <c r="CYW39" s="643"/>
      <c r="CYX39" s="643"/>
      <c r="CYY39" s="643"/>
      <c r="CYZ39" s="643"/>
      <c r="CZA39" s="643"/>
      <c r="CZB39" s="643"/>
      <c r="CZC39" s="643"/>
      <c r="CZD39" s="643"/>
      <c r="CZE39" s="643"/>
      <c r="CZF39" s="643"/>
      <c r="CZG39" s="643"/>
      <c r="CZH39" s="643"/>
      <c r="CZI39" s="643"/>
      <c r="CZJ39" s="643"/>
      <c r="CZK39" s="643"/>
      <c r="CZL39" s="643"/>
      <c r="CZM39" s="643"/>
      <c r="CZN39" s="643"/>
      <c r="CZO39" s="643"/>
      <c r="CZP39" s="643"/>
      <c r="CZQ39" s="643"/>
      <c r="CZR39" s="643"/>
      <c r="CZS39" s="643"/>
      <c r="CZT39" s="643"/>
      <c r="CZU39" s="643"/>
      <c r="CZV39" s="643"/>
      <c r="CZW39" s="643"/>
      <c r="CZX39" s="643"/>
      <c r="CZY39" s="643"/>
      <c r="CZZ39" s="643"/>
      <c r="DAA39" s="643"/>
      <c r="DAB39" s="643"/>
      <c r="DAC39" s="643"/>
      <c r="DAD39" s="643"/>
      <c r="DAE39" s="643"/>
      <c r="DAF39" s="643"/>
      <c r="DAG39" s="643"/>
      <c r="DAH39" s="643"/>
      <c r="DAI39" s="643"/>
      <c r="DAJ39" s="643"/>
      <c r="DAK39" s="643"/>
      <c r="DAL39" s="643"/>
      <c r="DAM39" s="643"/>
      <c r="DAN39" s="643"/>
      <c r="DAO39" s="643"/>
      <c r="DAP39" s="643"/>
      <c r="DAQ39" s="643"/>
      <c r="DAR39" s="643"/>
      <c r="DAS39" s="643"/>
      <c r="DAT39" s="643"/>
      <c r="DAU39" s="643"/>
      <c r="DAV39" s="643"/>
      <c r="DAW39" s="643"/>
      <c r="DAX39" s="643"/>
      <c r="DAY39" s="643"/>
      <c r="DAZ39" s="643"/>
      <c r="DBA39" s="643"/>
      <c r="DBB39" s="643"/>
      <c r="DBC39" s="643"/>
      <c r="DBD39" s="643"/>
      <c r="DBE39" s="643"/>
      <c r="DBF39" s="643"/>
      <c r="DBG39" s="643"/>
      <c r="DBH39" s="643"/>
      <c r="DBI39" s="643"/>
      <c r="DBJ39" s="643"/>
      <c r="DBK39" s="643"/>
      <c r="DBL39" s="643"/>
      <c r="DBM39" s="643"/>
      <c r="DBN39" s="643"/>
      <c r="DBO39" s="643"/>
      <c r="DBP39" s="643"/>
      <c r="DBQ39" s="643"/>
      <c r="DBR39" s="643"/>
      <c r="DBS39" s="643"/>
      <c r="DBT39" s="643"/>
      <c r="DBU39" s="643"/>
      <c r="DBV39" s="643"/>
      <c r="DBW39" s="643"/>
      <c r="DBX39" s="643"/>
      <c r="DBY39" s="643"/>
      <c r="DBZ39" s="643"/>
      <c r="DCA39" s="643"/>
      <c r="DCB39" s="643"/>
      <c r="DCC39" s="643"/>
      <c r="DCD39" s="643"/>
      <c r="DCE39" s="643"/>
      <c r="DCF39" s="643"/>
      <c r="DCG39" s="643"/>
      <c r="DCH39" s="643"/>
      <c r="DCI39" s="643"/>
      <c r="DCJ39" s="643"/>
      <c r="DCK39" s="643"/>
      <c r="DCL39" s="643"/>
      <c r="DCM39" s="643"/>
      <c r="DCN39" s="643"/>
      <c r="DCO39" s="643"/>
      <c r="DCP39" s="643"/>
      <c r="DCQ39" s="643"/>
      <c r="DCR39" s="643"/>
      <c r="DCS39" s="643"/>
      <c r="DCT39" s="643"/>
      <c r="DCU39" s="643"/>
      <c r="DCV39" s="643"/>
      <c r="DCW39" s="643"/>
      <c r="DCX39" s="643"/>
      <c r="DCY39" s="643"/>
      <c r="DCZ39" s="643"/>
      <c r="DDA39" s="643"/>
      <c r="DDB39" s="643"/>
      <c r="DDC39" s="643"/>
      <c r="DDD39" s="643"/>
      <c r="DDE39" s="643"/>
      <c r="DDF39" s="643"/>
      <c r="DDG39" s="643"/>
      <c r="DDH39" s="643"/>
      <c r="DDI39" s="643"/>
      <c r="DDJ39" s="643"/>
      <c r="DDK39" s="643"/>
      <c r="DDL39" s="643"/>
      <c r="DDM39" s="643"/>
      <c r="DDN39" s="643"/>
      <c r="DDO39" s="643"/>
      <c r="DDP39" s="643"/>
      <c r="DDQ39" s="643"/>
      <c r="DDR39" s="643"/>
      <c r="DDS39" s="643"/>
      <c r="DDT39" s="643"/>
      <c r="DDU39" s="643"/>
      <c r="DDV39" s="643"/>
      <c r="DDW39" s="643"/>
      <c r="DDX39" s="643"/>
      <c r="DDY39" s="643"/>
      <c r="DDZ39" s="643"/>
      <c r="DEA39" s="643"/>
      <c r="DEB39" s="643"/>
      <c r="DEC39" s="643"/>
      <c r="DED39" s="643"/>
      <c r="DEE39" s="643"/>
      <c r="DEF39" s="643"/>
      <c r="DEG39" s="643"/>
      <c r="DEH39" s="643"/>
      <c r="DEI39" s="643"/>
      <c r="DEJ39" s="643"/>
      <c r="DEK39" s="643"/>
      <c r="DEL39" s="643"/>
      <c r="DEM39" s="643"/>
      <c r="DEN39" s="643"/>
      <c r="DEO39" s="643"/>
      <c r="DEP39" s="643"/>
      <c r="DEQ39" s="643"/>
      <c r="DER39" s="643"/>
      <c r="DES39" s="643"/>
      <c r="DET39" s="643"/>
      <c r="DEU39" s="643"/>
      <c r="DEV39" s="643"/>
      <c r="DEW39" s="643"/>
      <c r="DEX39" s="643"/>
      <c r="DEY39" s="643"/>
      <c r="DEZ39" s="643"/>
      <c r="DFA39" s="643"/>
      <c r="DFB39" s="643"/>
      <c r="DFC39" s="643"/>
      <c r="DFD39" s="643"/>
      <c r="DFE39" s="643"/>
      <c r="DFF39" s="643"/>
      <c r="DFG39" s="643"/>
      <c r="DFH39" s="643"/>
      <c r="DFI39" s="643"/>
      <c r="DFJ39" s="643"/>
      <c r="DFK39" s="643"/>
      <c r="DFL39" s="643"/>
      <c r="DFM39" s="643"/>
      <c r="DFN39" s="643"/>
      <c r="DFO39" s="643"/>
      <c r="DFP39" s="643"/>
      <c r="DFQ39" s="643"/>
      <c r="DFR39" s="643"/>
      <c r="DFS39" s="643"/>
      <c r="DFT39" s="643"/>
      <c r="DFU39" s="643"/>
      <c r="DFV39" s="643"/>
      <c r="DFW39" s="643"/>
      <c r="DFX39" s="643"/>
      <c r="DFY39" s="643"/>
      <c r="DFZ39" s="643"/>
      <c r="DGA39" s="643"/>
      <c r="DGB39" s="643"/>
      <c r="DGC39" s="643"/>
      <c r="DGD39" s="643"/>
      <c r="DGE39" s="643"/>
      <c r="DGF39" s="643"/>
      <c r="DGG39" s="643"/>
      <c r="DGH39" s="643"/>
      <c r="DGI39" s="643"/>
      <c r="DGJ39" s="643"/>
      <c r="DGK39" s="643"/>
      <c r="DGL39" s="643"/>
      <c r="DGM39" s="643"/>
      <c r="DGN39" s="643"/>
      <c r="DGO39" s="643"/>
      <c r="DGP39" s="643"/>
      <c r="DGQ39" s="643"/>
      <c r="DGR39" s="643"/>
      <c r="DGS39" s="643"/>
      <c r="DGT39" s="643"/>
      <c r="DGU39" s="643"/>
      <c r="DGV39" s="643"/>
      <c r="DGW39" s="643"/>
      <c r="DGX39" s="643"/>
      <c r="DGY39" s="643"/>
      <c r="DGZ39" s="643"/>
      <c r="DHA39" s="643"/>
      <c r="DHB39" s="643"/>
      <c r="DHC39" s="643"/>
      <c r="DHD39" s="643"/>
      <c r="DHE39" s="643"/>
      <c r="DHF39" s="643"/>
      <c r="DHG39" s="643"/>
      <c r="DHH39" s="643"/>
      <c r="DHI39" s="643"/>
      <c r="DHJ39" s="643"/>
      <c r="DHK39" s="643"/>
      <c r="DHL39" s="643"/>
      <c r="DHM39" s="643"/>
      <c r="DHN39" s="643"/>
      <c r="DHO39" s="643"/>
      <c r="DHP39" s="643"/>
      <c r="DHQ39" s="643"/>
      <c r="DHR39" s="643"/>
      <c r="DHS39" s="643"/>
      <c r="DHT39" s="643"/>
      <c r="DHU39" s="643"/>
      <c r="DHV39" s="643"/>
      <c r="DHW39" s="643"/>
      <c r="DHX39" s="643"/>
      <c r="DHY39" s="643"/>
      <c r="DHZ39" s="643"/>
      <c r="DIA39" s="643"/>
      <c r="DIB39" s="643"/>
      <c r="DIC39" s="643"/>
      <c r="DID39" s="643"/>
      <c r="DIE39" s="643"/>
      <c r="DIF39" s="643"/>
      <c r="DIG39" s="643"/>
      <c r="DIH39" s="643"/>
      <c r="DII39" s="643"/>
      <c r="DIJ39" s="643"/>
      <c r="DIK39" s="643"/>
      <c r="DIL39" s="643"/>
      <c r="DIM39" s="643"/>
      <c r="DIN39" s="643"/>
      <c r="DIO39" s="643"/>
      <c r="DIP39" s="643"/>
      <c r="DIQ39" s="643"/>
      <c r="DIR39" s="643"/>
      <c r="DIS39" s="643"/>
      <c r="DIT39" s="643"/>
      <c r="DIU39" s="643"/>
      <c r="DIV39" s="643"/>
      <c r="DIW39" s="643"/>
      <c r="DIX39" s="643"/>
      <c r="DIY39" s="643"/>
      <c r="DIZ39" s="643"/>
      <c r="DJA39" s="643"/>
      <c r="DJB39" s="643"/>
      <c r="DJC39" s="643"/>
      <c r="DJD39" s="643"/>
      <c r="DJE39" s="643"/>
      <c r="DJF39" s="643"/>
      <c r="DJG39" s="643"/>
      <c r="DJH39" s="643"/>
      <c r="DJI39" s="643"/>
      <c r="DJJ39" s="643"/>
      <c r="DJK39" s="643"/>
      <c r="DJL39" s="643"/>
      <c r="DJM39" s="643"/>
      <c r="DJN39" s="643"/>
      <c r="DJO39" s="643"/>
      <c r="DJP39" s="643"/>
      <c r="DJQ39" s="643"/>
      <c r="DJR39" s="643"/>
      <c r="DJS39" s="643"/>
      <c r="DJT39" s="643"/>
      <c r="DJU39" s="643"/>
      <c r="DJV39" s="643"/>
      <c r="DJW39" s="643"/>
      <c r="DJX39" s="643"/>
      <c r="DJY39" s="643"/>
      <c r="DJZ39" s="643"/>
      <c r="DKA39" s="643"/>
      <c r="DKB39" s="643"/>
      <c r="DKC39" s="643"/>
      <c r="DKD39" s="643"/>
      <c r="DKE39" s="643"/>
      <c r="DKF39" s="643"/>
      <c r="DKG39" s="643"/>
      <c r="DKH39" s="643"/>
      <c r="DKI39" s="643"/>
      <c r="DKJ39" s="643"/>
      <c r="DKK39" s="643"/>
      <c r="DKL39" s="643"/>
      <c r="DKM39" s="643"/>
      <c r="DKN39" s="643"/>
      <c r="DKO39" s="643"/>
      <c r="DKP39" s="643"/>
      <c r="DKQ39" s="643"/>
      <c r="DKR39" s="643"/>
      <c r="DKS39" s="643"/>
      <c r="DKT39" s="643"/>
      <c r="DKU39" s="643"/>
      <c r="DKV39" s="643"/>
      <c r="DKW39" s="643"/>
      <c r="DKX39" s="643"/>
      <c r="DKY39" s="643"/>
      <c r="DKZ39" s="643"/>
      <c r="DLA39" s="643"/>
      <c r="DLB39" s="643"/>
      <c r="DLC39" s="643"/>
      <c r="DLD39" s="643"/>
      <c r="DLE39" s="643"/>
      <c r="DLF39" s="643"/>
      <c r="DLG39" s="643"/>
      <c r="DLH39" s="643"/>
      <c r="DLI39" s="643"/>
      <c r="DLJ39" s="643"/>
      <c r="DLK39" s="643"/>
      <c r="DLL39" s="643"/>
      <c r="DLM39" s="643"/>
      <c r="DLN39" s="643"/>
      <c r="DLO39" s="643"/>
      <c r="DLP39" s="643"/>
      <c r="DLQ39" s="643"/>
      <c r="DLR39" s="643"/>
      <c r="DLS39" s="643"/>
      <c r="DLT39" s="643"/>
      <c r="DLU39" s="643"/>
      <c r="DLV39" s="643"/>
      <c r="DLW39" s="643"/>
      <c r="DLX39" s="643"/>
      <c r="DLY39" s="643"/>
      <c r="DLZ39" s="643"/>
      <c r="DMA39" s="643"/>
      <c r="DMB39" s="643"/>
      <c r="DMC39" s="643"/>
      <c r="DMD39" s="643"/>
      <c r="DME39" s="643"/>
      <c r="DMF39" s="643"/>
      <c r="DMG39" s="643"/>
      <c r="DMH39" s="643"/>
      <c r="DMI39" s="643"/>
      <c r="DMJ39" s="643"/>
      <c r="DMK39" s="643"/>
      <c r="DML39" s="643"/>
      <c r="DMM39" s="643"/>
      <c r="DMN39" s="643"/>
      <c r="DMO39" s="643"/>
      <c r="DMP39" s="643"/>
      <c r="DMQ39" s="643"/>
      <c r="DMR39" s="643"/>
      <c r="DMS39" s="643"/>
      <c r="DMT39" s="643"/>
      <c r="DMU39" s="643"/>
      <c r="DMV39" s="643"/>
      <c r="DMW39" s="643"/>
      <c r="DMX39" s="643"/>
      <c r="DMY39" s="643"/>
      <c r="DMZ39" s="643"/>
      <c r="DNA39" s="643"/>
      <c r="DNB39" s="643"/>
      <c r="DNC39" s="643"/>
      <c r="DND39" s="643"/>
      <c r="DNE39" s="643"/>
      <c r="DNF39" s="643"/>
      <c r="DNG39" s="643"/>
      <c r="DNH39" s="643"/>
      <c r="DNI39" s="643"/>
      <c r="DNJ39" s="643"/>
      <c r="DNK39" s="643"/>
      <c r="DNL39" s="643"/>
      <c r="DNM39" s="643"/>
      <c r="DNN39" s="643"/>
      <c r="DNO39" s="643"/>
      <c r="DNP39" s="643"/>
      <c r="DNQ39" s="643"/>
      <c r="DNR39" s="643"/>
      <c r="DNS39" s="643"/>
      <c r="DNT39" s="643"/>
      <c r="DNU39" s="643"/>
      <c r="DNV39" s="643"/>
      <c r="DNW39" s="643"/>
      <c r="DNX39" s="643"/>
      <c r="DNY39" s="643"/>
      <c r="DNZ39" s="643"/>
      <c r="DOA39" s="643"/>
      <c r="DOB39" s="643"/>
      <c r="DOC39" s="643"/>
      <c r="DOD39" s="643"/>
      <c r="DOE39" s="643"/>
      <c r="DOF39" s="643"/>
      <c r="DOG39" s="643"/>
      <c r="DOH39" s="643"/>
      <c r="DOI39" s="643"/>
      <c r="DOJ39" s="643"/>
      <c r="DOK39" s="643"/>
      <c r="DOL39" s="643"/>
      <c r="DOM39" s="643"/>
      <c r="DON39" s="643"/>
      <c r="DOO39" s="643"/>
      <c r="DOP39" s="643"/>
      <c r="DOQ39" s="643"/>
      <c r="DOR39" s="643"/>
      <c r="DOS39" s="643"/>
      <c r="DOT39" s="643"/>
      <c r="DOU39" s="643"/>
      <c r="DOV39" s="643"/>
      <c r="DOW39" s="643"/>
      <c r="DOX39" s="643"/>
      <c r="DOY39" s="643"/>
      <c r="DOZ39" s="643"/>
      <c r="DPA39" s="643"/>
      <c r="DPB39" s="643"/>
      <c r="DPC39" s="643"/>
      <c r="DPD39" s="643"/>
      <c r="DPE39" s="643"/>
      <c r="DPF39" s="643"/>
      <c r="DPG39" s="643"/>
      <c r="DPH39" s="643"/>
      <c r="DPI39" s="643"/>
      <c r="DPJ39" s="643"/>
      <c r="DPK39" s="643"/>
      <c r="DPL39" s="643"/>
      <c r="DPM39" s="643"/>
      <c r="DPN39" s="643"/>
      <c r="DPO39" s="643"/>
      <c r="DPP39" s="643"/>
      <c r="DPQ39" s="643"/>
      <c r="DPR39" s="643"/>
      <c r="DPS39" s="643"/>
      <c r="DPT39" s="643"/>
      <c r="DPU39" s="643"/>
      <c r="DPV39" s="643"/>
      <c r="DPW39" s="643"/>
      <c r="DPX39" s="643"/>
      <c r="DPY39" s="643"/>
      <c r="DPZ39" s="643"/>
      <c r="DQA39" s="643"/>
      <c r="DQB39" s="643"/>
      <c r="DQC39" s="643"/>
      <c r="DQD39" s="643"/>
      <c r="DQE39" s="643"/>
      <c r="DQF39" s="643"/>
      <c r="DQG39" s="643"/>
      <c r="DQH39" s="643"/>
      <c r="DQI39" s="643"/>
      <c r="DQJ39" s="643"/>
      <c r="DQK39" s="643"/>
      <c r="DQL39" s="643"/>
      <c r="DQM39" s="643"/>
      <c r="DQN39" s="643"/>
      <c r="DQO39" s="643"/>
      <c r="DQP39" s="643"/>
      <c r="DQQ39" s="643"/>
      <c r="DQR39" s="643"/>
      <c r="DQS39" s="643"/>
      <c r="DQT39" s="643"/>
      <c r="DQU39" s="643"/>
      <c r="DQV39" s="643"/>
      <c r="DQW39" s="643"/>
      <c r="DQX39" s="643"/>
      <c r="DQY39" s="643"/>
      <c r="DQZ39" s="643"/>
      <c r="DRA39" s="643"/>
      <c r="DRB39" s="643"/>
      <c r="DRC39" s="643"/>
      <c r="DRD39" s="643"/>
      <c r="DRE39" s="643"/>
      <c r="DRF39" s="643"/>
      <c r="DRG39" s="643"/>
      <c r="DRH39" s="643"/>
      <c r="DRI39" s="643"/>
      <c r="DRJ39" s="643"/>
      <c r="DRK39" s="643"/>
      <c r="DRL39" s="643"/>
      <c r="DRM39" s="643"/>
      <c r="DRN39" s="643"/>
      <c r="DRO39" s="643"/>
      <c r="DRP39" s="643"/>
      <c r="DRQ39" s="643"/>
      <c r="DRR39" s="643"/>
      <c r="DRS39" s="643"/>
      <c r="DRT39" s="643"/>
      <c r="DRU39" s="643"/>
      <c r="DRV39" s="643"/>
      <c r="DRW39" s="643"/>
      <c r="DRX39" s="643"/>
      <c r="DRY39" s="643"/>
      <c r="DRZ39" s="643"/>
      <c r="DSA39" s="643"/>
      <c r="DSB39" s="643"/>
      <c r="DSC39" s="643"/>
      <c r="DSD39" s="643"/>
      <c r="DSE39" s="643"/>
      <c r="DSF39" s="643"/>
      <c r="DSG39" s="643"/>
      <c r="DSH39" s="643"/>
      <c r="DSI39" s="643"/>
      <c r="DSJ39" s="643"/>
      <c r="DSK39" s="643"/>
      <c r="DSL39" s="643"/>
      <c r="DSM39" s="643"/>
      <c r="DSN39" s="643"/>
      <c r="DSO39" s="643"/>
      <c r="DSP39" s="643"/>
      <c r="DSQ39" s="643"/>
      <c r="DSR39" s="643"/>
      <c r="DSS39" s="643"/>
      <c r="DST39" s="643"/>
      <c r="DSU39" s="643"/>
      <c r="DSV39" s="643"/>
      <c r="DSW39" s="643"/>
      <c r="DSX39" s="643"/>
      <c r="DSY39" s="643"/>
      <c r="DSZ39" s="643"/>
      <c r="DTA39" s="643"/>
      <c r="DTB39" s="643"/>
      <c r="DTC39" s="643"/>
      <c r="DTD39" s="643"/>
      <c r="DTE39" s="643"/>
      <c r="DTF39" s="643"/>
      <c r="DTG39" s="643"/>
      <c r="DTH39" s="643"/>
      <c r="DTI39" s="643"/>
      <c r="DTJ39" s="643"/>
      <c r="DTK39" s="643"/>
      <c r="DTL39" s="643"/>
      <c r="DTM39" s="643"/>
      <c r="DTN39" s="643"/>
      <c r="DTO39" s="643"/>
      <c r="DTP39" s="643"/>
      <c r="DTQ39" s="643"/>
      <c r="DTR39" s="643"/>
      <c r="DTS39" s="643"/>
      <c r="DTT39" s="643"/>
      <c r="DTU39" s="643"/>
      <c r="DTV39" s="643"/>
      <c r="DTW39" s="643"/>
      <c r="DTX39" s="643"/>
      <c r="DTY39" s="643"/>
      <c r="DTZ39" s="643"/>
      <c r="DUA39" s="643"/>
      <c r="DUB39" s="643"/>
      <c r="DUC39" s="643"/>
      <c r="DUD39" s="643"/>
      <c r="DUE39" s="643"/>
      <c r="DUF39" s="643"/>
      <c r="DUG39" s="643"/>
      <c r="DUH39" s="643"/>
      <c r="DUI39" s="643"/>
      <c r="DUJ39" s="643"/>
      <c r="DUK39" s="643"/>
      <c r="DUL39" s="643"/>
      <c r="DUM39" s="643"/>
      <c r="DUN39" s="643"/>
      <c r="DUO39" s="643"/>
      <c r="DUP39" s="643"/>
      <c r="DUQ39" s="643"/>
      <c r="DUR39" s="643"/>
      <c r="DUS39" s="643"/>
      <c r="DUT39" s="643"/>
      <c r="DUU39" s="643"/>
      <c r="DUV39" s="643"/>
      <c r="DUW39" s="643"/>
      <c r="DUX39" s="643"/>
      <c r="DUY39" s="643"/>
      <c r="DUZ39" s="643"/>
      <c r="DVA39" s="643"/>
      <c r="DVB39" s="643"/>
      <c r="DVC39" s="643"/>
      <c r="DVD39" s="643"/>
      <c r="DVE39" s="643"/>
      <c r="DVF39" s="643"/>
      <c r="DVG39" s="643"/>
      <c r="DVH39" s="643"/>
      <c r="DVI39" s="643"/>
      <c r="DVJ39" s="643"/>
      <c r="DVK39" s="643"/>
      <c r="DVL39" s="643"/>
      <c r="DVM39" s="643"/>
      <c r="DVN39" s="643"/>
      <c r="DVO39" s="643"/>
      <c r="DVP39" s="643"/>
      <c r="DVQ39" s="643"/>
      <c r="DVR39" s="643"/>
      <c r="DVS39" s="643"/>
      <c r="DVT39" s="643"/>
      <c r="DVU39" s="643"/>
      <c r="DVV39" s="643"/>
      <c r="DVW39" s="643"/>
      <c r="DVX39" s="643"/>
      <c r="DVY39" s="643"/>
      <c r="DVZ39" s="643"/>
      <c r="DWA39" s="643"/>
      <c r="DWB39" s="643"/>
      <c r="DWC39" s="643"/>
      <c r="DWD39" s="643"/>
      <c r="DWE39" s="643"/>
      <c r="DWF39" s="643"/>
      <c r="DWG39" s="643"/>
      <c r="DWH39" s="643"/>
      <c r="DWI39" s="643"/>
      <c r="DWJ39" s="643"/>
      <c r="DWK39" s="643"/>
      <c r="DWL39" s="643"/>
      <c r="DWM39" s="643"/>
      <c r="DWN39" s="643"/>
      <c r="DWO39" s="643"/>
      <c r="DWP39" s="643"/>
      <c r="DWQ39" s="643"/>
      <c r="DWR39" s="643"/>
      <c r="DWS39" s="643"/>
      <c r="DWT39" s="643"/>
      <c r="DWU39" s="643"/>
      <c r="DWV39" s="643"/>
      <c r="DWW39" s="643"/>
      <c r="DWX39" s="643"/>
      <c r="DWY39" s="643"/>
      <c r="DWZ39" s="643"/>
      <c r="DXA39" s="643"/>
      <c r="DXB39" s="643"/>
      <c r="DXC39" s="643"/>
      <c r="DXD39" s="643"/>
      <c r="DXE39" s="643"/>
      <c r="DXF39" s="643"/>
      <c r="DXG39" s="643"/>
      <c r="DXH39" s="643"/>
      <c r="DXI39" s="643"/>
      <c r="DXJ39" s="643"/>
      <c r="DXK39" s="643"/>
      <c r="DXL39" s="643"/>
      <c r="DXM39" s="643"/>
      <c r="DXN39" s="643"/>
      <c r="DXO39" s="643"/>
      <c r="DXP39" s="643"/>
      <c r="DXQ39" s="643"/>
      <c r="DXR39" s="643"/>
      <c r="DXS39" s="643"/>
      <c r="DXT39" s="643"/>
      <c r="DXU39" s="643"/>
      <c r="DXV39" s="643"/>
      <c r="DXW39" s="643"/>
      <c r="DXX39" s="643"/>
      <c r="DXY39" s="643"/>
      <c r="DXZ39" s="643"/>
      <c r="DYA39" s="643"/>
      <c r="DYB39" s="643"/>
      <c r="DYC39" s="643"/>
      <c r="DYD39" s="643"/>
      <c r="DYE39" s="643"/>
      <c r="DYF39" s="643"/>
      <c r="DYG39" s="643"/>
      <c r="DYH39" s="643"/>
      <c r="DYI39" s="643"/>
      <c r="DYJ39" s="643"/>
      <c r="DYK39" s="643"/>
      <c r="DYL39" s="643"/>
      <c r="DYM39" s="643"/>
      <c r="DYN39" s="643"/>
      <c r="DYO39" s="643"/>
      <c r="DYP39" s="643"/>
      <c r="DYQ39" s="643"/>
      <c r="DYR39" s="643"/>
      <c r="DYS39" s="643"/>
      <c r="DYT39" s="643"/>
      <c r="DYU39" s="643"/>
      <c r="DYV39" s="643"/>
      <c r="DYW39" s="643"/>
      <c r="DYX39" s="643"/>
      <c r="DYY39" s="643"/>
      <c r="DYZ39" s="643"/>
      <c r="DZA39" s="643"/>
      <c r="DZB39" s="643"/>
      <c r="DZC39" s="643"/>
      <c r="DZD39" s="643"/>
      <c r="DZE39" s="643"/>
      <c r="DZF39" s="643"/>
      <c r="DZG39" s="643"/>
      <c r="DZH39" s="643"/>
      <c r="DZI39" s="643"/>
      <c r="DZJ39" s="643"/>
      <c r="DZK39" s="643"/>
      <c r="DZL39" s="643"/>
      <c r="DZM39" s="643"/>
      <c r="DZN39" s="643"/>
      <c r="DZO39" s="643"/>
      <c r="DZP39" s="643"/>
      <c r="DZQ39" s="643"/>
      <c r="DZR39" s="643"/>
      <c r="DZS39" s="643"/>
      <c r="DZT39" s="643"/>
      <c r="DZU39" s="643"/>
      <c r="DZV39" s="643"/>
      <c r="DZW39" s="643"/>
      <c r="DZX39" s="643"/>
      <c r="DZY39" s="643"/>
      <c r="DZZ39" s="643"/>
      <c r="EAA39" s="643"/>
      <c r="EAB39" s="643"/>
      <c r="EAC39" s="643"/>
      <c r="EAD39" s="643"/>
      <c r="EAE39" s="643"/>
      <c r="EAF39" s="643"/>
      <c r="EAG39" s="643"/>
      <c r="EAH39" s="643"/>
      <c r="EAI39" s="643"/>
      <c r="EAJ39" s="643"/>
      <c r="EAK39" s="643"/>
      <c r="EAL39" s="643"/>
      <c r="EAM39" s="643"/>
      <c r="EAN39" s="643"/>
      <c r="EAO39" s="643"/>
      <c r="EAP39" s="643"/>
      <c r="EAQ39" s="643"/>
      <c r="EAR39" s="643"/>
      <c r="EAS39" s="643"/>
      <c r="EAT39" s="643"/>
      <c r="EAU39" s="643"/>
      <c r="EAV39" s="643"/>
      <c r="EAW39" s="643"/>
      <c r="EAX39" s="643"/>
      <c r="EAY39" s="643"/>
      <c r="EAZ39" s="643"/>
      <c r="EBA39" s="643"/>
      <c r="EBB39" s="643"/>
      <c r="EBC39" s="643"/>
      <c r="EBD39" s="643"/>
      <c r="EBE39" s="643"/>
      <c r="EBF39" s="643"/>
      <c r="EBG39" s="643"/>
      <c r="EBH39" s="643"/>
      <c r="EBI39" s="643"/>
      <c r="EBJ39" s="643"/>
      <c r="EBK39" s="643"/>
      <c r="EBL39" s="643"/>
      <c r="EBM39" s="643"/>
      <c r="EBN39" s="643"/>
      <c r="EBO39" s="643"/>
      <c r="EBP39" s="643"/>
      <c r="EBQ39" s="643"/>
      <c r="EBR39" s="643"/>
      <c r="EBS39" s="643"/>
      <c r="EBT39" s="643"/>
      <c r="EBU39" s="643"/>
      <c r="EBV39" s="643"/>
      <c r="EBW39" s="643"/>
      <c r="EBX39" s="643"/>
      <c r="EBY39" s="643"/>
      <c r="EBZ39" s="643"/>
      <c r="ECA39" s="643"/>
      <c r="ECB39" s="643"/>
      <c r="ECC39" s="643"/>
      <c r="ECD39" s="643"/>
      <c r="ECE39" s="643"/>
      <c r="ECF39" s="643"/>
      <c r="ECG39" s="643"/>
      <c r="ECH39" s="643"/>
      <c r="ECI39" s="643"/>
      <c r="ECJ39" s="643"/>
      <c r="ECK39" s="643"/>
      <c r="ECL39" s="643"/>
      <c r="ECM39" s="643"/>
      <c r="ECN39" s="643"/>
      <c r="ECO39" s="643"/>
      <c r="ECP39" s="643"/>
      <c r="ECQ39" s="643"/>
      <c r="ECR39" s="643"/>
      <c r="ECS39" s="643"/>
      <c r="ECT39" s="643"/>
      <c r="ECU39" s="643"/>
      <c r="ECV39" s="643"/>
      <c r="ECW39" s="643"/>
      <c r="ECX39" s="643"/>
      <c r="ECY39" s="643"/>
      <c r="ECZ39" s="643"/>
      <c r="EDA39" s="643"/>
      <c r="EDB39" s="643"/>
      <c r="EDC39" s="643"/>
      <c r="EDD39" s="643"/>
      <c r="EDE39" s="643"/>
      <c r="EDF39" s="643"/>
      <c r="EDG39" s="643"/>
      <c r="EDH39" s="643"/>
      <c r="EDI39" s="643"/>
      <c r="EDJ39" s="643"/>
      <c r="EDK39" s="643"/>
      <c r="EDL39" s="643"/>
      <c r="EDM39" s="643"/>
      <c r="EDN39" s="643"/>
      <c r="EDO39" s="643"/>
      <c r="EDP39" s="643"/>
      <c r="EDQ39" s="643"/>
      <c r="EDR39" s="643"/>
      <c r="EDS39" s="643"/>
      <c r="EDT39" s="643"/>
      <c r="EDU39" s="643"/>
      <c r="EDV39" s="643"/>
      <c r="EDW39" s="643"/>
      <c r="EDX39" s="643"/>
      <c r="EDY39" s="643"/>
      <c r="EDZ39" s="643"/>
      <c r="EEA39" s="643"/>
      <c r="EEB39" s="643"/>
      <c r="EEC39" s="643"/>
      <c r="EED39" s="643"/>
      <c r="EEE39" s="643"/>
      <c r="EEF39" s="643"/>
      <c r="EEG39" s="643"/>
      <c r="EEH39" s="643"/>
      <c r="EEI39" s="643"/>
      <c r="EEJ39" s="643"/>
      <c r="EEK39" s="643"/>
      <c r="EEL39" s="643"/>
      <c r="EEM39" s="643"/>
      <c r="EEN39" s="643"/>
      <c r="EEO39" s="643"/>
      <c r="EEP39" s="643"/>
      <c r="EEQ39" s="643"/>
      <c r="EER39" s="643"/>
      <c r="EES39" s="643"/>
      <c r="EET39" s="643"/>
      <c r="EEU39" s="643"/>
      <c r="EEV39" s="643"/>
      <c r="EEW39" s="643"/>
      <c r="EEX39" s="643"/>
      <c r="EEY39" s="643"/>
      <c r="EEZ39" s="643"/>
      <c r="EFA39" s="643"/>
      <c r="EFB39" s="643"/>
      <c r="EFC39" s="643"/>
      <c r="EFD39" s="643"/>
      <c r="EFE39" s="643"/>
      <c r="EFF39" s="643"/>
      <c r="EFG39" s="643"/>
      <c r="EFH39" s="643"/>
      <c r="EFI39" s="643"/>
      <c r="EFJ39" s="643"/>
      <c r="EFK39" s="643"/>
      <c r="EFL39" s="643"/>
      <c r="EFM39" s="643"/>
      <c r="EFN39" s="643"/>
      <c r="EFO39" s="643"/>
      <c r="EFP39" s="643"/>
      <c r="EFQ39" s="643"/>
      <c r="EFR39" s="643"/>
      <c r="EFS39" s="643"/>
      <c r="EFT39" s="643"/>
      <c r="EFU39" s="643"/>
      <c r="EFV39" s="643"/>
      <c r="EFW39" s="643"/>
      <c r="EFX39" s="643"/>
      <c r="EFY39" s="643"/>
      <c r="EFZ39" s="643"/>
      <c r="EGA39" s="643"/>
      <c r="EGB39" s="643"/>
      <c r="EGC39" s="643"/>
      <c r="EGD39" s="643"/>
      <c r="EGE39" s="643"/>
      <c r="EGF39" s="643"/>
      <c r="EGG39" s="643"/>
      <c r="EGH39" s="643"/>
      <c r="EGI39" s="643"/>
      <c r="EGJ39" s="643"/>
      <c r="EGK39" s="643"/>
      <c r="EGL39" s="643"/>
      <c r="EGM39" s="643"/>
      <c r="EGN39" s="643"/>
      <c r="EGO39" s="643"/>
      <c r="EGP39" s="643"/>
      <c r="EGQ39" s="643"/>
      <c r="EGR39" s="643"/>
      <c r="EGS39" s="643"/>
      <c r="EGT39" s="643"/>
      <c r="EGU39" s="643"/>
      <c r="EGV39" s="643"/>
      <c r="EGW39" s="643"/>
      <c r="EGX39" s="643"/>
      <c r="EGY39" s="643"/>
      <c r="EGZ39" s="643"/>
      <c r="EHA39" s="643"/>
      <c r="EHB39" s="643"/>
      <c r="EHC39" s="643"/>
      <c r="EHD39" s="643"/>
      <c r="EHE39" s="643"/>
      <c r="EHF39" s="643"/>
      <c r="EHG39" s="643"/>
      <c r="EHH39" s="643"/>
      <c r="EHI39" s="643"/>
      <c r="EHJ39" s="643"/>
      <c r="EHK39" s="643"/>
      <c r="EHL39" s="643"/>
      <c r="EHM39" s="643"/>
      <c r="EHN39" s="643"/>
      <c r="EHO39" s="643"/>
      <c r="EHP39" s="643"/>
      <c r="EHQ39" s="643"/>
      <c r="EHR39" s="643"/>
      <c r="EHS39" s="643"/>
      <c r="EHT39" s="643"/>
      <c r="EHU39" s="643"/>
      <c r="EHV39" s="643"/>
      <c r="EHW39" s="643"/>
      <c r="EHX39" s="643"/>
      <c r="EHY39" s="643"/>
      <c r="EHZ39" s="643"/>
      <c r="EIA39" s="643"/>
      <c r="EIB39" s="643"/>
      <c r="EIC39" s="643"/>
      <c r="EID39" s="643"/>
      <c r="EIE39" s="643"/>
      <c r="EIF39" s="643"/>
      <c r="EIG39" s="643"/>
      <c r="EIH39" s="643"/>
      <c r="EII39" s="643"/>
      <c r="EIJ39" s="643"/>
      <c r="EIK39" s="643"/>
      <c r="EIL39" s="643"/>
      <c r="EIM39" s="643"/>
      <c r="EIN39" s="643"/>
      <c r="EIO39" s="643"/>
      <c r="EIP39" s="643"/>
      <c r="EIQ39" s="643"/>
      <c r="EIR39" s="643"/>
      <c r="EIS39" s="643"/>
      <c r="EIT39" s="643"/>
      <c r="EIU39" s="643"/>
      <c r="EIV39" s="643"/>
      <c r="EIW39" s="643"/>
      <c r="EIX39" s="643"/>
      <c r="EIY39" s="643"/>
      <c r="EIZ39" s="643"/>
      <c r="EJA39" s="643"/>
      <c r="EJB39" s="643"/>
      <c r="EJC39" s="643"/>
      <c r="EJD39" s="643"/>
      <c r="EJE39" s="643"/>
      <c r="EJF39" s="643"/>
      <c r="EJG39" s="643"/>
      <c r="EJH39" s="643"/>
      <c r="EJI39" s="643"/>
      <c r="EJJ39" s="643"/>
      <c r="EJK39" s="643"/>
      <c r="EJL39" s="643"/>
      <c r="EJM39" s="643"/>
      <c r="EJN39" s="643"/>
      <c r="EJO39" s="643"/>
      <c r="EJP39" s="643"/>
      <c r="EJQ39" s="643"/>
      <c r="EJR39" s="643"/>
      <c r="EJS39" s="643"/>
      <c r="EJT39" s="643"/>
      <c r="EJU39" s="643"/>
      <c r="EJV39" s="643"/>
      <c r="EJW39" s="643"/>
      <c r="EJX39" s="643"/>
      <c r="EJY39" s="643"/>
      <c r="EJZ39" s="643"/>
      <c r="EKA39" s="643"/>
      <c r="EKB39" s="643"/>
      <c r="EKC39" s="643"/>
      <c r="EKD39" s="643"/>
      <c r="EKE39" s="643"/>
      <c r="EKF39" s="643"/>
      <c r="EKG39" s="643"/>
      <c r="EKH39" s="643"/>
      <c r="EKI39" s="643"/>
      <c r="EKJ39" s="643"/>
      <c r="EKK39" s="643"/>
      <c r="EKL39" s="643"/>
      <c r="EKM39" s="643"/>
      <c r="EKN39" s="643"/>
      <c r="EKO39" s="643"/>
      <c r="EKP39" s="643"/>
      <c r="EKQ39" s="643"/>
      <c r="EKR39" s="643"/>
      <c r="EKS39" s="643"/>
      <c r="EKT39" s="643"/>
      <c r="EKU39" s="643"/>
      <c r="EKV39" s="643"/>
      <c r="EKW39" s="643"/>
      <c r="EKX39" s="643"/>
      <c r="EKY39" s="643"/>
      <c r="EKZ39" s="643"/>
      <c r="ELA39" s="643"/>
      <c r="ELB39" s="643"/>
      <c r="ELC39" s="643"/>
      <c r="ELD39" s="643"/>
      <c r="ELE39" s="643"/>
      <c r="ELF39" s="643"/>
      <c r="ELG39" s="643"/>
      <c r="ELH39" s="643"/>
      <c r="ELI39" s="643"/>
      <c r="ELJ39" s="643"/>
      <c r="ELK39" s="643"/>
      <c r="ELL39" s="643"/>
      <c r="ELM39" s="643"/>
      <c r="ELN39" s="643"/>
      <c r="ELO39" s="643"/>
      <c r="ELP39" s="643"/>
      <c r="ELQ39" s="643"/>
      <c r="ELR39" s="643"/>
      <c r="ELS39" s="643"/>
      <c r="ELT39" s="643"/>
      <c r="ELU39" s="643"/>
      <c r="ELV39" s="643"/>
      <c r="ELW39" s="643"/>
      <c r="ELX39" s="643"/>
      <c r="ELY39" s="643"/>
      <c r="ELZ39" s="643"/>
      <c r="EMA39" s="643"/>
      <c r="EMB39" s="643"/>
      <c r="EMC39" s="643"/>
      <c r="EMD39" s="643"/>
      <c r="EME39" s="643"/>
      <c r="EMF39" s="643"/>
      <c r="EMG39" s="643"/>
      <c r="EMH39" s="643"/>
      <c r="EMI39" s="643"/>
      <c r="EMJ39" s="643"/>
      <c r="EMK39" s="643"/>
      <c r="EML39" s="643"/>
      <c r="EMM39" s="643"/>
      <c r="EMN39" s="643"/>
      <c r="EMO39" s="643"/>
      <c r="EMP39" s="643"/>
      <c r="EMQ39" s="643"/>
      <c r="EMR39" s="643"/>
      <c r="EMS39" s="643"/>
      <c r="EMT39" s="643"/>
      <c r="EMU39" s="643"/>
      <c r="EMV39" s="643"/>
      <c r="EMW39" s="643"/>
      <c r="EMX39" s="643"/>
      <c r="EMY39" s="643"/>
      <c r="EMZ39" s="643"/>
      <c r="ENA39" s="643"/>
      <c r="ENB39" s="643"/>
      <c r="ENC39" s="643"/>
      <c r="END39" s="643"/>
      <c r="ENE39" s="643"/>
      <c r="ENF39" s="643"/>
      <c r="ENG39" s="643"/>
      <c r="ENH39" s="643"/>
      <c r="ENI39" s="643"/>
      <c r="ENJ39" s="643"/>
      <c r="ENK39" s="643"/>
      <c r="ENL39" s="643"/>
      <c r="ENM39" s="643"/>
      <c r="ENN39" s="643"/>
      <c r="ENO39" s="643"/>
      <c r="ENP39" s="643"/>
      <c r="ENQ39" s="643"/>
      <c r="ENR39" s="643"/>
      <c r="ENS39" s="643"/>
      <c r="ENT39" s="643"/>
      <c r="ENU39" s="643"/>
      <c r="ENV39" s="643"/>
      <c r="ENW39" s="643"/>
      <c r="ENX39" s="643"/>
      <c r="ENY39" s="643"/>
      <c r="ENZ39" s="643"/>
      <c r="EOA39" s="643"/>
      <c r="EOB39" s="643"/>
      <c r="EOC39" s="643"/>
      <c r="EOD39" s="643"/>
      <c r="EOE39" s="643"/>
      <c r="EOF39" s="643"/>
      <c r="EOG39" s="643"/>
      <c r="EOH39" s="643"/>
      <c r="EOI39" s="643"/>
      <c r="EOJ39" s="643"/>
      <c r="EOK39" s="643"/>
      <c r="EOL39" s="643"/>
      <c r="EOM39" s="643"/>
      <c r="EON39" s="643"/>
      <c r="EOO39" s="643"/>
      <c r="EOP39" s="643"/>
      <c r="EOQ39" s="643"/>
      <c r="EOR39" s="643"/>
      <c r="EOS39" s="643"/>
      <c r="EOT39" s="643"/>
      <c r="EOU39" s="643"/>
      <c r="EOV39" s="643"/>
      <c r="EOW39" s="643"/>
      <c r="EOX39" s="643"/>
      <c r="EOY39" s="643"/>
      <c r="EOZ39" s="643"/>
      <c r="EPA39" s="643"/>
      <c r="EPB39" s="643"/>
      <c r="EPC39" s="643"/>
      <c r="EPD39" s="643"/>
      <c r="EPE39" s="643"/>
      <c r="EPF39" s="643"/>
      <c r="EPG39" s="643"/>
      <c r="EPH39" s="643"/>
      <c r="EPI39" s="643"/>
      <c r="EPJ39" s="643"/>
      <c r="EPK39" s="643"/>
      <c r="EPL39" s="643"/>
      <c r="EPM39" s="643"/>
      <c r="EPN39" s="643"/>
      <c r="EPO39" s="643"/>
      <c r="EPP39" s="643"/>
      <c r="EPQ39" s="643"/>
      <c r="EPR39" s="643"/>
      <c r="EPS39" s="643"/>
      <c r="EPT39" s="643"/>
      <c r="EPU39" s="643"/>
      <c r="EPV39" s="643"/>
      <c r="EPW39" s="643"/>
      <c r="EPX39" s="643"/>
      <c r="EPY39" s="643"/>
      <c r="EPZ39" s="643"/>
      <c r="EQA39" s="643"/>
      <c r="EQB39" s="643"/>
      <c r="EQC39" s="643"/>
      <c r="EQD39" s="643"/>
      <c r="EQE39" s="643"/>
      <c r="EQF39" s="643"/>
      <c r="EQG39" s="643"/>
      <c r="EQH39" s="643"/>
      <c r="EQI39" s="643"/>
      <c r="EQJ39" s="643"/>
      <c r="EQK39" s="643"/>
      <c r="EQL39" s="643"/>
      <c r="EQM39" s="643"/>
      <c r="EQN39" s="643"/>
      <c r="EQO39" s="643"/>
      <c r="EQP39" s="643"/>
      <c r="EQQ39" s="643"/>
      <c r="EQR39" s="643"/>
      <c r="EQS39" s="643"/>
      <c r="EQT39" s="643"/>
      <c r="EQU39" s="643"/>
      <c r="EQV39" s="643"/>
      <c r="EQW39" s="643"/>
      <c r="EQX39" s="643"/>
      <c r="EQY39" s="643"/>
      <c r="EQZ39" s="643"/>
      <c r="ERA39" s="643"/>
      <c r="ERB39" s="643"/>
      <c r="ERC39" s="643"/>
      <c r="ERD39" s="643"/>
      <c r="ERE39" s="643"/>
      <c r="ERF39" s="643"/>
      <c r="ERG39" s="643"/>
      <c r="ERH39" s="643"/>
      <c r="ERI39" s="643"/>
      <c r="ERJ39" s="643"/>
      <c r="ERK39" s="643"/>
      <c r="ERL39" s="643"/>
      <c r="ERM39" s="643"/>
      <c r="ERN39" s="643"/>
      <c r="ERO39" s="643"/>
      <c r="ERP39" s="643"/>
      <c r="ERQ39" s="643"/>
      <c r="ERR39" s="643"/>
      <c r="ERS39" s="643"/>
      <c r="ERT39" s="643"/>
      <c r="ERU39" s="643"/>
      <c r="ERV39" s="643"/>
      <c r="ERW39" s="643"/>
      <c r="ERX39" s="643"/>
      <c r="ERY39" s="643"/>
      <c r="ERZ39" s="643"/>
      <c r="ESA39" s="643"/>
      <c r="ESB39" s="643"/>
      <c r="ESC39" s="643"/>
      <c r="ESD39" s="643"/>
      <c r="ESE39" s="643"/>
      <c r="ESF39" s="643"/>
      <c r="ESG39" s="643"/>
      <c r="ESH39" s="643"/>
      <c r="ESI39" s="643"/>
      <c r="ESJ39" s="643"/>
      <c r="ESK39" s="643"/>
      <c r="ESL39" s="643"/>
      <c r="ESM39" s="643"/>
      <c r="ESN39" s="643"/>
      <c r="ESO39" s="643"/>
      <c r="ESP39" s="643"/>
      <c r="ESQ39" s="643"/>
      <c r="ESR39" s="643"/>
      <c r="ESS39" s="643"/>
      <c r="EST39" s="643"/>
      <c r="ESU39" s="643"/>
      <c r="ESV39" s="643"/>
      <c r="ESW39" s="643"/>
      <c r="ESX39" s="643"/>
      <c r="ESY39" s="643"/>
      <c r="ESZ39" s="643"/>
      <c r="ETA39" s="643"/>
      <c r="ETB39" s="643"/>
      <c r="ETC39" s="643"/>
      <c r="ETD39" s="643"/>
      <c r="ETE39" s="643"/>
      <c r="ETF39" s="643"/>
      <c r="ETG39" s="643"/>
      <c r="ETH39" s="643"/>
      <c r="ETI39" s="643"/>
      <c r="ETJ39" s="643"/>
      <c r="ETK39" s="643"/>
      <c r="ETL39" s="643"/>
      <c r="ETM39" s="643"/>
      <c r="ETN39" s="643"/>
      <c r="ETO39" s="643"/>
      <c r="ETP39" s="643"/>
      <c r="ETQ39" s="643"/>
      <c r="ETR39" s="643"/>
      <c r="ETS39" s="643"/>
      <c r="ETT39" s="643"/>
      <c r="ETU39" s="643"/>
      <c r="ETV39" s="643"/>
      <c r="ETW39" s="643"/>
      <c r="ETX39" s="643"/>
      <c r="ETY39" s="643"/>
      <c r="ETZ39" s="643"/>
      <c r="EUA39" s="643"/>
      <c r="EUB39" s="643"/>
      <c r="EUC39" s="643"/>
      <c r="EUD39" s="643"/>
      <c r="EUE39" s="643"/>
      <c r="EUF39" s="643"/>
      <c r="EUG39" s="643"/>
      <c r="EUH39" s="643"/>
      <c r="EUI39" s="643"/>
      <c r="EUJ39" s="643"/>
      <c r="EUK39" s="643"/>
      <c r="EUL39" s="643"/>
      <c r="EUM39" s="643"/>
      <c r="EUN39" s="643"/>
      <c r="EUO39" s="643"/>
      <c r="EUP39" s="643"/>
      <c r="EUQ39" s="643"/>
      <c r="EUR39" s="643"/>
      <c r="EUS39" s="643"/>
      <c r="EUT39" s="643"/>
      <c r="EUU39" s="643"/>
      <c r="EUV39" s="643"/>
      <c r="EUW39" s="643"/>
      <c r="EUX39" s="643"/>
      <c r="EUY39" s="643"/>
      <c r="EUZ39" s="643"/>
      <c r="EVA39" s="643"/>
      <c r="EVB39" s="643"/>
      <c r="EVC39" s="643"/>
      <c r="EVD39" s="643"/>
      <c r="EVE39" s="643"/>
      <c r="EVF39" s="643"/>
      <c r="EVG39" s="643"/>
      <c r="EVH39" s="643"/>
      <c r="EVI39" s="643"/>
      <c r="EVJ39" s="643"/>
      <c r="EVK39" s="643"/>
      <c r="EVL39" s="643"/>
      <c r="EVM39" s="643"/>
      <c r="EVN39" s="643"/>
      <c r="EVO39" s="643"/>
      <c r="EVP39" s="643"/>
      <c r="EVQ39" s="643"/>
      <c r="EVR39" s="643"/>
      <c r="EVS39" s="643"/>
      <c r="EVT39" s="643"/>
      <c r="EVU39" s="643"/>
      <c r="EVV39" s="643"/>
      <c r="EVW39" s="643"/>
      <c r="EVX39" s="643"/>
      <c r="EVY39" s="643"/>
      <c r="EVZ39" s="643"/>
      <c r="EWA39" s="643"/>
      <c r="EWB39" s="643"/>
      <c r="EWC39" s="643"/>
      <c r="EWD39" s="643"/>
      <c r="EWE39" s="643"/>
      <c r="EWF39" s="643"/>
      <c r="EWG39" s="643"/>
      <c r="EWH39" s="643"/>
      <c r="EWI39" s="643"/>
      <c r="EWJ39" s="643"/>
      <c r="EWK39" s="643"/>
      <c r="EWL39" s="643"/>
      <c r="EWM39" s="643"/>
      <c r="EWN39" s="643"/>
      <c r="EWO39" s="643"/>
      <c r="EWP39" s="643"/>
      <c r="EWQ39" s="643"/>
      <c r="EWR39" s="643"/>
      <c r="EWS39" s="643"/>
      <c r="EWT39" s="643"/>
      <c r="EWU39" s="643"/>
      <c r="EWV39" s="643"/>
      <c r="EWW39" s="643"/>
      <c r="EWX39" s="643"/>
      <c r="EWY39" s="643"/>
      <c r="EWZ39" s="643"/>
      <c r="EXA39" s="643"/>
      <c r="EXB39" s="643"/>
      <c r="EXC39" s="643"/>
      <c r="EXD39" s="643"/>
      <c r="EXE39" s="643"/>
      <c r="EXF39" s="643"/>
      <c r="EXG39" s="643"/>
      <c r="EXH39" s="643"/>
      <c r="EXI39" s="643"/>
      <c r="EXJ39" s="643"/>
      <c r="EXK39" s="643"/>
      <c r="EXL39" s="643"/>
      <c r="EXM39" s="643"/>
      <c r="EXN39" s="643"/>
      <c r="EXO39" s="643"/>
      <c r="EXP39" s="643"/>
      <c r="EXQ39" s="643"/>
      <c r="EXR39" s="643"/>
      <c r="EXS39" s="643"/>
      <c r="EXT39" s="643"/>
      <c r="EXU39" s="643"/>
      <c r="EXV39" s="643"/>
      <c r="EXW39" s="643"/>
      <c r="EXX39" s="643"/>
      <c r="EXY39" s="643"/>
      <c r="EXZ39" s="643"/>
      <c r="EYA39" s="643"/>
      <c r="EYB39" s="643"/>
      <c r="EYC39" s="643"/>
      <c r="EYD39" s="643"/>
      <c r="EYE39" s="643"/>
      <c r="EYF39" s="643"/>
      <c r="EYG39" s="643"/>
      <c r="EYH39" s="643"/>
      <c r="EYI39" s="643"/>
      <c r="EYJ39" s="643"/>
      <c r="EYK39" s="643"/>
      <c r="EYL39" s="643"/>
      <c r="EYM39" s="643"/>
      <c r="EYN39" s="643"/>
      <c r="EYO39" s="643"/>
      <c r="EYP39" s="643"/>
      <c r="EYQ39" s="643"/>
      <c r="EYR39" s="643"/>
      <c r="EYS39" s="643"/>
      <c r="EYT39" s="643"/>
      <c r="EYU39" s="643"/>
      <c r="EYV39" s="643"/>
      <c r="EYW39" s="643"/>
      <c r="EYX39" s="643"/>
      <c r="EYY39" s="643"/>
      <c r="EYZ39" s="643"/>
      <c r="EZA39" s="643"/>
      <c r="EZB39" s="643"/>
      <c r="EZC39" s="643"/>
      <c r="EZD39" s="643"/>
      <c r="EZE39" s="643"/>
      <c r="EZF39" s="643"/>
      <c r="EZG39" s="643"/>
      <c r="EZH39" s="643"/>
      <c r="EZI39" s="643"/>
      <c r="EZJ39" s="643"/>
      <c r="EZK39" s="643"/>
      <c r="EZL39" s="643"/>
      <c r="EZM39" s="643"/>
      <c r="EZN39" s="643"/>
      <c r="EZO39" s="643"/>
      <c r="EZP39" s="643"/>
      <c r="EZQ39" s="643"/>
      <c r="EZR39" s="643"/>
      <c r="EZS39" s="643"/>
      <c r="EZT39" s="643"/>
      <c r="EZU39" s="643"/>
      <c r="EZV39" s="643"/>
      <c r="EZW39" s="643"/>
      <c r="EZX39" s="643"/>
      <c r="EZY39" s="643"/>
      <c r="EZZ39" s="643"/>
      <c r="FAA39" s="643"/>
      <c r="FAB39" s="643"/>
      <c r="FAC39" s="643"/>
      <c r="FAD39" s="643"/>
      <c r="FAE39" s="643"/>
      <c r="FAF39" s="643"/>
      <c r="FAG39" s="643"/>
      <c r="FAH39" s="643"/>
      <c r="FAI39" s="643"/>
      <c r="FAJ39" s="643"/>
      <c r="FAK39" s="643"/>
      <c r="FAL39" s="643"/>
      <c r="FAM39" s="643"/>
      <c r="FAN39" s="643"/>
      <c r="FAO39" s="643"/>
      <c r="FAP39" s="643"/>
      <c r="FAQ39" s="643"/>
      <c r="FAR39" s="643"/>
      <c r="FAS39" s="643"/>
      <c r="FAT39" s="643"/>
      <c r="FAU39" s="643"/>
      <c r="FAV39" s="643"/>
      <c r="FAW39" s="643"/>
      <c r="FAX39" s="643"/>
      <c r="FAY39" s="643"/>
      <c r="FAZ39" s="643"/>
      <c r="FBA39" s="643"/>
      <c r="FBB39" s="643"/>
      <c r="FBC39" s="643"/>
      <c r="FBD39" s="643"/>
      <c r="FBE39" s="643"/>
      <c r="FBF39" s="643"/>
      <c r="FBG39" s="643"/>
      <c r="FBH39" s="643"/>
      <c r="FBI39" s="643"/>
      <c r="FBJ39" s="643"/>
      <c r="FBK39" s="643"/>
      <c r="FBL39" s="643"/>
      <c r="FBM39" s="643"/>
      <c r="FBN39" s="643"/>
      <c r="FBO39" s="643"/>
      <c r="FBP39" s="643"/>
      <c r="FBQ39" s="643"/>
      <c r="FBR39" s="643"/>
      <c r="FBS39" s="643"/>
      <c r="FBT39" s="643"/>
      <c r="FBU39" s="643"/>
      <c r="FBV39" s="643"/>
      <c r="FBW39" s="643"/>
      <c r="FBX39" s="643"/>
      <c r="FBY39" s="643"/>
      <c r="FBZ39" s="643"/>
      <c r="FCA39" s="643"/>
      <c r="FCB39" s="643"/>
      <c r="FCC39" s="643"/>
      <c r="FCD39" s="643"/>
      <c r="FCE39" s="643"/>
      <c r="FCF39" s="643"/>
      <c r="FCG39" s="643"/>
      <c r="FCH39" s="643"/>
      <c r="FCI39" s="643"/>
      <c r="FCJ39" s="643"/>
      <c r="FCK39" s="643"/>
      <c r="FCL39" s="643"/>
      <c r="FCM39" s="643"/>
      <c r="FCN39" s="643"/>
      <c r="FCO39" s="643"/>
      <c r="FCP39" s="643"/>
      <c r="FCQ39" s="643"/>
      <c r="FCR39" s="643"/>
      <c r="FCS39" s="643"/>
      <c r="FCT39" s="643"/>
      <c r="FCU39" s="643"/>
      <c r="FCV39" s="643"/>
      <c r="FCW39" s="643"/>
      <c r="FCX39" s="643"/>
      <c r="FCY39" s="643"/>
      <c r="FCZ39" s="643"/>
      <c r="FDA39" s="643"/>
      <c r="FDB39" s="643"/>
      <c r="FDC39" s="643"/>
      <c r="FDD39" s="643"/>
      <c r="FDE39" s="643"/>
      <c r="FDF39" s="643"/>
      <c r="FDG39" s="643"/>
      <c r="FDH39" s="643"/>
      <c r="FDI39" s="643"/>
      <c r="FDJ39" s="643"/>
      <c r="FDK39" s="643"/>
      <c r="FDL39" s="643"/>
      <c r="FDM39" s="643"/>
      <c r="FDN39" s="643"/>
      <c r="FDO39" s="643"/>
      <c r="FDP39" s="643"/>
      <c r="FDQ39" s="643"/>
      <c r="FDR39" s="643"/>
      <c r="FDS39" s="643"/>
      <c r="FDT39" s="643"/>
      <c r="FDU39" s="643"/>
      <c r="FDV39" s="643"/>
      <c r="FDW39" s="643"/>
      <c r="FDX39" s="643"/>
      <c r="FDY39" s="643"/>
      <c r="FDZ39" s="643"/>
      <c r="FEA39" s="643"/>
      <c r="FEB39" s="643"/>
      <c r="FEC39" s="643"/>
      <c r="FED39" s="643"/>
      <c r="FEE39" s="643"/>
      <c r="FEF39" s="643"/>
      <c r="FEG39" s="643"/>
      <c r="FEH39" s="643"/>
      <c r="FEI39" s="643"/>
      <c r="FEJ39" s="643"/>
      <c r="FEK39" s="643"/>
      <c r="FEL39" s="643"/>
      <c r="FEM39" s="643"/>
      <c r="FEN39" s="643"/>
      <c r="FEO39" s="643"/>
      <c r="FEP39" s="643"/>
      <c r="FEQ39" s="643"/>
      <c r="FER39" s="643"/>
      <c r="FES39" s="643"/>
      <c r="FET39" s="643"/>
      <c r="FEU39" s="643"/>
      <c r="FEV39" s="643"/>
      <c r="FEW39" s="643"/>
      <c r="FEX39" s="643"/>
      <c r="FEY39" s="643"/>
      <c r="FEZ39" s="643"/>
      <c r="FFA39" s="643"/>
      <c r="FFB39" s="643"/>
      <c r="FFC39" s="643"/>
      <c r="FFD39" s="643"/>
      <c r="FFE39" s="643"/>
      <c r="FFF39" s="643"/>
      <c r="FFG39" s="643"/>
      <c r="FFH39" s="643"/>
      <c r="FFI39" s="643"/>
      <c r="FFJ39" s="643"/>
      <c r="FFK39" s="643"/>
      <c r="FFL39" s="643"/>
      <c r="FFM39" s="643"/>
      <c r="FFN39" s="643"/>
      <c r="FFO39" s="643"/>
      <c r="FFP39" s="643"/>
      <c r="FFQ39" s="643"/>
      <c r="FFR39" s="643"/>
      <c r="FFS39" s="643"/>
      <c r="FFT39" s="643"/>
      <c r="FFU39" s="643"/>
      <c r="FFV39" s="643"/>
      <c r="FFW39" s="643"/>
      <c r="FFX39" s="643"/>
      <c r="FFY39" s="643"/>
      <c r="FFZ39" s="643"/>
      <c r="FGA39" s="643"/>
      <c r="FGB39" s="643"/>
      <c r="FGC39" s="643"/>
      <c r="FGD39" s="643"/>
      <c r="FGE39" s="643"/>
      <c r="FGF39" s="643"/>
      <c r="FGG39" s="643"/>
      <c r="FGH39" s="643"/>
      <c r="FGI39" s="643"/>
      <c r="FGJ39" s="643"/>
      <c r="FGK39" s="643"/>
      <c r="FGL39" s="643"/>
      <c r="FGM39" s="643"/>
      <c r="FGN39" s="643"/>
      <c r="FGO39" s="643"/>
      <c r="FGP39" s="643"/>
      <c r="FGQ39" s="643"/>
      <c r="FGR39" s="643"/>
      <c r="FGS39" s="643"/>
      <c r="FGT39" s="643"/>
      <c r="FGU39" s="643"/>
      <c r="FGV39" s="643"/>
      <c r="FGW39" s="643"/>
      <c r="FGX39" s="643"/>
      <c r="FGY39" s="643"/>
      <c r="FGZ39" s="643"/>
      <c r="FHA39" s="643"/>
      <c r="FHB39" s="643"/>
      <c r="FHC39" s="643"/>
      <c r="FHD39" s="643"/>
      <c r="FHE39" s="643"/>
      <c r="FHF39" s="643"/>
      <c r="FHG39" s="643"/>
      <c r="FHH39" s="643"/>
      <c r="FHI39" s="643"/>
      <c r="FHJ39" s="643"/>
      <c r="FHK39" s="643"/>
      <c r="FHL39" s="643"/>
      <c r="FHM39" s="643"/>
      <c r="FHN39" s="643"/>
      <c r="FHO39" s="643"/>
      <c r="FHP39" s="643"/>
      <c r="FHQ39" s="643"/>
      <c r="FHR39" s="643"/>
      <c r="FHS39" s="643"/>
      <c r="FHT39" s="643"/>
      <c r="FHU39" s="643"/>
      <c r="FHV39" s="643"/>
      <c r="FHW39" s="643"/>
      <c r="FHX39" s="643"/>
      <c r="FHY39" s="643"/>
      <c r="FHZ39" s="643"/>
      <c r="FIA39" s="643"/>
      <c r="FIB39" s="643"/>
      <c r="FIC39" s="643"/>
      <c r="FID39" s="643"/>
      <c r="FIE39" s="643"/>
      <c r="FIF39" s="643"/>
      <c r="FIG39" s="643"/>
      <c r="FIH39" s="643"/>
      <c r="FII39" s="643"/>
      <c r="FIJ39" s="643"/>
      <c r="FIK39" s="643"/>
      <c r="FIL39" s="643"/>
      <c r="FIM39" s="643"/>
      <c r="FIN39" s="643"/>
      <c r="FIO39" s="643"/>
      <c r="FIP39" s="643"/>
      <c r="FIQ39" s="643"/>
      <c r="FIR39" s="643"/>
      <c r="FIS39" s="643"/>
      <c r="FIT39" s="643"/>
      <c r="FIU39" s="643"/>
      <c r="FIV39" s="643"/>
      <c r="FIW39" s="643"/>
      <c r="FIX39" s="643"/>
      <c r="FIY39" s="643"/>
      <c r="FIZ39" s="643"/>
      <c r="FJA39" s="643"/>
      <c r="FJB39" s="643"/>
      <c r="FJC39" s="643"/>
      <c r="FJD39" s="643"/>
      <c r="FJE39" s="643"/>
      <c r="FJF39" s="643"/>
      <c r="FJG39" s="643"/>
      <c r="FJH39" s="643"/>
      <c r="FJI39" s="643"/>
      <c r="FJJ39" s="643"/>
      <c r="FJK39" s="643"/>
      <c r="FJL39" s="643"/>
      <c r="FJM39" s="643"/>
      <c r="FJN39" s="643"/>
      <c r="FJO39" s="643"/>
      <c r="FJP39" s="643"/>
      <c r="FJQ39" s="643"/>
      <c r="FJR39" s="643"/>
      <c r="FJS39" s="643"/>
      <c r="FJT39" s="643"/>
      <c r="FJU39" s="643"/>
      <c r="FJV39" s="643"/>
      <c r="FJW39" s="643"/>
      <c r="FJX39" s="643"/>
      <c r="FJY39" s="643"/>
      <c r="FJZ39" s="643"/>
      <c r="FKA39" s="643"/>
      <c r="FKB39" s="643"/>
      <c r="FKC39" s="643"/>
      <c r="FKD39" s="643"/>
      <c r="FKE39" s="643"/>
      <c r="FKF39" s="643"/>
      <c r="FKG39" s="643"/>
      <c r="FKH39" s="643"/>
      <c r="FKI39" s="643"/>
      <c r="FKJ39" s="643"/>
      <c r="FKK39" s="643"/>
      <c r="FKL39" s="643"/>
      <c r="FKM39" s="643"/>
      <c r="FKN39" s="643"/>
      <c r="FKO39" s="643"/>
      <c r="FKP39" s="643"/>
      <c r="FKQ39" s="643"/>
      <c r="FKR39" s="643"/>
      <c r="FKS39" s="643"/>
      <c r="FKT39" s="643"/>
      <c r="FKU39" s="643"/>
      <c r="FKV39" s="643"/>
      <c r="FKW39" s="643"/>
      <c r="FKX39" s="643"/>
      <c r="FKY39" s="643"/>
      <c r="FKZ39" s="643"/>
      <c r="FLA39" s="643"/>
      <c r="FLB39" s="643"/>
      <c r="FLC39" s="643"/>
      <c r="FLD39" s="643"/>
      <c r="FLE39" s="643"/>
      <c r="FLF39" s="643"/>
      <c r="FLG39" s="643"/>
      <c r="FLH39" s="643"/>
      <c r="FLI39" s="643"/>
      <c r="FLJ39" s="643"/>
      <c r="FLK39" s="643"/>
      <c r="FLL39" s="643"/>
      <c r="FLM39" s="643"/>
      <c r="FLN39" s="643"/>
      <c r="FLO39" s="643"/>
      <c r="FLP39" s="643"/>
      <c r="FLQ39" s="643"/>
      <c r="FLR39" s="643"/>
      <c r="FLS39" s="643"/>
      <c r="FLT39" s="643"/>
      <c r="FLU39" s="643"/>
      <c r="FLV39" s="643"/>
      <c r="FLW39" s="643"/>
      <c r="FLX39" s="643"/>
      <c r="FLY39" s="643"/>
      <c r="FLZ39" s="643"/>
      <c r="FMA39" s="643"/>
      <c r="FMB39" s="643"/>
      <c r="FMC39" s="643"/>
      <c r="FMD39" s="643"/>
      <c r="FME39" s="643"/>
      <c r="FMF39" s="643"/>
      <c r="FMG39" s="643"/>
      <c r="FMH39" s="643"/>
      <c r="FMI39" s="643"/>
      <c r="FMJ39" s="643"/>
      <c r="FMK39" s="643"/>
      <c r="FML39" s="643"/>
      <c r="FMM39" s="643"/>
      <c r="FMN39" s="643"/>
      <c r="FMO39" s="643"/>
      <c r="FMP39" s="643"/>
      <c r="FMQ39" s="643"/>
      <c r="FMR39" s="643"/>
      <c r="FMS39" s="643"/>
      <c r="FMT39" s="643"/>
      <c r="FMU39" s="643"/>
      <c r="FMV39" s="643"/>
      <c r="FMW39" s="643"/>
      <c r="FMX39" s="643"/>
      <c r="FMY39" s="643"/>
      <c r="FMZ39" s="643"/>
      <c r="FNA39" s="643"/>
      <c r="FNB39" s="643"/>
      <c r="FNC39" s="643"/>
      <c r="FND39" s="643"/>
      <c r="FNE39" s="643"/>
      <c r="FNF39" s="643"/>
      <c r="FNG39" s="643"/>
      <c r="FNH39" s="643"/>
      <c r="FNI39" s="643"/>
      <c r="FNJ39" s="643"/>
      <c r="FNK39" s="643"/>
      <c r="FNL39" s="643"/>
      <c r="FNM39" s="643"/>
      <c r="FNN39" s="643"/>
      <c r="FNO39" s="643"/>
      <c r="FNP39" s="643"/>
      <c r="FNQ39" s="643"/>
      <c r="FNR39" s="643"/>
      <c r="FNS39" s="643"/>
      <c r="FNT39" s="643"/>
      <c r="FNU39" s="643"/>
      <c r="FNV39" s="643"/>
      <c r="FNW39" s="643"/>
      <c r="FNX39" s="643"/>
      <c r="FNY39" s="643"/>
      <c r="FNZ39" s="643"/>
      <c r="FOA39" s="643"/>
      <c r="FOB39" s="643"/>
      <c r="FOC39" s="643"/>
      <c r="FOD39" s="643"/>
      <c r="FOE39" s="643"/>
      <c r="FOF39" s="643"/>
      <c r="FOG39" s="643"/>
      <c r="FOH39" s="643"/>
      <c r="FOI39" s="643"/>
      <c r="FOJ39" s="643"/>
      <c r="FOK39" s="643"/>
      <c r="FOL39" s="643"/>
      <c r="FOM39" s="643"/>
      <c r="FON39" s="643"/>
      <c r="FOO39" s="643"/>
      <c r="FOP39" s="643"/>
      <c r="FOQ39" s="643"/>
      <c r="FOR39" s="643"/>
      <c r="FOS39" s="643"/>
      <c r="FOT39" s="643"/>
      <c r="FOU39" s="643"/>
      <c r="FOV39" s="643"/>
      <c r="FOW39" s="643"/>
      <c r="FOX39" s="643"/>
      <c r="FOY39" s="643"/>
      <c r="FOZ39" s="643"/>
      <c r="FPA39" s="643"/>
      <c r="FPB39" s="643"/>
      <c r="FPC39" s="643"/>
      <c r="FPD39" s="643"/>
      <c r="FPE39" s="643"/>
      <c r="FPF39" s="643"/>
      <c r="FPG39" s="643"/>
      <c r="FPH39" s="643"/>
      <c r="FPI39" s="643"/>
      <c r="FPJ39" s="643"/>
      <c r="FPK39" s="643"/>
      <c r="FPL39" s="643"/>
      <c r="FPM39" s="643"/>
      <c r="FPN39" s="643"/>
      <c r="FPO39" s="643"/>
      <c r="FPP39" s="643"/>
      <c r="FPQ39" s="643"/>
      <c r="FPR39" s="643"/>
      <c r="FPS39" s="643"/>
      <c r="FPT39" s="643"/>
      <c r="FPU39" s="643"/>
      <c r="FPV39" s="643"/>
      <c r="FPW39" s="643"/>
      <c r="FPX39" s="643"/>
      <c r="FPY39" s="643"/>
      <c r="FPZ39" s="643"/>
      <c r="FQA39" s="643"/>
      <c r="FQB39" s="643"/>
      <c r="FQC39" s="643"/>
      <c r="FQD39" s="643"/>
      <c r="FQE39" s="643"/>
      <c r="FQF39" s="643"/>
      <c r="FQG39" s="643"/>
      <c r="FQH39" s="643"/>
      <c r="FQI39" s="643"/>
      <c r="FQJ39" s="643"/>
      <c r="FQK39" s="643"/>
      <c r="FQL39" s="643"/>
      <c r="FQM39" s="643"/>
      <c r="FQN39" s="643"/>
      <c r="FQO39" s="643"/>
      <c r="FQP39" s="643"/>
      <c r="FQQ39" s="643"/>
      <c r="FQR39" s="643"/>
      <c r="FQS39" s="643"/>
      <c r="FQT39" s="643"/>
      <c r="FQU39" s="643"/>
      <c r="FQV39" s="643"/>
      <c r="FQW39" s="643"/>
      <c r="FQX39" s="643"/>
      <c r="FQY39" s="643"/>
      <c r="FQZ39" s="643"/>
      <c r="FRA39" s="643"/>
      <c r="FRB39" s="643"/>
      <c r="FRC39" s="643"/>
      <c r="FRD39" s="643"/>
      <c r="FRE39" s="643"/>
      <c r="FRF39" s="643"/>
      <c r="FRG39" s="643"/>
      <c r="FRH39" s="643"/>
      <c r="FRI39" s="643"/>
      <c r="FRJ39" s="643"/>
      <c r="FRK39" s="643"/>
      <c r="FRL39" s="643"/>
      <c r="FRM39" s="643"/>
      <c r="FRN39" s="643"/>
      <c r="FRO39" s="643"/>
      <c r="FRP39" s="643"/>
      <c r="FRQ39" s="643"/>
      <c r="FRR39" s="643"/>
      <c r="FRS39" s="643"/>
      <c r="FRT39" s="643"/>
      <c r="FRU39" s="643"/>
      <c r="FRV39" s="643"/>
      <c r="FRW39" s="643"/>
      <c r="FRX39" s="643"/>
      <c r="FRY39" s="643"/>
      <c r="FRZ39" s="643"/>
      <c r="FSA39" s="643"/>
      <c r="FSB39" s="643"/>
      <c r="FSC39" s="643"/>
      <c r="FSD39" s="643"/>
      <c r="FSE39" s="643"/>
      <c r="FSF39" s="643"/>
      <c r="FSG39" s="643"/>
      <c r="FSH39" s="643"/>
      <c r="FSI39" s="643"/>
      <c r="FSJ39" s="643"/>
      <c r="FSK39" s="643"/>
      <c r="FSL39" s="643"/>
      <c r="FSM39" s="643"/>
      <c r="FSN39" s="643"/>
      <c r="FSO39" s="643"/>
      <c r="FSP39" s="643"/>
      <c r="FSQ39" s="643"/>
      <c r="FSR39" s="643"/>
      <c r="FSS39" s="643"/>
      <c r="FST39" s="643"/>
      <c r="FSU39" s="643"/>
      <c r="FSV39" s="643"/>
      <c r="FSW39" s="643"/>
      <c r="FSX39" s="643"/>
      <c r="FSY39" s="643"/>
      <c r="FSZ39" s="643"/>
      <c r="FTA39" s="643"/>
      <c r="FTB39" s="643"/>
      <c r="FTC39" s="643"/>
      <c r="FTD39" s="643"/>
      <c r="FTE39" s="643"/>
      <c r="FTF39" s="643"/>
      <c r="FTG39" s="643"/>
      <c r="FTH39" s="643"/>
      <c r="FTI39" s="643"/>
      <c r="FTJ39" s="643"/>
      <c r="FTK39" s="643"/>
      <c r="FTL39" s="643"/>
      <c r="FTM39" s="643"/>
      <c r="FTN39" s="643"/>
      <c r="FTO39" s="643"/>
      <c r="FTP39" s="643"/>
      <c r="FTQ39" s="643"/>
      <c r="FTR39" s="643"/>
      <c r="FTS39" s="643"/>
      <c r="FTT39" s="643"/>
      <c r="FTU39" s="643"/>
      <c r="FTV39" s="643"/>
      <c r="FTW39" s="643"/>
      <c r="FTX39" s="643"/>
      <c r="FTY39" s="643"/>
      <c r="FTZ39" s="643"/>
      <c r="FUA39" s="643"/>
      <c r="FUB39" s="643"/>
      <c r="FUC39" s="643"/>
      <c r="FUD39" s="643"/>
      <c r="FUE39" s="643"/>
      <c r="FUF39" s="643"/>
      <c r="FUG39" s="643"/>
      <c r="FUH39" s="643"/>
      <c r="FUI39" s="643"/>
      <c r="FUJ39" s="643"/>
      <c r="FUK39" s="643"/>
      <c r="FUL39" s="643"/>
      <c r="FUM39" s="643"/>
      <c r="FUN39" s="643"/>
      <c r="FUO39" s="643"/>
      <c r="FUP39" s="643"/>
      <c r="FUQ39" s="643"/>
      <c r="FUR39" s="643"/>
      <c r="FUS39" s="643"/>
      <c r="FUT39" s="643"/>
      <c r="FUU39" s="643"/>
      <c r="FUV39" s="643"/>
      <c r="FUW39" s="643"/>
      <c r="FUX39" s="643"/>
      <c r="FUY39" s="643"/>
      <c r="FUZ39" s="643"/>
      <c r="FVA39" s="643"/>
      <c r="FVB39" s="643"/>
      <c r="FVC39" s="643"/>
      <c r="FVD39" s="643"/>
      <c r="FVE39" s="643"/>
      <c r="FVF39" s="643"/>
      <c r="FVG39" s="643"/>
      <c r="FVH39" s="643"/>
      <c r="FVI39" s="643"/>
      <c r="FVJ39" s="643"/>
      <c r="FVK39" s="643"/>
      <c r="FVL39" s="643"/>
      <c r="FVM39" s="643"/>
      <c r="FVN39" s="643"/>
      <c r="FVO39" s="643"/>
      <c r="FVP39" s="643"/>
      <c r="FVQ39" s="643"/>
      <c r="FVR39" s="643"/>
      <c r="FVS39" s="643"/>
      <c r="FVT39" s="643"/>
      <c r="FVU39" s="643"/>
      <c r="FVV39" s="643"/>
      <c r="FVW39" s="643"/>
      <c r="FVX39" s="643"/>
      <c r="FVY39" s="643"/>
      <c r="FVZ39" s="643"/>
      <c r="FWA39" s="643"/>
      <c r="FWB39" s="643"/>
      <c r="FWC39" s="643"/>
      <c r="FWD39" s="643"/>
      <c r="FWE39" s="643"/>
      <c r="FWF39" s="643"/>
      <c r="FWG39" s="643"/>
      <c r="FWH39" s="643"/>
      <c r="FWI39" s="643"/>
      <c r="FWJ39" s="643"/>
      <c r="FWK39" s="643"/>
      <c r="FWL39" s="643"/>
      <c r="FWM39" s="643"/>
      <c r="FWN39" s="643"/>
      <c r="FWO39" s="643"/>
      <c r="FWP39" s="643"/>
      <c r="FWQ39" s="643"/>
      <c r="FWR39" s="643"/>
      <c r="FWS39" s="643"/>
      <c r="FWT39" s="643"/>
      <c r="FWU39" s="643"/>
      <c r="FWV39" s="643"/>
      <c r="FWW39" s="643"/>
      <c r="FWX39" s="643"/>
      <c r="FWY39" s="643"/>
      <c r="FWZ39" s="643"/>
      <c r="FXA39" s="643"/>
      <c r="FXB39" s="643"/>
      <c r="FXC39" s="643"/>
      <c r="FXD39" s="643"/>
      <c r="FXE39" s="643"/>
      <c r="FXF39" s="643"/>
      <c r="FXG39" s="643"/>
      <c r="FXH39" s="643"/>
      <c r="FXI39" s="643"/>
      <c r="FXJ39" s="643"/>
      <c r="FXK39" s="643"/>
      <c r="FXL39" s="643"/>
      <c r="FXM39" s="643"/>
      <c r="FXN39" s="643"/>
      <c r="FXO39" s="643"/>
      <c r="FXP39" s="643"/>
      <c r="FXQ39" s="643"/>
      <c r="FXR39" s="643"/>
      <c r="FXS39" s="643"/>
      <c r="FXT39" s="643"/>
      <c r="FXU39" s="643"/>
      <c r="FXV39" s="643"/>
      <c r="FXW39" s="643"/>
      <c r="FXX39" s="643"/>
      <c r="FXY39" s="643"/>
      <c r="FXZ39" s="643"/>
      <c r="FYA39" s="643"/>
      <c r="FYB39" s="643"/>
      <c r="FYC39" s="643"/>
      <c r="FYD39" s="643"/>
      <c r="FYE39" s="643"/>
      <c r="FYF39" s="643"/>
      <c r="FYG39" s="643"/>
      <c r="FYH39" s="643"/>
      <c r="FYI39" s="643"/>
      <c r="FYJ39" s="643"/>
      <c r="FYK39" s="643"/>
      <c r="FYL39" s="643"/>
      <c r="FYM39" s="643"/>
      <c r="FYN39" s="643"/>
      <c r="FYO39" s="643"/>
      <c r="FYP39" s="643"/>
      <c r="FYQ39" s="643"/>
      <c r="FYR39" s="643"/>
      <c r="FYS39" s="643"/>
      <c r="FYT39" s="643"/>
      <c r="FYU39" s="643"/>
      <c r="FYV39" s="643"/>
      <c r="FYW39" s="643"/>
      <c r="FYX39" s="643"/>
      <c r="FYY39" s="643"/>
      <c r="FYZ39" s="643"/>
      <c r="FZA39" s="643"/>
      <c r="FZB39" s="643"/>
      <c r="FZC39" s="643"/>
      <c r="FZD39" s="643"/>
      <c r="FZE39" s="643"/>
      <c r="FZF39" s="643"/>
      <c r="FZG39" s="643"/>
      <c r="FZH39" s="643"/>
      <c r="FZI39" s="643"/>
      <c r="FZJ39" s="643"/>
      <c r="FZK39" s="643"/>
      <c r="FZL39" s="643"/>
      <c r="FZM39" s="643"/>
      <c r="FZN39" s="643"/>
      <c r="FZO39" s="643"/>
      <c r="FZP39" s="643"/>
      <c r="FZQ39" s="643"/>
      <c r="FZR39" s="643"/>
      <c r="FZS39" s="643"/>
      <c r="FZT39" s="643"/>
      <c r="FZU39" s="643"/>
      <c r="FZV39" s="643"/>
      <c r="FZW39" s="643"/>
      <c r="FZX39" s="643"/>
      <c r="FZY39" s="643"/>
      <c r="FZZ39" s="643"/>
      <c r="GAA39" s="643"/>
      <c r="GAB39" s="643"/>
      <c r="GAC39" s="643"/>
      <c r="GAD39" s="643"/>
      <c r="GAE39" s="643"/>
      <c r="GAF39" s="643"/>
      <c r="GAG39" s="643"/>
      <c r="GAH39" s="643"/>
      <c r="GAI39" s="643"/>
      <c r="GAJ39" s="643"/>
      <c r="GAK39" s="643"/>
      <c r="GAL39" s="643"/>
      <c r="GAM39" s="643"/>
      <c r="GAN39" s="643"/>
      <c r="GAO39" s="643"/>
      <c r="GAP39" s="643"/>
      <c r="GAQ39" s="643"/>
      <c r="GAR39" s="643"/>
      <c r="GAS39" s="643"/>
      <c r="GAT39" s="643"/>
      <c r="GAU39" s="643"/>
      <c r="GAV39" s="643"/>
      <c r="GAW39" s="643"/>
      <c r="GAX39" s="643"/>
      <c r="GAY39" s="643"/>
      <c r="GAZ39" s="643"/>
      <c r="GBA39" s="643"/>
      <c r="GBB39" s="643"/>
      <c r="GBC39" s="643"/>
      <c r="GBD39" s="643"/>
      <c r="GBE39" s="643"/>
      <c r="GBF39" s="643"/>
      <c r="GBG39" s="643"/>
      <c r="GBH39" s="643"/>
      <c r="GBI39" s="643"/>
      <c r="GBJ39" s="643"/>
      <c r="GBK39" s="643"/>
      <c r="GBL39" s="643"/>
      <c r="GBM39" s="643"/>
      <c r="GBN39" s="643"/>
      <c r="GBO39" s="643"/>
      <c r="GBP39" s="643"/>
      <c r="GBQ39" s="643"/>
      <c r="GBR39" s="643"/>
      <c r="GBS39" s="643"/>
      <c r="GBT39" s="643"/>
      <c r="GBU39" s="643"/>
      <c r="GBV39" s="643"/>
      <c r="GBW39" s="643"/>
      <c r="GBX39" s="643"/>
      <c r="GBY39" s="643"/>
      <c r="GBZ39" s="643"/>
      <c r="GCA39" s="643"/>
      <c r="GCB39" s="643"/>
      <c r="GCC39" s="643"/>
      <c r="GCD39" s="643"/>
      <c r="GCE39" s="643"/>
      <c r="GCF39" s="643"/>
      <c r="GCG39" s="643"/>
      <c r="GCH39" s="643"/>
      <c r="GCI39" s="643"/>
      <c r="GCJ39" s="643"/>
      <c r="GCK39" s="643"/>
      <c r="GCL39" s="643"/>
      <c r="GCM39" s="643"/>
      <c r="GCN39" s="643"/>
      <c r="GCO39" s="643"/>
      <c r="GCP39" s="643"/>
      <c r="GCQ39" s="643"/>
      <c r="GCR39" s="643"/>
      <c r="GCS39" s="643"/>
      <c r="GCT39" s="643"/>
      <c r="GCU39" s="643"/>
      <c r="GCV39" s="643"/>
      <c r="GCW39" s="643"/>
      <c r="GCX39" s="643"/>
      <c r="GCY39" s="643"/>
      <c r="GCZ39" s="643"/>
      <c r="GDA39" s="643"/>
      <c r="GDB39" s="643"/>
      <c r="GDC39" s="643"/>
      <c r="GDD39" s="643"/>
      <c r="GDE39" s="643"/>
      <c r="GDF39" s="643"/>
      <c r="GDG39" s="643"/>
      <c r="GDH39" s="643"/>
      <c r="GDI39" s="643"/>
      <c r="GDJ39" s="643"/>
      <c r="GDK39" s="643"/>
      <c r="GDL39" s="643"/>
      <c r="GDM39" s="643"/>
      <c r="GDN39" s="643"/>
      <c r="GDO39" s="643"/>
      <c r="GDP39" s="643"/>
      <c r="GDQ39" s="643"/>
      <c r="GDR39" s="643"/>
      <c r="GDS39" s="643"/>
      <c r="GDT39" s="643"/>
      <c r="GDU39" s="643"/>
      <c r="GDV39" s="643"/>
      <c r="GDW39" s="643"/>
      <c r="GDX39" s="643"/>
      <c r="GDY39" s="643"/>
      <c r="GDZ39" s="643"/>
      <c r="GEA39" s="643"/>
      <c r="GEB39" s="643"/>
      <c r="GEC39" s="643"/>
      <c r="GED39" s="643"/>
      <c r="GEE39" s="643"/>
      <c r="GEF39" s="643"/>
      <c r="GEG39" s="643"/>
      <c r="GEH39" s="643"/>
      <c r="GEI39" s="643"/>
      <c r="GEJ39" s="643"/>
      <c r="GEK39" s="643"/>
      <c r="GEL39" s="643"/>
      <c r="GEM39" s="643"/>
      <c r="GEN39" s="643"/>
      <c r="GEO39" s="643"/>
      <c r="GEP39" s="643"/>
      <c r="GEQ39" s="643"/>
      <c r="GER39" s="643"/>
      <c r="GES39" s="643"/>
      <c r="GET39" s="643"/>
      <c r="GEU39" s="643"/>
      <c r="GEV39" s="643"/>
      <c r="GEW39" s="643"/>
      <c r="GEX39" s="643"/>
      <c r="GEY39" s="643"/>
      <c r="GEZ39" s="643"/>
      <c r="GFA39" s="643"/>
      <c r="GFB39" s="643"/>
      <c r="GFC39" s="643"/>
      <c r="GFD39" s="643"/>
      <c r="GFE39" s="643"/>
      <c r="GFF39" s="643"/>
      <c r="GFG39" s="643"/>
      <c r="GFH39" s="643"/>
      <c r="GFI39" s="643"/>
      <c r="GFJ39" s="643"/>
      <c r="GFK39" s="643"/>
      <c r="GFL39" s="643"/>
      <c r="GFM39" s="643"/>
      <c r="GFN39" s="643"/>
      <c r="GFO39" s="643"/>
      <c r="GFP39" s="643"/>
      <c r="GFQ39" s="643"/>
      <c r="GFR39" s="643"/>
      <c r="GFS39" s="643"/>
      <c r="GFT39" s="643"/>
      <c r="GFU39" s="643"/>
      <c r="GFV39" s="643"/>
      <c r="GFW39" s="643"/>
      <c r="GFX39" s="643"/>
      <c r="GFY39" s="643"/>
      <c r="GFZ39" s="643"/>
      <c r="GGA39" s="643"/>
      <c r="GGB39" s="643"/>
      <c r="GGC39" s="643"/>
      <c r="GGD39" s="643"/>
      <c r="GGE39" s="643"/>
      <c r="GGF39" s="643"/>
      <c r="GGG39" s="643"/>
      <c r="GGH39" s="643"/>
      <c r="GGI39" s="643"/>
      <c r="GGJ39" s="643"/>
      <c r="GGK39" s="643"/>
      <c r="GGL39" s="643"/>
      <c r="GGM39" s="643"/>
      <c r="GGN39" s="643"/>
      <c r="GGO39" s="643"/>
      <c r="GGP39" s="643"/>
      <c r="GGQ39" s="643"/>
      <c r="GGR39" s="643"/>
      <c r="GGS39" s="643"/>
      <c r="GGT39" s="643"/>
      <c r="GGU39" s="643"/>
      <c r="GGV39" s="643"/>
      <c r="GGW39" s="643"/>
      <c r="GGX39" s="643"/>
      <c r="GGY39" s="643"/>
      <c r="GGZ39" s="643"/>
      <c r="GHA39" s="643"/>
      <c r="GHB39" s="643"/>
      <c r="GHC39" s="643"/>
      <c r="GHD39" s="643"/>
      <c r="GHE39" s="643"/>
      <c r="GHF39" s="643"/>
      <c r="GHG39" s="643"/>
      <c r="GHH39" s="643"/>
      <c r="GHI39" s="643"/>
      <c r="GHJ39" s="643"/>
      <c r="GHK39" s="643"/>
      <c r="GHL39" s="643"/>
      <c r="GHM39" s="643"/>
      <c r="GHN39" s="643"/>
      <c r="GHO39" s="643"/>
      <c r="GHP39" s="643"/>
      <c r="GHQ39" s="643"/>
      <c r="GHR39" s="643"/>
      <c r="GHS39" s="643"/>
      <c r="GHT39" s="643"/>
      <c r="GHU39" s="643"/>
      <c r="GHV39" s="643"/>
      <c r="GHW39" s="643"/>
      <c r="GHX39" s="643"/>
      <c r="GHY39" s="643"/>
      <c r="GHZ39" s="643"/>
      <c r="GIA39" s="643"/>
      <c r="GIB39" s="643"/>
      <c r="GIC39" s="643"/>
      <c r="GID39" s="643"/>
      <c r="GIE39" s="643"/>
      <c r="GIF39" s="643"/>
      <c r="GIG39" s="643"/>
      <c r="GIH39" s="643"/>
      <c r="GII39" s="643"/>
      <c r="GIJ39" s="643"/>
      <c r="GIK39" s="643"/>
      <c r="GIL39" s="643"/>
      <c r="GIM39" s="643"/>
      <c r="GIN39" s="643"/>
      <c r="GIO39" s="643"/>
      <c r="GIP39" s="643"/>
      <c r="GIQ39" s="643"/>
      <c r="GIR39" s="643"/>
      <c r="GIS39" s="643"/>
      <c r="GIT39" s="643"/>
      <c r="GIU39" s="643"/>
      <c r="GIV39" s="643"/>
      <c r="GIW39" s="643"/>
      <c r="GIX39" s="643"/>
      <c r="GIY39" s="643"/>
      <c r="GIZ39" s="643"/>
      <c r="GJA39" s="643"/>
      <c r="GJB39" s="643"/>
      <c r="GJC39" s="643"/>
      <c r="GJD39" s="643"/>
      <c r="GJE39" s="643"/>
      <c r="GJF39" s="643"/>
      <c r="GJG39" s="643"/>
      <c r="GJH39" s="643"/>
      <c r="GJI39" s="643"/>
      <c r="GJJ39" s="643"/>
      <c r="GJK39" s="643"/>
      <c r="GJL39" s="643"/>
      <c r="GJM39" s="643"/>
      <c r="GJN39" s="643"/>
      <c r="GJO39" s="643"/>
      <c r="GJP39" s="643"/>
      <c r="GJQ39" s="643"/>
      <c r="GJR39" s="643"/>
      <c r="GJS39" s="643"/>
      <c r="GJT39" s="643"/>
      <c r="GJU39" s="643"/>
      <c r="GJV39" s="643"/>
      <c r="GJW39" s="643"/>
      <c r="GJX39" s="643"/>
      <c r="GJY39" s="643"/>
      <c r="GJZ39" s="643"/>
      <c r="GKA39" s="643"/>
      <c r="GKB39" s="643"/>
      <c r="GKC39" s="643"/>
      <c r="GKD39" s="643"/>
      <c r="GKE39" s="643"/>
      <c r="GKF39" s="643"/>
      <c r="GKG39" s="643"/>
      <c r="GKH39" s="643"/>
      <c r="GKI39" s="643"/>
      <c r="GKJ39" s="643"/>
      <c r="GKK39" s="643"/>
      <c r="GKL39" s="643"/>
      <c r="GKM39" s="643"/>
      <c r="GKN39" s="643"/>
      <c r="GKO39" s="643"/>
      <c r="GKP39" s="643"/>
      <c r="GKQ39" s="643"/>
      <c r="GKR39" s="643"/>
      <c r="GKS39" s="643"/>
      <c r="GKT39" s="643"/>
      <c r="GKU39" s="643"/>
      <c r="GKV39" s="643"/>
      <c r="GKW39" s="643"/>
      <c r="GKX39" s="643"/>
      <c r="GKY39" s="643"/>
      <c r="GKZ39" s="643"/>
      <c r="GLA39" s="643"/>
      <c r="GLB39" s="643"/>
      <c r="GLC39" s="643"/>
      <c r="GLD39" s="643"/>
      <c r="GLE39" s="643"/>
      <c r="GLF39" s="643"/>
      <c r="GLG39" s="643"/>
      <c r="GLH39" s="643"/>
      <c r="GLI39" s="643"/>
      <c r="GLJ39" s="643"/>
      <c r="GLK39" s="643"/>
      <c r="GLL39" s="643"/>
      <c r="GLM39" s="643"/>
      <c r="GLN39" s="643"/>
      <c r="GLO39" s="643"/>
      <c r="GLP39" s="643"/>
      <c r="GLQ39" s="643"/>
      <c r="GLR39" s="643"/>
      <c r="GLS39" s="643"/>
      <c r="GLT39" s="643"/>
      <c r="GLU39" s="643"/>
      <c r="GLV39" s="643"/>
      <c r="GLW39" s="643"/>
      <c r="GLX39" s="643"/>
      <c r="GLY39" s="643"/>
      <c r="GLZ39" s="643"/>
      <c r="GMA39" s="643"/>
      <c r="GMB39" s="643"/>
      <c r="GMC39" s="643"/>
      <c r="GMD39" s="643"/>
      <c r="GME39" s="643"/>
      <c r="GMF39" s="643"/>
      <c r="GMG39" s="643"/>
      <c r="GMH39" s="643"/>
      <c r="GMI39" s="643"/>
      <c r="GMJ39" s="643"/>
      <c r="GMK39" s="643"/>
      <c r="GML39" s="643"/>
      <c r="GMM39" s="643"/>
      <c r="GMN39" s="643"/>
      <c r="GMO39" s="643"/>
      <c r="GMP39" s="643"/>
      <c r="GMQ39" s="643"/>
      <c r="GMR39" s="643"/>
      <c r="GMS39" s="643"/>
      <c r="GMT39" s="643"/>
      <c r="GMU39" s="643"/>
      <c r="GMV39" s="643"/>
      <c r="GMW39" s="643"/>
      <c r="GMX39" s="643"/>
      <c r="GMY39" s="643"/>
      <c r="GMZ39" s="643"/>
      <c r="GNA39" s="643"/>
      <c r="GNB39" s="643"/>
      <c r="GNC39" s="643"/>
      <c r="GND39" s="643"/>
      <c r="GNE39" s="643"/>
      <c r="GNF39" s="643"/>
      <c r="GNG39" s="643"/>
      <c r="GNH39" s="643"/>
      <c r="GNI39" s="643"/>
      <c r="GNJ39" s="643"/>
      <c r="GNK39" s="643"/>
      <c r="GNL39" s="643"/>
      <c r="GNM39" s="643"/>
      <c r="GNN39" s="643"/>
      <c r="GNO39" s="643"/>
      <c r="GNP39" s="643"/>
      <c r="GNQ39" s="643"/>
      <c r="GNR39" s="643"/>
      <c r="GNS39" s="643"/>
      <c r="GNT39" s="643"/>
      <c r="GNU39" s="643"/>
      <c r="GNV39" s="643"/>
      <c r="GNW39" s="643"/>
      <c r="GNX39" s="643"/>
      <c r="GNY39" s="643"/>
      <c r="GNZ39" s="643"/>
      <c r="GOA39" s="643"/>
      <c r="GOB39" s="643"/>
      <c r="GOC39" s="643"/>
      <c r="GOD39" s="643"/>
      <c r="GOE39" s="643"/>
      <c r="GOF39" s="643"/>
      <c r="GOG39" s="643"/>
      <c r="GOH39" s="643"/>
      <c r="GOI39" s="643"/>
      <c r="GOJ39" s="643"/>
      <c r="GOK39" s="643"/>
      <c r="GOL39" s="643"/>
      <c r="GOM39" s="643"/>
      <c r="GON39" s="643"/>
      <c r="GOO39" s="643"/>
      <c r="GOP39" s="643"/>
      <c r="GOQ39" s="643"/>
      <c r="GOR39" s="643"/>
      <c r="GOS39" s="643"/>
      <c r="GOT39" s="643"/>
      <c r="GOU39" s="643"/>
      <c r="GOV39" s="643"/>
      <c r="GOW39" s="643"/>
      <c r="GOX39" s="643"/>
      <c r="GOY39" s="643"/>
      <c r="GOZ39" s="643"/>
      <c r="GPA39" s="643"/>
      <c r="GPB39" s="643"/>
      <c r="GPC39" s="643"/>
      <c r="GPD39" s="643"/>
      <c r="GPE39" s="643"/>
      <c r="GPF39" s="643"/>
      <c r="GPG39" s="643"/>
      <c r="GPH39" s="643"/>
      <c r="GPI39" s="643"/>
      <c r="GPJ39" s="643"/>
      <c r="GPK39" s="643"/>
      <c r="GPL39" s="643"/>
      <c r="GPM39" s="643"/>
      <c r="GPN39" s="643"/>
      <c r="GPO39" s="643"/>
      <c r="GPP39" s="643"/>
      <c r="GPQ39" s="643"/>
      <c r="GPR39" s="643"/>
      <c r="GPS39" s="643"/>
      <c r="GPT39" s="643"/>
      <c r="GPU39" s="643"/>
      <c r="GPV39" s="643"/>
      <c r="GPW39" s="643"/>
      <c r="GPX39" s="643"/>
      <c r="GPY39" s="643"/>
      <c r="GPZ39" s="643"/>
      <c r="GQA39" s="643"/>
      <c r="GQB39" s="643"/>
      <c r="GQC39" s="643"/>
      <c r="GQD39" s="643"/>
      <c r="GQE39" s="643"/>
      <c r="GQF39" s="643"/>
      <c r="GQG39" s="643"/>
      <c r="GQH39" s="643"/>
      <c r="GQI39" s="643"/>
      <c r="GQJ39" s="643"/>
      <c r="GQK39" s="643"/>
      <c r="GQL39" s="643"/>
      <c r="GQM39" s="643"/>
      <c r="GQN39" s="643"/>
      <c r="GQO39" s="643"/>
      <c r="GQP39" s="643"/>
      <c r="GQQ39" s="643"/>
      <c r="GQR39" s="643"/>
      <c r="GQS39" s="643"/>
      <c r="GQT39" s="643"/>
      <c r="GQU39" s="643"/>
      <c r="GQV39" s="643"/>
      <c r="GQW39" s="643"/>
      <c r="GQX39" s="643"/>
      <c r="GQY39" s="643"/>
      <c r="GQZ39" s="643"/>
      <c r="GRA39" s="643"/>
      <c r="GRB39" s="643"/>
      <c r="GRC39" s="643"/>
      <c r="GRD39" s="643"/>
      <c r="GRE39" s="643"/>
      <c r="GRF39" s="643"/>
      <c r="GRG39" s="643"/>
      <c r="GRH39" s="643"/>
      <c r="GRI39" s="643"/>
      <c r="GRJ39" s="643"/>
      <c r="GRK39" s="643"/>
      <c r="GRL39" s="643"/>
      <c r="GRM39" s="643"/>
      <c r="GRN39" s="643"/>
      <c r="GRO39" s="643"/>
      <c r="GRP39" s="643"/>
      <c r="GRQ39" s="643"/>
      <c r="GRR39" s="643"/>
      <c r="GRS39" s="643"/>
      <c r="GRT39" s="643"/>
      <c r="GRU39" s="643"/>
      <c r="GRV39" s="643"/>
      <c r="GRW39" s="643"/>
      <c r="GRX39" s="643"/>
      <c r="GRY39" s="643"/>
      <c r="GRZ39" s="643"/>
      <c r="GSA39" s="643"/>
      <c r="GSB39" s="643"/>
      <c r="GSC39" s="643"/>
      <c r="GSD39" s="643"/>
      <c r="GSE39" s="643"/>
      <c r="GSF39" s="643"/>
      <c r="GSG39" s="643"/>
      <c r="GSH39" s="643"/>
      <c r="GSI39" s="643"/>
      <c r="GSJ39" s="643"/>
      <c r="GSK39" s="643"/>
      <c r="GSL39" s="643"/>
      <c r="GSM39" s="643"/>
      <c r="GSN39" s="643"/>
      <c r="GSO39" s="643"/>
      <c r="GSP39" s="643"/>
      <c r="GSQ39" s="643"/>
      <c r="GSR39" s="643"/>
      <c r="GSS39" s="643"/>
      <c r="GST39" s="643"/>
      <c r="GSU39" s="643"/>
      <c r="GSV39" s="643"/>
      <c r="GSW39" s="643"/>
      <c r="GSX39" s="643"/>
      <c r="GSY39" s="643"/>
      <c r="GSZ39" s="643"/>
      <c r="GTA39" s="643"/>
      <c r="GTB39" s="643"/>
      <c r="GTC39" s="643"/>
      <c r="GTD39" s="643"/>
      <c r="GTE39" s="643"/>
      <c r="GTF39" s="643"/>
      <c r="GTG39" s="643"/>
      <c r="GTH39" s="643"/>
      <c r="GTI39" s="643"/>
      <c r="GTJ39" s="643"/>
      <c r="GTK39" s="643"/>
      <c r="GTL39" s="643"/>
      <c r="GTM39" s="643"/>
      <c r="GTN39" s="643"/>
      <c r="GTO39" s="643"/>
      <c r="GTP39" s="643"/>
      <c r="GTQ39" s="643"/>
      <c r="GTR39" s="643"/>
      <c r="GTS39" s="643"/>
      <c r="GTT39" s="643"/>
      <c r="GTU39" s="643"/>
      <c r="GTV39" s="643"/>
      <c r="GTW39" s="643"/>
      <c r="GTX39" s="643"/>
      <c r="GTY39" s="643"/>
      <c r="GTZ39" s="643"/>
      <c r="GUA39" s="643"/>
      <c r="GUB39" s="643"/>
      <c r="GUC39" s="643"/>
      <c r="GUD39" s="643"/>
      <c r="GUE39" s="643"/>
      <c r="GUF39" s="643"/>
      <c r="GUG39" s="643"/>
      <c r="GUH39" s="643"/>
      <c r="GUI39" s="643"/>
      <c r="GUJ39" s="643"/>
      <c r="GUK39" s="643"/>
      <c r="GUL39" s="643"/>
      <c r="GUM39" s="643"/>
      <c r="GUN39" s="643"/>
      <c r="GUO39" s="643"/>
      <c r="GUP39" s="643"/>
      <c r="GUQ39" s="643"/>
      <c r="GUR39" s="643"/>
      <c r="GUS39" s="643"/>
      <c r="GUT39" s="643"/>
      <c r="GUU39" s="643"/>
      <c r="GUV39" s="643"/>
      <c r="GUW39" s="643"/>
      <c r="GUX39" s="643"/>
      <c r="GUY39" s="643"/>
      <c r="GUZ39" s="643"/>
      <c r="GVA39" s="643"/>
      <c r="GVB39" s="643"/>
      <c r="GVC39" s="643"/>
      <c r="GVD39" s="643"/>
      <c r="GVE39" s="643"/>
      <c r="GVF39" s="643"/>
      <c r="GVG39" s="643"/>
      <c r="GVH39" s="643"/>
      <c r="GVI39" s="643"/>
      <c r="GVJ39" s="643"/>
      <c r="GVK39" s="643"/>
      <c r="GVL39" s="643"/>
      <c r="GVM39" s="643"/>
      <c r="GVN39" s="643"/>
      <c r="GVO39" s="643"/>
      <c r="GVP39" s="643"/>
      <c r="GVQ39" s="643"/>
      <c r="GVR39" s="643"/>
      <c r="GVS39" s="643"/>
      <c r="GVT39" s="643"/>
      <c r="GVU39" s="643"/>
      <c r="GVV39" s="643"/>
      <c r="GVW39" s="643"/>
      <c r="GVX39" s="643"/>
      <c r="GVY39" s="643"/>
      <c r="GVZ39" s="643"/>
      <c r="GWA39" s="643"/>
      <c r="GWB39" s="643"/>
      <c r="GWC39" s="643"/>
      <c r="GWD39" s="643"/>
      <c r="GWE39" s="643"/>
      <c r="GWF39" s="643"/>
      <c r="GWG39" s="643"/>
      <c r="GWH39" s="643"/>
      <c r="GWI39" s="643"/>
      <c r="GWJ39" s="643"/>
      <c r="GWK39" s="643"/>
      <c r="GWL39" s="643"/>
      <c r="GWM39" s="643"/>
      <c r="GWN39" s="643"/>
      <c r="GWO39" s="643"/>
      <c r="GWP39" s="643"/>
      <c r="GWQ39" s="643"/>
      <c r="GWR39" s="643"/>
      <c r="GWS39" s="643"/>
      <c r="GWT39" s="643"/>
      <c r="GWU39" s="643"/>
      <c r="GWV39" s="643"/>
      <c r="GWW39" s="643"/>
      <c r="GWX39" s="643"/>
      <c r="GWY39" s="643"/>
      <c r="GWZ39" s="643"/>
      <c r="GXA39" s="643"/>
      <c r="GXB39" s="643"/>
      <c r="GXC39" s="643"/>
      <c r="GXD39" s="643"/>
      <c r="GXE39" s="643"/>
      <c r="GXF39" s="643"/>
      <c r="GXG39" s="643"/>
      <c r="GXH39" s="643"/>
      <c r="GXI39" s="643"/>
      <c r="GXJ39" s="643"/>
      <c r="GXK39" s="643"/>
      <c r="GXL39" s="643"/>
      <c r="GXM39" s="643"/>
      <c r="GXN39" s="643"/>
      <c r="GXO39" s="643"/>
      <c r="GXP39" s="643"/>
      <c r="GXQ39" s="643"/>
      <c r="GXR39" s="643"/>
      <c r="GXS39" s="643"/>
      <c r="GXT39" s="643"/>
      <c r="GXU39" s="643"/>
      <c r="GXV39" s="643"/>
      <c r="GXW39" s="643"/>
      <c r="GXX39" s="643"/>
      <c r="GXY39" s="643"/>
      <c r="GXZ39" s="643"/>
      <c r="GYA39" s="643"/>
      <c r="GYB39" s="643"/>
      <c r="GYC39" s="643"/>
      <c r="GYD39" s="643"/>
      <c r="GYE39" s="643"/>
      <c r="GYF39" s="643"/>
      <c r="GYG39" s="643"/>
      <c r="GYH39" s="643"/>
      <c r="GYI39" s="643"/>
      <c r="GYJ39" s="643"/>
      <c r="GYK39" s="643"/>
      <c r="GYL39" s="643"/>
      <c r="GYM39" s="643"/>
      <c r="GYN39" s="643"/>
      <c r="GYO39" s="643"/>
      <c r="GYP39" s="643"/>
      <c r="GYQ39" s="643"/>
      <c r="GYR39" s="643"/>
      <c r="GYS39" s="643"/>
      <c r="GYT39" s="643"/>
      <c r="GYU39" s="643"/>
      <c r="GYV39" s="643"/>
      <c r="GYW39" s="643"/>
      <c r="GYX39" s="643"/>
      <c r="GYY39" s="643"/>
      <c r="GYZ39" s="643"/>
      <c r="GZA39" s="643"/>
      <c r="GZB39" s="643"/>
      <c r="GZC39" s="643"/>
      <c r="GZD39" s="643"/>
      <c r="GZE39" s="643"/>
      <c r="GZF39" s="643"/>
      <c r="GZG39" s="643"/>
      <c r="GZH39" s="643"/>
      <c r="GZI39" s="643"/>
      <c r="GZJ39" s="643"/>
      <c r="GZK39" s="643"/>
      <c r="GZL39" s="643"/>
      <c r="GZM39" s="643"/>
      <c r="GZN39" s="643"/>
      <c r="GZO39" s="643"/>
      <c r="GZP39" s="643"/>
      <c r="GZQ39" s="643"/>
      <c r="GZR39" s="643"/>
      <c r="GZS39" s="643"/>
      <c r="GZT39" s="643"/>
      <c r="GZU39" s="643"/>
      <c r="GZV39" s="643"/>
      <c r="GZW39" s="643"/>
      <c r="GZX39" s="643"/>
      <c r="GZY39" s="643"/>
      <c r="GZZ39" s="643"/>
      <c r="HAA39" s="643"/>
      <c r="HAB39" s="643"/>
      <c r="HAC39" s="643"/>
      <c r="HAD39" s="643"/>
      <c r="HAE39" s="643"/>
      <c r="HAF39" s="643"/>
      <c r="HAG39" s="643"/>
      <c r="HAH39" s="643"/>
      <c r="HAI39" s="643"/>
      <c r="HAJ39" s="643"/>
      <c r="HAK39" s="643"/>
      <c r="HAL39" s="643"/>
      <c r="HAM39" s="643"/>
      <c r="HAN39" s="643"/>
      <c r="HAO39" s="643"/>
      <c r="HAP39" s="643"/>
      <c r="HAQ39" s="643"/>
      <c r="HAR39" s="643"/>
      <c r="HAS39" s="643"/>
      <c r="HAT39" s="643"/>
      <c r="HAU39" s="643"/>
      <c r="HAV39" s="643"/>
      <c r="HAW39" s="643"/>
      <c r="HAX39" s="643"/>
      <c r="HAY39" s="643"/>
      <c r="HAZ39" s="643"/>
      <c r="HBA39" s="643"/>
      <c r="HBB39" s="643"/>
      <c r="HBC39" s="643"/>
      <c r="HBD39" s="643"/>
      <c r="HBE39" s="643"/>
      <c r="HBF39" s="643"/>
      <c r="HBG39" s="643"/>
      <c r="HBH39" s="643"/>
      <c r="HBI39" s="643"/>
      <c r="HBJ39" s="643"/>
      <c r="HBK39" s="643"/>
      <c r="HBL39" s="643"/>
      <c r="HBM39" s="643"/>
      <c r="HBN39" s="643"/>
      <c r="HBO39" s="643"/>
      <c r="HBP39" s="643"/>
      <c r="HBQ39" s="643"/>
      <c r="HBR39" s="643"/>
      <c r="HBS39" s="643"/>
      <c r="HBT39" s="643"/>
      <c r="HBU39" s="643"/>
      <c r="HBV39" s="643"/>
      <c r="HBW39" s="643"/>
      <c r="HBX39" s="643"/>
      <c r="HBY39" s="643"/>
      <c r="HBZ39" s="643"/>
      <c r="HCA39" s="643"/>
      <c r="HCB39" s="643"/>
      <c r="HCC39" s="643"/>
      <c r="HCD39" s="643"/>
      <c r="HCE39" s="643"/>
      <c r="HCF39" s="643"/>
      <c r="HCG39" s="643"/>
      <c r="HCH39" s="643"/>
      <c r="HCI39" s="643"/>
      <c r="HCJ39" s="643"/>
      <c r="HCK39" s="643"/>
      <c r="HCL39" s="643"/>
      <c r="HCM39" s="643"/>
      <c r="HCN39" s="643"/>
      <c r="HCO39" s="643"/>
      <c r="HCP39" s="643"/>
      <c r="HCQ39" s="643"/>
      <c r="HCR39" s="643"/>
      <c r="HCS39" s="643"/>
      <c r="HCT39" s="643"/>
      <c r="HCU39" s="643"/>
      <c r="HCV39" s="643"/>
      <c r="HCW39" s="643"/>
      <c r="HCX39" s="643"/>
      <c r="HCY39" s="643"/>
      <c r="HCZ39" s="643"/>
      <c r="HDA39" s="643"/>
      <c r="HDB39" s="643"/>
      <c r="HDC39" s="643"/>
      <c r="HDD39" s="643"/>
      <c r="HDE39" s="643"/>
      <c r="HDF39" s="643"/>
      <c r="HDG39" s="643"/>
      <c r="HDH39" s="643"/>
      <c r="HDI39" s="643"/>
      <c r="HDJ39" s="643"/>
      <c r="HDK39" s="643"/>
      <c r="HDL39" s="643"/>
      <c r="HDM39" s="643"/>
      <c r="HDN39" s="643"/>
      <c r="HDO39" s="643"/>
      <c r="HDP39" s="643"/>
      <c r="HDQ39" s="643"/>
      <c r="HDR39" s="643"/>
      <c r="HDS39" s="643"/>
      <c r="HDT39" s="643"/>
      <c r="HDU39" s="643"/>
      <c r="HDV39" s="643"/>
      <c r="HDW39" s="643"/>
      <c r="HDX39" s="643"/>
      <c r="HDY39" s="643"/>
      <c r="HDZ39" s="643"/>
      <c r="HEA39" s="643"/>
      <c r="HEB39" s="643"/>
      <c r="HEC39" s="643"/>
      <c r="HED39" s="643"/>
      <c r="HEE39" s="643"/>
      <c r="HEF39" s="643"/>
      <c r="HEG39" s="643"/>
      <c r="HEH39" s="643"/>
      <c r="HEI39" s="643"/>
      <c r="HEJ39" s="643"/>
      <c r="HEK39" s="643"/>
      <c r="HEL39" s="643"/>
      <c r="HEM39" s="643"/>
      <c r="HEN39" s="643"/>
      <c r="HEO39" s="643"/>
      <c r="HEP39" s="643"/>
      <c r="HEQ39" s="643"/>
      <c r="HER39" s="643"/>
      <c r="HES39" s="643"/>
      <c r="HET39" s="643"/>
      <c r="HEU39" s="643"/>
      <c r="HEV39" s="643"/>
      <c r="HEW39" s="643"/>
      <c r="HEX39" s="643"/>
      <c r="HEY39" s="643"/>
      <c r="HEZ39" s="643"/>
      <c r="HFA39" s="643"/>
      <c r="HFB39" s="643"/>
      <c r="HFC39" s="643"/>
      <c r="HFD39" s="643"/>
      <c r="HFE39" s="643"/>
      <c r="HFF39" s="643"/>
      <c r="HFG39" s="643"/>
      <c r="HFH39" s="643"/>
      <c r="HFI39" s="643"/>
      <c r="HFJ39" s="643"/>
      <c r="HFK39" s="643"/>
      <c r="HFL39" s="643"/>
      <c r="HFM39" s="643"/>
      <c r="HFN39" s="643"/>
      <c r="HFO39" s="643"/>
      <c r="HFP39" s="643"/>
      <c r="HFQ39" s="643"/>
      <c r="HFR39" s="643"/>
      <c r="HFS39" s="643"/>
      <c r="HFT39" s="643"/>
      <c r="HFU39" s="643"/>
      <c r="HFV39" s="643"/>
      <c r="HFW39" s="643"/>
      <c r="HFX39" s="643"/>
      <c r="HFY39" s="643"/>
      <c r="HFZ39" s="643"/>
      <c r="HGA39" s="643"/>
      <c r="HGB39" s="643"/>
      <c r="HGC39" s="643"/>
      <c r="HGD39" s="643"/>
      <c r="HGE39" s="643"/>
      <c r="HGF39" s="643"/>
      <c r="HGG39" s="643"/>
      <c r="HGH39" s="643"/>
      <c r="HGI39" s="643"/>
      <c r="HGJ39" s="643"/>
      <c r="HGK39" s="643"/>
      <c r="HGL39" s="643"/>
      <c r="HGM39" s="643"/>
      <c r="HGN39" s="643"/>
      <c r="HGO39" s="643"/>
      <c r="HGP39" s="643"/>
      <c r="HGQ39" s="643"/>
      <c r="HGR39" s="643"/>
      <c r="HGS39" s="643"/>
      <c r="HGT39" s="643"/>
      <c r="HGU39" s="643"/>
      <c r="HGV39" s="643"/>
      <c r="HGW39" s="643"/>
      <c r="HGX39" s="643"/>
      <c r="HGY39" s="643"/>
      <c r="HGZ39" s="643"/>
      <c r="HHA39" s="643"/>
      <c r="HHB39" s="643"/>
      <c r="HHC39" s="643"/>
      <c r="HHD39" s="643"/>
      <c r="HHE39" s="643"/>
      <c r="HHF39" s="643"/>
      <c r="HHG39" s="643"/>
      <c r="HHH39" s="643"/>
      <c r="HHI39" s="643"/>
      <c r="HHJ39" s="643"/>
      <c r="HHK39" s="643"/>
      <c r="HHL39" s="643"/>
      <c r="HHM39" s="643"/>
      <c r="HHN39" s="643"/>
      <c r="HHO39" s="643"/>
      <c r="HHP39" s="643"/>
      <c r="HHQ39" s="643"/>
      <c r="HHR39" s="643"/>
      <c r="HHS39" s="643"/>
      <c r="HHT39" s="643"/>
      <c r="HHU39" s="643"/>
      <c r="HHV39" s="643"/>
      <c r="HHW39" s="643"/>
      <c r="HHX39" s="643"/>
      <c r="HHY39" s="643"/>
      <c r="HHZ39" s="643"/>
      <c r="HIA39" s="643"/>
      <c r="HIB39" s="643"/>
      <c r="HIC39" s="643"/>
      <c r="HID39" s="643"/>
      <c r="HIE39" s="643"/>
      <c r="HIF39" s="643"/>
      <c r="HIG39" s="643"/>
      <c r="HIH39" s="643"/>
      <c r="HII39" s="643"/>
      <c r="HIJ39" s="643"/>
      <c r="HIK39" s="643"/>
      <c r="HIL39" s="643"/>
      <c r="HIM39" s="643"/>
      <c r="HIN39" s="643"/>
      <c r="HIO39" s="643"/>
      <c r="HIP39" s="643"/>
      <c r="HIQ39" s="643"/>
      <c r="HIR39" s="643"/>
      <c r="HIS39" s="643"/>
      <c r="HIT39" s="643"/>
      <c r="HIU39" s="643"/>
      <c r="HIV39" s="643"/>
      <c r="HIW39" s="643"/>
      <c r="HIX39" s="643"/>
      <c r="HIY39" s="643"/>
      <c r="HIZ39" s="643"/>
      <c r="HJA39" s="643"/>
      <c r="HJB39" s="643"/>
      <c r="HJC39" s="643"/>
      <c r="HJD39" s="643"/>
      <c r="HJE39" s="643"/>
      <c r="HJF39" s="643"/>
      <c r="HJG39" s="643"/>
      <c r="HJH39" s="643"/>
      <c r="HJI39" s="643"/>
      <c r="HJJ39" s="643"/>
      <c r="HJK39" s="643"/>
      <c r="HJL39" s="643"/>
      <c r="HJM39" s="643"/>
      <c r="HJN39" s="643"/>
      <c r="HJO39" s="643"/>
      <c r="HJP39" s="643"/>
      <c r="HJQ39" s="643"/>
      <c r="HJR39" s="643"/>
      <c r="HJS39" s="643"/>
      <c r="HJT39" s="643"/>
      <c r="HJU39" s="643"/>
      <c r="HJV39" s="643"/>
      <c r="HJW39" s="643"/>
      <c r="HJX39" s="643"/>
      <c r="HJY39" s="643"/>
      <c r="HJZ39" s="643"/>
      <c r="HKA39" s="643"/>
      <c r="HKB39" s="643"/>
      <c r="HKC39" s="643"/>
      <c r="HKD39" s="643"/>
      <c r="HKE39" s="643"/>
      <c r="HKF39" s="643"/>
      <c r="HKG39" s="643"/>
      <c r="HKH39" s="643"/>
      <c r="HKI39" s="643"/>
      <c r="HKJ39" s="643"/>
      <c r="HKK39" s="643"/>
      <c r="HKL39" s="643"/>
      <c r="HKM39" s="643"/>
      <c r="HKN39" s="643"/>
      <c r="HKO39" s="643"/>
      <c r="HKP39" s="643"/>
      <c r="HKQ39" s="643"/>
      <c r="HKR39" s="643"/>
      <c r="HKS39" s="643"/>
      <c r="HKT39" s="643"/>
      <c r="HKU39" s="643"/>
      <c r="HKV39" s="643"/>
      <c r="HKW39" s="643"/>
      <c r="HKX39" s="643"/>
      <c r="HKY39" s="643"/>
      <c r="HKZ39" s="643"/>
      <c r="HLA39" s="643"/>
      <c r="HLB39" s="643"/>
      <c r="HLC39" s="643"/>
      <c r="HLD39" s="643"/>
      <c r="HLE39" s="643"/>
      <c r="HLF39" s="643"/>
      <c r="HLG39" s="643"/>
      <c r="HLH39" s="643"/>
      <c r="HLI39" s="643"/>
      <c r="HLJ39" s="643"/>
      <c r="HLK39" s="643"/>
      <c r="HLL39" s="643"/>
      <c r="HLM39" s="643"/>
      <c r="HLN39" s="643"/>
      <c r="HLO39" s="643"/>
      <c r="HLP39" s="643"/>
      <c r="HLQ39" s="643"/>
      <c r="HLR39" s="643"/>
      <c r="HLS39" s="643"/>
      <c r="HLT39" s="643"/>
      <c r="HLU39" s="643"/>
      <c r="HLV39" s="643"/>
      <c r="HLW39" s="643"/>
      <c r="HLX39" s="643"/>
      <c r="HLY39" s="643"/>
      <c r="HLZ39" s="643"/>
      <c r="HMA39" s="643"/>
      <c r="HMB39" s="643"/>
      <c r="HMC39" s="643"/>
      <c r="HMD39" s="643"/>
      <c r="HME39" s="643"/>
      <c r="HMF39" s="643"/>
      <c r="HMG39" s="643"/>
      <c r="HMH39" s="643"/>
      <c r="HMI39" s="643"/>
      <c r="HMJ39" s="643"/>
      <c r="HMK39" s="643"/>
      <c r="HML39" s="643"/>
      <c r="HMM39" s="643"/>
      <c r="HMN39" s="643"/>
      <c r="HMO39" s="643"/>
      <c r="HMP39" s="643"/>
      <c r="HMQ39" s="643"/>
      <c r="HMR39" s="643"/>
      <c r="HMS39" s="643"/>
      <c r="HMT39" s="643"/>
      <c r="HMU39" s="643"/>
      <c r="HMV39" s="643"/>
      <c r="HMW39" s="643"/>
      <c r="HMX39" s="643"/>
      <c r="HMY39" s="643"/>
      <c r="HMZ39" s="643"/>
      <c r="HNA39" s="643"/>
      <c r="HNB39" s="643"/>
      <c r="HNC39" s="643"/>
      <c r="HND39" s="643"/>
      <c r="HNE39" s="643"/>
      <c r="HNF39" s="643"/>
      <c r="HNG39" s="643"/>
      <c r="HNH39" s="643"/>
      <c r="HNI39" s="643"/>
      <c r="HNJ39" s="643"/>
      <c r="HNK39" s="643"/>
      <c r="HNL39" s="643"/>
      <c r="HNM39" s="643"/>
      <c r="HNN39" s="643"/>
      <c r="HNO39" s="643"/>
      <c r="HNP39" s="643"/>
      <c r="HNQ39" s="643"/>
      <c r="HNR39" s="643"/>
      <c r="HNS39" s="643"/>
      <c r="HNT39" s="643"/>
      <c r="HNU39" s="643"/>
      <c r="HNV39" s="643"/>
      <c r="HNW39" s="643"/>
      <c r="HNX39" s="643"/>
      <c r="HNY39" s="643"/>
      <c r="HNZ39" s="643"/>
      <c r="HOA39" s="643"/>
      <c r="HOB39" s="643"/>
      <c r="HOC39" s="643"/>
      <c r="HOD39" s="643"/>
      <c r="HOE39" s="643"/>
      <c r="HOF39" s="643"/>
      <c r="HOG39" s="643"/>
      <c r="HOH39" s="643"/>
      <c r="HOI39" s="643"/>
      <c r="HOJ39" s="643"/>
      <c r="HOK39" s="643"/>
      <c r="HOL39" s="643"/>
      <c r="HOM39" s="643"/>
      <c r="HON39" s="643"/>
      <c r="HOO39" s="643"/>
      <c r="HOP39" s="643"/>
      <c r="HOQ39" s="643"/>
      <c r="HOR39" s="643"/>
      <c r="HOS39" s="643"/>
      <c r="HOT39" s="643"/>
      <c r="HOU39" s="643"/>
      <c r="HOV39" s="643"/>
      <c r="HOW39" s="643"/>
      <c r="HOX39" s="643"/>
      <c r="HOY39" s="643"/>
      <c r="HOZ39" s="643"/>
      <c r="HPA39" s="643"/>
      <c r="HPB39" s="643"/>
      <c r="HPC39" s="643"/>
      <c r="HPD39" s="643"/>
      <c r="HPE39" s="643"/>
      <c r="HPF39" s="643"/>
      <c r="HPG39" s="643"/>
      <c r="HPH39" s="643"/>
      <c r="HPI39" s="643"/>
      <c r="HPJ39" s="643"/>
      <c r="HPK39" s="643"/>
      <c r="HPL39" s="643"/>
      <c r="HPM39" s="643"/>
      <c r="HPN39" s="643"/>
      <c r="HPO39" s="643"/>
      <c r="HPP39" s="643"/>
      <c r="HPQ39" s="643"/>
      <c r="HPR39" s="643"/>
      <c r="HPS39" s="643"/>
      <c r="HPT39" s="643"/>
      <c r="HPU39" s="643"/>
      <c r="HPV39" s="643"/>
      <c r="HPW39" s="643"/>
      <c r="HPX39" s="643"/>
      <c r="HPY39" s="643"/>
      <c r="HPZ39" s="643"/>
      <c r="HQA39" s="643"/>
      <c r="HQB39" s="643"/>
      <c r="HQC39" s="643"/>
      <c r="HQD39" s="643"/>
      <c r="HQE39" s="643"/>
      <c r="HQF39" s="643"/>
      <c r="HQG39" s="643"/>
      <c r="HQH39" s="643"/>
      <c r="HQI39" s="643"/>
      <c r="HQJ39" s="643"/>
      <c r="HQK39" s="643"/>
      <c r="HQL39" s="643"/>
      <c r="HQM39" s="643"/>
      <c r="HQN39" s="643"/>
      <c r="HQO39" s="643"/>
      <c r="HQP39" s="643"/>
      <c r="HQQ39" s="643"/>
      <c r="HQR39" s="643"/>
      <c r="HQS39" s="643"/>
      <c r="HQT39" s="643"/>
      <c r="HQU39" s="643"/>
      <c r="HQV39" s="643"/>
      <c r="HQW39" s="643"/>
      <c r="HQX39" s="643"/>
      <c r="HQY39" s="643"/>
      <c r="HQZ39" s="643"/>
      <c r="HRA39" s="643"/>
      <c r="HRB39" s="643"/>
      <c r="HRC39" s="643"/>
      <c r="HRD39" s="643"/>
      <c r="HRE39" s="643"/>
      <c r="HRF39" s="643"/>
      <c r="HRG39" s="643"/>
      <c r="HRH39" s="643"/>
      <c r="HRI39" s="643"/>
      <c r="HRJ39" s="643"/>
      <c r="HRK39" s="643"/>
      <c r="HRL39" s="643"/>
      <c r="HRM39" s="643"/>
      <c r="HRN39" s="643"/>
      <c r="HRO39" s="643"/>
      <c r="HRP39" s="643"/>
      <c r="HRQ39" s="643"/>
      <c r="HRR39" s="643"/>
      <c r="HRS39" s="643"/>
      <c r="HRT39" s="643"/>
      <c r="HRU39" s="643"/>
      <c r="HRV39" s="643"/>
      <c r="HRW39" s="643"/>
      <c r="HRX39" s="643"/>
      <c r="HRY39" s="643"/>
      <c r="HRZ39" s="643"/>
      <c r="HSA39" s="643"/>
      <c r="HSB39" s="643"/>
      <c r="HSC39" s="643"/>
      <c r="HSD39" s="643"/>
      <c r="HSE39" s="643"/>
      <c r="HSF39" s="643"/>
      <c r="HSG39" s="643"/>
      <c r="HSH39" s="643"/>
      <c r="HSI39" s="643"/>
      <c r="HSJ39" s="643"/>
      <c r="HSK39" s="643"/>
      <c r="HSL39" s="643"/>
      <c r="HSM39" s="643"/>
      <c r="HSN39" s="643"/>
      <c r="HSO39" s="643"/>
      <c r="HSP39" s="643"/>
      <c r="HSQ39" s="643"/>
      <c r="HSR39" s="643"/>
      <c r="HSS39" s="643"/>
      <c r="HST39" s="643"/>
      <c r="HSU39" s="643"/>
      <c r="HSV39" s="643"/>
      <c r="HSW39" s="643"/>
      <c r="HSX39" s="643"/>
      <c r="HSY39" s="643"/>
      <c r="HSZ39" s="643"/>
      <c r="HTA39" s="643"/>
      <c r="HTB39" s="643"/>
      <c r="HTC39" s="643"/>
      <c r="HTD39" s="643"/>
      <c r="HTE39" s="643"/>
      <c r="HTF39" s="643"/>
      <c r="HTG39" s="643"/>
      <c r="HTH39" s="643"/>
      <c r="HTI39" s="643"/>
      <c r="HTJ39" s="643"/>
      <c r="HTK39" s="643"/>
      <c r="HTL39" s="643"/>
      <c r="HTM39" s="643"/>
      <c r="HTN39" s="643"/>
      <c r="HTO39" s="643"/>
      <c r="HTP39" s="643"/>
      <c r="HTQ39" s="643"/>
      <c r="HTR39" s="643"/>
      <c r="HTS39" s="643"/>
      <c r="HTT39" s="643"/>
      <c r="HTU39" s="643"/>
      <c r="HTV39" s="643"/>
      <c r="HTW39" s="643"/>
      <c r="HTX39" s="643"/>
      <c r="HTY39" s="643"/>
      <c r="HTZ39" s="643"/>
      <c r="HUA39" s="643"/>
      <c r="HUB39" s="643"/>
      <c r="HUC39" s="643"/>
      <c r="HUD39" s="643"/>
      <c r="HUE39" s="643"/>
      <c r="HUF39" s="643"/>
      <c r="HUG39" s="643"/>
      <c r="HUH39" s="643"/>
      <c r="HUI39" s="643"/>
      <c r="HUJ39" s="643"/>
      <c r="HUK39" s="643"/>
      <c r="HUL39" s="643"/>
      <c r="HUM39" s="643"/>
      <c r="HUN39" s="643"/>
      <c r="HUO39" s="643"/>
      <c r="HUP39" s="643"/>
      <c r="HUQ39" s="643"/>
      <c r="HUR39" s="643"/>
      <c r="HUS39" s="643"/>
      <c r="HUT39" s="643"/>
      <c r="HUU39" s="643"/>
      <c r="HUV39" s="643"/>
      <c r="HUW39" s="643"/>
      <c r="HUX39" s="643"/>
      <c r="HUY39" s="643"/>
      <c r="HUZ39" s="643"/>
      <c r="HVA39" s="643"/>
      <c r="HVB39" s="643"/>
      <c r="HVC39" s="643"/>
      <c r="HVD39" s="643"/>
      <c r="HVE39" s="643"/>
      <c r="HVF39" s="643"/>
      <c r="HVG39" s="643"/>
      <c r="HVH39" s="643"/>
      <c r="HVI39" s="643"/>
      <c r="HVJ39" s="643"/>
      <c r="HVK39" s="643"/>
      <c r="HVL39" s="643"/>
      <c r="HVM39" s="643"/>
      <c r="HVN39" s="643"/>
      <c r="HVO39" s="643"/>
      <c r="HVP39" s="643"/>
      <c r="HVQ39" s="643"/>
      <c r="HVR39" s="643"/>
      <c r="HVS39" s="643"/>
      <c r="HVT39" s="643"/>
      <c r="HVU39" s="643"/>
      <c r="HVV39" s="643"/>
      <c r="HVW39" s="643"/>
      <c r="HVX39" s="643"/>
      <c r="HVY39" s="643"/>
      <c r="HVZ39" s="643"/>
      <c r="HWA39" s="643"/>
      <c r="HWB39" s="643"/>
      <c r="HWC39" s="643"/>
      <c r="HWD39" s="643"/>
      <c r="HWE39" s="643"/>
      <c r="HWF39" s="643"/>
      <c r="HWG39" s="643"/>
      <c r="HWH39" s="643"/>
      <c r="HWI39" s="643"/>
      <c r="HWJ39" s="643"/>
      <c r="HWK39" s="643"/>
      <c r="HWL39" s="643"/>
      <c r="HWM39" s="643"/>
      <c r="HWN39" s="643"/>
      <c r="HWO39" s="643"/>
      <c r="HWP39" s="643"/>
      <c r="HWQ39" s="643"/>
      <c r="HWR39" s="643"/>
      <c r="HWS39" s="643"/>
      <c r="HWT39" s="643"/>
      <c r="HWU39" s="643"/>
      <c r="HWV39" s="643"/>
      <c r="HWW39" s="643"/>
      <c r="HWX39" s="643"/>
      <c r="HWY39" s="643"/>
      <c r="HWZ39" s="643"/>
      <c r="HXA39" s="643"/>
      <c r="HXB39" s="643"/>
      <c r="HXC39" s="643"/>
      <c r="HXD39" s="643"/>
      <c r="HXE39" s="643"/>
      <c r="HXF39" s="643"/>
      <c r="HXG39" s="643"/>
      <c r="HXH39" s="643"/>
      <c r="HXI39" s="643"/>
      <c r="HXJ39" s="643"/>
      <c r="HXK39" s="643"/>
      <c r="HXL39" s="643"/>
      <c r="HXM39" s="643"/>
      <c r="HXN39" s="643"/>
      <c r="HXO39" s="643"/>
      <c r="HXP39" s="643"/>
      <c r="HXQ39" s="643"/>
      <c r="HXR39" s="643"/>
      <c r="HXS39" s="643"/>
      <c r="HXT39" s="643"/>
      <c r="HXU39" s="643"/>
      <c r="HXV39" s="643"/>
      <c r="HXW39" s="643"/>
      <c r="HXX39" s="643"/>
      <c r="HXY39" s="643"/>
      <c r="HXZ39" s="643"/>
      <c r="HYA39" s="643"/>
      <c r="HYB39" s="643"/>
      <c r="HYC39" s="643"/>
      <c r="HYD39" s="643"/>
      <c r="HYE39" s="643"/>
      <c r="HYF39" s="643"/>
      <c r="HYG39" s="643"/>
      <c r="HYH39" s="643"/>
      <c r="HYI39" s="643"/>
      <c r="HYJ39" s="643"/>
      <c r="HYK39" s="643"/>
      <c r="HYL39" s="643"/>
      <c r="HYM39" s="643"/>
      <c r="HYN39" s="643"/>
      <c r="HYO39" s="643"/>
      <c r="HYP39" s="643"/>
      <c r="HYQ39" s="643"/>
      <c r="HYR39" s="643"/>
      <c r="HYS39" s="643"/>
      <c r="HYT39" s="643"/>
      <c r="HYU39" s="643"/>
      <c r="HYV39" s="643"/>
      <c r="HYW39" s="643"/>
      <c r="HYX39" s="643"/>
      <c r="HYY39" s="643"/>
      <c r="HYZ39" s="643"/>
      <c r="HZA39" s="643"/>
      <c r="HZB39" s="643"/>
      <c r="HZC39" s="643"/>
      <c r="HZD39" s="643"/>
      <c r="HZE39" s="643"/>
      <c r="HZF39" s="643"/>
      <c r="HZG39" s="643"/>
      <c r="HZH39" s="643"/>
      <c r="HZI39" s="643"/>
      <c r="HZJ39" s="643"/>
      <c r="HZK39" s="643"/>
      <c r="HZL39" s="643"/>
      <c r="HZM39" s="643"/>
      <c r="HZN39" s="643"/>
      <c r="HZO39" s="643"/>
      <c r="HZP39" s="643"/>
      <c r="HZQ39" s="643"/>
      <c r="HZR39" s="643"/>
      <c r="HZS39" s="643"/>
      <c r="HZT39" s="643"/>
      <c r="HZU39" s="643"/>
      <c r="HZV39" s="643"/>
      <c r="HZW39" s="643"/>
      <c r="HZX39" s="643"/>
      <c r="HZY39" s="643"/>
      <c r="HZZ39" s="643"/>
      <c r="IAA39" s="643"/>
      <c r="IAB39" s="643"/>
      <c r="IAC39" s="643"/>
      <c r="IAD39" s="643"/>
      <c r="IAE39" s="643"/>
      <c r="IAF39" s="643"/>
      <c r="IAG39" s="643"/>
      <c r="IAH39" s="643"/>
      <c r="IAI39" s="643"/>
      <c r="IAJ39" s="643"/>
      <c r="IAK39" s="643"/>
      <c r="IAL39" s="643"/>
      <c r="IAM39" s="643"/>
      <c r="IAN39" s="643"/>
      <c r="IAO39" s="643"/>
      <c r="IAP39" s="643"/>
      <c r="IAQ39" s="643"/>
      <c r="IAR39" s="643"/>
      <c r="IAS39" s="643"/>
      <c r="IAT39" s="643"/>
      <c r="IAU39" s="643"/>
      <c r="IAV39" s="643"/>
      <c r="IAW39" s="643"/>
      <c r="IAX39" s="643"/>
      <c r="IAY39" s="643"/>
      <c r="IAZ39" s="643"/>
      <c r="IBA39" s="643"/>
      <c r="IBB39" s="643"/>
      <c r="IBC39" s="643"/>
      <c r="IBD39" s="643"/>
      <c r="IBE39" s="643"/>
      <c r="IBF39" s="643"/>
      <c r="IBG39" s="643"/>
      <c r="IBH39" s="643"/>
      <c r="IBI39" s="643"/>
      <c r="IBJ39" s="643"/>
      <c r="IBK39" s="643"/>
      <c r="IBL39" s="643"/>
      <c r="IBM39" s="643"/>
      <c r="IBN39" s="643"/>
      <c r="IBO39" s="643"/>
      <c r="IBP39" s="643"/>
      <c r="IBQ39" s="643"/>
      <c r="IBR39" s="643"/>
      <c r="IBS39" s="643"/>
      <c r="IBT39" s="643"/>
      <c r="IBU39" s="643"/>
      <c r="IBV39" s="643"/>
      <c r="IBW39" s="643"/>
      <c r="IBX39" s="643"/>
      <c r="IBY39" s="643"/>
      <c r="IBZ39" s="643"/>
      <c r="ICA39" s="643"/>
      <c r="ICB39" s="643"/>
      <c r="ICC39" s="643"/>
      <c r="ICD39" s="643"/>
      <c r="ICE39" s="643"/>
      <c r="ICF39" s="643"/>
      <c r="ICG39" s="643"/>
      <c r="ICH39" s="643"/>
      <c r="ICI39" s="643"/>
      <c r="ICJ39" s="643"/>
      <c r="ICK39" s="643"/>
      <c r="ICL39" s="643"/>
      <c r="ICM39" s="643"/>
      <c r="ICN39" s="643"/>
      <c r="ICO39" s="643"/>
      <c r="ICP39" s="643"/>
      <c r="ICQ39" s="643"/>
      <c r="ICR39" s="643"/>
      <c r="ICS39" s="643"/>
      <c r="ICT39" s="643"/>
      <c r="ICU39" s="643"/>
      <c r="ICV39" s="643"/>
      <c r="ICW39" s="643"/>
      <c r="ICX39" s="643"/>
      <c r="ICY39" s="643"/>
      <c r="ICZ39" s="643"/>
      <c r="IDA39" s="643"/>
      <c r="IDB39" s="643"/>
      <c r="IDC39" s="643"/>
      <c r="IDD39" s="643"/>
      <c r="IDE39" s="643"/>
      <c r="IDF39" s="643"/>
      <c r="IDG39" s="643"/>
      <c r="IDH39" s="643"/>
      <c r="IDI39" s="643"/>
      <c r="IDJ39" s="643"/>
      <c r="IDK39" s="643"/>
      <c r="IDL39" s="643"/>
      <c r="IDM39" s="643"/>
      <c r="IDN39" s="643"/>
      <c r="IDO39" s="643"/>
      <c r="IDP39" s="643"/>
      <c r="IDQ39" s="643"/>
      <c r="IDR39" s="643"/>
      <c r="IDS39" s="643"/>
      <c r="IDT39" s="643"/>
      <c r="IDU39" s="643"/>
      <c r="IDV39" s="643"/>
      <c r="IDW39" s="643"/>
      <c r="IDX39" s="643"/>
      <c r="IDY39" s="643"/>
      <c r="IDZ39" s="643"/>
      <c r="IEA39" s="643"/>
      <c r="IEB39" s="643"/>
      <c r="IEC39" s="643"/>
      <c r="IED39" s="643"/>
      <c r="IEE39" s="643"/>
      <c r="IEF39" s="643"/>
      <c r="IEG39" s="643"/>
      <c r="IEH39" s="643"/>
      <c r="IEI39" s="643"/>
      <c r="IEJ39" s="643"/>
      <c r="IEK39" s="643"/>
      <c r="IEL39" s="643"/>
      <c r="IEM39" s="643"/>
      <c r="IEN39" s="643"/>
      <c r="IEO39" s="643"/>
      <c r="IEP39" s="643"/>
      <c r="IEQ39" s="643"/>
      <c r="IER39" s="643"/>
      <c r="IES39" s="643"/>
      <c r="IET39" s="643"/>
      <c r="IEU39" s="643"/>
      <c r="IEV39" s="643"/>
      <c r="IEW39" s="643"/>
      <c r="IEX39" s="643"/>
      <c r="IEY39" s="643"/>
      <c r="IEZ39" s="643"/>
      <c r="IFA39" s="643"/>
      <c r="IFB39" s="643"/>
      <c r="IFC39" s="643"/>
      <c r="IFD39" s="643"/>
      <c r="IFE39" s="643"/>
      <c r="IFF39" s="643"/>
      <c r="IFG39" s="643"/>
      <c r="IFH39" s="643"/>
      <c r="IFI39" s="643"/>
      <c r="IFJ39" s="643"/>
      <c r="IFK39" s="643"/>
      <c r="IFL39" s="643"/>
      <c r="IFM39" s="643"/>
      <c r="IFN39" s="643"/>
      <c r="IFO39" s="643"/>
      <c r="IFP39" s="643"/>
      <c r="IFQ39" s="643"/>
      <c r="IFR39" s="643"/>
      <c r="IFS39" s="643"/>
      <c r="IFT39" s="643"/>
      <c r="IFU39" s="643"/>
      <c r="IFV39" s="643"/>
      <c r="IFW39" s="643"/>
      <c r="IFX39" s="643"/>
      <c r="IFY39" s="643"/>
      <c r="IFZ39" s="643"/>
      <c r="IGA39" s="643"/>
      <c r="IGB39" s="643"/>
      <c r="IGC39" s="643"/>
      <c r="IGD39" s="643"/>
      <c r="IGE39" s="643"/>
      <c r="IGF39" s="643"/>
      <c r="IGG39" s="643"/>
      <c r="IGH39" s="643"/>
      <c r="IGI39" s="643"/>
      <c r="IGJ39" s="643"/>
      <c r="IGK39" s="643"/>
      <c r="IGL39" s="643"/>
      <c r="IGM39" s="643"/>
      <c r="IGN39" s="643"/>
      <c r="IGO39" s="643"/>
      <c r="IGP39" s="643"/>
      <c r="IGQ39" s="643"/>
      <c r="IGR39" s="643"/>
      <c r="IGS39" s="643"/>
      <c r="IGT39" s="643"/>
      <c r="IGU39" s="643"/>
      <c r="IGV39" s="643"/>
      <c r="IGW39" s="643"/>
      <c r="IGX39" s="643"/>
      <c r="IGY39" s="643"/>
      <c r="IGZ39" s="643"/>
      <c r="IHA39" s="643"/>
      <c r="IHB39" s="643"/>
      <c r="IHC39" s="643"/>
      <c r="IHD39" s="643"/>
      <c r="IHE39" s="643"/>
      <c r="IHF39" s="643"/>
      <c r="IHG39" s="643"/>
      <c r="IHH39" s="643"/>
      <c r="IHI39" s="643"/>
      <c r="IHJ39" s="643"/>
      <c r="IHK39" s="643"/>
      <c r="IHL39" s="643"/>
      <c r="IHM39" s="643"/>
      <c r="IHN39" s="643"/>
      <c r="IHO39" s="643"/>
      <c r="IHP39" s="643"/>
      <c r="IHQ39" s="643"/>
      <c r="IHR39" s="643"/>
      <c r="IHS39" s="643"/>
      <c r="IHT39" s="643"/>
      <c r="IHU39" s="643"/>
      <c r="IHV39" s="643"/>
      <c r="IHW39" s="643"/>
      <c r="IHX39" s="643"/>
      <c r="IHY39" s="643"/>
      <c r="IHZ39" s="643"/>
      <c r="IIA39" s="643"/>
      <c r="IIB39" s="643"/>
      <c r="IIC39" s="643"/>
      <c r="IID39" s="643"/>
      <c r="IIE39" s="643"/>
      <c r="IIF39" s="643"/>
      <c r="IIG39" s="643"/>
      <c r="IIH39" s="643"/>
      <c r="III39" s="643"/>
      <c r="IIJ39" s="643"/>
      <c r="IIK39" s="643"/>
      <c r="IIL39" s="643"/>
      <c r="IIM39" s="643"/>
      <c r="IIN39" s="643"/>
      <c r="IIO39" s="643"/>
      <c r="IIP39" s="643"/>
      <c r="IIQ39" s="643"/>
      <c r="IIR39" s="643"/>
      <c r="IIS39" s="643"/>
      <c r="IIT39" s="643"/>
      <c r="IIU39" s="643"/>
      <c r="IIV39" s="643"/>
      <c r="IIW39" s="643"/>
      <c r="IIX39" s="643"/>
      <c r="IIY39" s="643"/>
      <c r="IIZ39" s="643"/>
      <c r="IJA39" s="643"/>
      <c r="IJB39" s="643"/>
      <c r="IJC39" s="643"/>
      <c r="IJD39" s="643"/>
      <c r="IJE39" s="643"/>
      <c r="IJF39" s="643"/>
      <c r="IJG39" s="643"/>
      <c r="IJH39" s="643"/>
      <c r="IJI39" s="643"/>
      <c r="IJJ39" s="643"/>
      <c r="IJK39" s="643"/>
      <c r="IJL39" s="643"/>
      <c r="IJM39" s="643"/>
      <c r="IJN39" s="643"/>
      <c r="IJO39" s="643"/>
      <c r="IJP39" s="643"/>
      <c r="IJQ39" s="643"/>
      <c r="IJR39" s="643"/>
      <c r="IJS39" s="643"/>
      <c r="IJT39" s="643"/>
      <c r="IJU39" s="643"/>
      <c r="IJV39" s="643"/>
      <c r="IJW39" s="643"/>
      <c r="IJX39" s="643"/>
      <c r="IJY39" s="643"/>
      <c r="IJZ39" s="643"/>
      <c r="IKA39" s="643"/>
      <c r="IKB39" s="643"/>
      <c r="IKC39" s="643"/>
      <c r="IKD39" s="643"/>
      <c r="IKE39" s="643"/>
      <c r="IKF39" s="643"/>
      <c r="IKG39" s="643"/>
      <c r="IKH39" s="643"/>
      <c r="IKI39" s="643"/>
      <c r="IKJ39" s="643"/>
      <c r="IKK39" s="643"/>
      <c r="IKL39" s="643"/>
      <c r="IKM39" s="643"/>
      <c r="IKN39" s="643"/>
      <c r="IKO39" s="643"/>
      <c r="IKP39" s="643"/>
      <c r="IKQ39" s="643"/>
      <c r="IKR39" s="643"/>
      <c r="IKS39" s="643"/>
      <c r="IKT39" s="643"/>
      <c r="IKU39" s="643"/>
      <c r="IKV39" s="643"/>
      <c r="IKW39" s="643"/>
      <c r="IKX39" s="643"/>
      <c r="IKY39" s="643"/>
      <c r="IKZ39" s="643"/>
      <c r="ILA39" s="643"/>
      <c r="ILB39" s="643"/>
      <c r="ILC39" s="643"/>
      <c r="ILD39" s="643"/>
      <c r="ILE39" s="643"/>
      <c r="ILF39" s="643"/>
      <c r="ILG39" s="643"/>
      <c r="ILH39" s="643"/>
      <c r="ILI39" s="643"/>
      <c r="ILJ39" s="643"/>
      <c r="ILK39" s="643"/>
      <c r="ILL39" s="643"/>
      <c r="ILM39" s="643"/>
      <c r="ILN39" s="643"/>
      <c r="ILO39" s="643"/>
      <c r="ILP39" s="643"/>
      <c r="ILQ39" s="643"/>
      <c r="ILR39" s="643"/>
      <c r="ILS39" s="643"/>
      <c r="ILT39" s="643"/>
      <c r="ILU39" s="643"/>
      <c r="ILV39" s="643"/>
      <c r="ILW39" s="643"/>
      <c r="ILX39" s="643"/>
      <c r="ILY39" s="643"/>
      <c r="ILZ39" s="643"/>
      <c r="IMA39" s="643"/>
      <c r="IMB39" s="643"/>
      <c r="IMC39" s="643"/>
      <c r="IMD39" s="643"/>
      <c r="IME39" s="643"/>
      <c r="IMF39" s="643"/>
      <c r="IMG39" s="643"/>
      <c r="IMH39" s="643"/>
      <c r="IMI39" s="643"/>
      <c r="IMJ39" s="643"/>
      <c r="IMK39" s="643"/>
      <c r="IML39" s="643"/>
      <c r="IMM39" s="643"/>
      <c r="IMN39" s="643"/>
      <c r="IMO39" s="643"/>
      <c r="IMP39" s="643"/>
      <c r="IMQ39" s="643"/>
      <c r="IMR39" s="643"/>
      <c r="IMS39" s="643"/>
      <c r="IMT39" s="643"/>
      <c r="IMU39" s="643"/>
      <c r="IMV39" s="643"/>
      <c r="IMW39" s="643"/>
      <c r="IMX39" s="643"/>
      <c r="IMY39" s="643"/>
      <c r="IMZ39" s="643"/>
      <c r="INA39" s="643"/>
      <c r="INB39" s="643"/>
      <c r="INC39" s="643"/>
      <c r="IND39" s="643"/>
      <c r="INE39" s="643"/>
      <c r="INF39" s="643"/>
      <c r="ING39" s="643"/>
      <c r="INH39" s="643"/>
      <c r="INI39" s="643"/>
      <c r="INJ39" s="643"/>
      <c r="INK39" s="643"/>
      <c r="INL39" s="643"/>
      <c r="INM39" s="643"/>
      <c r="INN39" s="643"/>
      <c r="INO39" s="643"/>
      <c r="INP39" s="643"/>
      <c r="INQ39" s="643"/>
      <c r="INR39" s="643"/>
      <c r="INS39" s="643"/>
      <c r="INT39" s="643"/>
      <c r="INU39" s="643"/>
      <c r="INV39" s="643"/>
      <c r="INW39" s="643"/>
      <c r="INX39" s="643"/>
      <c r="INY39" s="643"/>
      <c r="INZ39" s="643"/>
      <c r="IOA39" s="643"/>
      <c r="IOB39" s="643"/>
      <c r="IOC39" s="643"/>
      <c r="IOD39" s="643"/>
      <c r="IOE39" s="643"/>
      <c r="IOF39" s="643"/>
      <c r="IOG39" s="643"/>
      <c r="IOH39" s="643"/>
      <c r="IOI39" s="643"/>
      <c r="IOJ39" s="643"/>
      <c r="IOK39" s="643"/>
      <c r="IOL39" s="643"/>
      <c r="IOM39" s="643"/>
      <c r="ION39" s="643"/>
      <c r="IOO39" s="643"/>
      <c r="IOP39" s="643"/>
      <c r="IOQ39" s="643"/>
      <c r="IOR39" s="643"/>
      <c r="IOS39" s="643"/>
      <c r="IOT39" s="643"/>
      <c r="IOU39" s="643"/>
      <c r="IOV39" s="643"/>
      <c r="IOW39" s="643"/>
      <c r="IOX39" s="643"/>
      <c r="IOY39" s="643"/>
      <c r="IOZ39" s="643"/>
      <c r="IPA39" s="643"/>
      <c r="IPB39" s="643"/>
      <c r="IPC39" s="643"/>
      <c r="IPD39" s="643"/>
      <c r="IPE39" s="643"/>
      <c r="IPF39" s="643"/>
      <c r="IPG39" s="643"/>
      <c r="IPH39" s="643"/>
      <c r="IPI39" s="643"/>
      <c r="IPJ39" s="643"/>
      <c r="IPK39" s="643"/>
      <c r="IPL39" s="643"/>
      <c r="IPM39" s="643"/>
      <c r="IPN39" s="643"/>
      <c r="IPO39" s="643"/>
      <c r="IPP39" s="643"/>
      <c r="IPQ39" s="643"/>
      <c r="IPR39" s="643"/>
      <c r="IPS39" s="643"/>
      <c r="IPT39" s="643"/>
      <c r="IPU39" s="643"/>
      <c r="IPV39" s="643"/>
      <c r="IPW39" s="643"/>
      <c r="IPX39" s="643"/>
      <c r="IPY39" s="643"/>
      <c r="IPZ39" s="643"/>
      <c r="IQA39" s="643"/>
      <c r="IQB39" s="643"/>
      <c r="IQC39" s="643"/>
      <c r="IQD39" s="643"/>
      <c r="IQE39" s="643"/>
      <c r="IQF39" s="643"/>
      <c r="IQG39" s="643"/>
      <c r="IQH39" s="643"/>
      <c r="IQI39" s="643"/>
      <c r="IQJ39" s="643"/>
      <c r="IQK39" s="643"/>
      <c r="IQL39" s="643"/>
      <c r="IQM39" s="643"/>
      <c r="IQN39" s="643"/>
      <c r="IQO39" s="643"/>
      <c r="IQP39" s="643"/>
      <c r="IQQ39" s="643"/>
      <c r="IQR39" s="643"/>
      <c r="IQS39" s="643"/>
      <c r="IQT39" s="643"/>
      <c r="IQU39" s="643"/>
      <c r="IQV39" s="643"/>
      <c r="IQW39" s="643"/>
      <c r="IQX39" s="643"/>
      <c r="IQY39" s="643"/>
      <c r="IQZ39" s="643"/>
      <c r="IRA39" s="643"/>
      <c r="IRB39" s="643"/>
      <c r="IRC39" s="643"/>
      <c r="IRD39" s="643"/>
      <c r="IRE39" s="643"/>
      <c r="IRF39" s="643"/>
      <c r="IRG39" s="643"/>
      <c r="IRH39" s="643"/>
      <c r="IRI39" s="643"/>
      <c r="IRJ39" s="643"/>
      <c r="IRK39" s="643"/>
      <c r="IRL39" s="643"/>
      <c r="IRM39" s="643"/>
      <c r="IRN39" s="643"/>
      <c r="IRO39" s="643"/>
      <c r="IRP39" s="643"/>
      <c r="IRQ39" s="643"/>
      <c r="IRR39" s="643"/>
      <c r="IRS39" s="643"/>
      <c r="IRT39" s="643"/>
      <c r="IRU39" s="643"/>
      <c r="IRV39" s="643"/>
      <c r="IRW39" s="643"/>
      <c r="IRX39" s="643"/>
      <c r="IRY39" s="643"/>
      <c r="IRZ39" s="643"/>
      <c r="ISA39" s="643"/>
      <c r="ISB39" s="643"/>
      <c r="ISC39" s="643"/>
      <c r="ISD39" s="643"/>
      <c r="ISE39" s="643"/>
      <c r="ISF39" s="643"/>
      <c r="ISG39" s="643"/>
      <c r="ISH39" s="643"/>
      <c r="ISI39" s="643"/>
      <c r="ISJ39" s="643"/>
      <c r="ISK39" s="643"/>
      <c r="ISL39" s="643"/>
      <c r="ISM39" s="643"/>
      <c r="ISN39" s="643"/>
      <c r="ISO39" s="643"/>
      <c r="ISP39" s="643"/>
      <c r="ISQ39" s="643"/>
      <c r="ISR39" s="643"/>
      <c r="ISS39" s="643"/>
      <c r="IST39" s="643"/>
      <c r="ISU39" s="643"/>
      <c r="ISV39" s="643"/>
      <c r="ISW39" s="643"/>
      <c r="ISX39" s="643"/>
      <c r="ISY39" s="643"/>
      <c r="ISZ39" s="643"/>
      <c r="ITA39" s="643"/>
      <c r="ITB39" s="643"/>
      <c r="ITC39" s="643"/>
      <c r="ITD39" s="643"/>
      <c r="ITE39" s="643"/>
      <c r="ITF39" s="643"/>
      <c r="ITG39" s="643"/>
      <c r="ITH39" s="643"/>
      <c r="ITI39" s="643"/>
      <c r="ITJ39" s="643"/>
      <c r="ITK39" s="643"/>
      <c r="ITL39" s="643"/>
      <c r="ITM39" s="643"/>
      <c r="ITN39" s="643"/>
      <c r="ITO39" s="643"/>
      <c r="ITP39" s="643"/>
      <c r="ITQ39" s="643"/>
      <c r="ITR39" s="643"/>
      <c r="ITS39" s="643"/>
      <c r="ITT39" s="643"/>
      <c r="ITU39" s="643"/>
      <c r="ITV39" s="643"/>
      <c r="ITW39" s="643"/>
      <c r="ITX39" s="643"/>
      <c r="ITY39" s="643"/>
      <c r="ITZ39" s="643"/>
      <c r="IUA39" s="643"/>
      <c r="IUB39" s="643"/>
      <c r="IUC39" s="643"/>
      <c r="IUD39" s="643"/>
      <c r="IUE39" s="643"/>
      <c r="IUF39" s="643"/>
      <c r="IUG39" s="643"/>
      <c r="IUH39" s="643"/>
      <c r="IUI39" s="643"/>
      <c r="IUJ39" s="643"/>
      <c r="IUK39" s="643"/>
      <c r="IUL39" s="643"/>
      <c r="IUM39" s="643"/>
      <c r="IUN39" s="643"/>
      <c r="IUO39" s="643"/>
      <c r="IUP39" s="643"/>
      <c r="IUQ39" s="643"/>
      <c r="IUR39" s="643"/>
      <c r="IUS39" s="643"/>
      <c r="IUT39" s="643"/>
      <c r="IUU39" s="643"/>
      <c r="IUV39" s="643"/>
      <c r="IUW39" s="643"/>
      <c r="IUX39" s="643"/>
      <c r="IUY39" s="643"/>
      <c r="IUZ39" s="643"/>
      <c r="IVA39" s="643"/>
      <c r="IVB39" s="643"/>
      <c r="IVC39" s="643"/>
      <c r="IVD39" s="643"/>
      <c r="IVE39" s="643"/>
      <c r="IVF39" s="643"/>
      <c r="IVG39" s="643"/>
      <c r="IVH39" s="643"/>
      <c r="IVI39" s="643"/>
      <c r="IVJ39" s="643"/>
      <c r="IVK39" s="643"/>
      <c r="IVL39" s="643"/>
      <c r="IVM39" s="643"/>
      <c r="IVN39" s="643"/>
      <c r="IVO39" s="643"/>
      <c r="IVP39" s="643"/>
      <c r="IVQ39" s="643"/>
      <c r="IVR39" s="643"/>
      <c r="IVS39" s="643"/>
      <c r="IVT39" s="643"/>
      <c r="IVU39" s="643"/>
      <c r="IVV39" s="643"/>
      <c r="IVW39" s="643"/>
      <c r="IVX39" s="643"/>
      <c r="IVY39" s="643"/>
      <c r="IVZ39" s="643"/>
      <c r="IWA39" s="643"/>
      <c r="IWB39" s="643"/>
      <c r="IWC39" s="643"/>
      <c r="IWD39" s="643"/>
      <c r="IWE39" s="643"/>
      <c r="IWF39" s="643"/>
      <c r="IWG39" s="643"/>
      <c r="IWH39" s="643"/>
      <c r="IWI39" s="643"/>
      <c r="IWJ39" s="643"/>
      <c r="IWK39" s="643"/>
      <c r="IWL39" s="643"/>
      <c r="IWM39" s="643"/>
      <c r="IWN39" s="643"/>
      <c r="IWO39" s="643"/>
      <c r="IWP39" s="643"/>
      <c r="IWQ39" s="643"/>
      <c r="IWR39" s="643"/>
      <c r="IWS39" s="643"/>
      <c r="IWT39" s="643"/>
      <c r="IWU39" s="643"/>
      <c r="IWV39" s="643"/>
      <c r="IWW39" s="643"/>
      <c r="IWX39" s="643"/>
      <c r="IWY39" s="643"/>
      <c r="IWZ39" s="643"/>
      <c r="IXA39" s="643"/>
      <c r="IXB39" s="643"/>
      <c r="IXC39" s="643"/>
      <c r="IXD39" s="643"/>
      <c r="IXE39" s="643"/>
      <c r="IXF39" s="643"/>
      <c r="IXG39" s="643"/>
      <c r="IXH39" s="643"/>
      <c r="IXI39" s="643"/>
      <c r="IXJ39" s="643"/>
      <c r="IXK39" s="643"/>
      <c r="IXL39" s="643"/>
      <c r="IXM39" s="643"/>
      <c r="IXN39" s="643"/>
      <c r="IXO39" s="643"/>
      <c r="IXP39" s="643"/>
      <c r="IXQ39" s="643"/>
      <c r="IXR39" s="643"/>
      <c r="IXS39" s="643"/>
      <c r="IXT39" s="643"/>
      <c r="IXU39" s="643"/>
      <c r="IXV39" s="643"/>
      <c r="IXW39" s="643"/>
      <c r="IXX39" s="643"/>
      <c r="IXY39" s="643"/>
      <c r="IXZ39" s="643"/>
      <c r="IYA39" s="643"/>
      <c r="IYB39" s="643"/>
      <c r="IYC39" s="643"/>
      <c r="IYD39" s="643"/>
      <c r="IYE39" s="643"/>
      <c r="IYF39" s="643"/>
      <c r="IYG39" s="643"/>
      <c r="IYH39" s="643"/>
      <c r="IYI39" s="643"/>
      <c r="IYJ39" s="643"/>
      <c r="IYK39" s="643"/>
      <c r="IYL39" s="643"/>
      <c r="IYM39" s="643"/>
      <c r="IYN39" s="643"/>
      <c r="IYO39" s="643"/>
      <c r="IYP39" s="643"/>
      <c r="IYQ39" s="643"/>
      <c r="IYR39" s="643"/>
      <c r="IYS39" s="643"/>
      <c r="IYT39" s="643"/>
      <c r="IYU39" s="643"/>
      <c r="IYV39" s="643"/>
      <c r="IYW39" s="643"/>
      <c r="IYX39" s="643"/>
      <c r="IYY39" s="643"/>
      <c r="IYZ39" s="643"/>
      <c r="IZA39" s="643"/>
      <c r="IZB39" s="643"/>
      <c r="IZC39" s="643"/>
      <c r="IZD39" s="643"/>
      <c r="IZE39" s="643"/>
      <c r="IZF39" s="643"/>
      <c r="IZG39" s="643"/>
      <c r="IZH39" s="643"/>
      <c r="IZI39" s="643"/>
      <c r="IZJ39" s="643"/>
      <c r="IZK39" s="643"/>
      <c r="IZL39" s="643"/>
      <c r="IZM39" s="643"/>
      <c r="IZN39" s="643"/>
      <c r="IZO39" s="643"/>
      <c r="IZP39" s="643"/>
      <c r="IZQ39" s="643"/>
      <c r="IZR39" s="643"/>
      <c r="IZS39" s="643"/>
      <c r="IZT39" s="643"/>
      <c r="IZU39" s="643"/>
      <c r="IZV39" s="643"/>
      <c r="IZW39" s="643"/>
      <c r="IZX39" s="643"/>
      <c r="IZY39" s="643"/>
      <c r="IZZ39" s="643"/>
      <c r="JAA39" s="643"/>
      <c r="JAB39" s="643"/>
      <c r="JAC39" s="643"/>
      <c r="JAD39" s="643"/>
      <c r="JAE39" s="643"/>
      <c r="JAF39" s="643"/>
      <c r="JAG39" s="643"/>
      <c r="JAH39" s="643"/>
      <c r="JAI39" s="643"/>
      <c r="JAJ39" s="643"/>
      <c r="JAK39" s="643"/>
      <c r="JAL39" s="643"/>
      <c r="JAM39" s="643"/>
      <c r="JAN39" s="643"/>
      <c r="JAO39" s="643"/>
      <c r="JAP39" s="643"/>
      <c r="JAQ39" s="643"/>
      <c r="JAR39" s="643"/>
      <c r="JAS39" s="643"/>
      <c r="JAT39" s="643"/>
      <c r="JAU39" s="643"/>
      <c r="JAV39" s="643"/>
      <c r="JAW39" s="643"/>
      <c r="JAX39" s="643"/>
      <c r="JAY39" s="643"/>
      <c r="JAZ39" s="643"/>
      <c r="JBA39" s="643"/>
      <c r="JBB39" s="643"/>
      <c r="JBC39" s="643"/>
      <c r="JBD39" s="643"/>
      <c r="JBE39" s="643"/>
      <c r="JBF39" s="643"/>
      <c r="JBG39" s="643"/>
      <c r="JBH39" s="643"/>
      <c r="JBI39" s="643"/>
      <c r="JBJ39" s="643"/>
      <c r="JBK39" s="643"/>
      <c r="JBL39" s="643"/>
      <c r="JBM39" s="643"/>
      <c r="JBN39" s="643"/>
      <c r="JBO39" s="643"/>
      <c r="JBP39" s="643"/>
      <c r="JBQ39" s="643"/>
      <c r="JBR39" s="643"/>
      <c r="JBS39" s="643"/>
      <c r="JBT39" s="643"/>
      <c r="JBU39" s="643"/>
      <c r="JBV39" s="643"/>
      <c r="JBW39" s="643"/>
      <c r="JBX39" s="643"/>
      <c r="JBY39" s="643"/>
      <c r="JBZ39" s="643"/>
      <c r="JCA39" s="643"/>
      <c r="JCB39" s="643"/>
      <c r="JCC39" s="643"/>
      <c r="JCD39" s="643"/>
      <c r="JCE39" s="643"/>
      <c r="JCF39" s="643"/>
      <c r="JCG39" s="643"/>
      <c r="JCH39" s="643"/>
      <c r="JCI39" s="643"/>
      <c r="JCJ39" s="643"/>
      <c r="JCK39" s="643"/>
      <c r="JCL39" s="643"/>
      <c r="JCM39" s="643"/>
      <c r="JCN39" s="643"/>
      <c r="JCO39" s="643"/>
      <c r="JCP39" s="643"/>
      <c r="JCQ39" s="643"/>
      <c r="JCR39" s="643"/>
      <c r="JCS39" s="643"/>
      <c r="JCT39" s="643"/>
      <c r="JCU39" s="643"/>
      <c r="JCV39" s="643"/>
      <c r="JCW39" s="643"/>
      <c r="JCX39" s="643"/>
      <c r="JCY39" s="643"/>
      <c r="JCZ39" s="643"/>
      <c r="JDA39" s="643"/>
      <c r="JDB39" s="643"/>
      <c r="JDC39" s="643"/>
      <c r="JDD39" s="643"/>
      <c r="JDE39" s="643"/>
      <c r="JDF39" s="643"/>
      <c r="JDG39" s="643"/>
      <c r="JDH39" s="643"/>
      <c r="JDI39" s="643"/>
      <c r="JDJ39" s="643"/>
      <c r="JDK39" s="643"/>
      <c r="JDL39" s="643"/>
      <c r="JDM39" s="643"/>
      <c r="JDN39" s="643"/>
      <c r="JDO39" s="643"/>
      <c r="JDP39" s="643"/>
      <c r="JDQ39" s="643"/>
      <c r="JDR39" s="643"/>
      <c r="JDS39" s="643"/>
      <c r="JDT39" s="643"/>
      <c r="JDU39" s="643"/>
      <c r="JDV39" s="643"/>
      <c r="JDW39" s="643"/>
      <c r="JDX39" s="643"/>
      <c r="JDY39" s="643"/>
      <c r="JDZ39" s="643"/>
      <c r="JEA39" s="643"/>
      <c r="JEB39" s="643"/>
      <c r="JEC39" s="643"/>
      <c r="JED39" s="643"/>
      <c r="JEE39" s="643"/>
      <c r="JEF39" s="643"/>
      <c r="JEG39" s="643"/>
      <c r="JEH39" s="643"/>
      <c r="JEI39" s="643"/>
      <c r="JEJ39" s="643"/>
      <c r="JEK39" s="643"/>
      <c r="JEL39" s="643"/>
      <c r="JEM39" s="643"/>
      <c r="JEN39" s="643"/>
      <c r="JEO39" s="643"/>
      <c r="JEP39" s="643"/>
      <c r="JEQ39" s="643"/>
      <c r="JER39" s="643"/>
      <c r="JES39" s="643"/>
      <c r="JET39" s="643"/>
      <c r="JEU39" s="643"/>
      <c r="JEV39" s="643"/>
      <c r="JEW39" s="643"/>
      <c r="JEX39" s="643"/>
      <c r="JEY39" s="643"/>
      <c r="JEZ39" s="643"/>
      <c r="JFA39" s="643"/>
      <c r="JFB39" s="643"/>
      <c r="JFC39" s="643"/>
      <c r="JFD39" s="643"/>
      <c r="JFE39" s="643"/>
      <c r="JFF39" s="643"/>
      <c r="JFG39" s="643"/>
      <c r="JFH39" s="643"/>
      <c r="JFI39" s="643"/>
      <c r="JFJ39" s="643"/>
      <c r="JFK39" s="643"/>
      <c r="JFL39" s="643"/>
      <c r="JFM39" s="643"/>
      <c r="JFN39" s="643"/>
      <c r="JFO39" s="643"/>
      <c r="JFP39" s="643"/>
      <c r="JFQ39" s="643"/>
      <c r="JFR39" s="643"/>
      <c r="JFS39" s="643"/>
      <c r="JFT39" s="643"/>
      <c r="JFU39" s="643"/>
      <c r="JFV39" s="643"/>
      <c r="JFW39" s="643"/>
      <c r="JFX39" s="643"/>
      <c r="JFY39" s="643"/>
      <c r="JFZ39" s="643"/>
      <c r="JGA39" s="643"/>
      <c r="JGB39" s="643"/>
      <c r="JGC39" s="643"/>
      <c r="JGD39" s="643"/>
      <c r="JGE39" s="643"/>
      <c r="JGF39" s="643"/>
      <c r="JGG39" s="643"/>
      <c r="JGH39" s="643"/>
      <c r="JGI39" s="643"/>
      <c r="JGJ39" s="643"/>
      <c r="JGK39" s="643"/>
      <c r="JGL39" s="643"/>
      <c r="JGM39" s="643"/>
      <c r="JGN39" s="643"/>
      <c r="JGO39" s="643"/>
      <c r="JGP39" s="643"/>
      <c r="JGQ39" s="643"/>
      <c r="JGR39" s="643"/>
      <c r="JGS39" s="643"/>
      <c r="JGT39" s="643"/>
      <c r="JGU39" s="643"/>
      <c r="JGV39" s="643"/>
      <c r="JGW39" s="643"/>
      <c r="JGX39" s="643"/>
      <c r="JGY39" s="643"/>
      <c r="JGZ39" s="643"/>
      <c r="JHA39" s="643"/>
      <c r="JHB39" s="643"/>
      <c r="JHC39" s="643"/>
      <c r="JHD39" s="643"/>
      <c r="JHE39" s="643"/>
      <c r="JHF39" s="643"/>
      <c r="JHG39" s="643"/>
      <c r="JHH39" s="643"/>
      <c r="JHI39" s="643"/>
      <c r="JHJ39" s="643"/>
      <c r="JHK39" s="643"/>
      <c r="JHL39" s="643"/>
      <c r="JHM39" s="643"/>
      <c r="JHN39" s="643"/>
      <c r="JHO39" s="643"/>
      <c r="JHP39" s="643"/>
      <c r="JHQ39" s="643"/>
      <c r="JHR39" s="643"/>
      <c r="JHS39" s="643"/>
      <c r="JHT39" s="643"/>
      <c r="JHU39" s="643"/>
      <c r="JHV39" s="643"/>
      <c r="JHW39" s="643"/>
      <c r="JHX39" s="643"/>
      <c r="JHY39" s="643"/>
      <c r="JHZ39" s="643"/>
      <c r="JIA39" s="643"/>
      <c r="JIB39" s="643"/>
      <c r="JIC39" s="643"/>
      <c r="JID39" s="643"/>
      <c r="JIE39" s="643"/>
      <c r="JIF39" s="643"/>
      <c r="JIG39" s="643"/>
      <c r="JIH39" s="643"/>
      <c r="JII39" s="643"/>
      <c r="JIJ39" s="643"/>
      <c r="JIK39" s="643"/>
      <c r="JIL39" s="643"/>
      <c r="JIM39" s="643"/>
      <c r="JIN39" s="643"/>
      <c r="JIO39" s="643"/>
      <c r="JIP39" s="643"/>
      <c r="JIQ39" s="643"/>
      <c r="JIR39" s="643"/>
      <c r="JIS39" s="643"/>
      <c r="JIT39" s="643"/>
      <c r="JIU39" s="643"/>
      <c r="JIV39" s="643"/>
      <c r="JIW39" s="643"/>
      <c r="JIX39" s="643"/>
      <c r="JIY39" s="643"/>
      <c r="JIZ39" s="643"/>
      <c r="JJA39" s="643"/>
      <c r="JJB39" s="643"/>
      <c r="JJC39" s="643"/>
      <c r="JJD39" s="643"/>
      <c r="JJE39" s="643"/>
      <c r="JJF39" s="643"/>
      <c r="JJG39" s="643"/>
      <c r="JJH39" s="643"/>
      <c r="JJI39" s="643"/>
      <c r="JJJ39" s="643"/>
      <c r="JJK39" s="643"/>
      <c r="JJL39" s="643"/>
      <c r="JJM39" s="643"/>
      <c r="JJN39" s="643"/>
      <c r="JJO39" s="643"/>
      <c r="JJP39" s="643"/>
      <c r="JJQ39" s="643"/>
      <c r="JJR39" s="643"/>
      <c r="JJS39" s="643"/>
      <c r="JJT39" s="643"/>
      <c r="JJU39" s="643"/>
      <c r="JJV39" s="643"/>
      <c r="JJW39" s="643"/>
      <c r="JJX39" s="643"/>
      <c r="JJY39" s="643"/>
      <c r="JJZ39" s="643"/>
      <c r="JKA39" s="643"/>
      <c r="JKB39" s="643"/>
      <c r="JKC39" s="643"/>
      <c r="JKD39" s="643"/>
      <c r="JKE39" s="643"/>
      <c r="JKF39" s="643"/>
      <c r="JKG39" s="643"/>
      <c r="JKH39" s="643"/>
      <c r="JKI39" s="643"/>
      <c r="JKJ39" s="643"/>
      <c r="JKK39" s="643"/>
      <c r="JKL39" s="643"/>
      <c r="JKM39" s="643"/>
      <c r="JKN39" s="643"/>
      <c r="JKO39" s="643"/>
      <c r="JKP39" s="643"/>
      <c r="JKQ39" s="643"/>
      <c r="JKR39" s="643"/>
      <c r="JKS39" s="643"/>
      <c r="JKT39" s="643"/>
      <c r="JKU39" s="643"/>
      <c r="JKV39" s="643"/>
      <c r="JKW39" s="643"/>
      <c r="JKX39" s="643"/>
      <c r="JKY39" s="643"/>
      <c r="JKZ39" s="643"/>
      <c r="JLA39" s="643"/>
      <c r="JLB39" s="643"/>
      <c r="JLC39" s="643"/>
      <c r="JLD39" s="643"/>
      <c r="JLE39" s="643"/>
      <c r="JLF39" s="643"/>
      <c r="JLG39" s="643"/>
      <c r="JLH39" s="643"/>
      <c r="JLI39" s="643"/>
      <c r="JLJ39" s="643"/>
      <c r="JLK39" s="643"/>
      <c r="JLL39" s="643"/>
      <c r="JLM39" s="643"/>
      <c r="JLN39" s="643"/>
      <c r="JLO39" s="643"/>
      <c r="JLP39" s="643"/>
      <c r="JLQ39" s="643"/>
      <c r="JLR39" s="643"/>
      <c r="JLS39" s="643"/>
      <c r="JLT39" s="643"/>
      <c r="JLU39" s="643"/>
      <c r="JLV39" s="643"/>
      <c r="JLW39" s="643"/>
      <c r="JLX39" s="643"/>
      <c r="JLY39" s="643"/>
      <c r="JLZ39" s="643"/>
      <c r="JMA39" s="643"/>
      <c r="JMB39" s="643"/>
      <c r="JMC39" s="643"/>
      <c r="JMD39" s="643"/>
      <c r="JME39" s="643"/>
      <c r="JMF39" s="643"/>
      <c r="JMG39" s="643"/>
      <c r="JMH39" s="643"/>
      <c r="JMI39" s="643"/>
      <c r="JMJ39" s="643"/>
      <c r="JMK39" s="643"/>
      <c r="JML39" s="643"/>
      <c r="JMM39" s="643"/>
      <c r="JMN39" s="643"/>
      <c r="JMO39" s="643"/>
      <c r="JMP39" s="643"/>
      <c r="JMQ39" s="643"/>
      <c r="JMR39" s="643"/>
      <c r="JMS39" s="643"/>
      <c r="JMT39" s="643"/>
      <c r="JMU39" s="643"/>
      <c r="JMV39" s="643"/>
      <c r="JMW39" s="643"/>
      <c r="JMX39" s="643"/>
      <c r="JMY39" s="643"/>
      <c r="JMZ39" s="643"/>
      <c r="JNA39" s="643"/>
      <c r="JNB39" s="643"/>
      <c r="JNC39" s="643"/>
      <c r="JND39" s="643"/>
      <c r="JNE39" s="643"/>
      <c r="JNF39" s="643"/>
      <c r="JNG39" s="643"/>
      <c r="JNH39" s="643"/>
      <c r="JNI39" s="643"/>
      <c r="JNJ39" s="643"/>
      <c r="JNK39" s="643"/>
      <c r="JNL39" s="643"/>
      <c r="JNM39" s="643"/>
      <c r="JNN39" s="643"/>
      <c r="JNO39" s="643"/>
      <c r="JNP39" s="643"/>
      <c r="JNQ39" s="643"/>
      <c r="JNR39" s="643"/>
      <c r="JNS39" s="643"/>
      <c r="JNT39" s="643"/>
      <c r="JNU39" s="643"/>
      <c r="JNV39" s="643"/>
      <c r="JNW39" s="643"/>
      <c r="JNX39" s="643"/>
      <c r="JNY39" s="643"/>
      <c r="JNZ39" s="643"/>
      <c r="JOA39" s="643"/>
      <c r="JOB39" s="643"/>
      <c r="JOC39" s="643"/>
      <c r="JOD39" s="643"/>
      <c r="JOE39" s="643"/>
      <c r="JOF39" s="643"/>
      <c r="JOG39" s="643"/>
      <c r="JOH39" s="643"/>
      <c r="JOI39" s="643"/>
      <c r="JOJ39" s="643"/>
      <c r="JOK39" s="643"/>
      <c r="JOL39" s="643"/>
      <c r="JOM39" s="643"/>
      <c r="JON39" s="643"/>
      <c r="JOO39" s="643"/>
      <c r="JOP39" s="643"/>
      <c r="JOQ39" s="643"/>
      <c r="JOR39" s="643"/>
      <c r="JOS39" s="643"/>
      <c r="JOT39" s="643"/>
      <c r="JOU39" s="643"/>
      <c r="JOV39" s="643"/>
      <c r="JOW39" s="643"/>
      <c r="JOX39" s="643"/>
      <c r="JOY39" s="643"/>
      <c r="JOZ39" s="643"/>
      <c r="JPA39" s="643"/>
      <c r="JPB39" s="643"/>
      <c r="JPC39" s="643"/>
      <c r="JPD39" s="643"/>
      <c r="JPE39" s="643"/>
      <c r="JPF39" s="643"/>
      <c r="JPG39" s="643"/>
      <c r="JPH39" s="643"/>
      <c r="JPI39" s="643"/>
      <c r="JPJ39" s="643"/>
      <c r="JPK39" s="643"/>
      <c r="JPL39" s="643"/>
      <c r="JPM39" s="643"/>
      <c r="JPN39" s="643"/>
      <c r="JPO39" s="643"/>
      <c r="JPP39" s="643"/>
      <c r="JPQ39" s="643"/>
      <c r="JPR39" s="643"/>
      <c r="JPS39" s="643"/>
      <c r="JPT39" s="643"/>
      <c r="JPU39" s="643"/>
      <c r="JPV39" s="643"/>
      <c r="JPW39" s="643"/>
      <c r="JPX39" s="643"/>
      <c r="JPY39" s="643"/>
      <c r="JPZ39" s="643"/>
      <c r="JQA39" s="643"/>
      <c r="JQB39" s="643"/>
      <c r="JQC39" s="643"/>
      <c r="JQD39" s="643"/>
      <c r="JQE39" s="643"/>
      <c r="JQF39" s="643"/>
      <c r="JQG39" s="643"/>
      <c r="JQH39" s="643"/>
      <c r="JQI39" s="643"/>
      <c r="JQJ39" s="643"/>
      <c r="JQK39" s="643"/>
      <c r="JQL39" s="643"/>
      <c r="JQM39" s="643"/>
      <c r="JQN39" s="643"/>
      <c r="JQO39" s="643"/>
      <c r="JQP39" s="643"/>
      <c r="JQQ39" s="643"/>
      <c r="JQR39" s="643"/>
      <c r="JQS39" s="643"/>
      <c r="JQT39" s="643"/>
      <c r="JQU39" s="643"/>
      <c r="JQV39" s="643"/>
      <c r="JQW39" s="643"/>
      <c r="JQX39" s="643"/>
      <c r="JQY39" s="643"/>
      <c r="JQZ39" s="643"/>
      <c r="JRA39" s="643"/>
      <c r="JRB39" s="643"/>
      <c r="JRC39" s="643"/>
      <c r="JRD39" s="643"/>
      <c r="JRE39" s="643"/>
      <c r="JRF39" s="643"/>
      <c r="JRG39" s="643"/>
      <c r="JRH39" s="643"/>
      <c r="JRI39" s="643"/>
      <c r="JRJ39" s="643"/>
      <c r="JRK39" s="643"/>
      <c r="JRL39" s="643"/>
      <c r="JRM39" s="643"/>
      <c r="JRN39" s="643"/>
      <c r="JRO39" s="643"/>
      <c r="JRP39" s="643"/>
      <c r="JRQ39" s="643"/>
      <c r="JRR39" s="643"/>
      <c r="JRS39" s="643"/>
      <c r="JRT39" s="643"/>
      <c r="JRU39" s="643"/>
      <c r="JRV39" s="643"/>
      <c r="JRW39" s="643"/>
      <c r="JRX39" s="643"/>
      <c r="JRY39" s="643"/>
      <c r="JRZ39" s="643"/>
      <c r="JSA39" s="643"/>
      <c r="JSB39" s="643"/>
      <c r="JSC39" s="643"/>
      <c r="JSD39" s="643"/>
      <c r="JSE39" s="643"/>
      <c r="JSF39" s="643"/>
      <c r="JSG39" s="643"/>
      <c r="JSH39" s="643"/>
      <c r="JSI39" s="643"/>
      <c r="JSJ39" s="643"/>
      <c r="JSK39" s="643"/>
      <c r="JSL39" s="643"/>
      <c r="JSM39" s="643"/>
      <c r="JSN39" s="643"/>
      <c r="JSO39" s="643"/>
      <c r="JSP39" s="643"/>
      <c r="JSQ39" s="643"/>
      <c r="JSR39" s="643"/>
      <c r="JSS39" s="643"/>
      <c r="JST39" s="643"/>
      <c r="JSU39" s="643"/>
      <c r="JSV39" s="643"/>
      <c r="JSW39" s="643"/>
      <c r="JSX39" s="643"/>
      <c r="JSY39" s="643"/>
      <c r="JSZ39" s="643"/>
      <c r="JTA39" s="643"/>
      <c r="JTB39" s="643"/>
      <c r="JTC39" s="643"/>
      <c r="JTD39" s="643"/>
      <c r="JTE39" s="643"/>
      <c r="JTF39" s="643"/>
      <c r="JTG39" s="643"/>
      <c r="JTH39" s="643"/>
      <c r="JTI39" s="643"/>
      <c r="JTJ39" s="643"/>
      <c r="JTK39" s="643"/>
      <c r="JTL39" s="643"/>
      <c r="JTM39" s="643"/>
      <c r="JTN39" s="643"/>
      <c r="JTO39" s="643"/>
      <c r="JTP39" s="643"/>
      <c r="JTQ39" s="643"/>
      <c r="JTR39" s="643"/>
      <c r="JTS39" s="643"/>
      <c r="JTT39" s="643"/>
      <c r="JTU39" s="643"/>
      <c r="JTV39" s="643"/>
      <c r="JTW39" s="643"/>
      <c r="JTX39" s="643"/>
      <c r="JTY39" s="643"/>
      <c r="JTZ39" s="643"/>
      <c r="JUA39" s="643"/>
      <c r="JUB39" s="643"/>
      <c r="JUC39" s="643"/>
      <c r="JUD39" s="643"/>
      <c r="JUE39" s="643"/>
      <c r="JUF39" s="643"/>
      <c r="JUG39" s="643"/>
      <c r="JUH39" s="643"/>
      <c r="JUI39" s="643"/>
      <c r="JUJ39" s="643"/>
      <c r="JUK39" s="643"/>
      <c r="JUL39" s="643"/>
      <c r="JUM39" s="643"/>
      <c r="JUN39" s="643"/>
      <c r="JUO39" s="643"/>
      <c r="JUP39" s="643"/>
      <c r="JUQ39" s="643"/>
      <c r="JUR39" s="643"/>
      <c r="JUS39" s="643"/>
      <c r="JUT39" s="643"/>
      <c r="JUU39" s="643"/>
      <c r="JUV39" s="643"/>
      <c r="JUW39" s="643"/>
      <c r="JUX39" s="643"/>
      <c r="JUY39" s="643"/>
      <c r="JUZ39" s="643"/>
      <c r="JVA39" s="643"/>
      <c r="JVB39" s="643"/>
      <c r="JVC39" s="643"/>
      <c r="JVD39" s="643"/>
      <c r="JVE39" s="643"/>
      <c r="JVF39" s="643"/>
      <c r="JVG39" s="643"/>
      <c r="JVH39" s="643"/>
      <c r="JVI39" s="643"/>
      <c r="JVJ39" s="643"/>
      <c r="JVK39" s="643"/>
      <c r="JVL39" s="643"/>
      <c r="JVM39" s="643"/>
      <c r="JVN39" s="643"/>
      <c r="JVO39" s="643"/>
      <c r="JVP39" s="643"/>
      <c r="JVQ39" s="643"/>
      <c r="JVR39" s="643"/>
      <c r="JVS39" s="643"/>
      <c r="JVT39" s="643"/>
      <c r="JVU39" s="643"/>
      <c r="JVV39" s="643"/>
      <c r="JVW39" s="643"/>
      <c r="JVX39" s="643"/>
      <c r="JVY39" s="643"/>
      <c r="JVZ39" s="643"/>
      <c r="JWA39" s="643"/>
      <c r="JWB39" s="643"/>
      <c r="JWC39" s="643"/>
      <c r="JWD39" s="643"/>
      <c r="JWE39" s="643"/>
      <c r="JWF39" s="643"/>
      <c r="JWG39" s="643"/>
      <c r="JWH39" s="643"/>
      <c r="JWI39" s="643"/>
      <c r="JWJ39" s="643"/>
      <c r="JWK39" s="643"/>
      <c r="JWL39" s="643"/>
      <c r="JWM39" s="643"/>
      <c r="JWN39" s="643"/>
      <c r="JWO39" s="643"/>
      <c r="JWP39" s="643"/>
      <c r="JWQ39" s="643"/>
      <c r="JWR39" s="643"/>
      <c r="JWS39" s="643"/>
      <c r="JWT39" s="643"/>
      <c r="JWU39" s="643"/>
      <c r="JWV39" s="643"/>
      <c r="JWW39" s="643"/>
      <c r="JWX39" s="643"/>
      <c r="JWY39" s="643"/>
      <c r="JWZ39" s="643"/>
      <c r="JXA39" s="643"/>
      <c r="JXB39" s="643"/>
      <c r="JXC39" s="643"/>
      <c r="JXD39" s="643"/>
      <c r="JXE39" s="643"/>
      <c r="JXF39" s="643"/>
      <c r="JXG39" s="643"/>
      <c r="JXH39" s="643"/>
      <c r="JXI39" s="643"/>
      <c r="JXJ39" s="643"/>
      <c r="JXK39" s="643"/>
      <c r="JXL39" s="643"/>
      <c r="JXM39" s="643"/>
      <c r="JXN39" s="643"/>
      <c r="JXO39" s="643"/>
      <c r="JXP39" s="643"/>
      <c r="JXQ39" s="643"/>
      <c r="JXR39" s="643"/>
      <c r="JXS39" s="643"/>
      <c r="JXT39" s="643"/>
      <c r="JXU39" s="643"/>
      <c r="JXV39" s="643"/>
      <c r="JXW39" s="643"/>
      <c r="JXX39" s="643"/>
      <c r="JXY39" s="643"/>
      <c r="JXZ39" s="643"/>
      <c r="JYA39" s="643"/>
      <c r="JYB39" s="643"/>
      <c r="JYC39" s="643"/>
      <c r="JYD39" s="643"/>
      <c r="JYE39" s="643"/>
      <c r="JYF39" s="643"/>
      <c r="JYG39" s="643"/>
      <c r="JYH39" s="643"/>
      <c r="JYI39" s="643"/>
      <c r="JYJ39" s="643"/>
      <c r="JYK39" s="643"/>
      <c r="JYL39" s="643"/>
      <c r="JYM39" s="643"/>
      <c r="JYN39" s="643"/>
      <c r="JYO39" s="643"/>
      <c r="JYP39" s="643"/>
      <c r="JYQ39" s="643"/>
      <c r="JYR39" s="643"/>
      <c r="JYS39" s="643"/>
      <c r="JYT39" s="643"/>
      <c r="JYU39" s="643"/>
      <c r="JYV39" s="643"/>
      <c r="JYW39" s="643"/>
      <c r="JYX39" s="643"/>
      <c r="JYY39" s="643"/>
      <c r="JYZ39" s="643"/>
      <c r="JZA39" s="643"/>
      <c r="JZB39" s="643"/>
      <c r="JZC39" s="643"/>
      <c r="JZD39" s="643"/>
      <c r="JZE39" s="643"/>
      <c r="JZF39" s="643"/>
      <c r="JZG39" s="643"/>
      <c r="JZH39" s="643"/>
      <c r="JZI39" s="643"/>
      <c r="JZJ39" s="643"/>
      <c r="JZK39" s="643"/>
      <c r="JZL39" s="643"/>
      <c r="JZM39" s="643"/>
      <c r="JZN39" s="643"/>
      <c r="JZO39" s="643"/>
      <c r="JZP39" s="643"/>
      <c r="JZQ39" s="643"/>
      <c r="JZR39" s="643"/>
      <c r="JZS39" s="643"/>
      <c r="JZT39" s="643"/>
      <c r="JZU39" s="643"/>
      <c r="JZV39" s="643"/>
      <c r="JZW39" s="643"/>
      <c r="JZX39" s="643"/>
      <c r="JZY39" s="643"/>
      <c r="JZZ39" s="643"/>
      <c r="KAA39" s="643"/>
      <c r="KAB39" s="643"/>
      <c r="KAC39" s="643"/>
      <c r="KAD39" s="643"/>
      <c r="KAE39" s="643"/>
      <c r="KAF39" s="643"/>
      <c r="KAG39" s="643"/>
      <c r="KAH39" s="643"/>
      <c r="KAI39" s="643"/>
      <c r="KAJ39" s="643"/>
      <c r="KAK39" s="643"/>
      <c r="KAL39" s="643"/>
      <c r="KAM39" s="643"/>
      <c r="KAN39" s="643"/>
      <c r="KAO39" s="643"/>
      <c r="KAP39" s="643"/>
      <c r="KAQ39" s="643"/>
      <c r="KAR39" s="643"/>
      <c r="KAS39" s="643"/>
      <c r="KAT39" s="643"/>
      <c r="KAU39" s="643"/>
      <c r="KAV39" s="643"/>
      <c r="KAW39" s="643"/>
      <c r="KAX39" s="643"/>
      <c r="KAY39" s="643"/>
      <c r="KAZ39" s="643"/>
      <c r="KBA39" s="643"/>
      <c r="KBB39" s="643"/>
      <c r="KBC39" s="643"/>
      <c r="KBD39" s="643"/>
      <c r="KBE39" s="643"/>
      <c r="KBF39" s="643"/>
      <c r="KBG39" s="643"/>
      <c r="KBH39" s="643"/>
      <c r="KBI39" s="643"/>
      <c r="KBJ39" s="643"/>
      <c r="KBK39" s="643"/>
      <c r="KBL39" s="643"/>
      <c r="KBM39" s="643"/>
      <c r="KBN39" s="643"/>
      <c r="KBO39" s="643"/>
      <c r="KBP39" s="643"/>
      <c r="KBQ39" s="643"/>
      <c r="KBR39" s="643"/>
      <c r="KBS39" s="643"/>
      <c r="KBT39" s="643"/>
      <c r="KBU39" s="643"/>
      <c r="KBV39" s="643"/>
      <c r="KBW39" s="643"/>
      <c r="KBX39" s="643"/>
      <c r="KBY39" s="643"/>
      <c r="KBZ39" s="643"/>
      <c r="KCA39" s="643"/>
      <c r="KCB39" s="643"/>
      <c r="KCC39" s="643"/>
      <c r="KCD39" s="643"/>
      <c r="KCE39" s="643"/>
      <c r="KCF39" s="643"/>
      <c r="KCG39" s="643"/>
      <c r="KCH39" s="643"/>
      <c r="KCI39" s="643"/>
      <c r="KCJ39" s="643"/>
      <c r="KCK39" s="643"/>
      <c r="KCL39" s="643"/>
      <c r="KCM39" s="643"/>
      <c r="KCN39" s="643"/>
      <c r="KCO39" s="643"/>
      <c r="KCP39" s="643"/>
      <c r="KCQ39" s="643"/>
      <c r="KCR39" s="643"/>
      <c r="KCS39" s="643"/>
      <c r="KCT39" s="643"/>
      <c r="KCU39" s="643"/>
      <c r="KCV39" s="643"/>
      <c r="KCW39" s="643"/>
      <c r="KCX39" s="643"/>
      <c r="KCY39" s="643"/>
      <c r="KCZ39" s="643"/>
      <c r="KDA39" s="643"/>
      <c r="KDB39" s="643"/>
      <c r="KDC39" s="643"/>
      <c r="KDD39" s="643"/>
      <c r="KDE39" s="643"/>
      <c r="KDF39" s="643"/>
      <c r="KDG39" s="643"/>
      <c r="KDH39" s="643"/>
      <c r="KDI39" s="643"/>
      <c r="KDJ39" s="643"/>
      <c r="KDK39" s="643"/>
      <c r="KDL39" s="643"/>
      <c r="KDM39" s="643"/>
      <c r="KDN39" s="643"/>
      <c r="KDO39" s="643"/>
      <c r="KDP39" s="643"/>
      <c r="KDQ39" s="643"/>
      <c r="KDR39" s="643"/>
      <c r="KDS39" s="643"/>
      <c r="KDT39" s="643"/>
      <c r="KDU39" s="643"/>
      <c r="KDV39" s="643"/>
      <c r="KDW39" s="643"/>
      <c r="KDX39" s="643"/>
      <c r="KDY39" s="643"/>
      <c r="KDZ39" s="643"/>
      <c r="KEA39" s="643"/>
      <c r="KEB39" s="643"/>
      <c r="KEC39" s="643"/>
      <c r="KED39" s="643"/>
      <c r="KEE39" s="643"/>
      <c r="KEF39" s="643"/>
      <c r="KEG39" s="643"/>
      <c r="KEH39" s="643"/>
      <c r="KEI39" s="643"/>
      <c r="KEJ39" s="643"/>
      <c r="KEK39" s="643"/>
      <c r="KEL39" s="643"/>
      <c r="KEM39" s="643"/>
      <c r="KEN39" s="643"/>
      <c r="KEO39" s="643"/>
      <c r="KEP39" s="643"/>
      <c r="KEQ39" s="643"/>
      <c r="KER39" s="643"/>
      <c r="KES39" s="643"/>
      <c r="KET39" s="643"/>
      <c r="KEU39" s="643"/>
      <c r="KEV39" s="643"/>
      <c r="KEW39" s="643"/>
      <c r="KEX39" s="643"/>
      <c r="KEY39" s="643"/>
      <c r="KEZ39" s="643"/>
      <c r="KFA39" s="643"/>
      <c r="KFB39" s="643"/>
      <c r="KFC39" s="643"/>
      <c r="KFD39" s="643"/>
      <c r="KFE39" s="643"/>
      <c r="KFF39" s="643"/>
      <c r="KFG39" s="643"/>
      <c r="KFH39" s="643"/>
      <c r="KFI39" s="643"/>
      <c r="KFJ39" s="643"/>
      <c r="KFK39" s="643"/>
      <c r="KFL39" s="643"/>
      <c r="KFM39" s="643"/>
      <c r="KFN39" s="643"/>
      <c r="KFO39" s="643"/>
      <c r="KFP39" s="643"/>
      <c r="KFQ39" s="643"/>
      <c r="KFR39" s="643"/>
      <c r="KFS39" s="643"/>
      <c r="KFT39" s="643"/>
      <c r="KFU39" s="643"/>
      <c r="KFV39" s="643"/>
      <c r="KFW39" s="643"/>
      <c r="KFX39" s="643"/>
      <c r="KFY39" s="643"/>
      <c r="KFZ39" s="643"/>
      <c r="KGA39" s="643"/>
      <c r="KGB39" s="643"/>
      <c r="KGC39" s="643"/>
      <c r="KGD39" s="643"/>
      <c r="KGE39" s="643"/>
      <c r="KGF39" s="643"/>
      <c r="KGG39" s="643"/>
      <c r="KGH39" s="643"/>
      <c r="KGI39" s="643"/>
      <c r="KGJ39" s="643"/>
      <c r="KGK39" s="643"/>
      <c r="KGL39" s="643"/>
      <c r="KGM39" s="643"/>
      <c r="KGN39" s="643"/>
      <c r="KGO39" s="643"/>
      <c r="KGP39" s="643"/>
      <c r="KGQ39" s="643"/>
      <c r="KGR39" s="643"/>
      <c r="KGS39" s="643"/>
      <c r="KGT39" s="643"/>
      <c r="KGU39" s="643"/>
      <c r="KGV39" s="643"/>
      <c r="KGW39" s="643"/>
      <c r="KGX39" s="643"/>
      <c r="KGY39" s="643"/>
      <c r="KGZ39" s="643"/>
      <c r="KHA39" s="643"/>
      <c r="KHB39" s="643"/>
      <c r="KHC39" s="643"/>
      <c r="KHD39" s="643"/>
      <c r="KHE39" s="643"/>
      <c r="KHF39" s="643"/>
      <c r="KHG39" s="643"/>
      <c r="KHH39" s="643"/>
      <c r="KHI39" s="643"/>
      <c r="KHJ39" s="643"/>
      <c r="KHK39" s="643"/>
      <c r="KHL39" s="643"/>
      <c r="KHM39" s="643"/>
      <c r="KHN39" s="643"/>
      <c r="KHO39" s="643"/>
      <c r="KHP39" s="643"/>
      <c r="KHQ39" s="643"/>
      <c r="KHR39" s="643"/>
      <c r="KHS39" s="643"/>
      <c r="KHT39" s="643"/>
      <c r="KHU39" s="643"/>
      <c r="KHV39" s="643"/>
      <c r="KHW39" s="643"/>
      <c r="KHX39" s="643"/>
      <c r="KHY39" s="643"/>
      <c r="KHZ39" s="643"/>
      <c r="KIA39" s="643"/>
      <c r="KIB39" s="643"/>
      <c r="KIC39" s="643"/>
      <c r="KID39" s="643"/>
      <c r="KIE39" s="643"/>
      <c r="KIF39" s="643"/>
      <c r="KIG39" s="643"/>
      <c r="KIH39" s="643"/>
      <c r="KII39" s="643"/>
      <c r="KIJ39" s="643"/>
      <c r="KIK39" s="643"/>
      <c r="KIL39" s="643"/>
      <c r="KIM39" s="643"/>
      <c r="KIN39" s="643"/>
      <c r="KIO39" s="643"/>
      <c r="KIP39" s="643"/>
      <c r="KIQ39" s="643"/>
      <c r="KIR39" s="643"/>
      <c r="KIS39" s="643"/>
      <c r="KIT39" s="643"/>
      <c r="KIU39" s="643"/>
      <c r="KIV39" s="643"/>
      <c r="KIW39" s="643"/>
      <c r="KIX39" s="643"/>
      <c r="KIY39" s="643"/>
      <c r="KIZ39" s="643"/>
      <c r="KJA39" s="643"/>
      <c r="KJB39" s="643"/>
      <c r="KJC39" s="643"/>
      <c r="KJD39" s="643"/>
      <c r="KJE39" s="643"/>
      <c r="KJF39" s="643"/>
      <c r="KJG39" s="643"/>
      <c r="KJH39" s="643"/>
      <c r="KJI39" s="643"/>
      <c r="KJJ39" s="643"/>
      <c r="KJK39" s="643"/>
      <c r="KJL39" s="643"/>
      <c r="KJM39" s="643"/>
      <c r="KJN39" s="643"/>
      <c r="KJO39" s="643"/>
      <c r="KJP39" s="643"/>
      <c r="KJQ39" s="643"/>
      <c r="KJR39" s="643"/>
      <c r="KJS39" s="643"/>
      <c r="KJT39" s="643"/>
      <c r="KJU39" s="643"/>
      <c r="KJV39" s="643"/>
      <c r="KJW39" s="643"/>
      <c r="KJX39" s="643"/>
      <c r="KJY39" s="643"/>
      <c r="KJZ39" s="643"/>
      <c r="KKA39" s="643"/>
      <c r="KKB39" s="643"/>
      <c r="KKC39" s="643"/>
      <c r="KKD39" s="643"/>
      <c r="KKE39" s="643"/>
      <c r="KKF39" s="643"/>
      <c r="KKG39" s="643"/>
      <c r="KKH39" s="643"/>
      <c r="KKI39" s="643"/>
      <c r="KKJ39" s="643"/>
      <c r="KKK39" s="643"/>
      <c r="KKL39" s="643"/>
      <c r="KKM39" s="643"/>
      <c r="KKN39" s="643"/>
      <c r="KKO39" s="643"/>
      <c r="KKP39" s="643"/>
      <c r="KKQ39" s="643"/>
      <c r="KKR39" s="643"/>
      <c r="KKS39" s="643"/>
      <c r="KKT39" s="643"/>
      <c r="KKU39" s="643"/>
      <c r="KKV39" s="643"/>
      <c r="KKW39" s="643"/>
      <c r="KKX39" s="643"/>
      <c r="KKY39" s="643"/>
      <c r="KKZ39" s="643"/>
      <c r="KLA39" s="643"/>
      <c r="KLB39" s="643"/>
      <c r="KLC39" s="643"/>
      <c r="KLD39" s="643"/>
      <c r="KLE39" s="643"/>
      <c r="KLF39" s="643"/>
      <c r="KLG39" s="643"/>
      <c r="KLH39" s="643"/>
      <c r="KLI39" s="643"/>
      <c r="KLJ39" s="643"/>
      <c r="KLK39" s="643"/>
      <c r="KLL39" s="643"/>
      <c r="KLM39" s="643"/>
      <c r="KLN39" s="643"/>
      <c r="KLO39" s="643"/>
      <c r="KLP39" s="643"/>
      <c r="KLQ39" s="643"/>
      <c r="KLR39" s="643"/>
      <c r="KLS39" s="643"/>
      <c r="KLT39" s="643"/>
      <c r="KLU39" s="643"/>
      <c r="KLV39" s="643"/>
      <c r="KLW39" s="643"/>
      <c r="KLX39" s="643"/>
      <c r="KLY39" s="643"/>
      <c r="KLZ39" s="643"/>
      <c r="KMA39" s="643"/>
      <c r="KMB39" s="643"/>
      <c r="KMC39" s="643"/>
      <c r="KMD39" s="643"/>
      <c r="KME39" s="643"/>
      <c r="KMF39" s="643"/>
      <c r="KMG39" s="643"/>
      <c r="KMH39" s="643"/>
      <c r="KMI39" s="643"/>
      <c r="KMJ39" s="643"/>
      <c r="KMK39" s="643"/>
      <c r="KML39" s="643"/>
      <c r="KMM39" s="643"/>
      <c r="KMN39" s="643"/>
      <c r="KMO39" s="643"/>
      <c r="KMP39" s="643"/>
      <c r="KMQ39" s="643"/>
      <c r="KMR39" s="643"/>
      <c r="KMS39" s="643"/>
      <c r="KMT39" s="643"/>
      <c r="KMU39" s="643"/>
      <c r="KMV39" s="643"/>
      <c r="KMW39" s="643"/>
      <c r="KMX39" s="643"/>
      <c r="KMY39" s="643"/>
      <c r="KMZ39" s="643"/>
      <c r="KNA39" s="643"/>
      <c r="KNB39" s="643"/>
      <c r="KNC39" s="643"/>
      <c r="KND39" s="643"/>
      <c r="KNE39" s="643"/>
      <c r="KNF39" s="643"/>
      <c r="KNG39" s="643"/>
      <c r="KNH39" s="643"/>
      <c r="KNI39" s="643"/>
      <c r="KNJ39" s="643"/>
      <c r="KNK39" s="643"/>
      <c r="KNL39" s="643"/>
      <c r="KNM39" s="643"/>
      <c r="KNN39" s="643"/>
      <c r="KNO39" s="643"/>
      <c r="KNP39" s="643"/>
      <c r="KNQ39" s="643"/>
      <c r="KNR39" s="643"/>
      <c r="KNS39" s="643"/>
      <c r="KNT39" s="643"/>
      <c r="KNU39" s="643"/>
      <c r="KNV39" s="643"/>
      <c r="KNW39" s="643"/>
      <c r="KNX39" s="643"/>
      <c r="KNY39" s="643"/>
      <c r="KNZ39" s="643"/>
      <c r="KOA39" s="643"/>
      <c r="KOB39" s="643"/>
      <c r="KOC39" s="643"/>
      <c r="KOD39" s="643"/>
      <c r="KOE39" s="643"/>
      <c r="KOF39" s="643"/>
      <c r="KOG39" s="643"/>
      <c r="KOH39" s="643"/>
      <c r="KOI39" s="643"/>
      <c r="KOJ39" s="643"/>
      <c r="KOK39" s="643"/>
      <c r="KOL39" s="643"/>
      <c r="KOM39" s="643"/>
      <c r="KON39" s="643"/>
      <c r="KOO39" s="643"/>
      <c r="KOP39" s="643"/>
      <c r="KOQ39" s="643"/>
      <c r="KOR39" s="643"/>
      <c r="KOS39" s="643"/>
      <c r="KOT39" s="643"/>
      <c r="KOU39" s="643"/>
      <c r="KOV39" s="643"/>
      <c r="KOW39" s="643"/>
      <c r="KOX39" s="643"/>
      <c r="KOY39" s="643"/>
      <c r="KOZ39" s="643"/>
      <c r="KPA39" s="643"/>
      <c r="KPB39" s="643"/>
      <c r="KPC39" s="643"/>
      <c r="KPD39" s="643"/>
      <c r="KPE39" s="643"/>
      <c r="KPF39" s="643"/>
      <c r="KPG39" s="643"/>
      <c r="KPH39" s="643"/>
      <c r="KPI39" s="643"/>
      <c r="KPJ39" s="643"/>
      <c r="KPK39" s="643"/>
      <c r="KPL39" s="643"/>
      <c r="KPM39" s="643"/>
      <c r="KPN39" s="643"/>
      <c r="KPO39" s="643"/>
      <c r="KPP39" s="643"/>
      <c r="KPQ39" s="643"/>
      <c r="KPR39" s="643"/>
      <c r="KPS39" s="643"/>
      <c r="KPT39" s="643"/>
      <c r="KPU39" s="643"/>
      <c r="KPV39" s="643"/>
      <c r="KPW39" s="643"/>
      <c r="KPX39" s="643"/>
      <c r="KPY39" s="643"/>
      <c r="KPZ39" s="643"/>
      <c r="KQA39" s="643"/>
      <c r="KQB39" s="643"/>
      <c r="KQC39" s="643"/>
      <c r="KQD39" s="643"/>
      <c r="KQE39" s="643"/>
      <c r="KQF39" s="643"/>
      <c r="KQG39" s="643"/>
      <c r="KQH39" s="643"/>
      <c r="KQI39" s="643"/>
      <c r="KQJ39" s="643"/>
      <c r="KQK39" s="643"/>
      <c r="KQL39" s="643"/>
      <c r="KQM39" s="643"/>
      <c r="KQN39" s="643"/>
      <c r="KQO39" s="643"/>
      <c r="KQP39" s="643"/>
      <c r="KQQ39" s="643"/>
      <c r="KQR39" s="643"/>
      <c r="KQS39" s="643"/>
      <c r="KQT39" s="643"/>
      <c r="KQU39" s="643"/>
      <c r="KQV39" s="643"/>
      <c r="KQW39" s="643"/>
      <c r="KQX39" s="643"/>
      <c r="KQY39" s="643"/>
      <c r="KQZ39" s="643"/>
      <c r="KRA39" s="643"/>
      <c r="KRB39" s="643"/>
      <c r="KRC39" s="643"/>
      <c r="KRD39" s="643"/>
      <c r="KRE39" s="643"/>
      <c r="KRF39" s="643"/>
      <c r="KRG39" s="643"/>
      <c r="KRH39" s="643"/>
      <c r="KRI39" s="643"/>
      <c r="KRJ39" s="643"/>
      <c r="KRK39" s="643"/>
      <c r="KRL39" s="643"/>
      <c r="KRM39" s="643"/>
      <c r="KRN39" s="643"/>
      <c r="KRO39" s="643"/>
      <c r="KRP39" s="643"/>
      <c r="KRQ39" s="643"/>
      <c r="KRR39" s="643"/>
      <c r="KRS39" s="643"/>
      <c r="KRT39" s="643"/>
      <c r="KRU39" s="643"/>
      <c r="KRV39" s="643"/>
      <c r="KRW39" s="643"/>
      <c r="KRX39" s="643"/>
      <c r="KRY39" s="643"/>
      <c r="KRZ39" s="643"/>
      <c r="KSA39" s="643"/>
      <c r="KSB39" s="643"/>
      <c r="KSC39" s="643"/>
      <c r="KSD39" s="643"/>
      <c r="KSE39" s="643"/>
      <c r="KSF39" s="643"/>
      <c r="KSG39" s="643"/>
      <c r="KSH39" s="643"/>
      <c r="KSI39" s="643"/>
      <c r="KSJ39" s="643"/>
      <c r="KSK39" s="643"/>
      <c r="KSL39" s="643"/>
      <c r="KSM39" s="643"/>
      <c r="KSN39" s="643"/>
      <c r="KSO39" s="643"/>
      <c r="KSP39" s="643"/>
      <c r="KSQ39" s="643"/>
      <c r="KSR39" s="643"/>
      <c r="KSS39" s="643"/>
      <c r="KST39" s="643"/>
      <c r="KSU39" s="643"/>
      <c r="KSV39" s="643"/>
      <c r="KSW39" s="643"/>
      <c r="KSX39" s="643"/>
      <c r="KSY39" s="643"/>
      <c r="KSZ39" s="643"/>
      <c r="KTA39" s="643"/>
      <c r="KTB39" s="643"/>
      <c r="KTC39" s="643"/>
      <c r="KTD39" s="643"/>
      <c r="KTE39" s="643"/>
      <c r="KTF39" s="643"/>
      <c r="KTG39" s="643"/>
      <c r="KTH39" s="643"/>
      <c r="KTI39" s="643"/>
      <c r="KTJ39" s="643"/>
      <c r="KTK39" s="643"/>
      <c r="KTL39" s="643"/>
      <c r="KTM39" s="643"/>
      <c r="KTN39" s="643"/>
      <c r="KTO39" s="643"/>
      <c r="KTP39" s="643"/>
      <c r="KTQ39" s="643"/>
      <c r="KTR39" s="643"/>
      <c r="KTS39" s="643"/>
      <c r="KTT39" s="643"/>
      <c r="KTU39" s="643"/>
      <c r="KTV39" s="643"/>
      <c r="KTW39" s="643"/>
      <c r="KTX39" s="643"/>
      <c r="KTY39" s="643"/>
      <c r="KTZ39" s="643"/>
      <c r="KUA39" s="643"/>
      <c r="KUB39" s="643"/>
      <c r="KUC39" s="643"/>
      <c r="KUD39" s="643"/>
      <c r="KUE39" s="643"/>
      <c r="KUF39" s="643"/>
      <c r="KUG39" s="643"/>
      <c r="KUH39" s="643"/>
      <c r="KUI39" s="643"/>
      <c r="KUJ39" s="643"/>
      <c r="KUK39" s="643"/>
      <c r="KUL39" s="643"/>
      <c r="KUM39" s="643"/>
      <c r="KUN39" s="643"/>
      <c r="KUO39" s="643"/>
      <c r="KUP39" s="643"/>
      <c r="KUQ39" s="643"/>
      <c r="KUR39" s="643"/>
      <c r="KUS39" s="643"/>
      <c r="KUT39" s="643"/>
      <c r="KUU39" s="643"/>
      <c r="KUV39" s="643"/>
      <c r="KUW39" s="643"/>
      <c r="KUX39" s="643"/>
      <c r="KUY39" s="643"/>
      <c r="KUZ39" s="643"/>
      <c r="KVA39" s="643"/>
      <c r="KVB39" s="643"/>
      <c r="KVC39" s="643"/>
      <c r="KVD39" s="643"/>
      <c r="KVE39" s="643"/>
      <c r="KVF39" s="643"/>
      <c r="KVG39" s="643"/>
      <c r="KVH39" s="643"/>
      <c r="KVI39" s="643"/>
      <c r="KVJ39" s="643"/>
      <c r="KVK39" s="643"/>
      <c r="KVL39" s="643"/>
      <c r="KVM39" s="643"/>
      <c r="KVN39" s="643"/>
      <c r="KVO39" s="643"/>
      <c r="KVP39" s="643"/>
      <c r="KVQ39" s="643"/>
      <c r="KVR39" s="643"/>
      <c r="KVS39" s="643"/>
      <c r="KVT39" s="643"/>
      <c r="KVU39" s="643"/>
      <c r="KVV39" s="643"/>
      <c r="KVW39" s="643"/>
      <c r="KVX39" s="643"/>
      <c r="KVY39" s="643"/>
      <c r="KVZ39" s="643"/>
      <c r="KWA39" s="643"/>
      <c r="KWB39" s="643"/>
      <c r="KWC39" s="643"/>
      <c r="KWD39" s="643"/>
      <c r="KWE39" s="643"/>
      <c r="KWF39" s="643"/>
      <c r="KWG39" s="643"/>
      <c r="KWH39" s="643"/>
      <c r="KWI39" s="643"/>
      <c r="KWJ39" s="643"/>
      <c r="KWK39" s="643"/>
      <c r="KWL39" s="643"/>
      <c r="KWM39" s="643"/>
      <c r="KWN39" s="643"/>
      <c r="KWO39" s="643"/>
      <c r="KWP39" s="643"/>
      <c r="KWQ39" s="643"/>
      <c r="KWR39" s="643"/>
      <c r="KWS39" s="643"/>
      <c r="KWT39" s="643"/>
      <c r="KWU39" s="643"/>
      <c r="KWV39" s="643"/>
      <c r="KWW39" s="643"/>
      <c r="KWX39" s="643"/>
      <c r="KWY39" s="643"/>
      <c r="KWZ39" s="643"/>
      <c r="KXA39" s="643"/>
      <c r="KXB39" s="643"/>
      <c r="KXC39" s="643"/>
      <c r="KXD39" s="643"/>
      <c r="KXE39" s="643"/>
      <c r="KXF39" s="643"/>
      <c r="KXG39" s="643"/>
      <c r="KXH39" s="643"/>
      <c r="KXI39" s="643"/>
      <c r="KXJ39" s="643"/>
      <c r="KXK39" s="643"/>
      <c r="KXL39" s="643"/>
      <c r="KXM39" s="643"/>
      <c r="KXN39" s="643"/>
      <c r="KXO39" s="643"/>
      <c r="KXP39" s="643"/>
      <c r="KXQ39" s="643"/>
      <c r="KXR39" s="643"/>
      <c r="KXS39" s="643"/>
      <c r="KXT39" s="643"/>
      <c r="KXU39" s="643"/>
      <c r="KXV39" s="643"/>
      <c r="KXW39" s="643"/>
      <c r="KXX39" s="643"/>
      <c r="KXY39" s="643"/>
      <c r="KXZ39" s="643"/>
      <c r="KYA39" s="643"/>
      <c r="KYB39" s="643"/>
      <c r="KYC39" s="643"/>
      <c r="KYD39" s="643"/>
      <c r="KYE39" s="643"/>
      <c r="KYF39" s="643"/>
      <c r="KYG39" s="643"/>
      <c r="KYH39" s="643"/>
      <c r="KYI39" s="643"/>
      <c r="KYJ39" s="643"/>
      <c r="KYK39" s="643"/>
      <c r="KYL39" s="643"/>
      <c r="KYM39" s="643"/>
      <c r="KYN39" s="643"/>
      <c r="KYO39" s="643"/>
      <c r="KYP39" s="643"/>
      <c r="KYQ39" s="643"/>
      <c r="KYR39" s="643"/>
      <c r="KYS39" s="643"/>
      <c r="KYT39" s="643"/>
      <c r="KYU39" s="643"/>
      <c r="KYV39" s="643"/>
      <c r="KYW39" s="643"/>
      <c r="KYX39" s="643"/>
      <c r="KYY39" s="643"/>
      <c r="KYZ39" s="643"/>
      <c r="KZA39" s="643"/>
      <c r="KZB39" s="643"/>
      <c r="KZC39" s="643"/>
      <c r="KZD39" s="643"/>
      <c r="KZE39" s="643"/>
      <c r="KZF39" s="643"/>
      <c r="KZG39" s="643"/>
      <c r="KZH39" s="643"/>
      <c r="KZI39" s="643"/>
      <c r="KZJ39" s="643"/>
      <c r="KZK39" s="643"/>
      <c r="KZL39" s="643"/>
      <c r="KZM39" s="643"/>
      <c r="KZN39" s="643"/>
      <c r="KZO39" s="643"/>
      <c r="KZP39" s="643"/>
      <c r="KZQ39" s="643"/>
      <c r="KZR39" s="643"/>
      <c r="KZS39" s="643"/>
      <c r="KZT39" s="643"/>
      <c r="KZU39" s="643"/>
      <c r="KZV39" s="643"/>
      <c r="KZW39" s="643"/>
      <c r="KZX39" s="643"/>
      <c r="KZY39" s="643"/>
      <c r="KZZ39" s="643"/>
      <c r="LAA39" s="643"/>
      <c r="LAB39" s="643"/>
      <c r="LAC39" s="643"/>
      <c r="LAD39" s="643"/>
      <c r="LAE39" s="643"/>
      <c r="LAF39" s="643"/>
      <c r="LAG39" s="643"/>
      <c r="LAH39" s="643"/>
      <c r="LAI39" s="643"/>
      <c r="LAJ39" s="643"/>
      <c r="LAK39" s="643"/>
      <c r="LAL39" s="643"/>
      <c r="LAM39" s="643"/>
      <c r="LAN39" s="643"/>
      <c r="LAO39" s="643"/>
      <c r="LAP39" s="643"/>
      <c r="LAQ39" s="643"/>
      <c r="LAR39" s="643"/>
      <c r="LAS39" s="643"/>
      <c r="LAT39" s="643"/>
      <c r="LAU39" s="643"/>
      <c r="LAV39" s="643"/>
      <c r="LAW39" s="643"/>
      <c r="LAX39" s="643"/>
      <c r="LAY39" s="643"/>
      <c r="LAZ39" s="643"/>
      <c r="LBA39" s="643"/>
      <c r="LBB39" s="643"/>
      <c r="LBC39" s="643"/>
      <c r="LBD39" s="643"/>
      <c r="LBE39" s="643"/>
      <c r="LBF39" s="643"/>
      <c r="LBG39" s="643"/>
      <c r="LBH39" s="643"/>
      <c r="LBI39" s="643"/>
      <c r="LBJ39" s="643"/>
      <c r="LBK39" s="643"/>
      <c r="LBL39" s="643"/>
      <c r="LBM39" s="643"/>
      <c r="LBN39" s="643"/>
      <c r="LBO39" s="643"/>
      <c r="LBP39" s="643"/>
      <c r="LBQ39" s="643"/>
      <c r="LBR39" s="643"/>
      <c r="LBS39" s="643"/>
      <c r="LBT39" s="643"/>
      <c r="LBU39" s="643"/>
      <c r="LBV39" s="643"/>
      <c r="LBW39" s="643"/>
      <c r="LBX39" s="643"/>
      <c r="LBY39" s="643"/>
      <c r="LBZ39" s="643"/>
      <c r="LCA39" s="643"/>
      <c r="LCB39" s="643"/>
      <c r="LCC39" s="643"/>
      <c r="LCD39" s="643"/>
      <c r="LCE39" s="643"/>
      <c r="LCF39" s="643"/>
      <c r="LCG39" s="643"/>
      <c r="LCH39" s="643"/>
      <c r="LCI39" s="643"/>
      <c r="LCJ39" s="643"/>
      <c r="LCK39" s="643"/>
      <c r="LCL39" s="643"/>
      <c r="LCM39" s="643"/>
      <c r="LCN39" s="643"/>
      <c r="LCO39" s="643"/>
      <c r="LCP39" s="643"/>
      <c r="LCQ39" s="643"/>
      <c r="LCR39" s="643"/>
      <c r="LCS39" s="643"/>
      <c r="LCT39" s="643"/>
      <c r="LCU39" s="643"/>
      <c r="LCV39" s="643"/>
      <c r="LCW39" s="643"/>
      <c r="LCX39" s="643"/>
      <c r="LCY39" s="643"/>
      <c r="LCZ39" s="643"/>
      <c r="LDA39" s="643"/>
      <c r="LDB39" s="643"/>
      <c r="LDC39" s="643"/>
      <c r="LDD39" s="643"/>
      <c r="LDE39" s="643"/>
      <c r="LDF39" s="643"/>
      <c r="LDG39" s="643"/>
      <c r="LDH39" s="643"/>
      <c r="LDI39" s="643"/>
      <c r="LDJ39" s="643"/>
      <c r="LDK39" s="643"/>
      <c r="LDL39" s="643"/>
      <c r="LDM39" s="643"/>
      <c r="LDN39" s="643"/>
      <c r="LDO39" s="643"/>
      <c r="LDP39" s="643"/>
      <c r="LDQ39" s="643"/>
      <c r="LDR39" s="643"/>
      <c r="LDS39" s="643"/>
      <c r="LDT39" s="643"/>
      <c r="LDU39" s="643"/>
      <c r="LDV39" s="643"/>
      <c r="LDW39" s="643"/>
      <c r="LDX39" s="643"/>
      <c r="LDY39" s="643"/>
      <c r="LDZ39" s="643"/>
      <c r="LEA39" s="643"/>
      <c r="LEB39" s="643"/>
      <c r="LEC39" s="643"/>
      <c r="LED39" s="643"/>
      <c r="LEE39" s="643"/>
      <c r="LEF39" s="643"/>
      <c r="LEG39" s="643"/>
      <c r="LEH39" s="643"/>
      <c r="LEI39" s="643"/>
      <c r="LEJ39" s="643"/>
      <c r="LEK39" s="643"/>
      <c r="LEL39" s="643"/>
      <c r="LEM39" s="643"/>
      <c r="LEN39" s="643"/>
      <c r="LEO39" s="643"/>
      <c r="LEP39" s="643"/>
      <c r="LEQ39" s="643"/>
      <c r="LER39" s="643"/>
      <c r="LES39" s="643"/>
      <c r="LET39" s="643"/>
      <c r="LEU39" s="643"/>
      <c r="LEV39" s="643"/>
      <c r="LEW39" s="643"/>
      <c r="LEX39" s="643"/>
      <c r="LEY39" s="643"/>
      <c r="LEZ39" s="643"/>
      <c r="LFA39" s="643"/>
      <c r="LFB39" s="643"/>
      <c r="LFC39" s="643"/>
      <c r="LFD39" s="643"/>
      <c r="LFE39" s="643"/>
      <c r="LFF39" s="643"/>
      <c r="LFG39" s="643"/>
      <c r="LFH39" s="643"/>
      <c r="LFI39" s="643"/>
      <c r="LFJ39" s="643"/>
      <c r="LFK39" s="643"/>
      <c r="LFL39" s="643"/>
      <c r="LFM39" s="643"/>
      <c r="LFN39" s="643"/>
      <c r="LFO39" s="643"/>
      <c r="LFP39" s="643"/>
      <c r="LFQ39" s="643"/>
      <c r="LFR39" s="643"/>
      <c r="LFS39" s="643"/>
      <c r="LFT39" s="643"/>
      <c r="LFU39" s="643"/>
      <c r="LFV39" s="643"/>
      <c r="LFW39" s="643"/>
      <c r="LFX39" s="643"/>
      <c r="LFY39" s="643"/>
      <c r="LFZ39" s="643"/>
      <c r="LGA39" s="643"/>
      <c r="LGB39" s="643"/>
      <c r="LGC39" s="643"/>
      <c r="LGD39" s="643"/>
      <c r="LGE39" s="643"/>
      <c r="LGF39" s="643"/>
      <c r="LGG39" s="643"/>
      <c r="LGH39" s="643"/>
      <c r="LGI39" s="643"/>
      <c r="LGJ39" s="643"/>
      <c r="LGK39" s="643"/>
      <c r="LGL39" s="643"/>
      <c r="LGM39" s="643"/>
      <c r="LGN39" s="643"/>
      <c r="LGO39" s="643"/>
      <c r="LGP39" s="643"/>
      <c r="LGQ39" s="643"/>
      <c r="LGR39" s="643"/>
      <c r="LGS39" s="643"/>
      <c r="LGT39" s="643"/>
      <c r="LGU39" s="643"/>
      <c r="LGV39" s="643"/>
      <c r="LGW39" s="643"/>
      <c r="LGX39" s="643"/>
      <c r="LGY39" s="643"/>
      <c r="LGZ39" s="643"/>
      <c r="LHA39" s="643"/>
      <c r="LHB39" s="643"/>
      <c r="LHC39" s="643"/>
      <c r="LHD39" s="643"/>
      <c r="LHE39" s="643"/>
      <c r="LHF39" s="643"/>
      <c r="LHG39" s="643"/>
      <c r="LHH39" s="643"/>
      <c r="LHI39" s="643"/>
      <c r="LHJ39" s="643"/>
      <c r="LHK39" s="643"/>
      <c r="LHL39" s="643"/>
      <c r="LHM39" s="643"/>
      <c r="LHN39" s="643"/>
      <c r="LHO39" s="643"/>
      <c r="LHP39" s="643"/>
      <c r="LHQ39" s="643"/>
      <c r="LHR39" s="643"/>
      <c r="LHS39" s="643"/>
      <c r="LHT39" s="643"/>
      <c r="LHU39" s="643"/>
      <c r="LHV39" s="643"/>
      <c r="LHW39" s="643"/>
      <c r="LHX39" s="643"/>
      <c r="LHY39" s="643"/>
      <c r="LHZ39" s="643"/>
      <c r="LIA39" s="643"/>
      <c r="LIB39" s="643"/>
      <c r="LIC39" s="643"/>
      <c r="LID39" s="643"/>
      <c r="LIE39" s="643"/>
      <c r="LIF39" s="643"/>
      <c r="LIG39" s="643"/>
      <c r="LIH39" s="643"/>
      <c r="LII39" s="643"/>
      <c r="LIJ39" s="643"/>
      <c r="LIK39" s="643"/>
      <c r="LIL39" s="643"/>
      <c r="LIM39" s="643"/>
      <c r="LIN39" s="643"/>
      <c r="LIO39" s="643"/>
      <c r="LIP39" s="643"/>
      <c r="LIQ39" s="643"/>
      <c r="LIR39" s="643"/>
      <c r="LIS39" s="643"/>
      <c r="LIT39" s="643"/>
      <c r="LIU39" s="643"/>
      <c r="LIV39" s="643"/>
      <c r="LIW39" s="643"/>
      <c r="LIX39" s="643"/>
      <c r="LIY39" s="643"/>
      <c r="LIZ39" s="643"/>
      <c r="LJA39" s="643"/>
      <c r="LJB39" s="643"/>
      <c r="LJC39" s="643"/>
      <c r="LJD39" s="643"/>
      <c r="LJE39" s="643"/>
      <c r="LJF39" s="643"/>
      <c r="LJG39" s="643"/>
      <c r="LJH39" s="643"/>
      <c r="LJI39" s="643"/>
      <c r="LJJ39" s="643"/>
      <c r="LJK39" s="643"/>
      <c r="LJL39" s="643"/>
      <c r="LJM39" s="643"/>
      <c r="LJN39" s="643"/>
      <c r="LJO39" s="643"/>
      <c r="LJP39" s="643"/>
      <c r="LJQ39" s="643"/>
      <c r="LJR39" s="643"/>
      <c r="LJS39" s="643"/>
      <c r="LJT39" s="643"/>
      <c r="LJU39" s="643"/>
      <c r="LJV39" s="643"/>
      <c r="LJW39" s="643"/>
      <c r="LJX39" s="643"/>
      <c r="LJY39" s="643"/>
      <c r="LJZ39" s="643"/>
      <c r="LKA39" s="643"/>
      <c r="LKB39" s="643"/>
      <c r="LKC39" s="643"/>
      <c r="LKD39" s="643"/>
      <c r="LKE39" s="643"/>
      <c r="LKF39" s="643"/>
      <c r="LKG39" s="643"/>
      <c r="LKH39" s="643"/>
      <c r="LKI39" s="643"/>
      <c r="LKJ39" s="643"/>
      <c r="LKK39" s="643"/>
      <c r="LKL39" s="643"/>
      <c r="LKM39" s="643"/>
      <c r="LKN39" s="643"/>
      <c r="LKO39" s="643"/>
      <c r="LKP39" s="643"/>
      <c r="LKQ39" s="643"/>
      <c r="LKR39" s="643"/>
      <c r="LKS39" s="643"/>
      <c r="LKT39" s="643"/>
      <c r="LKU39" s="643"/>
      <c r="LKV39" s="643"/>
      <c r="LKW39" s="643"/>
      <c r="LKX39" s="643"/>
      <c r="LKY39" s="643"/>
      <c r="LKZ39" s="643"/>
      <c r="LLA39" s="643"/>
      <c r="LLB39" s="643"/>
      <c r="LLC39" s="643"/>
      <c r="LLD39" s="643"/>
      <c r="LLE39" s="643"/>
      <c r="LLF39" s="643"/>
      <c r="LLG39" s="643"/>
      <c r="LLH39" s="643"/>
      <c r="LLI39" s="643"/>
      <c r="LLJ39" s="643"/>
      <c r="LLK39" s="643"/>
      <c r="LLL39" s="643"/>
      <c r="LLM39" s="643"/>
      <c r="LLN39" s="643"/>
      <c r="LLO39" s="643"/>
      <c r="LLP39" s="643"/>
      <c r="LLQ39" s="643"/>
      <c r="LLR39" s="643"/>
      <c r="LLS39" s="643"/>
      <c r="LLT39" s="643"/>
      <c r="LLU39" s="643"/>
      <c r="LLV39" s="643"/>
      <c r="LLW39" s="643"/>
      <c r="LLX39" s="643"/>
      <c r="LLY39" s="643"/>
      <c r="LLZ39" s="643"/>
      <c r="LMA39" s="643"/>
      <c r="LMB39" s="643"/>
      <c r="LMC39" s="643"/>
      <c r="LMD39" s="643"/>
      <c r="LME39" s="643"/>
      <c r="LMF39" s="643"/>
      <c r="LMG39" s="643"/>
      <c r="LMH39" s="643"/>
      <c r="LMI39" s="643"/>
      <c r="LMJ39" s="643"/>
      <c r="LMK39" s="643"/>
      <c r="LML39" s="643"/>
      <c r="LMM39" s="643"/>
      <c r="LMN39" s="643"/>
      <c r="LMO39" s="643"/>
      <c r="LMP39" s="643"/>
      <c r="LMQ39" s="643"/>
      <c r="LMR39" s="643"/>
      <c r="LMS39" s="643"/>
      <c r="LMT39" s="643"/>
      <c r="LMU39" s="643"/>
      <c r="LMV39" s="643"/>
      <c r="LMW39" s="643"/>
      <c r="LMX39" s="643"/>
      <c r="LMY39" s="643"/>
      <c r="LMZ39" s="643"/>
      <c r="LNA39" s="643"/>
      <c r="LNB39" s="643"/>
      <c r="LNC39" s="643"/>
      <c r="LND39" s="643"/>
      <c r="LNE39" s="643"/>
      <c r="LNF39" s="643"/>
      <c r="LNG39" s="643"/>
      <c r="LNH39" s="643"/>
      <c r="LNI39" s="643"/>
      <c r="LNJ39" s="643"/>
      <c r="LNK39" s="643"/>
      <c r="LNL39" s="643"/>
      <c r="LNM39" s="643"/>
      <c r="LNN39" s="643"/>
      <c r="LNO39" s="643"/>
      <c r="LNP39" s="643"/>
      <c r="LNQ39" s="643"/>
      <c r="LNR39" s="643"/>
      <c r="LNS39" s="643"/>
      <c r="LNT39" s="643"/>
      <c r="LNU39" s="643"/>
      <c r="LNV39" s="643"/>
      <c r="LNW39" s="643"/>
      <c r="LNX39" s="643"/>
      <c r="LNY39" s="643"/>
      <c r="LNZ39" s="643"/>
      <c r="LOA39" s="643"/>
      <c r="LOB39" s="643"/>
      <c r="LOC39" s="643"/>
      <c r="LOD39" s="643"/>
      <c r="LOE39" s="643"/>
      <c r="LOF39" s="643"/>
      <c r="LOG39" s="643"/>
      <c r="LOH39" s="643"/>
      <c r="LOI39" s="643"/>
      <c r="LOJ39" s="643"/>
      <c r="LOK39" s="643"/>
      <c r="LOL39" s="643"/>
      <c r="LOM39" s="643"/>
      <c r="LON39" s="643"/>
      <c r="LOO39" s="643"/>
      <c r="LOP39" s="643"/>
      <c r="LOQ39" s="643"/>
      <c r="LOR39" s="643"/>
      <c r="LOS39" s="643"/>
      <c r="LOT39" s="643"/>
      <c r="LOU39" s="643"/>
      <c r="LOV39" s="643"/>
      <c r="LOW39" s="643"/>
      <c r="LOX39" s="643"/>
      <c r="LOY39" s="643"/>
      <c r="LOZ39" s="643"/>
      <c r="LPA39" s="643"/>
      <c r="LPB39" s="643"/>
      <c r="LPC39" s="643"/>
      <c r="LPD39" s="643"/>
      <c r="LPE39" s="643"/>
      <c r="LPF39" s="643"/>
      <c r="LPG39" s="643"/>
      <c r="LPH39" s="643"/>
      <c r="LPI39" s="643"/>
      <c r="LPJ39" s="643"/>
      <c r="LPK39" s="643"/>
      <c r="LPL39" s="643"/>
      <c r="LPM39" s="643"/>
      <c r="LPN39" s="643"/>
      <c r="LPO39" s="643"/>
      <c r="LPP39" s="643"/>
      <c r="LPQ39" s="643"/>
      <c r="LPR39" s="643"/>
      <c r="LPS39" s="643"/>
      <c r="LPT39" s="643"/>
      <c r="LPU39" s="643"/>
      <c r="LPV39" s="643"/>
      <c r="LPW39" s="643"/>
      <c r="LPX39" s="643"/>
      <c r="LPY39" s="643"/>
      <c r="LPZ39" s="643"/>
      <c r="LQA39" s="643"/>
      <c r="LQB39" s="643"/>
      <c r="LQC39" s="643"/>
      <c r="LQD39" s="643"/>
      <c r="LQE39" s="643"/>
      <c r="LQF39" s="643"/>
      <c r="LQG39" s="643"/>
      <c r="LQH39" s="643"/>
      <c r="LQI39" s="643"/>
      <c r="LQJ39" s="643"/>
      <c r="LQK39" s="643"/>
      <c r="LQL39" s="643"/>
      <c r="LQM39" s="643"/>
      <c r="LQN39" s="643"/>
      <c r="LQO39" s="643"/>
      <c r="LQP39" s="643"/>
      <c r="LQQ39" s="643"/>
      <c r="LQR39" s="643"/>
      <c r="LQS39" s="643"/>
      <c r="LQT39" s="643"/>
      <c r="LQU39" s="643"/>
      <c r="LQV39" s="643"/>
      <c r="LQW39" s="643"/>
      <c r="LQX39" s="643"/>
      <c r="LQY39" s="643"/>
      <c r="LQZ39" s="643"/>
      <c r="LRA39" s="643"/>
      <c r="LRB39" s="643"/>
      <c r="LRC39" s="643"/>
      <c r="LRD39" s="643"/>
      <c r="LRE39" s="643"/>
      <c r="LRF39" s="643"/>
      <c r="LRG39" s="643"/>
      <c r="LRH39" s="643"/>
      <c r="LRI39" s="643"/>
      <c r="LRJ39" s="643"/>
      <c r="LRK39" s="643"/>
      <c r="LRL39" s="643"/>
      <c r="LRM39" s="643"/>
      <c r="LRN39" s="643"/>
      <c r="LRO39" s="643"/>
      <c r="LRP39" s="643"/>
      <c r="LRQ39" s="643"/>
      <c r="LRR39" s="643"/>
      <c r="LRS39" s="643"/>
      <c r="LRT39" s="643"/>
      <c r="LRU39" s="643"/>
      <c r="LRV39" s="643"/>
      <c r="LRW39" s="643"/>
      <c r="LRX39" s="643"/>
      <c r="LRY39" s="643"/>
      <c r="LRZ39" s="643"/>
      <c r="LSA39" s="643"/>
      <c r="LSB39" s="643"/>
      <c r="LSC39" s="643"/>
      <c r="LSD39" s="643"/>
      <c r="LSE39" s="643"/>
      <c r="LSF39" s="643"/>
      <c r="LSG39" s="643"/>
      <c r="LSH39" s="643"/>
      <c r="LSI39" s="643"/>
      <c r="LSJ39" s="643"/>
      <c r="LSK39" s="643"/>
      <c r="LSL39" s="643"/>
      <c r="LSM39" s="643"/>
      <c r="LSN39" s="643"/>
      <c r="LSO39" s="643"/>
      <c r="LSP39" s="643"/>
      <c r="LSQ39" s="643"/>
      <c r="LSR39" s="643"/>
      <c r="LSS39" s="643"/>
      <c r="LST39" s="643"/>
      <c r="LSU39" s="643"/>
      <c r="LSV39" s="643"/>
      <c r="LSW39" s="643"/>
      <c r="LSX39" s="643"/>
      <c r="LSY39" s="643"/>
      <c r="LSZ39" s="643"/>
      <c r="LTA39" s="643"/>
      <c r="LTB39" s="643"/>
      <c r="LTC39" s="643"/>
      <c r="LTD39" s="643"/>
      <c r="LTE39" s="643"/>
      <c r="LTF39" s="643"/>
      <c r="LTG39" s="643"/>
      <c r="LTH39" s="643"/>
      <c r="LTI39" s="643"/>
      <c r="LTJ39" s="643"/>
      <c r="LTK39" s="643"/>
      <c r="LTL39" s="643"/>
      <c r="LTM39" s="643"/>
      <c r="LTN39" s="643"/>
      <c r="LTO39" s="643"/>
      <c r="LTP39" s="643"/>
      <c r="LTQ39" s="643"/>
      <c r="LTR39" s="643"/>
      <c r="LTS39" s="643"/>
      <c r="LTT39" s="643"/>
      <c r="LTU39" s="643"/>
      <c r="LTV39" s="643"/>
      <c r="LTW39" s="643"/>
      <c r="LTX39" s="643"/>
      <c r="LTY39" s="643"/>
      <c r="LTZ39" s="643"/>
      <c r="LUA39" s="643"/>
      <c r="LUB39" s="643"/>
      <c r="LUC39" s="643"/>
      <c r="LUD39" s="643"/>
      <c r="LUE39" s="643"/>
      <c r="LUF39" s="643"/>
      <c r="LUG39" s="643"/>
      <c r="LUH39" s="643"/>
      <c r="LUI39" s="643"/>
      <c r="LUJ39" s="643"/>
      <c r="LUK39" s="643"/>
      <c r="LUL39" s="643"/>
      <c r="LUM39" s="643"/>
      <c r="LUN39" s="643"/>
      <c r="LUO39" s="643"/>
      <c r="LUP39" s="643"/>
      <c r="LUQ39" s="643"/>
      <c r="LUR39" s="643"/>
      <c r="LUS39" s="643"/>
      <c r="LUT39" s="643"/>
      <c r="LUU39" s="643"/>
      <c r="LUV39" s="643"/>
      <c r="LUW39" s="643"/>
      <c r="LUX39" s="643"/>
      <c r="LUY39" s="643"/>
      <c r="LUZ39" s="643"/>
      <c r="LVA39" s="643"/>
      <c r="LVB39" s="643"/>
      <c r="LVC39" s="643"/>
      <c r="LVD39" s="643"/>
      <c r="LVE39" s="643"/>
      <c r="LVF39" s="643"/>
      <c r="LVG39" s="643"/>
      <c r="LVH39" s="643"/>
      <c r="LVI39" s="643"/>
      <c r="LVJ39" s="643"/>
      <c r="LVK39" s="643"/>
      <c r="LVL39" s="643"/>
      <c r="LVM39" s="643"/>
      <c r="LVN39" s="643"/>
      <c r="LVO39" s="643"/>
      <c r="LVP39" s="643"/>
      <c r="LVQ39" s="643"/>
      <c r="LVR39" s="643"/>
      <c r="LVS39" s="643"/>
      <c r="LVT39" s="643"/>
      <c r="LVU39" s="643"/>
      <c r="LVV39" s="643"/>
      <c r="LVW39" s="643"/>
      <c r="LVX39" s="643"/>
      <c r="LVY39" s="643"/>
      <c r="LVZ39" s="643"/>
      <c r="LWA39" s="643"/>
      <c r="LWB39" s="643"/>
      <c r="LWC39" s="643"/>
      <c r="LWD39" s="643"/>
      <c r="LWE39" s="643"/>
      <c r="LWF39" s="643"/>
      <c r="LWG39" s="643"/>
      <c r="LWH39" s="643"/>
      <c r="LWI39" s="643"/>
      <c r="LWJ39" s="643"/>
      <c r="LWK39" s="643"/>
      <c r="LWL39" s="643"/>
      <c r="LWM39" s="643"/>
      <c r="LWN39" s="643"/>
      <c r="LWO39" s="643"/>
      <c r="LWP39" s="643"/>
      <c r="LWQ39" s="643"/>
      <c r="LWR39" s="643"/>
      <c r="LWS39" s="643"/>
      <c r="LWT39" s="643"/>
      <c r="LWU39" s="643"/>
      <c r="LWV39" s="643"/>
      <c r="LWW39" s="643"/>
      <c r="LWX39" s="643"/>
      <c r="LWY39" s="643"/>
      <c r="LWZ39" s="643"/>
      <c r="LXA39" s="643"/>
      <c r="LXB39" s="643"/>
      <c r="LXC39" s="643"/>
      <c r="LXD39" s="643"/>
      <c r="LXE39" s="643"/>
      <c r="LXF39" s="643"/>
      <c r="LXG39" s="643"/>
      <c r="LXH39" s="643"/>
      <c r="LXI39" s="643"/>
      <c r="LXJ39" s="643"/>
      <c r="LXK39" s="643"/>
      <c r="LXL39" s="643"/>
      <c r="LXM39" s="643"/>
      <c r="LXN39" s="643"/>
      <c r="LXO39" s="643"/>
      <c r="LXP39" s="643"/>
      <c r="LXQ39" s="643"/>
      <c r="LXR39" s="643"/>
      <c r="LXS39" s="643"/>
      <c r="LXT39" s="643"/>
      <c r="LXU39" s="643"/>
      <c r="LXV39" s="643"/>
      <c r="LXW39" s="643"/>
      <c r="LXX39" s="643"/>
      <c r="LXY39" s="643"/>
      <c r="LXZ39" s="643"/>
      <c r="LYA39" s="643"/>
      <c r="LYB39" s="643"/>
      <c r="LYC39" s="643"/>
      <c r="LYD39" s="643"/>
      <c r="LYE39" s="643"/>
      <c r="LYF39" s="643"/>
      <c r="LYG39" s="643"/>
      <c r="LYH39" s="643"/>
      <c r="LYI39" s="643"/>
      <c r="LYJ39" s="643"/>
      <c r="LYK39" s="643"/>
      <c r="LYL39" s="643"/>
      <c r="LYM39" s="643"/>
      <c r="LYN39" s="643"/>
      <c r="LYO39" s="643"/>
      <c r="LYP39" s="643"/>
      <c r="LYQ39" s="643"/>
      <c r="LYR39" s="643"/>
      <c r="LYS39" s="643"/>
      <c r="LYT39" s="643"/>
      <c r="LYU39" s="643"/>
      <c r="LYV39" s="643"/>
      <c r="LYW39" s="643"/>
      <c r="LYX39" s="643"/>
      <c r="LYY39" s="643"/>
      <c r="LYZ39" s="643"/>
      <c r="LZA39" s="643"/>
      <c r="LZB39" s="643"/>
      <c r="LZC39" s="643"/>
      <c r="LZD39" s="643"/>
      <c r="LZE39" s="643"/>
      <c r="LZF39" s="643"/>
      <c r="LZG39" s="643"/>
      <c r="LZH39" s="643"/>
      <c r="LZI39" s="643"/>
      <c r="LZJ39" s="643"/>
      <c r="LZK39" s="643"/>
      <c r="LZL39" s="643"/>
      <c r="LZM39" s="643"/>
      <c r="LZN39" s="643"/>
      <c r="LZO39" s="643"/>
      <c r="LZP39" s="643"/>
      <c r="LZQ39" s="643"/>
      <c r="LZR39" s="643"/>
      <c r="LZS39" s="643"/>
      <c r="LZT39" s="643"/>
      <c r="LZU39" s="643"/>
      <c r="LZV39" s="643"/>
      <c r="LZW39" s="643"/>
      <c r="LZX39" s="643"/>
      <c r="LZY39" s="643"/>
      <c r="LZZ39" s="643"/>
      <c r="MAA39" s="643"/>
      <c r="MAB39" s="643"/>
      <c r="MAC39" s="643"/>
      <c r="MAD39" s="643"/>
      <c r="MAE39" s="643"/>
      <c r="MAF39" s="643"/>
      <c r="MAG39" s="643"/>
      <c r="MAH39" s="643"/>
      <c r="MAI39" s="643"/>
      <c r="MAJ39" s="643"/>
      <c r="MAK39" s="643"/>
      <c r="MAL39" s="643"/>
      <c r="MAM39" s="643"/>
      <c r="MAN39" s="643"/>
      <c r="MAO39" s="643"/>
      <c r="MAP39" s="643"/>
      <c r="MAQ39" s="643"/>
      <c r="MAR39" s="643"/>
      <c r="MAS39" s="643"/>
      <c r="MAT39" s="643"/>
      <c r="MAU39" s="643"/>
      <c r="MAV39" s="643"/>
      <c r="MAW39" s="643"/>
      <c r="MAX39" s="643"/>
      <c r="MAY39" s="643"/>
      <c r="MAZ39" s="643"/>
      <c r="MBA39" s="643"/>
      <c r="MBB39" s="643"/>
      <c r="MBC39" s="643"/>
      <c r="MBD39" s="643"/>
      <c r="MBE39" s="643"/>
      <c r="MBF39" s="643"/>
      <c r="MBG39" s="643"/>
      <c r="MBH39" s="643"/>
      <c r="MBI39" s="643"/>
      <c r="MBJ39" s="643"/>
      <c r="MBK39" s="643"/>
      <c r="MBL39" s="643"/>
      <c r="MBM39" s="643"/>
      <c r="MBN39" s="643"/>
      <c r="MBO39" s="643"/>
      <c r="MBP39" s="643"/>
      <c r="MBQ39" s="643"/>
      <c r="MBR39" s="643"/>
      <c r="MBS39" s="643"/>
      <c r="MBT39" s="643"/>
      <c r="MBU39" s="643"/>
      <c r="MBV39" s="643"/>
      <c r="MBW39" s="643"/>
      <c r="MBX39" s="643"/>
      <c r="MBY39" s="643"/>
      <c r="MBZ39" s="643"/>
      <c r="MCA39" s="643"/>
      <c r="MCB39" s="643"/>
      <c r="MCC39" s="643"/>
      <c r="MCD39" s="643"/>
      <c r="MCE39" s="643"/>
      <c r="MCF39" s="643"/>
      <c r="MCG39" s="643"/>
      <c r="MCH39" s="643"/>
      <c r="MCI39" s="643"/>
      <c r="MCJ39" s="643"/>
      <c r="MCK39" s="643"/>
      <c r="MCL39" s="643"/>
      <c r="MCM39" s="643"/>
      <c r="MCN39" s="643"/>
      <c r="MCO39" s="643"/>
      <c r="MCP39" s="643"/>
      <c r="MCQ39" s="643"/>
      <c r="MCR39" s="643"/>
      <c r="MCS39" s="643"/>
      <c r="MCT39" s="643"/>
      <c r="MCU39" s="643"/>
      <c r="MCV39" s="643"/>
      <c r="MCW39" s="643"/>
      <c r="MCX39" s="643"/>
      <c r="MCY39" s="643"/>
      <c r="MCZ39" s="643"/>
      <c r="MDA39" s="643"/>
      <c r="MDB39" s="643"/>
      <c r="MDC39" s="643"/>
      <c r="MDD39" s="643"/>
      <c r="MDE39" s="643"/>
      <c r="MDF39" s="643"/>
      <c r="MDG39" s="643"/>
      <c r="MDH39" s="643"/>
      <c r="MDI39" s="643"/>
      <c r="MDJ39" s="643"/>
      <c r="MDK39" s="643"/>
      <c r="MDL39" s="643"/>
      <c r="MDM39" s="643"/>
      <c r="MDN39" s="643"/>
      <c r="MDO39" s="643"/>
      <c r="MDP39" s="643"/>
      <c r="MDQ39" s="643"/>
      <c r="MDR39" s="643"/>
      <c r="MDS39" s="643"/>
      <c r="MDT39" s="643"/>
      <c r="MDU39" s="643"/>
      <c r="MDV39" s="643"/>
      <c r="MDW39" s="643"/>
      <c r="MDX39" s="643"/>
      <c r="MDY39" s="643"/>
      <c r="MDZ39" s="643"/>
      <c r="MEA39" s="643"/>
      <c r="MEB39" s="643"/>
      <c r="MEC39" s="643"/>
      <c r="MED39" s="643"/>
      <c r="MEE39" s="643"/>
      <c r="MEF39" s="643"/>
      <c r="MEG39" s="643"/>
      <c r="MEH39" s="643"/>
      <c r="MEI39" s="643"/>
      <c r="MEJ39" s="643"/>
      <c r="MEK39" s="643"/>
      <c r="MEL39" s="643"/>
      <c r="MEM39" s="643"/>
      <c r="MEN39" s="643"/>
      <c r="MEO39" s="643"/>
      <c r="MEP39" s="643"/>
      <c r="MEQ39" s="643"/>
      <c r="MER39" s="643"/>
      <c r="MES39" s="643"/>
      <c r="MET39" s="643"/>
      <c r="MEU39" s="643"/>
      <c r="MEV39" s="643"/>
      <c r="MEW39" s="643"/>
      <c r="MEX39" s="643"/>
      <c r="MEY39" s="643"/>
      <c r="MEZ39" s="643"/>
      <c r="MFA39" s="643"/>
      <c r="MFB39" s="643"/>
      <c r="MFC39" s="643"/>
      <c r="MFD39" s="643"/>
      <c r="MFE39" s="643"/>
      <c r="MFF39" s="643"/>
      <c r="MFG39" s="643"/>
      <c r="MFH39" s="643"/>
      <c r="MFI39" s="643"/>
      <c r="MFJ39" s="643"/>
      <c r="MFK39" s="643"/>
      <c r="MFL39" s="643"/>
      <c r="MFM39" s="643"/>
      <c r="MFN39" s="643"/>
      <c r="MFO39" s="643"/>
      <c r="MFP39" s="643"/>
      <c r="MFQ39" s="643"/>
      <c r="MFR39" s="643"/>
      <c r="MFS39" s="643"/>
      <c r="MFT39" s="643"/>
      <c r="MFU39" s="643"/>
      <c r="MFV39" s="643"/>
      <c r="MFW39" s="643"/>
      <c r="MFX39" s="643"/>
      <c r="MFY39" s="643"/>
      <c r="MFZ39" s="643"/>
      <c r="MGA39" s="643"/>
      <c r="MGB39" s="643"/>
      <c r="MGC39" s="643"/>
      <c r="MGD39" s="643"/>
      <c r="MGE39" s="643"/>
      <c r="MGF39" s="643"/>
      <c r="MGG39" s="643"/>
      <c r="MGH39" s="643"/>
      <c r="MGI39" s="643"/>
      <c r="MGJ39" s="643"/>
      <c r="MGK39" s="643"/>
      <c r="MGL39" s="643"/>
      <c r="MGM39" s="643"/>
      <c r="MGN39" s="643"/>
      <c r="MGO39" s="643"/>
      <c r="MGP39" s="643"/>
      <c r="MGQ39" s="643"/>
      <c r="MGR39" s="643"/>
      <c r="MGS39" s="643"/>
      <c r="MGT39" s="643"/>
      <c r="MGU39" s="643"/>
      <c r="MGV39" s="643"/>
      <c r="MGW39" s="643"/>
      <c r="MGX39" s="643"/>
      <c r="MGY39" s="643"/>
      <c r="MGZ39" s="643"/>
      <c r="MHA39" s="643"/>
      <c r="MHB39" s="643"/>
      <c r="MHC39" s="643"/>
      <c r="MHD39" s="643"/>
      <c r="MHE39" s="643"/>
      <c r="MHF39" s="643"/>
      <c r="MHG39" s="643"/>
      <c r="MHH39" s="643"/>
      <c r="MHI39" s="643"/>
      <c r="MHJ39" s="643"/>
      <c r="MHK39" s="643"/>
      <c r="MHL39" s="643"/>
      <c r="MHM39" s="643"/>
      <c r="MHN39" s="643"/>
      <c r="MHO39" s="643"/>
      <c r="MHP39" s="643"/>
      <c r="MHQ39" s="643"/>
      <c r="MHR39" s="643"/>
      <c r="MHS39" s="643"/>
      <c r="MHT39" s="643"/>
      <c r="MHU39" s="643"/>
      <c r="MHV39" s="643"/>
      <c r="MHW39" s="643"/>
      <c r="MHX39" s="643"/>
      <c r="MHY39" s="643"/>
      <c r="MHZ39" s="643"/>
      <c r="MIA39" s="643"/>
      <c r="MIB39" s="643"/>
      <c r="MIC39" s="643"/>
      <c r="MID39" s="643"/>
      <c r="MIE39" s="643"/>
      <c r="MIF39" s="643"/>
      <c r="MIG39" s="643"/>
      <c r="MIH39" s="643"/>
      <c r="MII39" s="643"/>
      <c r="MIJ39" s="643"/>
      <c r="MIK39" s="643"/>
      <c r="MIL39" s="643"/>
      <c r="MIM39" s="643"/>
      <c r="MIN39" s="643"/>
      <c r="MIO39" s="643"/>
      <c r="MIP39" s="643"/>
      <c r="MIQ39" s="643"/>
      <c r="MIR39" s="643"/>
      <c r="MIS39" s="643"/>
      <c r="MIT39" s="643"/>
      <c r="MIU39" s="643"/>
      <c r="MIV39" s="643"/>
      <c r="MIW39" s="643"/>
      <c r="MIX39" s="643"/>
      <c r="MIY39" s="643"/>
      <c r="MIZ39" s="643"/>
      <c r="MJA39" s="643"/>
      <c r="MJB39" s="643"/>
      <c r="MJC39" s="643"/>
      <c r="MJD39" s="643"/>
      <c r="MJE39" s="643"/>
      <c r="MJF39" s="643"/>
      <c r="MJG39" s="643"/>
      <c r="MJH39" s="643"/>
      <c r="MJI39" s="643"/>
      <c r="MJJ39" s="643"/>
      <c r="MJK39" s="643"/>
      <c r="MJL39" s="643"/>
      <c r="MJM39" s="643"/>
      <c r="MJN39" s="643"/>
      <c r="MJO39" s="643"/>
      <c r="MJP39" s="643"/>
      <c r="MJQ39" s="643"/>
      <c r="MJR39" s="643"/>
      <c r="MJS39" s="643"/>
      <c r="MJT39" s="643"/>
      <c r="MJU39" s="643"/>
      <c r="MJV39" s="643"/>
      <c r="MJW39" s="643"/>
      <c r="MJX39" s="643"/>
      <c r="MJY39" s="643"/>
      <c r="MJZ39" s="643"/>
      <c r="MKA39" s="643"/>
      <c r="MKB39" s="643"/>
      <c r="MKC39" s="643"/>
      <c r="MKD39" s="643"/>
      <c r="MKE39" s="643"/>
      <c r="MKF39" s="643"/>
      <c r="MKG39" s="643"/>
      <c r="MKH39" s="643"/>
      <c r="MKI39" s="643"/>
      <c r="MKJ39" s="643"/>
      <c r="MKK39" s="643"/>
      <c r="MKL39" s="643"/>
      <c r="MKM39" s="643"/>
      <c r="MKN39" s="643"/>
      <c r="MKO39" s="643"/>
      <c r="MKP39" s="643"/>
      <c r="MKQ39" s="643"/>
      <c r="MKR39" s="643"/>
      <c r="MKS39" s="643"/>
      <c r="MKT39" s="643"/>
      <c r="MKU39" s="643"/>
      <c r="MKV39" s="643"/>
      <c r="MKW39" s="643"/>
      <c r="MKX39" s="643"/>
      <c r="MKY39" s="643"/>
      <c r="MKZ39" s="643"/>
      <c r="MLA39" s="643"/>
      <c r="MLB39" s="643"/>
      <c r="MLC39" s="643"/>
      <c r="MLD39" s="643"/>
      <c r="MLE39" s="643"/>
      <c r="MLF39" s="643"/>
      <c r="MLG39" s="643"/>
      <c r="MLH39" s="643"/>
      <c r="MLI39" s="643"/>
      <c r="MLJ39" s="643"/>
      <c r="MLK39" s="643"/>
      <c r="MLL39" s="643"/>
      <c r="MLM39" s="643"/>
      <c r="MLN39" s="643"/>
      <c r="MLO39" s="643"/>
      <c r="MLP39" s="643"/>
      <c r="MLQ39" s="643"/>
      <c r="MLR39" s="643"/>
      <c r="MLS39" s="643"/>
      <c r="MLT39" s="643"/>
      <c r="MLU39" s="643"/>
      <c r="MLV39" s="643"/>
      <c r="MLW39" s="643"/>
      <c r="MLX39" s="643"/>
      <c r="MLY39" s="643"/>
      <c r="MLZ39" s="643"/>
      <c r="MMA39" s="643"/>
      <c r="MMB39" s="643"/>
      <c r="MMC39" s="643"/>
      <c r="MMD39" s="643"/>
      <c r="MME39" s="643"/>
      <c r="MMF39" s="643"/>
      <c r="MMG39" s="643"/>
      <c r="MMH39" s="643"/>
      <c r="MMI39" s="643"/>
      <c r="MMJ39" s="643"/>
      <c r="MMK39" s="643"/>
      <c r="MML39" s="643"/>
      <c r="MMM39" s="643"/>
      <c r="MMN39" s="643"/>
      <c r="MMO39" s="643"/>
      <c r="MMP39" s="643"/>
      <c r="MMQ39" s="643"/>
      <c r="MMR39" s="643"/>
      <c r="MMS39" s="643"/>
      <c r="MMT39" s="643"/>
      <c r="MMU39" s="643"/>
      <c r="MMV39" s="643"/>
      <c r="MMW39" s="643"/>
      <c r="MMX39" s="643"/>
      <c r="MMY39" s="643"/>
      <c r="MMZ39" s="643"/>
      <c r="MNA39" s="643"/>
      <c r="MNB39" s="643"/>
      <c r="MNC39" s="643"/>
      <c r="MND39" s="643"/>
      <c r="MNE39" s="643"/>
      <c r="MNF39" s="643"/>
      <c r="MNG39" s="643"/>
      <c r="MNH39" s="643"/>
      <c r="MNI39" s="643"/>
      <c r="MNJ39" s="643"/>
      <c r="MNK39" s="643"/>
      <c r="MNL39" s="643"/>
      <c r="MNM39" s="643"/>
      <c r="MNN39" s="643"/>
      <c r="MNO39" s="643"/>
      <c r="MNP39" s="643"/>
      <c r="MNQ39" s="643"/>
      <c r="MNR39" s="643"/>
      <c r="MNS39" s="643"/>
      <c r="MNT39" s="643"/>
      <c r="MNU39" s="643"/>
      <c r="MNV39" s="643"/>
      <c r="MNW39" s="643"/>
      <c r="MNX39" s="643"/>
      <c r="MNY39" s="643"/>
      <c r="MNZ39" s="643"/>
      <c r="MOA39" s="643"/>
      <c r="MOB39" s="643"/>
      <c r="MOC39" s="643"/>
      <c r="MOD39" s="643"/>
      <c r="MOE39" s="643"/>
      <c r="MOF39" s="643"/>
      <c r="MOG39" s="643"/>
      <c r="MOH39" s="643"/>
      <c r="MOI39" s="643"/>
      <c r="MOJ39" s="643"/>
      <c r="MOK39" s="643"/>
      <c r="MOL39" s="643"/>
      <c r="MOM39" s="643"/>
      <c r="MON39" s="643"/>
      <c r="MOO39" s="643"/>
      <c r="MOP39" s="643"/>
      <c r="MOQ39" s="643"/>
      <c r="MOR39" s="643"/>
      <c r="MOS39" s="643"/>
      <c r="MOT39" s="643"/>
      <c r="MOU39" s="643"/>
      <c r="MOV39" s="643"/>
      <c r="MOW39" s="643"/>
      <c r="MOX39" s="643"/>
      <c r="MOY39" s="643"/>
      <c r="MOZ39" s="643"/>
      <c r="MPA39" s="643"/>
      <c r="MPB39" s="643"/>
      <c r="MPC39" s="643"/>
      <c r="MPD39" s="643"/>
      <c r="MPE39" s="643"/>
      <c r="MPF39" s="643"/>
      <c r="MPG39" s="643"/>
      <c r="MPH39" s="643"/>
      <c r="MPI39" s="643"/>
      <c r="MPJ39" s="643"/>
      <c r="MPK39" s="643"/>
      <c r="MPL39" s="643"/>
      <c r="MPM39" s="643"/>
      <c r="MPN39" s="643"/>
      <c r="MPO39" s="643"/>
      <c r="MPP39" s="643"/>
      <c r="MPQ39" s="643"/>
      <c r="MPR39" s="643"/>
      <c r="MPS39" s="643"/>
      <c r="MPT39" s="643"/>
      <c r="MPU39" s="643"/>
      <c r="MPV39" s="643"/>
      <c r="MPW39" s="643"/>
      <c r="MPX39" s="643"/>
      <c r="MPY39" s="643"/>
      <c r="MPZ39" s="643"/>
      <c r="MQA39" s="643"/>
      <c r="MQB39" s="643"/>
      <c r="MQC39" s="643"/>
      <c r="MQD39" s="643"/>
      <c r="MQE39" s="643"/>
      <c r="MQF39" s="643"/>
      <c r="MQG39" s="643"/>
      <c r="MQH39" s="643"/>
      <c r="MQI39" s="643"/>
      <c r="MQJ39" s="643"/>
      <c r="MQK39" s="643"/>
      <c r="MQL39" s="643"/>
      <c r="MQM39" s="643"/>
      <c r="MQN39" s="643"/>
      <c r="MQO39" s="643"/>
      <c r="MQP39" s="643"/>
      <c r="MQQ39" s="643"/>
      <c r="MQR39" s="643"/>
      <c r="MQS39" s="643"/>
      <c r="MQT39" s="643"/>
      <c r="MQU39" s="643"/>
      <c r="MQV39" s="643"/>
      <c r="MQW39" s="643"/>
      <c r="MQX39" s="643"/>
      <c r="MQY39" s="643"/>
      <c r="MQZ39" s="643"/>
      <c r="MRA39" s="643"/>
      <c r="MRB39" s="643"/>
      <c r="MRC39" s="643"/>
      <c r="MRD39" s="643"/>
      <c r="MRE39" s="643"/>
      <c r="MRF39" s="643"/>
      <c r="MRG39" s="643"/>
      <c r="MRH39" s="643"/>
      <c r="MRI39" s="643"/>
      <c r="MRJ39" s="643"/>
      <c r="MRK39" s="643"/>
      <c r="MRL39" s="643"/>
      <c r="MRM39" s="643"/>
      <c r="MRN39" s="643"/>
      <c r="MRO39" s="643"/>
      <c r="MRP39" s="643"/>
      <c r="MRQ39" s="643"/>
      <c r="MRR39" s="643"/>
      <c r="MRS39" s="643"/>
      <c r="MRT39" s="643"/>
      <c r="MRU39" s="643"/>
      <c r="MRV39" s="643"/>
      <c r="MRW39" s="643"/>
      <c r="MRX39" s="643"/>
      <c r="MRY39" s="643"/>
      <c r="MRZ39" s="643"/>
      <c r="MSA39" s="643"/>
      <c r="MSB39" s="643"/>
      <c r="MSC39" s="643"/>
      <c r="MSD39" s="643"/>
      <c r="MSE39" s="643"/>
      <c r="MSF39" s="643"/>
      <c r="MSG39" s="643"/>
      <c r="MSH39" s="643"/>
      <c r="MSI39" s="643"/>
      <c r="MSJ39" s="643"/>
      <c r="MSK39" s="643"/>
      <c r="MSL39" s="643"/>
      <c r="MSM39" s="643"/>
      <c r="MSN39" s="643"/>
      <c r="MSO39" s="643"/>
      <c r="MSP39" s="643"/>
      <c r="MSQ39" s="643"/>
      <c r="MSR39" s="643"/>
      <c r="MSS39" s="643"/>
      <c r="MST39" s="643"/>
      <c r="MSU39" s="643"/>
      <c r="MSV39" s="643"/>
      <c r="MSW39" s="643"/>
      <c r="MSX39" s="643"/>
      <c r="MSY39" s="643"/>
      <c r="MSZ39" s="643"/>
      <c r="MTA39" s="643"/>
      <c r="MTB39" s="643"/>
      <c r="MTC39" s="643"/>
      <c r="MTD39" s="643"/>
      <c r="MTE39" s="643"/>
      <c r="MTF39" s="643"/>
      <c r="MTG39" s="643"/>
      <c r="MTH39" s="643"/>
      <c r="MTI39" s="643"/>
      <c r="MTJ39" s="643"/>
      <c r="MTK39" s="643"/>
      <c r="MTL39" s="643"/>
      <c r="MTM39" s="643"/>
      <c r="MTN39" s="643"/>
      <c r="MTO39" s="643"/>
      <c r="MTP39" s="643"/>
      <c r="MTQ39" s="643"/>
      <c r="MTR39" s="643"/>
      <c r="MTS39" s="643"/>
      <c r="MTT39" s="643"/>
      <c r="MTU39" s="643"/>
      <c r="MTV39" s="643"/>
      <c r="MTW39" s="643"/>
      <c r="MTX39" s="643"/>
      <c r="MTY39" s="643"/>
      <c r="MTZ39" s="643"/>
      <c r="MUA39" s="643"/>
      <c r="MUB39" s="643"/>
      <c r="MUC39" s="643"/>
      <c r="MUD39" s="643"/>
      <c r="MUE39" s="643"/>
      <c r="MUF39" s="643"/>
      <c r="MUG39" s="643"/>
      <c r="MUH39" s="643"/>
      <c r="MUI39" s="643"/>
      <c r="MUJ39" s="643"/>
      <c r="MUK39" s="643"/>
      <c r="MUL39" s="643"/>
      <c r="MUM39" s="643"/>
      <c r="MUN39" s="643"/>
      <c r="MUO39" s="643"/>
      <c r="MUP39" s="643"/>
      <c r="MUQ39" s="643"/>
      <c r="MUR39" s="643"/>
      <c r="MUS39" s="643"/>
      <c r="MUT39" s="643"/>
      <c r="MUU39" s="643"/>
      <c r="MUV39" s="643"/>
      <c r="MUW39" s="643"/>
      <c r="MUX39" s="643"/>
      <c r="MUY39" s="643"/>
      <c r="MUZ39" s="643"/>
      <c r="MVA39" s="643"/>
      <c r="MVB39" s="643"/>
      <c r="MVC39" s="643"/>
      <c r="MVD39" s="643"/>
      <c r="MVE39" s="643"/>
      <c r="MVF39" s="643"/>
      <c r="MVG39" s="643"/>
      <c r="MVH39" s="643"/>
      <c r="MVI39" s="643"/>
      <c r="MVJ39" s="643"/>
      <c r="MVK39" s="643"/>
      <c r="MVL39" s="643"/>
      <c r="MVM39" s="643"/>
      <c r="MVN39" s="643"/>
      <c r="MVO39" s="643"/>
      <c r="MVP39" s="643"/>
      <c r="MVQ39" s="643"/>
      <c r="MVR39" s="643"/>
      <c r="MVS39" s="643"/>
      <c r="MVT39" s="643"/>
      <c r="MVU39" s="643"/>
      <c r="MVV39" s="643"/>
      <c r="MVW39" s="643"/>
      <c r="MVX39" s="643"/>
      <c r="MVY39" s="643"/>
      <c r="MVZ39" s="643"/>
      <c r="MWA39" s="643"/>
      <c r="MWB39" s="643"/>
      <c r="MWC39" s="643"/>
      <c r="MWD39" s="643"/>
      <c r="MWE39" s="643"/>
      <c r="MWF39" s="643"/>
      <c r="MWG39" s="643"/>
      <c r="MWH39" s="643"/>
      <c r="MWI39" s="643"/>
      <c r="MWJ39" s="643"/>
      <c r="MWK39" s="643"/>
      <c r="MWL39" s="643"/>
      <c r="MWM39" s="643"/>
      <c r="MWN39" s="643"/>
      <c r="MWO39" s="643"/>
      <c r="MWP39" s="643"/>
      <c r="MWQ39" s="643"/>
      <c r="MWR39" s="643"/>
      <c r="MWS39" s="643"/>
      <c r="MWT39" s="643"/>
      <c r="MWU39" s="643"/>
      <c r="MWV39" s="643"/>
      <c r="MWW39" s="643"/>
      <c r="MWX39" s="643"/>
      <c r="MWY39" s="643"/>
      <c r="MWZ39" s="643"/>
      <c r="MXA39" s="643"/>
      <c r="MXB39" s="643"/>
      <c r="MXC39" s="643"/>
      <c r="MXD39" s="643"/>
      <c r="MXE39" s="643"/>
      <c r="MXF39" s="643"/>
      <c r="MXG39" s="643"/>
      <c r="MXH39" s="643"/>
      <c r="MXI39" s="643"/>
      <c r="MXJ39" s="643"/>
      <c r="MXK39" s="643"/>
      <c r="MXL39" s="643"/>
      <c r="MXM39" s="643"/>
      <c r="MXN39" s="643"/>
      <c r="MXO39" s="643"/>
      <c r="MXP39" s="643"/>
      <c r="MXQ39" s="643"/>
      <c r="MXR39" s="643"/>
      <c r="MXS39" s="643"/>
      <c r="MXT39" s="643"/>
      <c r="MXU39" s="643"/>
      <c r="MXV39" s="643"/>
      <c r="MXW39" s="643"/>
      <c r="MXX39" s="643"/>
      <c r="MXY39" s="643"/>
      <c r="MXZ39" s="643"/>
      <c r="MYA39" s="643"/>
      <c r="MYB39" s="643"/>
      <c r="MYC39" s="643"/>
      <c r="MYD39" s="643"/>
      <c r="MYE39" s="643"/>
      <c r="MYF39" s="643"/>
      <c r="MYG39" s="643"/>
      <c r="MYH39" s="643"/>
      <c r="MYI39" s="643"/>
      <c r="MYJ39" s="643"/>
      <c r="MYK39" s="643"/>
      <c r="MYL39" s="643"/>
      <c r="MYM39" s="643"/>
      <c r="MYN39" s="643"/>
      <c r="MYO39" s="643"/>
      <c r="MYP39" s="643"/>
      <c r="MYQ39" s="643"/>
      <c r="MYR39" s="643"/>
      <c r="MYS39" s="643"/>
      <c r="MYT39" s="643"/>
      <c r="MYU39" s="643"/>
      <c r="MYV39" s="643"/>
      <c r="MYW39" s="643"/>
      <c r="MYX39" s="643"/>
      <c r="MYY39" s="643"/>
      <c r="MYZ39" s="643"/>
      <c r="MZA39" s="643"/>
      <c r="MZB39" s="643"/>
      <c r="MZC39" s="643"/>
      <c r="MZD39" s="643"/>
      <c r="MZE39" s="643"/>
      <c r="MZF39" s="643"/>
      <c r="MZG39" s="643"/>
      <c r="MZH39" s="643"/>
      <c r="MZI39" s="643"/>
      <c r="MZJ39" s="643"/>
      <c r="MZK39" s="643"/>
      <c r="MZL39" s="643"/>
      <c r="MZM39" s="643"/>
      <c r="MZN39" s="643"/>
      <c r="MZO39" s="643"/>
      <c r="MZP39" s="643"/>
      <c r="MZQ39" s="643"/>
      <c r="MZR39" s="643"/>
      <c r="MZS39" s="643"/>
      <c r="MZT39" s="643"/>
      <c r="MZU39" s="643"/>
      <c r="MZV39" s="643"/>
      <c r="MZW39" s="643"/>
      <c r="MZX39" s="643"/>
      <c r="MZY39" s="643"/>
      <c r="MZZ39" s="643"/>
      <c r="NAA39" s="643"/>
      <c r="NAB39" s="643"/>
      <c r="NAC39" s="643"/>
      <c r="NAD39" s="643"/>
      <c r="NAE39" s="643"/>
      <c r="NAF39" s="643"/>
      <c r="NAG39" s="643"/>
      <c r="NAH39" s="643"/>
      <c r="NAI39" s="643"/>
      <c r="NAJ39" s="643"/>
      <c r="NAK39" s="643"/>
      <c r="NAL39" s="643"/>
      <c r="NAM39" s="643"/>
      <c r="NAN39" s="643"/>
      <c r="NAO39" s="643"/>
      <c r="NAP39" s="643"/>
      <c r="NAQ39" s="643"/>
      <c r="NAR39" s="643"/>
      <c r="NAS39" s="643"/>
      <c r="NAT39" s="643"/>
      <c r="NAU39" s="643"/>
      <c r="NAV39" s="643"/>
      <c r="NAW39" s="643"/>
      <c r="NAX39" s="643"/>
      <c r="NAY39" s="643"/>
      <c r="NAZ39" s="643"/>
      <c r="NBA39" s="643"/>
      <c r="NBB39" s="643"/>
      <c r="NBC39" s="643"/>
      <c r="NBD39" s="643"/>
      <c r="NBE39" s="643"/>
      <c r="NBF39" s="643"/>
      <c r="NBG39" s="643"/>
      <c r="NBH39" s="643"/>
      <c r="NBI39" s="643"/>
      <c r="NBJ39" s="643"/>
      <c r="NBK39" s="643"/>
      <c r="NBL39" s="643"/>
      <c r="NBM39" s="643"/>
      <c r="NBN39" s="643"/>
      <c r="NBO39" s="643"/>
      <c r="NBP39" s="643"/>
      <c r="NBQ39" s="643"/>
      <c r="NBR39" s="643"/>
      <c r="NBS39" s="643"/>
      <c r="NBT39" s="643"/>
      <c r="NBU39" s="643"/>
      <c r="NBV39" s="643"/>
      <c r="NBW39" s="643"/>
      <c r="NBX39" s="643"/>
      <c r="NBY39" s="643"/>
      <c r="NBZ39" s="643"/>
      <c r="NCA39" s="643"/>
      <c r="NCB39" s="643"/>
      <c r="NCC39" s="643"/>
      <c r="NCD39" s="643"/>
      <c r="NCE39" s="643"/>
      <c r="NCF39" s="643"/>
      <c r="NCG39" s="643"/>
      <c r="NCH39" s="643"/>
      <c r="NCI39" s="643"/>
      <c r="NCJ39" s="643"/>
      <c r="NCK39" s="643"/>
      <c r="NCL39" s="643"/>
      <c r="NCM39" s="643"/>
      <c r="NCN39" s="643"/>
      <c r="NCO39" s="643"/>
      <c r="NCP39" s="643"/>
      <c r="NCQ39" s="643"/>
      <c r="NCR39" s="643"/>
      <c r="NCS39" s="643"/>
      <c r="NCT39" s="643"/>
      <c r="NCU39" s="643"/>
      <c r="NCV39" s="643"/>
      <c r="NCW39" s="643"/>
      <c r="NCX39" s="643"/>
      <c r="NCY39" s="643"/>
      <c r="NCZ39" s="643"/>
      <c r="NDA39" s="643"/>
      <c r="NDB39" s="643"/>
      <c r="NDC39" s="643"/>
      <c r="NDD39" s="643"/>
      <c r="NDE39" s="643"/>
      <c r="NDF39" s="643"/>
      <c r="NDG39" s="643"/>
      <c r="NDH39" s="643"/>
      <c r="NDI39" s="643"/>
      <c r="NDJ39" s="643"/>
      <c r="NDK39" s="643"/>
      <c r="NDL39" s="643"/>
      <c r="NDM39" s="643"/>
      <c r="NDN39" s="643"/>
      <c r="NDO39" s="643"/>
      <c r="NDP39" s="643"/>
      <c r="NDQ39" s="643"/>
      <c r="NDR39" s="643"/>
      <c r="NDS39" s="643"/>
      <c r="NDT39" s="643"/>
      <c r="NDU39" s="643"/>
      <c r="NDV39" s="643"/>
      <c r="NDW39" s="643"/>
      <c r="NDX39" s="643"/>
      <c r="NDY39" s="643"/>
      <c r="NDZ39" s="643"/>
      <c r="NEA39" s="643"/>
      <c r="NEB39" s="643"/>
      <c r="NEC39" s="643"/>
      <c r="NED39" s="643"/>
      <c r="NEE39" s="643"/>
      <c r="NEF39" s="643"/>
      <c r="NEG39" s="643"/>
      <c r="NEH39" s="643"/>
      <c r="NEI39" s="643"/>
      <c r="NEJ39" s="643"/>
      <c r="NEK39" s="643"/>
      <c r="NEL39" s="643"/>
      <c r="NEM39" s="643"/>
      <c r="NEN39" s="643"/>
      <c r="NEO39" s="643"/>
      <c r="NEP39" s="643"/>
      <c r="NEQ39" s="643"/>
      <c r="NER39" s="643"/>
      <c r="NES39" s="643"/>
      <c r="NET39" s="643"/>
      <c r="NEU39" s="643"/>
      <c r="NEV39" s="643"/>
      <c r="NEW39" s="643"/>
      <c r="NEX39" s="643"/>
      <c r="NEY39" s="643"/>
      <c r="NEZ39" s="643"/>
      <c r="NFA39" s="643"/>
      <c r="NFB39" s="643"/>
      <c r="NFC39" s="643"/>
      <c r="NFD39" s="643"/>
      <c r="NFE39" s="643"/>
      <c r="NFF39" s="643"/>
      <c r="NFG39" s="643"/>
      <c r="NFH39" s="643"/>
      <c r="NFI39" s="643"/>
      <c r="NFJ39" s="643"/>
      <c r="NFK39" s="643"/>
      <c r="NFL39" s="643"/>
      <c r="NFM39" s="643"/>
      <c r="NFN39" s="643"/>
      <c r="NFO39" s="643"/>
      <c r="NFP39" s="643"/>
      <c r="NFQ39" s="643"/>
      <c r="NFR39" s="643"/>
      <c r="NFS39" s="643"/>
      <c r="NFT39" s="643"/>
      <c r="NFU39" s="643"/>
      <c r="NFV39" s="643"/>
      <c r="NFW39" s="643"/>
      <c r="NFX39" s="643"/>
      <c r="NFY39" s="643"/>
      <c r="NFZ39" s="643"/>
      <c r="NGA39" s="643"/>
      <c r="NGB39" s="643"/>
      <c r="NGC39" s="643"/>
      <c r="NGD39" s="643"/>
      <c r="NGE39" s="643"/>
      <c r="NGF39" s="643"/>
      <c r="NGG39" s="643"/>
      <c r="NGH39" s="643"/>
      <c r="NGI39" s="643"/>
      <c r="NGJ39" s="643"/>
      <c r="NGK39" s="643"/>
      <c r="NGL39" s="643"/>
      <c r="NGM39" s="643"/>
      <c r="NGN39" s="643"/>
      <c r="NGO39" s="643"/>
      <c r="NGP39" s="643"/>
      <c r="NGQ39" s="643"/>
      <c r="NGR39" s="643"/>
      <c r="NGS39" s="643"/>
      <c r="NGT39" s="643"/>
      <c r="NGU39" s="643"/>
      <c r="NGV39" s="643"/>
      <c r="NGW39" s="643"/>
      <c r="NGX39" s="643"/>
      <c r="NGY39" s="643"/>
      <c r="NGZ39" s="643"/>
      <c r="NHA39" s="643"/>
      <c r="NHB39" s="643"/>
      <c r="NHC39" s="643"/>
      <c r="NHD39" s="643"/>
      <c r="NHE39" s="643"/>
      <c r="NHF39" s="643"/>
      <c r="NHG39" s="643"/>
      <c r="NHH39" s="643"/>
      <c r="NHI39" s="643"/>
      <c r="NHJ39" s="643"/>
      <c r="NHK39" s="643"/>
      <c r="NHL39" s="643"/>
      <c r="NHM39" s="643"/>
      <c r="NHN39" s="643"/>
      <c r="NHO39" s="643"/>
      <c r="NHP39" s="643"/>
      <c r="NHQ39" s="643"/>
      <c r="NHR39" s="643"/>
      <c r="NHS39" s="643"/>
      <c r="NHT39" s="643"/>
      <c r="NHU39" s="643"/>
      <c r="NHV39" s="643"/>
      <c r="NHW39" s="643"/>
      <c r="NHX39" s="643"/>
      <c r="NHY39" s="643"/>
      <c r="NHZ39" s="643"/>
      <c r="NIA39" s="643"/>
      <c r="NIB39" s="643"/>
      <c r="NIC39" s="643"/>
      <c r="NID39" s="643"/>
      <c r="NIE39" s="643"/>
      <c r="NIF39" s="643"/>
      <c r="NIG39" s="643"/>
      <c r="NIH39" s="643"/>
      <c r="NII39" s="643"/>
      <c r="NIJ39" s="643"/>
      <c r="NIK39" s="643"/>
      <c r="NIL39" s="643"/>
      <c r="NIM39" s="643"/>
      <c r="NIN39" s="643"/>
      <c r="NIO39" s="643"/>
      <c r="NIP39" s="643"/>
      <c r="NIQ39" s="643"/>
      <c r="NIR39" s="643"/>
      <c r="NIS39" s="643"/>
      <c r="NIT39" s="643"/>
      <c r="NIU39" s="643"/>
      <c r="NIV39" s="643"/>
      <c r="NIW39" s="643"/>
      <c r="NIX39" s="643"/>
      <c r="NIY39" s="643"/>
      <c r="NIZ39" s="643"/>
      <c r="NJA39" s="643"/>
      <c r="NJB39" s="643"/>
      <c r="NJC39" s="643"/>
      <c r="NJD39" s="643"/>
      <c r="NJE39" s="643"/>
      <c r="NJF39" s="643"/>
      <c r="NJG39" s="643"/>
      <c r="NJH39" s="643"/>
      <c r="NJI39" s="643"/>
      <c r="NJJ39" s="643"/>
      <c r="NJK39" s="643"/>
      <c r="NJL39" s="643"/>
      <c r="NJM39" s="643"/>
      <c r="NJN39" s="643"/>
      <c r="NJO39" s="643"/>
      <c r="NJP39" s="643"/>
      <c r="NJQ39" s="643"/>
      <c r="NJR39" s="643"/>
      <c r="NJS39" s="643"/>
      <c r="NJT39" s="643"/>
      <c r="NJU39" s="643"/>
      <c r="NJV39" s="643"/>
      <c r="NJW39" s="643"/>
      <c r="NJX39" s="643"/>
      <c r="NJY39" s="643"/>
      <c r="NJZ39" s="643"/>
      <c r="NKA39" s="643"/>
      <c r="NKB39" s="643"/>
      <c r="NKC39" s="643"/>
      <c r="NKD39" s="643"/>
      <c r="NKE39" s="643"/>
      <c r="NKF39" s="643"/>
      <c r="NKG39" s="643"/>
      <c r="NKH39" s="643"/>
      <c r="NKI39" s="643"/>
      <c r="NKJ39" s="643"/>
      <c r="NKK39" s="643"/>
      <c r="NKL39" s="643"/>
      <c r="NKM39" s="643"/>
      <c r="NKN39" s="643"/>
      <c r="NKO39" s="643"/>
      <c r="NKP39" s="643"/>
      <c r="NKQ39" s="643"/>
      <c r="NKR39" s="643"/>
      <c r="NKS39" s="643"/>
      <c r="NKT39" s="643"/>
      <c r="NKU39" s="643"/>
      <c r="NKV39" s="643"/>
      <c r="NKW39" s="643"/>
      <c r="NKX39" s="643"/>
      <c r="NKY39" s="643"/>
      <c r="NKZ39" s="643"/>
      <c r="NLA39" s="643"/>
      <c r="NLB39" s="643"/>
      <c r="NLC39" s="643"/>
      <c r="NLD39" s="643"/>
      <c r="NLE39" s="643"/>
      <c r="NLF39" s="643"/>
      <c r="NLG39" s="643"/>
      <c r="NLH39" s="643"/>
      <c r="NLI39" s="643"/>
      <c r="NLJ39" s="643"/>
      <c r="NLK39" s="643"/>
      <c r="NLL39" s="643"/>
      <c r="NLM39" s="643"/>
      <c r="NLN39" s="643"/>
      <c r="NLO39" s="643"/>
      <c r="NLP39" s="643"/>
      <c r="NLQ39" s="643"/>
      <c r="NLR39" s="643"/>
      <c r="NLS39" s="643"/>
      <c r="NLT39" s="643"/>
      <c r="NLU39" s="643"/>
      <c r="NLV39" s="643"/>
      <c r="NLW39" s="643"/>
      <c r="NLX39" s="643"/>
      <c r="NLY39" s="643"/>
      <c r="NLZ39" s="643"/>
      <c r="NMA39" s="643"/>
      <c r="NMB39" s="643"/>
      <c r="NMC39" s="643"/>
      <c r="NMD39" s="643"/>
      <c r="NME39" s="643"/>
      <c r="NMF39" s="643"/>
      <c r="NMG39" s="643"/>
      <c r="NMH39" s="643"/>
      <c r="NMI39" s="643"/>
      <c r="NMJ39" s="643"/>
      <c r="NMK39" s="643"/>
      <c r="NML39" s="643"/>
      <c r="NMM39" s="643"/>
      <c r="NMN39" s="643"/>
      <c r="NMO39" s="643"/>
      <c r="NMP39" s="643"/>
      <c r="NMQ39" s="643"/>
      <c r="NMR39" s="643"/>
      <c r="NMS39" s="643"/>
      <c r="NMT39" s="643"/>
      <c r="NMU39" s="643"/>
      <c r="NMV39" s="643"/>
      <c r="NMW39" s="643"/>
      <c r="NMX39" s="643"/>
      <c r="NMY39" s="643"/>
      <c r="NMZ39" s="643"/>
      <c r="NNA39" s="643"/>
      <c r="NNB39" s="643"/>
      <c r="NNC39" s="643"/>
      <c r="NND39" s="643"/>
      <c r="NNE39" s="643"/>
      <c r="NNF39" s="643"/>
      <c r="NNG39" s="643"/>
      <c r="NNH39" s="643"/>
      <c r="NNI39" s="643"/>
      <c r="NNJ39" s="643"/>
      <c r="NNK39" s="643"/>
      <c r="NNL39" s="643"/>
      <c r="NNM39" s="643"/>
      <c r="NNN39" s="643"/>
      <c r="NNO39" s="643"/>
      <c r="NNP39" s="643"/>
      <c r="NNQ39" s="643"/>
      <c r="NNR39" s="643"/>
      <c r="NNS39" s="643"/>
      <c r="NNT39" s="643"/>
      <c r="NNU39" s="643"/>
      <c r="NNV39" s="643"/>
      <c r="NNW39" s="643"/>
      <c r="NNX39" s="643"/>
      <c r="NNY39" s="643"/>
      <c r="NNZ39" s="643"/>
      <c r="NOA39" s="643"/>
      <c r="NOB39" s="643"/>
      <c r="NOC39" s="643"/>
      <c r="NOD39" s="643"/>
      <c r="NOE39" s="643"/>
      <c r="NOF39" s="643"/>
      <c r="NOG39" s="643"/>
      <c r="NOH39" s="643"/>
      <c r="NOI39" s="643"/>
      <c r="NOJ39" s="643"/>
      <c r="NOK39" s="643"/>
      <c r="NOL39" s="643"/>
      <c r="NOM39" s="643"/>
      <c r="NON39" s="643"/>
      <c r="NOO39" s="643"/>
      <c r="NOP39" s="643"/>
      <c r="NOQ39" s="643"/>
      <c r="NOR39" s="643"/>
      <c r="NOS39" s="643"/>
      <c r="NOT39" s="643"/>
      <c r="NOU39" s="643"/>
      <c r="NOV39" s="643"/>
      <c r="NOW39" s="643"/>
      <c r="NOX39" s="643"/>
      <c r="NOY39" s="643"/>
      <c r="NOZ39" s="643"/>
      <c r="NPA39" s="643"/>
      <c r="NPB39" s="643"/>
      <c r="NPC39" s="643"/>
      <c r="NPD39" s="643"/>
      <c r="NPE39" s="643"/>
      <c r="NPF39" s="643"/>
      <c r="NPG39" s="643"/>
      <c r="NPH39" s="643"/>
      <c r="NPI39" s="643"/>
      <c r="NPJ39" s="643"/>
      <c r="NPK39" s="643"/>
      <c r="NPL39" s="643"/>
      <c r="NPM39" s="643"/>
      <c r="NPN39" s="643"/>
      <c r="NPO39" s="643"/>
      <c r="NPP39" s="643"/>
      <c r="NPQ39" s="643"/>
      <c r="NPR39" s="643"/>
      <c r="NPS39" s="643"/>
      <c r="NPT39" s="643"/>
      <c r="NPU39" s="643"/>
      <c r="NPV39" s="643"/>
      <c r="NPW39" s="643"/>
      <c r="NPX39" s="643"/>
      <c r="NPY39" s="643"/>
      <c r="NPZ39" s="643"/>
      <c r="NQA39" s="643"/>
      <c r="NQB39" s="643"/>
      <c r="NQC39" s="643"/>
      <c r="NQD39" s="643"/>
      <c r="NQE39" s="643"/>
      <c r="NQF39" s="643"/>
      <c r="NQG39" s="643"/>
      <c r="NQH39" s="643"/>
      <c r="NQI39" s="643"/>
      <c r="NQJ39" s="643"/>
      <c r="NQK39" s="643"/>
      <c r="NQL39" s="643"/>
      <c r="NQM39" s="643"/>
      <c r="NQN39" s="643"/>
      <c r="NQO39" s="643"/>
      <c r="NQP39" s="643"/>
      <c r="NQQ39" s="643"/>
      <c r="NQR39" s="643"/>
      <c r="NQS39" s="643"/>
      <c r="NQT39" s="643"/>
      <c r="NQU39" s="643"/>
      <c r="NQV39" s="643"/>
      <c r="NQW39" s="643"/>
      <c r="NQX39" s="643"/>
      <c r="NQY39" s="643"/>
      <c r="NQZ39" s="643"/>
      <c r="NRA39" s="643"/>
      <c r="NRB39" s="643"/>
      <c r="NRC39" s="643"/>
      <c r="NRD39" s="643"/>
      <c r="NRE39" s="643"/>
      <c r="NRF39" s="643"/>
      <c r="NRG39" s="643"/>
      <c r="NRH39" s="643"/>
      <c r="NRI39" s="643"/>
      <c r="NRJ39" s="643"/>
      <c r="NRK39" s="643"/>
      <c r="NRL39" s="643"/>
      <c r="NRM39" s="643"/>
      <c r="NRN39" s="643"/>
      <c r="NRO39" s="643"/>
      <c r="NRP39" s="643"/>
      <c r="NRQ39" s="643"/>
      <c r="NRR39" s="643"/>
      <c r="NRS39" s="643"/>
      <c r="NRT39" s="643"/>
      <c r="NRU39" s="643"/>
      <c r="NRV39" s="643"/>
      <c r="NRW39" s="643"/>
      <c r="NRX39" s="643"/>
      <c r="NRY39" s="643"/>
      <c r="NRZ39" s="643"/>
      <c r="NSA39" s="643"/>
      <c r="NSB39" s="643"/>
      <c r="NSC39" s="643"/>
      <c r="NSD39" s="643"/>
      <c r="NSE39" s="643"/>
      <c r="NSF39" s="643"/>
      <c r="NSG39" s="643"/>
      <c r="NSH39" s="643"/>
      <c r="NSI39" s="643"/>
      <c r="NSJ39" s="643"/>
      <c r="NSK39" s="643"/>
      <c r="NSL39" s="643"/>
      <c r="NSM39" s="643"/>
      <c r="NSN39" s="643"/>
      <c r="NSO39" s="643"/>
      <c r="NSP39" s="643"/>
      <c r="NSQ39" s="643"/>
      <c r="NSR39" s="643"/>
      <c r="NSS39" s="643"/>
      <c r="NST39" s="643"/>
      <c r="NSU39" s="643"/>
      <c r="NSV39" s="643"/>
      <c r="NSW39" s="643"/>
      <c r="NSX39" s="643"/>
      <c r="NSY39" s="643"/>
      <c r="NSZ39" s="643"/>
      <c r="NTA39" s="643"/>
      <c r="NTB39" s="643"/>
      <c r="NTC39" s="643"/>
      <c r="NTD39" s="643"/>
      <c r="NTE39" s="643"/>
      <c r="NTF39" s="643"/>
      <c r="NTG39" s="643"/>
      <c r="NTH39" s="643"/>
      <c r="NTI39" s="643"/>
      <c r="NTJ39" s="643"/>
      <c r="NTK39" s="643"/>
      <c r="NTL39" s="643"/>
      <c r="NTM39" s="643"/>
      <c r="NTN39" s="643"/>
      <c r="NTO39" s="643"/>
      <c r="NTP39" s="643"/>
      <c r="NTQ39" s="643"/>
      <c r="NTR39" s="643"/>
      <c r="NTS39" s="643"/>
      <c r="NTT39" s="643"/>
      <c r="NTU39" s="643"/>
      <c r="NTV39" s="643"/>
      <c r="NTW39" s="643"/>
      <c r="NTX39" s="643"/>
      <c r="NTY39" s="643"/>
      <c r="NTZ39" s="643"/>
      <c r="NUA39" s="643"/>
      <c r="NUB39" s="643"/>
      <c r="NUC39" s="643"/>
      <c r="NUD39" s="643"/>
      <c r="NUE39" s="643"/>
      <c r="NUF39" s="643"/>
      <c r="NUG39" s="643"/>
      <c r="NUH39" s="643"/>
      <c r="NUI39" s="643"/>
      <c r="NUJ39" s="643"/>
      <c r="NUK39" s="643"/>
      <c r="NUL39" s="643"/>
      <c r="NUM39" s="643"/>
      <c r="NUN39" s="643"/>
      <c r="NUO39" s="643"/>
      <c r="NUP39" s="643"/>
      <c r="NUQ39" s="643"/>
      <c r="NUR39" s="643"/>
      <c r="NUS39" s="643"/>
      <c r="NUT39" s="643"/>
      <c r="NUU39" s="643"/>
      <c r="NUV39" s="643"/>
      <c r="NUW39" s="643"/>
      <c r="NUX39" s="643"/>
      <c r="NUY39" s="643"/>
      <c r="NUZ39" s="643"/>
      <c r="NVA39" s="643"/>
      <c r="NVB39" s="643"/>
      <c r="NVC39" s="643"/>
      <c r="NVD39" s="643"/>
      <c r="NVE39" s="643"/>
      <c r="NVF39" s="643"/>
      <c r="NVG39" s="643"/>
      <c r="NVH39" s="643"/>
      <c r="NVI39" s="643"/>
      <c r="NVJ39" s="643"/>
      <c r="NVK39" s="643"/>
      <c r="NVL39" s="643"/>
      <c r="NVM39" s="643"/>
      <c r="NVN39" s="643"/>
      <c r="NVO39" s="643"/>
      <c r="NVP39" s="643"/>
      <c r="NVQ39" s="643"/>
      <c r="NVR39" s="643"/>
      <c r="NVS39" s="643"/>
      <c r="NVT39" s="643"/>
      <c r="NVU39" s="643"/>
      <c r="NVV39" s="643"/>
      <c r="NVW39" s="643"/>
      <c r="NVX39" s="643"/>
      <c r="NVY39" s="643"/>
      <c r="NVZ39" s="643"/>
      <c r="NWA39" s="643"/>
      <c r="NWB39" s="643"/>
      <c r="NWC39" s="643"/>
      <c r="NWD39" s="643"/>
      <c r="NWE39" s="643"/>
      <c r="NWF39" s="643"/>
      <c r="NWG39" s="643"/>
      <c r="NWH39" s="643"/>
      <c r="NWI39" s="643"/>
      <c r="NWJ39" s="643"/>
      <c r="NWK39" s="643"/>
      <c r="NWL39" s="643"/>
      <c r="NWM39" s="643"/>
      <c r="NWN39" s="643"/>
      <c r="NWO39" s="643"/>
      <c r="NWP39" s="643"/>
      <c r="NWQ39" s="643"/>
      <c r="NWR39" s="643"/>
      <c r="NWS39" s="643"/>
      <c r="NWT39" s="643"/>
      <c r="NWU39" s="643"/>
      <c r="NWV39" s="643"/>
      <c r="NWW39" s="643"/>
      <c r="NWX39" s="643"/>
      <c r="NWY39" s="643"/>
      <c r="NWZ39" s="643"/>
      <c r="NXA39" s="643"/>
      <c r="NXB39" s="643"/>
      <c r="NXC39" s="643"/>
      <c r="NXD39" s="643"/>
      <c r="NXE39" s="643"/>
      <c r="NXF39" s="643"/>
      <c r="NXG39" s="643"/>
      <c r="NXH39" s="643"/>
      <c r="NXI39" s="643"/>
      <c r="NXJ39" s="643"/>
      <c r="NXK39" s="643"/>
      <c r="NXL39" s="643"/>
      <c r="NXM39" s="643"/>
      <c r="NXN39" s="643"/>
      <c r="NXO39" s="643"/>
      <c r="NXP39" s="643"/>
      <c r="NXQ39" s="643"/>
      <c r="NXR39" s="643"/>
      <c r="NXS39" s="643"/>
      <c r="NXT39" s="643"/>
      <c r="NXU39" s="643"/>
      <c r="NXV39" s="643"/>
      <c r="NXW39" s="643"/>
      <c r="NXX39" s="643"/>
      <c r="NXY39" s="643"/>
      <c r="NXZ39" s="643"/>
      <c r="NYA39" s="643"/>
      <c r="NYB39" s="643"/>
      <c r="NYC39" s="643"/>
      <c r="NYD39" s="643"/>
      <c r="NYE39" s="643"/>
      <c r="NYF39" s="643"/>
      <c r="NYG39" s="643"/>
      <c r="NYH39" s="643"/>
      <c r="NYI39" s="643"/>
      <c r="NYJ39" s="643"/>
      <c r="NYK39" s="643"/>
      <c r="NYL39" s="643"/>
      <c r="NYM39" s="643"/>
      <c r="NYN39" s="643"/>
      <c r="NYO39" s="643"/>
      <c r="NYP39" s="643"/>
      <c r="NYQ39" s="643"/>
      <c r="NYR39" s="643"/>
      <c r="NYS39" s="643"/>
      <c r="NYT39" s="643"/>
      <c r="NYU39" s="643"/>
      <c r="NYV39" s="643"/>
      <c r="NYW39" s="643"/>
      <c r="NYX39" s="643"/>
      <c r="NYY39" s="643"/>
      <c r="NYZ39" s="643"/>
      <c r="NZA39" s="643"/>
      <c r="NZB39" s="643"/>
      <c r="NZC39" s="643"/>
      <c r="NZD39" s="643"/>
      <c r="NZE39" s="643"/>
      <c r="NZF39" s="643"/>
      <c r="NZG39" s="643"/>
      <c r="NZH39" s="643"/>
      <c r="NZI39" s="643"/>
      <c r="NZJ39" s="643"/>
      <c r="NZK39" s="643"/>
      <c r="NZL39" s="643"/>
      <c r="NZM39" s="643"/>
      <c r="NZN39" s="643"/>
      <c r="NZO39" s="643"/>
      <c r="NZP39" s="643"/>
      <c r="NZQ39" s="643"/>
      <c r="NZR39" s="643"/>
      <c r="NZS39" s="643"/>
      <c r="NZT39" s="643"/>
      <c r="NZU39" s="643"/>
      <c r="NZV39" s="643"/>
      <c r="NZW39" s="643"/>
      <c r="NZX39" s="643"/>
      <c r="NZY39" s="643"/>
      <c r="NZZ39" s="643"/>
      <c r="OAA39" s="643"/>
      <c r="OAB39" s="643"/>
      <c r="OAC39" s="643"/>
      <c r="OAD39" s="643"/>
      <c r="OAE39" s="643"/>
      <c r="OAF39" s="643"/>
      <c r="OAG39" s="643"/>
      <c r="OAH39" s="643"/>
      <c r="OAI39" s="643"/>
      <c r="OAJ39" s="643"/>
      <c r="OAK39" s="643"/>
      <c r="OAL39" s="643"/>
      <c r="OAM39" s="643"/>
      <c r="OAN39" s="643"/>
      <c r="OAO39" s="643"/>
      <c r="OAP39" s="643"/>
      <c r="OAQ39" s="643"/>
      <c r="OAR39" s="643"/>
      <c r="OAS39" s="643"/>
      <c r="OAT39" s="643"/>
      <c r="OAU39" s="643"/>
      <c r="OAV39" s="643"/>
      <c r="OAW39" s="643"/>
      <c r="OAX39" s="643"/>
      <c r="OAY39" s="643"/>
      <c r="OAZ39" s="643"/>
      <c r="OBA39" s="643"/>
      <c r="OBB39" s="643"/>
      <c r="OBC39" s="643"/>
      <c r="OBD39" s="643"/>
      <c r="OBE39" s="643"/>
      <c r="OBF39" s="643"/>
      <c r="OBG39" s="643"/>
      <c r="OBH39" s="643"/>
      <c r="OBI39" s="643"/>
      <c r="OBJ39" s="643"/>
      <c r="OBK39" s="643"/>
      <c r="OBL39" s="643"/>
      <c r="OBM39" s="643"/>
      <c r="OBN39" s="643"/>
      <c r="OBO39" s="643"/>
      <c r="OBP39" s="643"/>
      <c r="OBQ39" s="643"/>
      <c r="OBR39" s="643"/>
      <c r="OBS39" s="643"/>
      <c r="OBT39" s="643"/>
      <c r="OBU39" s="643"/>
      <c r="OBV39" s="643"/>
      <c r="OBW39" s="643"/>
      <c r="OBX39" s="643"/>
      <c r="OBY39" s="643"/>
      <c r="OBZ39" s="643"/>
      <c r="OCA39" s="643"/>
      <c r="OCB39" s="643"/>
      <c r="OCC39" s="643"/>
      <c r="OCD39" s="643"/>
      <c r="OCE39" s="643"/>
      <c r="OCF39" s="643"/>
      <c r="OCG39" s="643"/>
      <c r="OCH39" s="643"/>
      <c r="OCI39" s="643"/>
      <c r="OCJ39" s="643"/>
      <c r="OCK39" s="643"/>
      <c r="OCL39" s="643"/>
      <c r="OCM39" s="643"/>
      <c r="OCN39" s="643"/>
      <c r="OCO39" s="643"/>
      <c r="OCP39" s="643"/>
      <c r="OCQ39" s="643"/>
      <c r="OCR39" s="643"/>
      <c r="OCS39" s="643"/>
      <c r="OCT39" s="643"/>
      <c r="OCU39" s="643"/>
      <c r="OCV39" s="643"/>
      <c r="OCW39" s="643"/>
      <c r="OCX39" s="643"/>
      <c r="OCY39" s="643"/>
      <c r="OCZ39" s="643"/>
      <c r="ODA39" s="643"/>
      <c r="ODB39" s="643"/>
      <c r="ODC39" s="643"/>
      <c r="ODD39" s="643"/>
      <c r="ODE39" s="643"/>
      <c r="ODF39" s="643"/>
      <c r="ODG39" s="643"/>
      <c r="ODH39" s="643"/>
      <c r="ODI39" s="643"/>
      <c r="ODJ39" s="643"/>
      <c r="ODK39" s="643"/>
      <c r="ODL39" s="643"/>
      <c r="ODM39" s="643"/>
      <c r="ODN39" s="643"/>
      <c r="ODO39" s="643"/>
      <c r="ODP39" s="643"/>
      <c r="ODQ39" s="643"/>
      <c r="ODR39" s="643"/>
      <c r="ODS39" s="643"/>
      <c r="ODT39" s="643"/>
      <c r="ODU39" s="643"/>
      <c r="ODV39" s="643"/>
      <c r="ODW39" s="643"/>
      <c r="ODX39" s="643"/>
      <c r="ODY39" s="643"/>
      <c r="ODZ39" s="643"/>
      <c r="OEA39" s="643"/>
      <c r="OEB39" s="643"/>
      <c r="OEC39" s="643"/>
      <c r="OED39" s="643"/>
      <c r="OEE39" s="643"/>
      <c r="OEF39" s="643"/>
      <c r="OEG39" s="643"/>
      <c r="OEH39" s="643"/>
      <c r="OEI39" s="643"/>
      <c r="OEJ39" s="643"/>
      <c r="OEK39" s="643"/>
      <c r="OEL39" s="643"/>
      <c r="OEM39" s="643"/>
      <c r="OEN39" s="643"/>
      <c r="OEO39" s="643"/>
      <c r="OEP39" s="643"/>
      <c r="OEQ39" s="643"/>
      <c r="OER39" s="643"/>
      <c r="OES39" s="643"/>
      <c r="OET39" s="643"/>
      <c r="OEU39" s="643"/>
      <c r="OEV39" s="643"/>
      <c r="OEW39" s="643"/>
      <c r="OEX39" s="643"/>
      <c r="OEY39" s="643"/>
      <c r="OEZ39" s="643"/>
      <c r="OFA39" s="643"/>
      <c r="OFB39" s="643"/>
      <c r="OFC39" s="643"/>
      <c r="OFD39" s="643"/>
      <c r="OFE39" s="643"/>
      <c r="OFF39" s="643"/>
      <c r="OFG39" s="643"/>
      <c r="OFH39" s="643"/>
      <c r="OFI39" s="643"/>
      <c r="OFJ39" s="643"/>
      <c r="OFK39" s="643"/>
      <c r="OFL39" s="643"/>
      <c r="OFM39" s="643"/>
      <c r="OFN39" s="643"/>
      <c r="OFO39" s="643"/>
      <c r="OFP39" s="643"/>
      <c r="OFQ39" s="643"/>
      <c r="OFR39" s="643"/>
      <c r="OFS39" s="643"/>
      <c r="OFT39" s="643"/>
      <c r="OFU39" s="643"/>
      <c r="OFV39" s="643"/>
      <c r="OFW39" s="643"/>
      <c r="OFX39" s="643"/>
      <c r="OFY39" s="643"/>
      <c r="OFZ39" s="643"/>
      <c r="OGA39" s="643"/>
      <c r="OGB39" s="643"/>
      <c r="OGC39" s="643"/>
      <c r="OGD39" s="643"/>
      <c r="OGE39" s="643"/>
      <c r="OGF39" s="643"/>
      <c r="OGG39" s="643"/>
      <c r="OGH39" s="643"/>
      <c r="OGI39" s="643"/>
      <c r="OGJ39" s="643"/>
      <c r="OGK39" s="643"/>
      <c r="OGL39" s="643"/>
      <c r="OGM39" s="643"/>
      <c r="OGN39" s="643"/>
      <c r="OGO39" s="643"/>
      <c r="OGP39" s="643"/>
      <c r="OGQ39" s="643"/>
      <c r="OGR39" s="643"/>
      <c r="OGS39" s="643"/>
      <c r="OGT39" s="643"/>
      <c r="OGU39" s="643"/>
      <c r="OGV39" s="643"/>
      <c r="OGW39" s="643"/>
      <c r="OGX39" s="643"/>
      <c r="OGY39" s="643"/>
      <c r="OGZ39" s="643"/>
      <c r="OHA39" s="643"/>
      <c r="OHB39" s="643"/>
      <c r="OHC39" s="643"/>
      <c r="OHD39" s="643"/>
      <c r="OHE39" s="643"/>
      <c r="OHF39" s="643"/>
      <c r="OHG39" s="643"/>
      <c r="OHH39" s="643"/>
      <c r="OHI39" s="643"/>
      <c r="OHJ39" s="643"/>
      <c r="OHK39" s="643"/>
      <c r="OHL39" s="643"/>
      <c r="OHM39" s="643"/>
      <c r="OHN39" s="643"/>
      <c r="OHO39" s="643"/>
      <c r="OHP39" s="643"/>
      <c r="OHQ39" s="643"/>
      <c r="OHR39" s="643"/>
      <c r="OHS39" s="643"/>
      <c r="OHT39" s="643"/>
      <c r="OHU39" s="643"/>
      <c r="OHV39" s="643"/>
      <c r="OHW39" s="643"/>
      <c r="OHX39" s="643"/>
      <c r="OHY39" s="643"/>
      <c r="OHZ39" s="643"/>
      <c r="OIA39" s="643"/>
      <c r="OIB39" s="643"/>
      <c r="OIC39" s="643"/>
      <c r="OID39" s="643"/>
      <c r="OIE39" s="643"/>
      <c r="OIF39" s="643"/>
      <c r="OIG39" s="643"/>
      <c r="OIH39" s="643"/>
      <c r="OII39" s="643"/>
      <c r="OIJ39" s="643"/>
      <c r="OIK39" s="643"/>
      <c r="OIL39" s="643"/>
      <c r="OIM39" s="643"/>
      <c r="OIN39" s="643"/>
      <c r="OIO39" s="643"/>
      <c r="OIP39" s="643"/>
      <c r="OIQ39" s="643"/>
      <c r="OIR39" s="643"/>
      <c r="OIS39" s="643"/>
      <c r="OIT39" s="643"/>
      <c r="OIU39" s="643"/>
      <c r="OIV39" s="643"/>
      <c r="OIW39" s="643"/>
      <c r="OIX39" s="643"/>
      <c r="OIY39" s="643"/>
      <c r="OIZ39" s="643"/>
      <c r="OJA39" s="643"/>
      <c r="OJB39" s="643"/>
      <c r="OJC39" s="643"/>
      <c r="OJD39" s="643"/>
      <c r="OJE39" s="643"/>
      <c r="OJF39" s="643"/>
      <c r="OJG39" s="643"/>
      <c r="OJH39" s="643"/>
      <c r="OJI39" s="643"/>
      <c r="OJJ39" s="643"/>
      <c r="OJK39" s="643"/>
      <c r="OJL39" s="643"/>
      <c r="OJM39" s="643"/>
      <c r="OJN39" s="643"/>
      <c r="OJO39" s="643"/>
      <c r="OJP39" s="643"/>
      <c r="OJQ39" s="643"/>
      <c r="OJR39" s="643"/>
      <c r="OJS39" s="643"/>
      <c r="OJT39" s="643"/>
      <c r="OJU39" s="643"/>
      <c r="OJV39" s="643"/>
      <c r="OJW39" s="643"/>
      <c r="OJX39" s="643"/>
      <c r="OJY39" s="643"/>
      <c r="OJZ39" s="643"/>
      <c r="OKA39" s="643"/>
      <c r="OKB39" s="643"/>
      <c r="OKC39" s="643"/>
      <c r="OKD39" s="643"/>
      <c r="OKE39" s="643"/>
      <c r="OKF39" s="643"/>
      <c r="OKG39" s="643"/>
      <c r="OKH39" s="643"/>
      <c r="OKI39" s="643"/>
      <c r="OKJ39" s="643"/>
      <c r="OKK39" s="643"/>
      <c r="OKL39" s="643"/>
      <c r="OKM39" s="643"/>
      <c r="OKN39" s="643"/>
      <c r="OKO39" s="643"/>
      <c r="OKP39" s="643"/>
      <c r="OKQ39" s="643"/>
      <c r="OKR39" s="643"/>
      <c r="OKS39" s="643"/>
      <c r="OKT39" s="643"/>
      <c r="OKU39" s="643"/>
      <c r="OKV39" s="643"/>
      <c r="OKW39" s="643"/>
      <c r="OKX39" s="643"/>
      <c r="OKY39" s="643"/>
      <c r="OKZ39" s="643"/>
      <c r="OLA39" s="643"/>
      <c r="OLB39" s="643"/>
      <c r="OLC39" s="643"/>
      <c r="OLD39" s="643"/>
      <c r="OLE39" s="643"/>
      <c r="OLF39" s="643"/>
      <c r="OLG39" s="643"/>
      <c r="OLH39" s="643"/>
      <c r="OLI39" s="643"/>
      <c r="OLJ39" s="643"/>
      <c r="OLK39" s="643"/>
      <c r="OLL39" s="643"/>
      <c r="OLM39" s="643"/>
      <c r="OLN39" s="643"/>
      <c r="OLO39" s="643"/>
      <c r="OLP39" s="643"/>
      <c r="OLQ39" s="643"/>
      <c r="OLR39" s="643"/>
      <c r="OLS39" s="643"/>
      <c r="OLT39" s="643"/>
      <c r="OLU39" s="643"/>
      <c r="OLV39" s="643"/>
      <c r="OLW39" s="643"/>
      <c r="OLX39" s="643"/>
      <c r="OLY39" s="643"/>
      <c r="OLZ39" s="643"/>
      <c r="OMA39" s="643"/>
      <c r="OMB39" s="643"/>
      <c r="OMC39" s="643"/>
      <c r="OMD39" s="643"/>
      <c r="OME39" s="643"/>
      <c r="OMF39" s="643"/>
      <c r="OMG39" s="643"/>
      <c r="OMH39" s="643"/>
      <c r="OMI39" s="643"/>
      <c r="OMJ39" s="643"/>
      <c r="OMK39" s="643"/>
      <c r="OML39" s="643"/>
      <c r="OMM39" s="643"/>
      <c r="OMN39" s="643"/>
      <c r="OMO39" s="643"/>
      <c r="OMP39" s="643"/>
      <c r="OMQ39" s="643"/>
      <c r="OMR39" s="643"/>
      <c r="OMS39" s="643"/>
      <c r="OMT39" s="643"/>
      <c r="OMU39" s="643"/>
      <c r="OMV39" s="643"/>
      <c r="OMW39" s="643"/>
      <c r="OMX39" s="643"/>
      <c r="OMY39" s="643"/>
      <c r="OMZ39" s="643"/>
      <c r="ONA39" s="643"/>
      <c r="ONB39" s="643"/>
      <c r="ONC39" s="643"/>
      <c r="OND39" s="643"/>
      <c r="ONE39" s="643"/>
      <c r="ONF39" s="643"/>
      <c r="ONG39" s="643"/>
      <c r="ONH39" s="643"/>
      <c r="ONI39" s="643"/>
      <c r="ONJ39" s="643"/>
      <c r="ONK39" s="643"/>
      <c r="ONL39" s="643"/>
      <c r="ONM39" s="643"/>
      <c r="ONN39" s="643"/>
      <c r="ONO39" s="643"/>
      <c r="ONP39" s="643"/>
      <c r="ONQ39" s="643"/>
      <c r="ONR39" s="643"/>
      <c r="ONS39" s="643"/>
      <c r="ONT39" s="643"/>
      <c r="ONU39" s="643"/>
      <c r="ONV39" s="643"/>
      <c r="ONW39" s="643"/>
      <c r="ONX39" s="643"/>
      <c r="ONY39" s="643"/>
      <c r="ONZ39" s="643"/>
      <c r="OOA39" s="643"/>
      <c r="OOB39" s="643"/>
      <c r="OOC39" s="643"/>
      <c r="OOD39" s="643"/>
      <c r="OOE39" s="643"/>
      <c r="OOF39" s="643"/>
      <c r="OOG39" s="643"/>
      <c r="OOH39" s="643"/>
      <c r="OOI39" s="643"/>
      <c r="OOJ39" s="643"/>
      <c r="OOK39" s="643"/>
      <c r="OOL39" s="643"/>
      <c r="OOM39" s="643"/>
      <c r="OON39" s="643"/>
      <c r="OOO39" s="643"/>
      <c r="OOP39" s="643"/>
      <c r="OOQ39" s="643"/>
      <c r="OOR39" s="643"/>
      <c r="OOS39" s="643"/>
      <c r="OOT39" s="643"/>
      <c r="OOU39" s="643"/>
      <c r="OOV39" s="643"/>
      <c r="OOW39" s="643"/>
      <c r="OOX39" s="643"/>
      <c r="OOY39" s="643"/>
      <c r="OOZ39" s="643"/>
      <c r="OPA39" s="643"/>
      <c r="OPB39" s="643"/>
      <c r="OPC39" s="643"/>
      <c r="OPD39" s="643"/>
      <c r="OPE39" s="643"/>
      <c r="OPF39" s="643"/>
      <c r="OPG39" s="643"/>
      <c r="OPH39" s="643"/>
      <c r="OPI39" s="643"/>
      <c r="OPJ39" s="643"/>
      <c r="OPK39" s="643"/>
      <c r="OPL39" s="643"/>
      <c r="OPM39" s="643"/>
      <c r="OPN39" s="643"/>
      <c r="OPO39" s="643"/>
      <c r="OPP39" s="643"/>
      <c r="OPQ39" s="643"/>
      <c r="OPR39" s="643"/>
      <c r="OPS39" s="643"/>
      <c r="OPT39" s="643"/>
      <c r="OPU39" s="643"/>
      <c r="OPV39" s="643"/>
      <c r="OPW39" s="643"/>
      <c r="OPX39" s="643"/>
      <c r="OPY39" s="643"/>
      <c r="OPZ39" s="643"/>
      <c r="OQA39" s="643"/>
      <c r="OQB39" s="643"/>
      <c r="OQC39" s="643"/>
      <c r="OQD39" s="643"/>
      <c r="OQE39" s="643"/>
      <c r="OQF39" s="643"/>
      <c r="OQG39" s="643"/>
      <c r="OQH39" s="643"/>
      <c r="OQI39" s="643"/>
      <c r="OQJ39" s="643"/>
      <c r="OQK39" s="643"/>
      <c r="OQL39" s="643"/>
      <c r="OQM39" s="643"/>
      <c r="OQN39" s="643"/>
      <c r="OQO39" s="643"/>
      <c r="OQP39" s="643"/>
      <c r="OQQ39" s="643"/>
      <c r="OQR39" s="643"/>
      <c r="OQS39" s="643"/>
      <c r="OQT39" s="643"/>
      <c r="OQU39" s="643"/>
      <c r="OQV39" s="643"/>
      <c r="OQW39" s="643"/>
      <c r="OQX39" s="643"/>
      <c r="OQY39" s="643"/>
      <c r="OQZ39" s="643"/>
      <c r="ORA39" s="643"/>
      <c r="ORB39" s="643"/>
      <c r="ORC39" s="643"/>
      <c r="ORD39" s="643"/>
      <c r="ORE39" s="643"/>
      <c r="ORF39" s="643"/>
      <c r="ORG39" s="643"/>
      <c r="ORH39" s="643"/>
      <c r="ORI39" s="643"/>
      <c r="ORJ39" s="643"/>
      <c r="ORK39" s="643"/>
      <c r="ORL39" s="643"/>
      <c r="ORM39" s="643"/>
      <c r="ORN39" s="643"/>
      <c r="ORO39" s="643"/>
      <c r="ORP39" s="643"/>
      <c r="ORQ39" s="643"/>
      <c r="ORR39" s="643"/>
      <c r="ORS39" s="643"/>
      <c r="ORT39" s="643"/>
      <c r="ORU39" s="643"/>
      <c r="ORV39" s="643"/>
      <c r="ORW39" s="643"/>
      <c r="ORX39" s="643"/>
      <c r="ORY39" s="643"/>
      <c r="ORZ39" s="643"/>
      <c r="OSA39" s="643"/>
      <c r="OSB39" s="643"/>
      <c r="OSC39" s="643"/>
      <c r="OSD39" s="643"/>
      <c r="OSE39" s="643"/>
      <c r="OSF39" s="643"/>
      <c r="OSG39" s="643"/>
      <c r="OSH39" s="643"/>
      <c r="OSI39" s="643"/>
      <c r="OSJ39" s="643"/>
      <c r="OSK39" s="643"/>
      <c r="OSL39" s="643"/>
      <c r="OSM39" s="643"/>
      <c r="OSN39" s="643"/>
      <c r="OSO39" s="643"/>
      <c r="OSP39" s="643"/>
      <c r="OSQ39" s="643"/>
      <c r="OSR39" s="643"/>
      <c r="OSS39" s="643"/>
      <c r="OST39" s="643"/>
      <c r="OSU39" s="643"/>
      <c r="OSV39" s="643"/>
      <c r="OSW39" s="643"/>
      <c r="OSX39" s="643"/>
      <c r="OSY39" s="643"/>
      <c r="OSZ39" s="643"/>
      <c r="OTA39" s="643"/>
      <c r="OTB39" s="643"/>
      <c r="OTC39" s="643"/>
      <c r="OTD39" s="643"/>
      <c r="OTE39" s="643"/>
      <c r="OTF39" s="643"/>
      <c r="OTG39" s="643"/>
      <c r="OTH39" s="643"/>
      <c r="OTI39" s="643"/>
      <c r="OTJ39" s="643"/>
      <c r="OTK39" s="643"/>
      <c r="OTL39" s="643"/>
      <c r="OTM39" s="643"/>
      <c r="OTN39" s="643"/>
      <c r="OTO39" s="643"/>
      <c r="OTP39" s="643"/>
      <c r="OTQ39" s="643"/>
      <c r="OTR39" s="643"/>
      <c r="OTS39" s="643"/>
      <c r="OTT39" s="643"/>
      <c r="OTU39" s="643"/>
      <c r="OTV39" s="643"/>
      <c r="OTW39" s="643"/>
      <c r="OTX39" s="643"/>
      <c r="OTY39" s="643"/>
      <c r="OTZ39" s="643"/>
      <c r="OUA39" s="643"/>
      <c r="OUB39" s="643"/>
      <c r="OUC39" s="643"/>
      <c r="OUD39" s="643"/>
      <c r="OUE39" s="643"/>
      <c r="OUF39" s="643"/>
      <c r="OUG39" s="643"/>
      <c r="OUH39" s="643"/>
      <c r="OUI39" s="643"/>
      <c r="OUJ39" s="643"/>
      <c r="OUK39" s="643"/>
      <c r="OUL39" s="643"/>
      <c r="OUM39" s="643"/>
      <c r="OUN39" s="643"/>
      <c r="OUO39" s="643"/>
      <c r="OUP39" s="643"/>
      <c r="OUQ39" s="643"/>
      <c r="OUR39" s="643"/>
      <c r="OUS39" s="643"/>
      <c r="OUT39" s="643"/>
      <c r="OUU39" s="643"/>
      <c r="OUV39" s="643"/>
      <c r="OUW39" s="643"/>
      <c r="OUX39" s="643"/>
      <c r="OUY39" s="643"/>
      <c r="OUZ39" s="643"/>
      <c r="OVA39" s="643"/>
      <c r="OVB39" s="643"/>
      <c r="OVC39" s="643"/>
      <c r="OVD39" s="643"/>
      <c r="OVE39" s="643"/>
      <c r="OVF39" s="643"/>
      <c r="OVG39" s="643"/>
      <c r="OVH39" s="643"/>
      <c r="OVI39" s="643"/>
      <c r="OVJ39" s="643"/>
      <c r="OVK39" s="643"/>
      <c r="OVL39" s="643"/>
      <c r="OVM39" s="643"/>
      <c r="OVN39" s="643"/>
      <c r="OVO39" s="643"/>
      <c r="OVP39" s="643"/>
      <c r="OVQ39" s="643"/>
      <c r="OVR39" s="643"/>
      <c r="OVS39" s="643"/>
      <c r="OVT39" s="643"/>
      <c r="OVU39" s="643"/>
      <c r="OVV39" s="643"/>
      <c r="OVW39" s="643"/>
      <c r="OVX39" s="643"/>
      <c r="OVY39" s="643"/>
      <c r="OVZ39" s="643"/>
      <c r="OWA39" s="643"/>
      <c r="OWB39" s="643"/>
      <c r="OWC39" s="643"/>
      <c r="OWD39" s="643"/>
      <c r="OWE39" s="643"/>
      <c r="OWF39" s="643"/>
      <c r="OWG39" s="643"/>
      <c r="OWH39" s="643"/>
      <c r="OWI39" s="643"/>
      <c r="OWJ39" s="643"/>
      <c r="OWK39" s="643"/>
      <c r="OWL39" s="643"/>
      <c r="OWM39" s="643"/>
      <c r="OWN39" s="643"/>
      <c r="OWO39" s="643"/>
      <c r="OWP39" s="643"/>
      <c r="OWQ39" s="643"/>
      <c r="OWR39" s="643"/>
      <c r="OWS39" s="643"/>
      <c r="OWT39" s="643"/>
      <c r="OWU39" s="643"/>
      <c r="OWV39" s="643"/>
      <c r="OWW39" s="643"/>
      <c r="OWX39" s="643"/>
      <c r="OWY39" s="643"/>
      <c r="OWZ39" s="643"/>
      <c r="OXA39" s="643"/>
      <c r="OXB39" s="643"/>
      <c r="OXC39" s="643"/>
      <c r="OXD39" s="643"/>
      <c r="OXE39" s="643"/>
      <c r="OXF39" s="643"/>
      <c r="OXG39" s="643"/>
      <c r="OXH39" s="643"/>
      <c r="OXI39" s="643"/>
      <c r="OXJ39" s="643"/>
      <c r="OXK39" s="643"/>
      <c r="OXL39" s="643"/>
      <c r="OXM39" s="643"/>
      <c r="OXN39" s="643"/>
      <c r="OXO39" s="643"/>
      <c r="OXP39" s="643"/>
      <c r="OXQ39" s="643"/>
      <c r="OXR39" s="643"/>
      <c r="OXS39" s="643"/>
      <c r="OXT39" s="643"/>
      <c r="OXU39" s="643"/>
      <c r="OXV39" s="643"/>
      <c r="OXW39" s="643"/>
      <c r="OXX39" s="643"/>
      <c r="OXY39" s="643"/>
      <c r="OXZ39" s="643"/>
      <c r="OYA39" s="643"/>
      <c r="OYB39" s="643"/>
      <c r="OYC39" s="643"/>
      <c r="OYD39" s="643"/>
      <c r="OYE39" s="643"/>
      <c r="OYF39" s="643"/>
      <c r="OYG39" s="643"/>
      <c r="OYH39" s="643"/>
      <c r="OYI39" s="643"/>
      <c r="OYJ39" s="643"/>
      <c r="OYK39" s="643"/>
      <c r="OYL39" s="643"/>
      <c r="OYM39" s="643"/>
      <c r="OYN39" s="643"/>
      <c r="OYO39" s="643"/>
      <c r="OYP39" s="643"/>
      <c r="OYQ39" s="643"/>
      <c r="OYR39" s="643"/>
      <c r="OYS39" s="643"/>
      <c r="OYT39" s="643"/>
      <c r="OYU39" s="643"/>
      <c r="OYV39" s="643"/>
      <c r="OYW39" s="643"/>
      <c r="OYX39" s="643"/>
      <c r="OYY39" s="643"/>
      <c r="OYZ39" s="643"/>
      <c r="OZA39" s="643"/>
      <c r="OZB39" s="643"/>
      <c r="OZC39" s="643"/>
      <c r="OZD39" s="643"/>
      <c r="OZE39" s="643"/>
      <c r="OZF39" s="643"/>
      <c r="OZG39" s="643"/>
      <c r="OZH39" s="643"/>
      <c r="OZI39" s="643"/>
      <c r="OZJ39" s="643"/>
      <c r="OZK39" s="643"/>
      <c r="OZL39" s="643"/>
      <c r="OZM39" s="643"/>
      <c r="OZN39" s="643"/>
      <c r="OZO39" s="643"/>
      <c r="OZP39" s="643"/>
      <c r="OZQ39" s="643"/>
      <c r="OZR39" s="643"/>
      <c r="OZS39" s="643"/>
      <c r="OZT39" s="643"/>
      <c r="OZU39" s="643"/>
      <c r="OZV39" s="643"/>
      <c r="OZW39" s="643"/>
      <c r="OZX39" s="643"/>
      <c r="OZY39" s="643"/>
      <c r="OZZ39" s="643"/>
      <c r="PAA39" s="643"/>
      <c r="PAB39" s="643"/>
      <c r="PAC39" s="643"/>
      <c r="PAD39" s="643"/>
      <c r="PAE39" s="643"/>
      <c r="PAF39" s="643"/>
      <c r="PAG39" s="643"/>
      <c r="PAH39" s="643"/>
      <c r="PAI39" s="643"/>
      <c r="PAJ39" s="643"/>
      <c r="PAK39" s="643"/>
      <c r="PAL39" s="643"/>
      <c r="PAM39" s="643"/>
      <c r="PAN39" s="643"/>
      <c r="PAO39" s="643"/>
      <c r="PAP39" s="643"/>
      <c r="PAQ39" s="643"/>
      <c r="PAR39" s="643"/>
      <c r="PAS39" s="643"/>
      <c r="PAT39" s="643"/>
      <c r="PAU39" s="643"/>
      <c r="PAV39" s="643"/>
      <c r="PAW39" s="643"/>
      <c r="PAX39" s="643"/>
      <c r="PAY39" s="643"/>
      <c r="PAZ39" s="643"/>
      <c r="PBA39" s="643"/>
      <c r="PBB39" s="643"/>
      <c r="PBC39" s="643"/>
      <c r="PBD39" s="643"/>
      <c r="PBE39" s="643"/>
      <c r="PBF39" s="643"/>
      <c r="PBG39" s="643"/>
      <c r="PBH39" s="643"/>
      <c r="PBI39" s="643"/>
      <c r="PBJ39" s="643"/>
      <c r="PBK39" s="643"/>
      <c r="PBL39" s="643"/>
      <c r="PBM39" s="643"/>
      <c r="PBN39" s="643"/>
      <c r="PBO39" s="643"/>
      <c r="PBP39" s="643"/>
      <c r="PBQ39" s="643"/>
      <c r="PBR39" s="643"/>
      <c r="PBS39" s="643"/>
      <c r="PBT39" s="643"/>
      <c r="PBU39" s="643"/>
      <c r="PBV39" s="643"/>
      <c r="PBW39" s="643"/>
      <c r="PBX39" s="643"/>
      <c r="PBY39" s="643"/>
      <c r="PBZ39" s="643"/>
      <c r="PCA39" s="643"/>
      <c r="PCB39" s="643"/>
      <c r="PCC39" s="643"/>
      <c r="PCD39" s="643"/>
      <c r="PCE39" s="643"/>
      <c r="PCF39" s="643"/>
      <c r="PCG39" s="643"/>
      <c r="PCH39" s="643"/>
      <c r="PCI39" s="643"/>
      <c r="PCJ39" s="643"/>
      <c r="PCK39" s="643"/>
      <c r="PCL39" s="643"/>
      <c r="PCM39" s="643"/>
      <c r="PCN39" s="643"/>
      <c r="PCO39" s="643"/>
      <c r="PCP39" s="643"/>
      <c r="PCQ39" s="643"/>
      <c r="PCR39" s="643"/>
      <c r="PCS39" s="643"/>
      <c r="PCT39" s="643"/>
      <c r="PCU39" s="643"/>
      <c r="PCV39" s="643"/>
      <c r="PCW39" s="643"/>
      <c r="PCX39" s="643"/>
      <c r="PCY39" s="643"/>
      <c r="PCZ39" s="643"/>
      <c r="PDA39" s="643"/>
      <c r="PDB39" s="643"/>
      <c r="PDC39" s="643"/>
      <c r="PDD39" s="643"/>
      <c r="PDE39" s="643"/>
      <c r="PDF39" s="643"/>
      <c r="PDG39" s="643"/>
      <c r="PDH39" s="643"/>
      <c r="PDI39" s="643"/>
      <c r="PDJ39" s="643"/>
      <c r="PDK39" s="643"/>
      <c r="PDL39" s="643"/>
      <c r="PDM39" s="643"/>
      <c r="PDN39" s="643"/>
      <c r="PDO39" s="643"/>
      <c r="PDP39" s="643"/>
      <c r="PDQ39" s="643"/>
      <c r="PDR39" s="643"/>
      <c r="PDS39" s="643"/>
      <c r="PDT39" s="643"/>
      <c r="PDU39" s="643"/>
      <c r="PDV39" s="643"/>
      <c r="PDW39" s="643"/>
      <c r="PDX39" s="643"/>
      <c r="PDY39" s="643"/>
      <c r="PDZ39" s="643"/>
      <c r="PEA39" s="643"/>
      <c r="PEB39" s="643"/>
      <c r="PEC39" s="643"/>
      <c r="PED39" s="643"/>
      <c r="PEE39" s="643"/>
      <c r="PEF39" s="643"/>
      <c r="PEG39" s="643"/>
      <c r="PEH39" s="643"/>
      <c r="PEI39" s="643"/>
      <c r="PEJ39" s="643"/>
      <c r="PEK39" s="643"/>
      <c r="PEL39" s="643"/>
      <c r="PEM39" s="643"/>
      <c r="PEN39" s="643"/>
      <c r="PEO39" s="643"/>
      <c r="PEP39" s="643"/>
      <c r="PEQ39" s="643"/>
      <c r="PER39" s="643"/>
      <c r="PES39" s="643"/>
      <c r="PET39" s="643"/>
      <c r="PEU39" s="643"/>
      <c r="PEV39" s="643"/>
      <c r="PEW39" s="643"/>
      <c r="PEX39" s="643"/>
      <c r="PEY39" s="643"/>
      <c r="PEZ39" s="643"/>
      <c r="PFA39" s="643"/>
      <c r="PFB39" s="643"/>
      <c r="PFC39" s="643"/>
      <c r="PFD39" s="643"/>
      <c r="PFE39" s="643"/>
      <c r="PFF39" s="643"/>
      <c r="PFG39" s="643"/>
      <c r="PFH39" s="643"/>
      <c r="PFI39" s="643"/>
      <c r="PFJ39" s="643"/>
      <c r="PFK39" s="643"/>
      <c r="PFL39" s="643"/>
      <c r="PFM39" s="643"/>
      <c r="PFN39" s="643"/>
      <c r="PFO39" s="643"/>
      <c r="PFP39" s="643"/>
      <c r="PFQ39" s="643"/>
      <c r="PFR39" s="643"/>
      <c r="PFS39" s="643"/>
      <c r="PFT39" s="643"/>
      <c r="PFU39" s="643"/>
      <c r="PFV39" s="643"/>
      <c r="PFW39" s="643"/>
      <c r="PFX39" s="643"/>
      <c r="PFY39" s="643"/>
      <c r="PFZ39" s="643"/>
      <c r="PGA39" s="643"/>
      <c r="PGB39" s="643"/>
      <c r="PGC39" s="643"/>
      <c r="PGD39" s="643"/>
      <c r="PGE39" s="643"/>
      <c r="PGF39" s="643"/>
      <c r="PGG39" s="643"/>
      <c r="PGH39" s="643"/>
      <c r="PGI39" s="643"/>
      <c r="PGJ39" s="643"/>
      <c r="PGK39" s="643"/>
      <c r="PGL39" s="643"/>
      <c r="PGM39" s="643"/>
      <c r="PGN39" s="643"/>
      <c r="PGO39" s="643"/>
      <c r="PGP39" s="643"/>
      <c r="PGQ39" s="643"/>
      <c r="PGR39" s="643"/>
      <c r="PGS39" s="643"/>
      <c r="PGT39" s="643"/>
      <c r="PGU39" s="643"/>
      <c r="PGV39" s="643"/>
      <c r="PGW39" s="643"/>
      <c r="PGX39" s="643"/>
      <c r="PGY39" s="643"/>
      <c r="PGZ39" s="643"/>
      <c r="PHA39" s="643"/>
      <c r="PHB39" s="643"/>
      <c r="PHC39" s="643"/>
      <c r="PHD39" s="643"/>
      <c r="PHE39" s="643"/>
      <c r="PHF39" s="643"/>
      <c r="PHG39" s="643"/>
      <c r="PHH39" s="643"/>
      <c r="PHI39" s="643"/>
      <c r="PHJ39" s="643"/>
      <c r="PHK39" s="643"/>
      <c r="PHL39" s="643"/>
      <c r="PHM39" s="643"/>
      <c r="PHN39" s="643"/>
      <c r="PHO39" s="643"/>
      <c r="PHP39" s="643"/>
      <c r="PHQ39" s="643"/>
      <c r="PHR39" s="643"/>
      <c r="PHS39" s="643"/>
      <c r="PHT39" s="643"/>
      <c r="PHU39" s="643"/>
      <c r="PHV39" s="643"/>
      <c r="PHW39" s="643"/>
      <c r="PHX39" s="643"/>
      <c r="PHY39" s="643"/>
      <c r="PHZ39" s="643"/>
      <c r="PIA39" s="643"/>
      <c r="PIB39" s="643"/>
      <c r="PIC39" s="643"/>
      <c r="PID39" s="643"/>
      <c r="PIE39" s="643"/>
      <c r="PIF39" s="643"/>
      <c r="PIG39" s="643"/>
      <c r="PIH39" s="643"/>
      <c r="PII39" s="643"/>
      <c r="PIJ39" s="643"/>
      <c r="PIK39" s="643"/>
      <c r="PIL39" s="643"/>
      <c r="PIM39" s="643"/>
      <c r="PIN39" s="643"/>
      <c r="PIO39" s="643"/>
      <c r="PIP39" s="643"/>
      <c r="PIQ39" s="643"/>
      <c r="PIR39" s="643"/>
      <c r="PIS39" s="643"/>
      <c r="PIT39" s="643"/>
      <c r="PIU39" s="643"/>
      <c r="PIV39" s="643"/>
      <c r="PIW39" s="643"/>
      <c r="PIX39" s="643"/>
      <c r="PIY39" s="643"/>
      <c r="PIZ39" s="643"/>
      <c r="PJA39" s="643"/>
      <c r="PJB39" s="643"/>
      <c r="PJC39" s="643"/>
      <c r="PJD39" s="643"/>
      <c r="PJE39" s="643"/>
      <c r="PJF39" s="643"/>
      <c r="PJG39" s="643"/>
      <c r="PJH39" s="643"/>
      <c r="PJI39" s="643"/>
      <c r="PJJ39" s="643"/>
      <c r="PJK39" s="643"/>
      <c r="PJL39" s="643"/>
      <c r="PJM39" s="643"/>
      <c r="PJN39" s="643"/>
      <c r="PJO39" s="643"/>
      <c r="PJP39" s="643"/>
      <c r="PJQ39" s="643"/>
      <c r="PJR39" s="643"/>
      <c r="PJS39" s="643"/>
      <c r="PJT39" s="643"/>
      <c r="PJU39" s="643"/>
      <c r="PJV39" s="643"/>
      <c r="PJW39" s="643"/>
      <c r="PJX39" s="643"/>
      <c r="PJY39" s="643"/>
      <c r="PJZ39" s="643"/>
      <c r="PKA39" s="643"/>
      <c r="PKB39" s="643"/>
      <c r="PKC39" s="643"/>
      <c r="PKD39" s="643"/>
      <c r="PKE39" s="643"/>
      <c r="PKF39" s="643"/>
      <c r="PKG39" s="643"/>
      <c r="PKH39" s="643"/>
      <c r="PKI39" s="643"/>
      <c r="PKJ39" s="643"/>
      <c r="PKK39" s="643"/>
      <c r="PKL39" s="643"/>
      <c r="PKM39" s="643"/>
      <c r="PKN39" s="643"/>
      <c r="PKO39" s="643"/>
      <c r="PKP39" s="643"/>
      <c r="PKQ39" s="643"/>
      <c r="PKR39" s="643"/>
      <c r="PKS39" s="643"/>
      <c r="PKT39" s="643"/>
      <c r="PKU39" s="643"/>
      <c r="PKV39" s="643"/>
      <c r="PKW39" s="643"/>
      <c r="PKX39" s="643"/>
      <c r="PKY39" s="643"/>
      <c r="PKZ39" s="643"/>
      <c r="PLA39" s="643"/>
      <c r="PLB39" s="643"/>
      <c r="PLC39" s="643"/>
      <c r="PLD39" s="643"/>
      <c r="PLE39" s="643"/>
      <c r="PLF39" s="643"/>
      <c r="PLG39" s="643"/>
      <c r="PLH39" s="643"/>
      <c r="PLI39" s="643"/>
      <c r="PLJ39" s="643"/>
      <c r="PLK39" s="643"/>
      <c r="PLL39" s="643"/>
      <c r="PLM39" s="643"/>
      <c r="PLN39" s="643"/>
      <c r="PLO39" s="643"/>
      <c r="PLP39" s="643"/>
      <c r="PLQ39" s="643"/>
      <c r="PLR39" s="643"/>
      <c r="PLS39" s="643"/>
      <c r="PLT39" s="643"/>
      <c r="PLU39" s="643"/>
      <c r="PLV39" s="643"/>
      <c r="PLW39" s="643"/>
      <c r="PLX39" s="643"/>
      <c r="PLY39" s="643"/>
      <c r="PLZ39" s="643"/>
      <c r="PMA39" s="643"/>
      <c r="PMB39" s="643"/>
      <c r="PMC39" s="643"/>
      <c r="PMD39" s="643"/>
      <c r="PME39" s="643"/>
      <c r="PMF39" s="643"/>
      <c r="PMG39" s="643"/>
      <c r="PMH39" s="643"/>
      <c r="PMI39" s="643"/>
      <c r="PMJ39" s="643"/>
      <c r="PMK39" s="643"/>
      <c r="PML39" s="643"/>
      <c r="PMM39" s="643"/>
      <c r="PMN39" s="643"/>
      <c r="PMO39" s="643"/>
      <c r="PMP39" s="643"/>
      <c r="PMQ39" s="643"/>
      <c r="PMR39" s="643"/>
      <c r="PMS39" s="643"/>
      <c r="PMT39" s="643"/>
      <c r="PMU39" s="643"/>
      <c r="PMV39" s="643"/>
      <c r="PMW39" s="643"/>
      <c r="PMX39" s="643"/>
      <c r="PMY39" s="643"/>
      <c r="PMZ39" s="643"/>
      <c r="PNA39" s="643"/>
      <c r="PNB39" s="643"/>
      <c r="PNC39" s="643"/>
      <c r="PND39" s="643"/>
      <c r="PNE39" s="643"/>
      <c r="PNF39" s="643"/>
      <c r="PNG39" s="643"/>
      <c r="PNH39" s="643"/>
      <c r="PNI39" s="643"/>
      <c r="PNJ39" s="643"/>
      <c r="PNK39" s="643"/>
      <c r="PNL39" s="643"/>
      <c r="PNM39" s="643"/>
      <c r="PNN39" s="643"/>
      <c r="PNO39" s="643"/>
      <c r="PNP39" s="643"/>
      <c r="PNQ39" s="643"/>
      <c r="PNR39" s="643"/>
      <c r="PNS39" s="643"/>
      <c r="PNT39" s="643"/>
      <c r="PNU39" s="643"/>
      <c r="PNV39" s="643"/>
      <c r="PNW39" s="643"/>
      <c r="PNX39" s="643"/>
      <c r="PNY39" s="643"/>
      <c r="PNZ39" s="643"/>
      <c r="POA39" s="643"/>
      <c r="POB39" s="643"/>
      <c r="POC39" s="643"/>
      <c r="POD39" s="643"/>
      <c r="POE39" s="643"/>
      <c r="POF39" s="643"/>
      <c r="POG39" s="643"/>
      <c r="POH39" s="643"/>
      <c r="POI39" s="643"/>
      <c r="POJ39" s="643"/>
      <c r="POK39" s="643"/>
      <c r="POL39" s="643"/>
      <c r="POM39" s="643"/>
      <c r="PON39" s="643"/>
      <c r="POO39" s="643"/>
      <c r="POP39" s="643"/>
      <c r="POQ39" s="643"/>
      <c r="POR39" s="643"/>
      <c r="POS39" s="643"/>
      <c r="POT39" s="643"/>
      <c r="POU39" s="643"/>
      <c r="POV39" s="643"/>
      <c r="POW39" s="643"/>
      <c r="POX39" s="643"/>
      <c r="POY39" s="643"/>
      <c r="POZ39" s="643"/>
      <c r="PPA39" s="643"/>
      <c r="PPB39" s="643"/>
      <c r="PPC39" s="643"/>
      <c r="PPD39" s="643"/>
      <c r="PPE39" s="643"/>
      <c r="PPF39" s="643"/>
      <c r="PPG39" s="643"/>
      <c r="PPH39" s="643"/>
      <c r="PPI39" s="643"/>
      <c r="PPJ39" s="643"/>
      <c r="PPK39" s="643"/>
      <c r="PPL39" s="643"/>
      <c r="PPM39" s="643"/>
      <c r="PPN39" s="643"/>
      <c r="PPO39" s="643"/>
      <c r="PPP39" s="643"/>
      <c r="PPQ39" s="643"/>
      <c r="PPR39" s="643"/>
      <c r="PPS39" s="643"/>
      <c r="PPT39" s="643"/>
      <c r="PPU39" s="643"/>
      <c r="PPV39" s="643"/>
      <c r="PPW39" s="643"/>
      <c r="PPX39" s="643"/>
      <c r="PPY39" s="643"/>
      <c r="PPZ39" s="643"/>
      <c r="PQA39" s="643"/>
      <c r="PQB39" s="643"/>
      <c r="PQC39" s="643"/>
      <c r="PQD39" s="643"/>
      <c r="PQE39" s="643"/>
      <c r="PQF39" s="643"/>
      <c r="PQG39" s="643"/>
      <c r="PQH39" s="643"/>
      <c r="PQI39" s="643"/>
      <c r="PQJ39" s="643"/>
      <c r="PQK39" s="643"/>
      <c r="PQL39" s="643"/>
      <c r="PQM39" s="643"/>
      <c r="PQN39" s="643"/>
      <c r="PQO39" s="643"/>
      <c r="PQP39" s="643"/>
      <c r="PQQ39" s="643"/>
      <c r="PQR39" s="643"/>
      <c r="PQS39" s="643"/>
      <c r="PQT39" s="643"/>
      <c r="PQU39" s="643"/>
      <c r="PQV39" s="643"/>
      <c r="PQW39" s="643"/>
      <c r="PQX39" s="643"/>
      <c r="PQY39" s="643"/>
      <c r="PQZ39" s="643"/>
      <c r="PRA39" s="643"/>
      <c r="PRB39" s="643"/>
      <c r="PRC39" s="643"/>
      <c r="PRD39" s="643"/>
      <c r="PRE39" s="643"/>
      <c r="PRF39" s="643"/>
      <c r="PRG39" s="643"/>
      <c r="PRH39" s="643"/>
      <c r="PRI39" s="643"/>
      <c r="PRJ39" s="643"/>
      <c r="PRK39" s="643"/>
      <c r="PRL39" s="643"/>
      <c r="PRM39" s="643"/>
      <c r="PRN39" s="643"/>
      <c r="PRO39" s="643"/>
      <c r="PRP39" s="643"/>
      <c r="PRQ39" s="643"/>
      <c r="PRR39" s="643"/>
      <c r="PRS39" s="643"/>
      <c r="PRT39" s="643"/>
      <c r="PRU39" s="643"/>
      <c r="PRV39" s="643"/>
      <c r="PRW39" s="643"/>
      <c r="PRX39" s="643"/>
      <c r="PRY39" s="643"/>
      <c r="PRZ39" s="643"/>
      <c r="PSA39" s="643"/>
      <c r="PSB39" s="643"/>
      <c r="PSC39" s="643"/>
      <c r="PSD39" s="643"/>
      <c r="PSE39" s="643"/>
      <c r="PSF39" s="643"/>
      <c r="PSG39" s="643"/>
      <c r="PSH39" s="643"/>
      <c r="PSI39" s="643"/>
      <c r="PSJ39" s="643"/>
      <c r="PSK39" s="643"/>
      <c r="PSL39" s="643"/>
      <c r="PSM39" s="643"/>
      <c r="PSN39" s="643"/>
      <c r="PSO39" s="643"/>
      <c r="PSP39" s="643"/>
      <c r="PSQ39" s="643"/>
      <c r="PSR39" s="643"/>
      <c r="PSS39" s="643"/>
      <c r="PST39" s="643"/>
      <c r="PSU39" s="643"/>
      <c r="PSV39" s="643"/>
      <c r="PSW39" s="643"/>
      <c r="PSX39" s="643"/>
      <c r="PSY39" s="643"/>
      <c r="PSZ39" s="643"/>
      <c r="PTA39" s="643"/>
      <c r="PTB39" s="643"/>
      <c r="PTC39" s="643"/>
      <c r="PTD39" s="643"/>
      <c r="PTE39" s="643"/>
      <c r="PTF39" s="643"/>
      <c r="PTG39" s="643"/>
      <c r="PTH39" s="643"/>
      <c r="PTI39" s="643"/>
      <c r="PTJ39" s="643"/>
      <c r="PTK39" s="643"/>
      <c r="PTL39" s="643"/>
      <c r="PTM39" s="643"/>
      <c r="PTN39" s="643"/>
      <c r="PTO39" s="643"/>
      <c r="PTP39" s="643"/>
      <c r="PTQ39" s="643"/>
      <c r="PTR39" s="643"/>
      <c r="PTS39" s="643"/>
      <c r="PTT39" s="643"/>
      <c r="PTU39" s="643"/>
      <c r="PTV39" s="643"/>
      <c r="PTW39" s="643"/>
      <c r="PTX39" s="643"/>
      <c r="PTY39" s="643"/>
      <c r="PTZ39" s="643"/>
      <c r="PUA39" s="643"/>
      <c r="PUB39" s="643"/>
      <c r="PUC39" s="643"/>
      <c r="PUD39" s="643"/>
      <c r="PUE39" s="643"/>
      <c r="PUF39" s="643"/>
      <c r="PUG39" s="643"/>
      <c r="PUH39" s="643"/>
      <c r="PUI39" s="643"/>
      <c r="PUJ39" s="643"/>
      <c r="PUK39" s="643"/>
      <c r="PUL39" s="643"/>
      <c r="PUM39" s="643"/>
      <c r="PUN39" s="643"/>
      <c r="PUO39" s="643"/>
      <c r="PUP39" s="643"/>
      <c r="PUQ39" s="643"/>
      <c r="PUR39" s="643"/>
      <c r="PUS39" s="643"/>
      <c r="PUT39" s="643"/>
      <c r="PUU39" s="643"/>
      <c r="PUV39" s="643"/>
      <c r="PUW39" s="643"/>
      <c r="PUX39" s="643"/>
      <c r="PUY39" s="643"/>
      <c r="PUZ39" s="643"/>
      <c r="PVA39" s="643"/>
      <c r="PVB39" s="643"/>
      <c r="PVC39" s="643"/>
      <c r="PVD39" s="643"/>
      <c r="PVE39" s="643"/>
      <c r="PVF39" s="643"/>
      <c r="PVG39" s="643"/>
      <c r="PVH39" s="643"/>
      <c r="PVI39" s="643"/>
      <c r="PVJ39" s="643"/>
      <c r="PVK39" s="643"/>
      <c r="PVL39" s="643"/>
      <c r="PVM39" s="643"/>
      <c r="PVN39" s="643"/>
      <c r="PVO39" s="643"/>
      <c r="PVP39" s="643"/>
      <c r="PVQ39" s="643"/>
      <c r="PVR39" s="643"/>
      <c r="PVS39" s="643"/>
      <c r="PVT39" s="643"/>
      <c r="PVU39" s="643"/>
      <c r="PVV39" s="643"/>
      <c r="PVW39" s="643"/>
      <c r="PVX39" s="643"/>
      <c r="PVY39" s="643"/>
      <c r="PVZ39" s="643"/>
      <c r="PWA39" s="643"/>
      <c r="PWB39" s="643"/>
      <c r="PWC39" s="643"/>
      <c r="PWD39" s="643"/>
      <c r="PWE39" s="643"/>
      <c r="PWF39" s="643"/>
      <c r="PWG39" s="643"/>
      <c r="PWH39" s="643"/>
      <c r="PWI39" s="643"/>
      <c r="PWJ39" s="643"/>
      <c r="PWK39" s="643"/>
      <c r="PWL39" s="643"/>
      <c r="PWM39" s="643"/>
      <c r="PWN39" s="643"/>
      <c r="PWO39" s="643"/>
      <c r="PWP39" s="643"/>
      <c r="PWQ39" s="643"/>
      <c r="PWR39" s="643"/>
      <c r="PWS39" s="643"/>
      <c r="PWT39" s="643"/>
      <c r="PWU39" s="643"/>
      <c r="PWV39" s="643"/>
      <c r="PWW39" s="643"/>
      <c r="PWX39" s="643"/>
      <c r="PWY39" s="643"/>
      <c r="PWZ39" s="643"/>
      <c r="PXA39" s="643"/>
      <c r="PXB39" s="643"/>
      <c r="PXC39" s="643"/>
      <c r="PXD39" s="643"/>
      <c r="PXE39" s="643"/>
      <c r="PXF39" s="643"/>
      <c r="PXG39" s="643"/>
      <c r="PXH39" s="643"/>
      <c r="PXI39" s="643"/>
      <c r="PXJ39" s="643"/>
      <c r="PXK39" s="643"/>
      <c r="PXL39" s="643"/>
      <c r="PXM39" s="643"/>
      <c r="PXN39" s="643"/>
      <c r="PXO39" s="643"/>
      <c r="PXP39" s="643"/>
      <c r="PXQ39" s="643"/>
      <c r="PXR39" s="643"/>
      <c r="PXS39" s="643"/>
      <c r="PXT39" s="643"/>
      <c r="PXU39" s="643"/>
      <c r="PXV39" s="643"/>
      <c r="PXW39" s="643"/>
      <c r="PXX39" s="643"/>
      <c r="PXY39" s="643"/>
      <c r="PXZ39" s="643"/>
      <c r="PYA39" s="643"/>
      <c r="PYB39" s="643"/>
      <c r="PYC39" s="643"/>
      <c r="PYD39" s="643"/>
      <c r="PYE39" s="643"/>
      <c r="PYF39" s="643"/>
      <c r="PYG39" s="643"/>
      <c r="PYH39" s="643"/>
      <c r="PYI39" s="643"/>
      <c r="PYJ39" s="643"/>
      <c r="PYK39" s="643"/>
      <c r="PYL39" s="643"/>
      <c r="PYM39" s="643"/>
      <c r="PYN39" s="643"/>
      <c r="PYO39" s="643"/>
      <c r="PYP39" s="643"/>
      <c r="PYQ39" s="643"/>
      <c r="PYR39" s="643"/>
      <c r="PYS39" s="643"/>
      <c r="PYT39" s="643"/>
      <c r="PYU39" s="643"/>
      <c r="PYV39" s="643"/>
      <c r="PYW39" s="643"/>
      <c r="PYX39" s="643"/>
      <c r="PYY39" s="643"/>
      <c r="PYZ39" s="643"/>
      <c r="PZA39" s="643"/>
      <c r="PZB39" s="643"/>
      <c r="PZC39" s="643"/>
      <c r="PZD39" s="643"/>
      <c r="PZE39" s="643"/>
      <c r="PZF39" s="643"/>
      <c r="PZG39" s="643"/>
      <c r="PZH39" s="643"/>
      <c r="PZI39" s="643"/>
      <c r="PZJ39" s="643"/>
      <c r="PZK39" s="643"/>
      <c r="PZL39" s="643"/>
      <c r="PZM39" s="643"/>
      <c r="PZN39" s="643"/>
      <c r="PZO39" s="643"/>
      <c r="PZP39" s="643"/>
      <c r="PZQ39" s="643"/>
      <c r="PZR39" s="643"/>
      <c r="PZS39" s="643"/>
      <c r="PZT39" s="643"/>
      <c r="PZU39" s="643"/>
      <c r="PZV39" s="643"/>
      <c r="PZW39" s="643"/>
      <c r="PZX39" s="643"/>
      <c r="PZY39" s="643"/>
      <c r="PZZ39" s="643"/>
      <c r="QAA39" s="643"/>
      <c r="QAB39" s="643"/>
      <c r="QAC39" s="643"/>
      <c r="QAD39" s="643"/>
      <c r="QAE39" s="643"/>
      <c r="QAF39" s="643"/>
      <c r="QAG39" s="643"/>
      <c r="QAH39" s="643"/>
      <c r="QAI39" s="643"/>
      <c r="QAJ39" s="643"/>
      <c r="QAK39" s="643"/>
      <c r="QAL39" s="643"/>
      <c r="QAM39" s="643"/>
      <c r="QAN39" s="643"/>
      <c r="QAO39" s="643"/>
      <c r="QAP39" s="643"/>
      <c r="QAQ39" s="643"/>
      <c r="QAR39" s="643"/>
      <c r="QAS39" s="643"/>
      <c r="QAT39" s="643"/>
      <c r="QAU39" s="643"/>
      <c r="QAV39" s="643"/>
      <c r="QAW39" s="643"/>
      <c r="QAX39" s="643"/>
      <c r="QAY39" s="643"/>
      <c r="QAZ39" s="643"/>
      <c r="QBA39" s="643"/>
      <c r="QBB39" s="643"/>
      <c r="QBC39" s="643"/>
      <c r="QBD39" s="643"/>
      <c r="QBE39" s="643"/>
      <c r="QBF39" s="643"/>
      <c r="QBG39" s="643"/>
      <c r="QBH39" s="643"/>
      <c r="QBI39" s="643"/>
      <c r="QBJ39" s="643"/>
      <c r="QBK39" s="643"/>
      <c r="QBL39" s="643"/>
      <c r="QBM39" s="643"/>
      <c r="QBN39" s="643"/>
      <c r="QBO39" s="643"/>
      <c r="QBP39" s="643"/>
      <c r="QBQ39" s="643"/>
      <c r="QBR39" s="643"/>
      <c r="QBS39" s="643"/>
      <c r="QBT39" s="643"/>
      <c r="QBU39" s="643"/>
      <c r="QBV39" s="643"/>
      <c r="QBW39" s="643"/>
      <c r="QBX39" s="643"/>
      <c r="QBY39" s="643"/>
      <c r="QBZ39" s="643"/>
      <c r="QCA39" s="643"/>
      <c r="QCB39" s="643"/>
      <c r="QCC39" s="643"/>
      <c r="QCD39" s="643"/>
      <c r="QCE39" s="643"/>
      <c r="QCF39" s="643"/>
      <c r="QCG39" s="643"/>
      <c r="QCH39" s="643"/>
      <c r="QCI39" s="643"/>
      <c r="QCJ39" s="643"/>
      <c r="QCK39" s="643"/>
      <c r="QCL39" s="643"/>
      <c r="QCM39" s="643"/>
      <c r="QCN39" s="643"/>
      <c r="QCO39" s="643"/>
      <c r="QCP39" s="643"/>
      <c r="QCQ39" s="643"/>
      <c r="QCR39" s="643"/>
      <c r="QCS39" s="643"/>
      <c r="QCT39" s="643"/>
      <c r="QCU39" s="643"/>
      <c r="QCV39" s="643"/>
      <c r="QCW39" s="643"/>
      <c r="QCX39" s="643"/>
      <c r="QCY39" s="643"/>
      <c r="QCZ39" s="643"/>
      <c r="QDA39" s="643"/>
      <c r="QDB39" s="643"/>
      <c r="QDC39" s="643"/>
      <c r="QDD39" s="643"/>
      <c r="QDE39" s="643"/>
      <c r="QDF39" s="643"/>
      <c r="QDG39" s="643"/>
      <c r="QDH39" s="643"/>
      <c r="QDI39" s="643"/>
      <c r="QDJ39" s="643"/>
      <c r="QDK39" s="643"/>
      <c r="QDL39" s="643"/>
      <c r="QDM39" s="643"/>
      <c r="QDN39" s="643"/>
      <c r="QDO39" s="643"/>
      <c r="QDP39" s="643"/>
      <c r="QDQ39" s="643"/>
      <c r="QDR39" s="643"/>
      <c r="QDS39" s="643"/>
      <c r="QDT39" s="643"/>
      <c r="QDU39" s="643"/>
      <c r="QDV39" s="643"/>
      <c r="QDW39" s="643"/>
      <c r="QDX39" s="643"/>
      <c r="QDY39" s="643"/>
      <c r="QDZ39" s="643"/>
      <c r="QEA39" s="643"/>
      <c r="QEB39" s="643"/>
      <c r="QEC39" s="643"/>
      <c r="QED39" s="643"/>
      <c r="QEE39" s="643"/>
      <c r="QEF39" s="643"/>
      <c r="QEG39" s="643"/>
      <c r="QEH39" s="643"/>
      <c r="QEI39" s="643"/>
      <c r="QEJ39" s="643"/>
      <c r="QEK39" s="643"/>
      <c r="QEL39" s="643"/>
      <c r="QEM39" s="643"/>
      <c r="QEN39" s="643"/>
      <c r="QEO39" s="643"/>
      <c r="QEP39" s="643"/>
      <c r="QEQ39" s="643"/>
      <c r="QER39" s="643"/>
      <c r="QES39" s="643"/>
      <c r="QET39" s="643"/>
      <c r="QEU39" s="643"/>
      <c r="QEV39" s="643"/>
      <c r="QEW39" s="643"/>
      <c r="QEX39" s="643"/>
      <c r="QEY39" s="643"/>
      <c r="QEZ39" s="643"/>
      <c r="QFA39" s="643"/>
      <c r="QFB39" s="643"/>
      <c r="QFC39" s="643"/>
      <c r="QFD39" s="643"/>
      <c r="QFE39" s="643"/>
      <c r="QFF39" s="643"/>
      <c r="QFG39" s="643"/>
      <c r="QFH39" s="643"/>
      <c r="QFI39" s="643"/>
      <c r="QFJ39" s="643"/>
      <c r="QFK39" s="643"/>
      <c r="QFL39" s="643"/>
      <c r="QFM39" s="643"/>
      <c r="QFN39" s="643"/>
      <c r="QFO39" s="643"/>
      <c r="QFP39" s="643"/>
      <c r="QFQ39" s="643"/>
      <c r="QFR39" s="643"/>
      <c r="QFS39" s="643"/>
      <c r="QFT39" s="643"/>
      <c r="QFU39" s="643"/>
      <c r="QFV39" s="643"/>
      <c r="QFW39" s="643"/>
      <c r="QFX39" s="643"/>
      <c r="QFY39" s="643"/>
      <c r="QFZ39" s="643"/>
      <c r="QGA39" s="643"/>
      <c r="QGB39" s="643"/>
      <c r="QGC39" s="643"/>
      <c r="QGD39" s="643"/>
      <c r="QGE39" s="643"/>
      <c r="QGF39" s="643"/>
      <c r="QGG39" s="643"/>
      <c r="QGH39" s="643"/>
      <c r="QGI39" s="643"/>
      <c r="QGJ39" s="643"/>
      <c r="QGK39" s="643"/>
      <c r="QGL39" s="643"/>
      <c r="QGM39" s="643"/>
      <c r="QGN39" s="643"/>
      <c r="QGO39" s="643"/>
      <c r="QGP39" s="643"/>
      <c r="QGQ39" s="643"/>
      <c r="QGR39" s="643"/>
      <c r="QGS39" s="643"/>
      <c r="QGT39" s="643"/>
      <c r="QGU39" s="643"/>
      <c r="QGV39" s="643"/>
      <c r="QGW39" s="643"/>
      <c r="QGX39" s="643"/>
      <c r="QGY39" s="643"/>
      <c r="QGZ39" s="643"/>
      <c r="QHA39" s="643"/>
      <c r="QHB39" s="643"/>
      <c r="QHC39" s="643"/>
      <c r="QHD39" s="643"/>
      <c r="QHE39" s="643"/>
      <c r="QHF39" s="643"/>
      <c r="QHG39" s="643"/>
      <c r="QHH39" s="643"/>
      <c r="QHI39" s="643"/>
      <c r="QHJ39" s="643"/>
      <c r="QHK39" s="643"/>
      <c r="QHL39" s="643"/>
      <c r="QHM39" s="643"/>
      <c r="QHN39" s="643"/>
      <c r="QHO39" s="643"/>
      <c r="QHP39" s="643"/>
      <c r="QHQ39" s="643"/>
      <c r="QHR39" s="643"/>
      <c r="QHS39" s="643"/>
      <c r="QHT39" s="643"/>
      <c r="QHU39" s="643"/>
      <c r="QHV39" s="643"/>
      <c r="QHW39" s="643"/>
      <c r="QHX39" s="643"/>
      <c r="QHY39" s="643"/>
      <c r="QHZ39" s="643"/>
      <c r="QIA39" s="643"/>
      <c r="QIB39" s="643"/>
      <c r="QIC39" s="643"/>
      <c r="QID39" s="643"/>
      <c r="QIE39" s="643"/>
      <c r="QIF39" s="643"/>
      <c r="QIG39" s="643"/>
      <c r="QIH39" s="643"/>
      <c r="QII39" s="643"/>
      <c r="QIJ39" s="643"/>
      <c r="QIK39" s="643"/>
      <c r="QIL39" s="643"/>
      <c r="QIM39" s="643"/>
      <c r="QIN39" s="643"/>
      <c r="QIO39" s="643"/>
      <c r="QIP39" s="643"/>
      <c r="QIQ39" s="643"/>
      <c r="QIR39" s="643"/>
      <c r="QIS39" s="643"/>
      <c r="QIT39" s="643"/>
      <c r="QIU39" s="643"/>
      <c r="QIV39" s="643"/>
      <c r="QIW39" s="643"/>
      <c r="QIX39" s="643"/>
      <c r="QIY39" s="643"/>
      <c r="QIZ39" s="643"/>
      <c r="QJA39" s="643"/>
      <c r="QJB39" s="643"/>
      <c r="QJC39" s="643"/>
      <c r="QJD39" s="643"/>
      <c r="QJE39" s="643"/>
      <c r="QJF39" s="643"/>
      <c r="QJG39" s="643"/>
      <c r="QJH39" s="643"/>
      <c r="QJI39" s="643"/>
      <c r="QJJ39" s="643"/>
      <c r="QJK39" s="643"/>
      <c r="QJL39" s="643"/>
      <c r="QJM39" s="643"/>
      <c r="QJN39" s="643"/>
      <c r="QJO39" s="643"/>
      <c r="QJP39" s="643"/>
      <c r="QJQ39" s="643"/>
      <c r="QJR39" s="643"/>
      <c r="QJS39" s="643"/>
      <c r="QJT39" s="643"/>
      <c r="QJU39" s="643"/>
      <c r="QJV39" s="643"/>
      <c r="QJW39" s="643"/>
      <c r="QJX39" s="643"/>
      <c r="QJY39" s="643"/>
      <c r="QJZ39" s="643"/>
      <c r="QKA39" s="643"/>
      <c r="QKB39" s="643"/>
      <c r="QKC39" s="643"/>
      <c r="QKD39" s="643"/>
      <c r="QKE39" s="643"/>
      <c r="QKF39" s="643"/>
      <c r="QKG39" s="643"/>
      <c r="QKH39" s="643"/>
      <c r="QKI39" s="643"/>
      <c r="QKJ39" s="643"/>
      <c r="QKK39" s="643"/>
      <c r="QKL39" s="643"/>
      <c r="QKM39" s="643"/>
      <c r="QKN39" s="643"/>
      <c r="QKO39" s="643"/>
      <c r="QKP39" s="643"/>
      <c r="QKQ39" s="643"/>
      <c r="QKR39" s="643"/>
      <c r="QKS39" s="643"/>
      <c r="QKT39" s="643"/>
      <c r="QKU39" s="643"/>
      <c r="QKV39" s="643"/>
      <c r="QKW39" s="643"/>
      <c r="QKX39" s="643"/>
      <c r="QKY39" s="643"/>
      <c r="QKZ39" s="643"/>
      <c r="QLA39" s="643"/>
      <c r="QLB39" s="643"/>
      <c r="QLC39" s="643"/>
      <c r="QLD39" s="643"/>
      <c r="QLE39" s="643"/>
      <c r="QLF39" s="643"/>
      <c r="QLG39" s="643"/>
      <c r="QLH39" s="643"/>
      <c r="QLI39" s="643"/>
      <c r="QLJ39" s="643"/>
      <c r="QLK39" s="643"/>
      <c r="QLL39" s="643"/>
      <c r="QLM39" s="643"/>
      <c r="QLN39" s="643"/>
      <c r="QLO39" s="643"/>
      <c r="QLP39" s="643"/>
      <c r="QLQ39" s="643"/>
      <c r="QLR39" s="643"/>
      <c r="QLS39" s="643"/>
      <c r="QLT39" s="643"/>
      <c r="QLU39" s="643"/>
      <c r="QLV39" s="643"/>
      <c r="QLW39" s="643"/>
      <c r="QLX39" s="643"/>
      <c r="QLY39" s="643"/>
      <c r="QLZ39" s="643"/>
      <c r="QMA39" s="643"/>
      <c r="QMB39" s="643"/>
      <c r="QMC39" s="643"/>
      <c r="QMD39" s="643"/>
      <c r="QME39" s="643"/>
      <c r="QMF39" s="643"/>
      <c r="QMG39" s="643"/>
      <c r="QMH39" s="643"/>
      <c r="QMI39" s="643"/>
      <c r="QMJ39" s="643"/>
      <c r="QMK39" s="643"/>
      <c r="QML39" s="643"/>
      <c r="QMM39" s="643"/>
      <c r="QMN39" s="643"/>
      <c r="QMO39" s="643"/>
      <c r="QMP39" s="643"/>
      <c r="QMQ39" s="643"/>
      <c r="QMR39" s="643"/>
      <c r="QMS39" s="643"/>
      <c r="QMT39" s="643"/>
      <c r="QMU39" s="643"/>
      <c r="QMV39" s="643"/>
      <c r="QMW39" s="643"/>
      <c r="QMX39" s="643"/>
      <c r="QMY39" s="643"/>
      <c r="QMZ39" s="643"/>
      <c r="QNA39" s="643"/>
      <c r="QNB39" s="643"/>
      <c r="QNC39" s="643"/>
      <c r="QND39" s="643"/>
      <c r="QNE39" s="643"/>
      <c r="QNF39" s="643"/>
      <c r="QNG39" s="643"/>
      <c r="QNH39" s="643"/>
      <c r="QNI39" s="643"/>
      <c r="QNJ39" s="643"/>
      <c r="QNK39" s="643"/>
      <c r="QNL39" s="643"/>
      <c r="QNM39" s="643"/>
      <c r="QNN39" s="643"/>
      <c r="QNO39" s="643"/>
      <c r="QNP39" s="643"/>
      <c r="QNQ39" s="643"/>
      <c r="QNR39" s="643"/>
      <c r="QNS39" s="643"/>
      <c r="QNT39" s="643"/>
      <c r="QNU39" s="643"/>
      <c r="QNV39" s="643"/>
      <c r="QNW39" s="643"/>
      <c r="QNX39" s="643"/>
      <c r="QNY39" s="643"/>
      <c r="QNZ39" s="643"/>
      <c r="QOA39" s="643"/>
      <c r="QOB39" s="643"/>
      <c r="QOC39" s="643"/>
      <c r="QOD39" s="643"/>
      <c r="QOE39" s="643"/>
      <c r="QOF39" s="643"/>
      <c r="QOG39" s="643"/>
      <c r="QOH39" s="643"/>
      <c r="QOI39" s="643"/>
      <c r="QOJ39" s="643"/>
      <c r="QOK39" s="643"/>
      <c r="QOL39" s="643"/>
      <c r="QOM39" s="643"/>
      <c r="QON39" s="643"/>
      <c r="QOO39" s="643"/>
      <c r="QOP39" s="643"/>
      <c r="QOQ39" s="643"/>
      <c r="QOR39" s="643"/>
      <c r="QOS39" s="643"/>
      <c r="QOT39" s="643"/>
      <c r="QOU39" s="643"/>
      <c r="QOV39" s="643"/>
      <c r="QOW39" s="643"/>
      <c r="QOX39" s="643"/>
      <c r="QOY39" s="643"/>
      <c r="QOZ39" s="643"/>
      <c r="QPA39" s="643"/>
      <c r="QPB39" s="643"/>
      <c r="QPC39" s="643"/>
      <c r="QPD39" s="643"/>
      <c r="QPE39" s="643"/>
      <c r="QPF39" s="643"/>
      <c r="QPG39" s="643"/>
      <c r="QPH39" s="643"/>
      <c r="QPI39" s="643"/>
      <c r="QPJ39" s="643"/>
      <c r="QPK39" s="643"/>
      <c r="QPL39" s="643"/>
      <c r="QPM39" s="643"/>
      <c r="QPN39" s="643"/>
      <c r="QPO39" s="643"/>
      <c r="QPP39" s="643"/>
      <c r="QPQ39" s="643"/>
      <c r="QPR39" s="643"/>
      <c r="QPS39" s="643"/>
      <c r="QPT39" s="643"/>
      <c r="QPU39" s="643"/>
      <c r="QPV39" s="643"/>
      <c r="QPW39" s="643"/>
      <c r="QPX39" s="643"/>
      <c r="QPY39" s="643"/>
      <c r="QPZ39" s="643"/>
      <c r="QQA39" s="643"/>
      <c r="QQB39" s="643"/>
      <c r="QQC39" s="643"/>
      <c r="QQD39" s="643"/>
      <c r="QQE39" s="643"/>
      <c r="QQF39" s="643"/>
      <c r="QQG39" s="643"/>
      <c r="QQH39" s="643"/>
      <c r="QQI39" s="643"/>
      <c r="QQJ39" s="643"/>
      <c r="QQK39" s="643"/>
      <c r="QQL39" s="643"/>
      <c r="QQM39" s="643"/>
      <c r="QQN39" s="643"/>
      <c r="QQO39" s="643"/>
      <c r="QQP39" s="643"/>
      <c r="QQQ39" s="643"/>
      <c r="QQR39" s="643"/>
      <c r="QQS39" s="643"/>
      <c r="QQT39" s="643"/>
      <c r="QQU39" s="643"/>
      <c r="QQV39" s="643"/>
      <c r="QQW39" s="643"/>
      <c r="QQX39" s="643"/>
      <c r="QQY39" s="643"/>
      <c r="QQZ39" s="643"/>
      <c r="QRA39" s="643"/>
      <c r="QRB39" s="643"/>
      <c r="QRC39" s="643"/>
      <c r="QRD39" s="643"/>
      <c r="QRE39" s="643"/>
      <c r="QRF39" s="643"/>
      <c r="QRG39" s="643"/>
      <c r="QRH39" s="643"/>
      <c r="QRI39" s="643"/>
      <c r="QRJ39" s="643"/>
      <c r="QRK39" s="643"/>
      <c r="QRL39" s="643"/>
      <c r="QRM39" s="643"/>
      <c r="QRN39" s="643"/>
      <c r="QRO39" s="643"/>
      <c r="QRP39" s="643"/>
      <c r="QRQ39" s="643"/>
      <c r="QRR39" s="643"/>
      <c r="QRS39" s="643"/>
      <c r="QRT39" s="643"/>
      <c r="QRU39" s="643"/>
      <c r="QRV39" s="643"/>
      <c r="QRW39" s="643"/>
      <c r="QRX39" s="643"/>
      <c r="QRY39" s="643"/>
      <c r="QRZ39" s="643"/>
      <c r="QSA39" s="643"/>
      <c r="QSB39" s="643"/>
      <c r="QSC39" s="643"/>
      <c r="QSD39" s="643"/>
      <c r="QSE39" s="643"/>
      <c r="QSF39" s="643"/>
      <c r="QSG39" s="643"/>
      <c r="QSH39" s="643"/>
      <c r="QSI39" s="643"/>
      <c r="QSJ39" s="643"/>
      <c r="QSK39" s="643"/>
      <c r="QSL39" s="643"/>
      <c r="QSM39" s="643"/>
      <c r="QSN39" s="643"/>
      <c r="QSO39" s="643"/>
      <c r="QSP39" s="643"/>
      <c r="QSQ39" s="643"/>
      <c r="QSR39" s="643"/>
      <c r="QSS39" s="643"/>
      <c r="QST39" s="643"/>
      <c r="QSU39" s="643"/>
      <c r="QSV39" s="643"/>
      <c r="QSW39" s="643"/>
      <c r="QSX39" s="643"/>
      <c r="QSY39" s="643"/>
      <c r="QSZ39" s="643"/>
      <c r="QTA39" s="643"/>
      <c r="QTB39" s="643"/>
      <c r="QTC39" s="643"/>
      <c r="QTD39" s="643"/>
      <c r="QTE39" s="643"/>
      <c r="QTF39" s="643"/>
      <c r="QTG39" s="643"/>
      <c r="QTH39" s="643"/>
      <c r="QTI39" s="643"/>
      <c r="QTJ39" s="643"/>
      <c r="QTK39" s="643"/>
      <c r="QTL39" s="643"/>
      <c r="QTM39" s="643"/>
      <c r="QTN39" s="643"/>
      <c r="QTO39" s="643"/>
      <c r="QTP39" s="643"/>
      <c r="QTQ39" s="643"/>
      <c r="QTR39" s="643"/>
      <c r="QTS39" s="643"/>
      <c r="QTT39" s="643"/>
      <c r="QTU39" s="643"/>
      <c r="QTV39" s="643"/>
      <c r="QTW39" s="643"/>
      <c r="QTX39" s="643"/>
      <c r="QTY39" s="643"/>
      <c r="QTZ39" s="643"/>
      <c r="QUA39" s="643"/>
      <c r="QUB39" s="643"/>
      <c r="QUC39" s="643"/>
      <c r="QUD39" s="643"/>
      <c r="QUE39" s="643"/>
      <c r="QUF39" s="643"/>
      <c r="QUG39" s="643"/>
      <c r="QUH39" s="643"/>
      <c r="QUI39" s="643"/>
      <c r="QUJ39" s="643"/>
      <c r="QUK39" s="643"/>
      <c r="QUL39" s="643"/>
      <c r="QUM39" s="643"/>
      <c r="QUN39" s="643"/>
      <c r="QUO39" s="643"/>
      <c r="QUP39" s="643"/>
      <c r="QUQ39" s="643"/>
      <c r="QUR39" s="643"/>
      <c r="QUS39" s="643"/>
      <c r="QUT39" s="643"/>
      <c r="QUU39" s="643"/>
      <c r="QUV39" s="643"/>
      <c r="QUW39" s="643"/>
      <c r="QUX39" s="643"/>
      <c r="QUY39" s="643"/>
      <c r="QUZ39" s="643"/>
      <c r="QVA39" s="643"/>
      <c r="QVB39" s="643"/>
      <c r="QVC39" s="643"/>
      <c r="QVD39" s="643"/>
      <c r="QVE39" s="643"/>
      <c r="QVF39" s="643"/>
      <c r="QVG39" s="643"/>
      <c r="QVH39" s="643"/>
      <c r="QVI39" s="643"/>
      <c r="QVJ39" s="643"/>
      <c r="QVK39" s="643"/>
      <c r="QVL39" s="643"/>
      <c r="QVM39" s="643"/>
      <c r="QVN39" s="643"/>
      <c r="QVO39" s="643"/>
      <c r="QVP39" s="643"/>
      <c r="QVQ39" s="643"/>
      <c r="QVR39" s="643"/>
      <c r="QVS39" s="643"/>
      <c r="QVT39" s="643"/>
      <c r="QVU39" s="643"/>
      <c r="QVV39" s="643"/>
      <c r="QVW39" s="643"/>
      <c r="QVX39" s="643"/>
      <c r="QVY39" s="643"/>
      <c r="QVZ39" s="643"/>
      <c r="QWA39" s="643"/>
      <c r="QWB39" s="643"/>
      <c r="QWC39" s="643"/>
      <c r="QWD39" s="643"/>
      <c r="QWE39" s="643"/>
      <c r="QWF39" s="643"/>
      <c r="QWG39" s="643"/>
      <c r="QWH39" s="643"/>
      <c r="QWI39" s="643"/>
      <c r="QWJ39" s="643"/>
      <c r="QWK39" s="643"/>
      <c r="QWL39" s="643"/>
      <c r="QWM39" s="643"/>
      <c r="QWN39" s="643"/>
      <c r="QWO39" s="643"/>
      <c r="QWP39" s="643"/>
      <c r="QWQ39" s="643"/>
      <c r="QWR39" s="643"/>
      <c r="QWS39" s="643"/>
      <c r="QWT39" s="643"/>
      <c r="QWU39" s="643"/>
      <c r="QWV39" s="643"/>
      <c r="QWW39" s="643"/>
      <c r="QWX39" s="643"/>
      <c r="QWY39" s="643"/>
      <c r="QWZ39" s="643"/>
      <c r="QXA39" s="643"/>
      <c r="QXB39" s="643"/>
      <c r="QXC39" s="643"/>
      <c r="QXD39" s="643"/>
      <c r="QXE39" s="643"/>
      <c r="QXF39" s="643"/>
      <c r="QXG39" s="643"/>
      <c r="QXH39" s="643"/>
      <c r="QXI39" s="643"/>
      <c r="QXJ39" s="643"/>
      <c r="QXK39" s="643"/>
      <c r="QXL39" s="643"/>
      <c r="QXM39" s="643"/>
      <c r="QXN39" s="643"/>
      <c r="QXO39" s="643"/>
      <c r="QXP39" s="643"/>
      <c r="QXQ39" s="643"/>
      <c r="QXR39" s="643"/>
      <c r="QXS39" s="643"/>
      <c r="QXT39" s="643"/>
      <c r="QXU39" s="643"/>
      <c r="QXV39" s="643"/>
      <c r="QXW39" s="643"/>
      <c r="QXX39" s="643"/>
      <c r="QXY39" s="643"/>
      <c r="QXZ39" s="643"/>
      <c r="QYA39" s="643"/>
      <c r="QYB39" s="643"/>
      <c r="QYC39" s="643"/>
      <c r="QYD39" s="643"/>
      <c r="QYE39" s="643"/>
      <c r="QYF39" s="643"/>
      <c r="QYG39" s="643"/>
      <c r="QYH39" s="643"/>
      <c r="QYI39" s="643"/>
      <c r="QYJ39" s="643"/>
      <c r="QYK39" s="643"/>
      <c r="QYL39" s="643"/>
      <c r="QYM39" s="643"/>
      <c r="QYN39" s="643"/>
      <c r="QYO39" s="643"/>
      <c r="QYP39" s="643"/>
      <c r="QYQ39" s="643"/>
      <c r="QYR39" s="643"/>
      <c r="QYS39" s="643"/>
      <c r="QYT39" s="643"/>
      <c r="QYU39" s="643"/>
      <c r="QYV39" s="643"/>
      <c r="QYW39" s="643"/>
      <c r="QYX39" s="643"/>
      <c r="QYY39" s="643"/>
      <c r="QYZ39" s="643"/>
      <c r="QZA39" s="643"/>
      <c r="QZB39" s="643"/>
      <c r="QZC39" s="643"/>
      <c r="QZD39" s="643"/>
      <c r="QZE39" s="643"/>
      <c r="QZF39" s="643"/>
      <c r="QZG39" s="643"/>
      <c r="QZH39" s="643"/>
      <c r="QZI39" s="643"/>
      <c r="QZJ39" s="643"/>
      <c r="QZK39" s="643"/>
      <c r="QZL39" s="643"/>
      <c r="QZM39" s="643"/>
      <c r="QZN39" s="643"/>
      <c r="QZO39" s="643"/>
      <c r="QZP39" s="643"/>
      <c r="QZQ39" s="643"/>
      <c r="QZR39" s="643"/>
      <c r="QZS39" s="643"/>
      <c r="QZT39" s="643"/>
      <c r="QZU39" s="643"/>
      <c r="QZV39" s="643"/>
      <c r="QZW39" s="643"/>
      <c r="QZX39" s="643"/>
      <c r="QZY39" s="643"/>
      <c r="QZZ39" s="643"/>
      <c r="RAA39" s="643"/>
      <c r="RAB39" s="643"/>
      <c r="RAC39" s="643"/>
      <c r="RAD39" s="643"/>
      <c r="RAE39" s="643"/>
      <c r="RAF39" s="643"/>
      <c r="RAG39" s="643"/>
      <c r="RAH39" s="643"/>
      <c r="RAI39" s="643"/>
      <c r="RAJ39" s="643"/>
      <c r="RAK39" s="643"/>
      <c r="RAL39" s="643"/>
      <c r="RAM39" s="643"/>
      <c r="RAN39" s="643"/>
      <c r="RAO39" s="643"/>
      <c r="RAP39" s="643"/>
      <c r="RAQ39" s="643"/>
      <c r="RAR39" s="643"/>
      <c r="RAS39" s="643"/>
      <c r="RAT39" s="643"/>
      <c r="RAU39" s="643"/>
      <c r="RAV39" s="643"/>
      <c r="RAW39" s="643"/>
      <c r="RAX39" s="643"/>
      <c r="RAY39" s="643"/>
      <c r="RAZ39" s="643"/>
      <c r="RBA39" s="643"/>
      <c r="RBB39" s="643"/>
      <c r="RBC39" s="643"/>
      <c r="RBD39" s="643"/>
      <c r="RBE39" s="643"/>
      <c r="RBF39" s="643"/>
      <c r="RBG39" s="643"/>
      <c r="RBH39" s="643"/>
      <c r="RBI39" s="643"/>
      <c r="RBJ39" s="643"/>
      <c r="RBK39" s="643"/>
      <c r="RBL39" s="643"/>
      <c r="RBM39" s="643"/>
      <c r="RBN39" s="643"/>
      <c r="RBO39" s="643"/>
      <c r="RBP39" s="643"/>
      <c r="RBQ39" s="643"/>
      <c r="RBR39" s="643"/>
      <c r="RBS39" s="643"/>
      <c r="RBT39" s="643"/>
      <c r="RBU39" s="643"/>
      <c r="RBV39" s="643"/>
      <c r="RBW39" s="643"/>
      <c r="RBX39" s="643"/>
      <c r="RBY39" s="643"/>
      <c r="RBZ39" s="643"/>
      <c r="RCA39" s="643"/>
      <c r="RCB39" s="643"/>
      <c r="RCC39" s="643"/>
      <c r="RCD39" s="643"/>
      <c r="RCE39" s="643"/>
      <c r="RCF39" s="643"/>
      <c r="RCG39" s="643"/>
      <c r="RCH39" s="643"/>
      <c r="RCI39" s="643"/>
      <c r="RCJ39" s="643"/>
      <c r="RCK39" s="643"/>
      <c r="RCL39" s="643"/>
      <c r="RCM39" s="643"/>
      <c r="RCN39" s="643"/>
      <c r="RCO39" s="643"/>
      <c r="RCP39" s="643"/>
      <c r="RCQ39" s="643"/>
      <c r="RCR39" s="643"/>
      <c r="RCS39" s="643"/>
      <c r="RCT39" s="643"/>
      <c r="RCU39" s="643"/>
      <c r="RCV39" s="643"/>
      <c r="RCW39" s="643"/>
      <c r="RCX39" s="643"/>
      <c r="RCY39" s="643"/>
      <c r="RCZ39" s="643"/>
      <c r="RDA39" s="643"/>
      <c r="RDB39" s="643"/>
      <c r="RDC39" s="643"/>
      <c r="RDD39" s="643"/>
      <c r="RDE39" s="643"/>
      <c r="RDF39" s="643"/>
      <c r="RDG39" s="643"/>
      <c r="RDH39" s="643"/>
      <c r="RDI39" s="643"/>
      <c r="RDJ39" s="643"/>
      <c r="RDK39" s="643"/>
      <c r="RDL39" s="643"/>
      <c r="RDM39" s="643"/>
      <c r="RDN39" s="643"/>
      <c r="RDO39" s="643"/>
      <c r="RDP39" s="643"/>
      <c r="RDQ39" s="643"/>
      <c r="RDR39" s="643"/>
      <c r="RDS39" s="643"/>
      <c r="RDT39" s="643"/>
      <c r="RDU39" s="643"/>
      <c r="RDV39" s="643"/>
      <c r="RDW39" s="643"/>
      <c r="RDX39" s="643"/>
      <c r="RDY39" s="643"/>
      <c r="RDZ39" s="643"/>
      <c r="REA39" s="643"/>
      <c r="REB39" s="643"/>
      <c r="REC39" s="643"/>
      <c r="RED39" s="643"/>
      <c r="REE39" s="643"/>
      <c r="REF39" s="643"/>
      <c r="REG39" s="643"/>
      <c r="REH39" s="643"/>
      <c r="REI39" s="643"/>
      <c r="REJ39" s="643"/>
      <c r="REK39" s="643"/>
      <c r="REL39" s="643"/>
      <c r="REM39" s="643"/>
      <c r="REN39" s="643"/>
      <c r="REO39" s="643"/>
      <c r="REP39" s="643"/>
      <c r="REQ39" s="643"/>
      <c r="RER39" s="643"/>
      <c r="RES39" s="643"/>
      <c r="RET39" s="643"/>
      <c r="REU39" s="643"/>
      <c r="REV39" s="643"/>
      <c r="REW39" s="643"/>
      <c r="REX39" s="643"/>
      <c r="REY39" s="643"/>
      <c r="REZ39" s="643"/>
      <c r="RFA39" s="643"/>
      <c r="RFB39" s="643"/>
      <c r="RFC39" s="643"/>
      <c r="RFD39" s="643"/>
      <c r="RFE39" s="643"/>
      <c r="RFF39" s="643"/>
      <c r="RFG39" s="643"/>
      <c r="RFH39" s="643"/>
      <c r="RFI39" s="643"/>
      <c r="RFJ39" s="643"/>
      <c r="RFK39" s="643"/>
      <c r="RFL39" s="643"/>
      <c r="RFM39" s="643"/>
      <c r="RFN39" s="643"/>
      <c r="RFO39" s="643"/>
      <c r="RFP39" s="643"/>
      <c r="RFQ39" s="643"/>
      <c r="RFR39" s="643"/>
      <c r="RFS39" s="643"/>
      <c r="RFT39" s="643"/>
      <c r="RFU39" s="643"/>
      <c r="RFV39" s="643"/>
      <c r="RFW39" s="643"/>
      <c r="RFX39" s="643"/>
      <c r="RFY39" s="643"/>
      <c r="RFZ39" s="643"/>
      <c r="RGA39" s="643"/>
      <c r="RGB39" s="643"/>
      <c r="RGC39" s="643"/>
      <c r="RGD39" s="643"/>
      <c r="RGE39" s="643"/>
      <c r="RGF39" s="643"/>
      <c r="RGG39" s="643"/>
      <c r="RGH39" s="643"/>
      <c r="RGI39" s="643"/>
      <c r="RGJ39" s="643"/>
      <c r="RGK39" s="643"/>
      <c r="RGL39" s="643"/>
      <c r="RGM39" s="643"/>
      <c r="RGN39" s="643"/>
      <c r="RGO39" s="643"/>
      <c r="RGP39" s="643"/>
      <c r="RGQ39" s="643"/>
      <c r="RGR39" s="643"/>
      <c r="RGS39" s="643"/>
      <c r="RGT39" s="643"/>
      <c r="RGU39" s="643"/>
      <c r="RGV39" s="643"/>
      <c r="RGW39" s="643"/>
      <c r="RGX39" s="643"/>
      <c r="RGY39" s="643"/>
      <c r="RGZ39" s="643"/>
      <c r="RHA39" s="643"/>
      <c r="RHB39" s="643"/>
      <c r="RHC39" s="643"/>
      <c r="RHD39" s="643"/>
      <c r="RHE39" s="643"/>
      <c r="RHF39" s="643"/>
      <c r="RHG39" s="643"/>
      <c r="RHH39" s="643"/>
      <c r="RHI39" s="643"/>
      <c r="RHJ39" s="643"/>
      <c r="RHK39" s="643"/>
      <c r="RHL39" s="643"/>
      <c r="RHM39" s="643"/>
      <c r="RHN39" s="643"/>
      <c r="RHO39" s="643"/>
      <c r="RHP39" s="643"/>
      <c r="RHQ39" s="643"/>
      <c r="RHR39" s="643"/>
      <c r="RHS39" s="643"/>
      <c r="RHT39" s="643"/>
      <c r="RHU39" s="643"/>
      <c r="RHV39" s="643"/>
      <c r="RHW39" s="643"/>
      <c r="RHX39" s="643"/>
      <c r="RHY39" s="643"/>
      <c r="RHZ39" s="643"/>
      <c r="RIA39" s="643"/>
      <c r="RIB39" s="643"/>
      <c r="RIC39" s="643"/>
      <c r="RID39" s="643"/>
      <c r="RIE39" s="643"/>
      <c r="RIF39" s="643"/>
      <c r="RIG39" s="643"/>
      <c r="RIH39" s="643"/>
      <c r="RII39" s="643"/>
      <c r="RIJ39" s="643"/>
      <c r="RIK39" s="643"/>
      <c r="RIL39" s="643"/>
      <c r="RIM39" s="643"/>
      <c r="RIN39" s="643"/>
      <c r="RIO39" s="643"/>
      <c r="RIP39" s="643"/>
      <c r="RIQ39" s="643"/>
      <c r="RIR39" s="643"/>
      <c r="RIS39" s="643"/>
      <c r="RIT39" s="643"/>
      <c r="RIU39" s="643"/>
      <c r="RIV39" s="643"/>
      <c r="RIW39" s="643"/>
      <c r="RIX39" s="643"/>
      <c r="RIY39" s="643"/>
      <c r="RIZ39" s="643"/>
      <c r="RJA39" s="643"/>
      <c r="RJB39" s="643"/>
      <c r="RJC39" s="643"/>
      <c r="RJD39" s="643"/>
      <c r="RJE39" s="643"/>
      <c r="RJF39" s="643"/>
      <c r="RJG39" s="643"/>
      <c r="RJH39" s="643"/>
      <c r="RJI39" s="643"/>
      <c r="RJJ39" s="643"/>
      <c r="RJK39" s="643"/>
      <c r="RJL39" s="643"/>
      <c r="RJM39" s="643"/>
      <c r="RJN39" s="643"/>
      <c r="RJO39" s="643"/>
      <c r="RJP39" s="643"/>
      <c r="RJQ39" s="643"/>
      <c r="RJR39" s="643"/>
      <c r="RJS39" s="643"/>
      <c r="RJT39" s="643"/>
      <c r="RJU39" s="643"/>
      <c r="RJV39" s="643"/>
      <c r="RJW39" s="643"/>
      <c r="RJX39" s="643"/>
      <c r="RJY39" s="643"/>
      <c r="RJZ39" s="643"/>
      <c r="RKA39" s="643"/>
      <c r="RKB39" s="643"/>
      <c r="RKC39" s="643"/>
      <c r="RKD39" s="643"/>
      <c r="RKE39" s="643"/>
      <c r="RKF39" s="643"/>
      <c r="RKG39" s="643"/>
      <c r="RKH39" s="643"/>
      <c r="RKI39" s="643"/>
      <c r="RKJ39" s="643"/>
      <c r="RKK39" s="643"/>
      <c r="RKL39" s="643"/>
      <c r="RKM39" s="643"/>
      <c r="RKN39" s="643"/>
      <c r="RKO39" s="643"/>
      <c r="RKP39" s="643"/>
      <c r="RKQ39" s="643"/>
      <c r="RKR39" s="643"/>
      <c r="RKS39" s="643"/>
      <c r="RKT39" s="643"/>
      <c r="RKU39" s="643"/>
      <c r="RKV39" s="643"/>
      <c r="RKW39" s="643"/>
      <c r="RKX39" s="643"/>
      <c r="RKY39" s="643"/>
      <c r="RKZ39" s="643"/>
      <c r="RLA39" s="643"/>
      <c r="RLB39" s="643"/>
      <c r="RLC39" s="643"/>
      <c r="RLD39" s="643"/>
      <c r="RLE39" s="643"/>
      <c r="RLF39" s="643"/>
      <c r="RLG39" s="643"/>
      <c r="RLH39" s="643"/>
      <c r="RLI39" s="643"/>
      <c r="RLJ39" s="643"/>
      <c r="RLK39" s="643"/>
      <c r="RLL39" s="643"/>
      <c r="RLM39" s="643"/>
      <c r="RLN39" s="643"/>
      <c r="RLO39" s="643"/>
      <c r="RLP39" s="643"/>
      <c r="RLQ39" s="643"/>
      <c r="RLR39" s="643"/>
      <c r="RLS39" s="643"/>
      <c r="RLT39" s="643"/>
      <c r="RLU39" s="643"/>
      <c r="RLV39" s="643"/>
      <c r="RLW39" s="643"/>
      <c r="RLX39" s="643"/>
      <c r="RLY39" s="643"/>
      <c r="RLZ39" s="643"/>
      <c r="RMA39" s="643"/>
      <c r="RMB39" s="643"/>
      <c r="RMC39" s="643"/>
      <c r="RMD39" s="643"/>
      <c r="RME39" s="643"/>
      <c r="RMF39" s="643"/>
      <c r="RMG39" s="643"/>
      <c r="RMH39" s="643"/>
      <c r="RMI39" s="643"/>
      <c r="RMJ39" s="643"/>
      <c r="RMK39" s="643"/>
      <c r="RML39" s="643"/>
      <c r="RMM39" s="643"/>
      <c r="RMN39" s="643"/>
      <c r="RMO39" s="643"/>
      <c r="RMP39" s="643"/>
      <c r="RMQ39" s="643"/>
      <c r="RMR39" s="643"/>
      <c r="RMS39" s="643"/>
      <c r="RMT39" s="643"/>
      <c r="RMU39" s="643"/>
      <c r="RMV39" s="643"/>
      <c r="RMW39" s="643"/>
      <c r="RMX39" s="643"/>
      <c r="RMY39" s="643"/>
      <c r="RMZ39" s="643"/>
      <c r="RNA39" s="643"/>
      <c r="RNB39" s="643"/>
      <c r="RNC39" s="643"/>
      <c r="RND39" s="643"/>
      <c r="RNE39" s="643"/>
      <c r="RNF39" s="643"/>
      <c r="RNG39" s="643"/>
      <c r="RNH39" s="643"/>
      <c r="RNI39" s="643"/>
      <c r="RNJ39" s="643"/>
      <c r="RNK39" s="643"/>
      <c r="RNL39" s="643"/>
      <c r="RNM39" s="643"/>
      <c r="RNN39" s="643"/>
      <c r="RNO39" s="643"/>
      <c r="RNP39" s="643"/>
      <c r="RNQ39" s="643"/>
      <c r="RNR39" s="643"/>
      <c r="RNS39" s="643"/>
      <c r="RNT39" s="643"/>
      <c r="RNU39" s="643"/>
      <c r="RNV39" s="643"/>
      <c r="RNW39" s="643"/>
      <c r="RNX39" s="643"/>
      <c r="RNY39" s="643"/>
      <c r="RNZ39" s="643"/>
      <c r="ROA39" s="643"/>
      <c r="ROB39" s="643"/>
      <c r="ROC39" s="643"/>
      <c r="ROD39" s="643"/>
      <c r="ROE39" s="643"/>
      <c r="ROF39" s="643"/>
      <c r="ROG39" s="643"/>
      <c r="ROH39" s="643"/>
      <c r="ROI39" s="643"/>
      <c r="ROJ39" s="643"/>
      <c r="ROK39" s="643"/>
      <c r="ROL39" s="643"/>
      <c r="ROM39" s="643"/>
      <c r="RON39" s="643"/>
      <c r="ROO39" s="643"/>
      <c r="ROP39" s="643"/>
      <c r="ROQ39" s="643"/>
      <c r="ROR39" s="643"/>
      <c r="ROS39" s="643"/>
      <c r="ROT39" s="643"/>
      <c r="ROU39" s="643"/>
      <c r="ROV39" s="643"/>
      <c r="ROW39" s="643"/>
      <c r="ROX39" s="643"/>
      <c r="ROY39" s="643"/>
      <c r="ROZ39" s="643"/>
      <c r="RPA39" s="643"/>
      <c r="RPB39" s="643"/>
      <c r="RPC39" s="643"/>
      <c r="RPD39" s="643"/>
      <c r="RPE39" s="643"/>
      <c r="RPF39" s="643"/>
      <c r="RPG39" s="643"/>
      <c r="RPH39" s="643"/>
      <c r="RPI39" s="643"/>
      <c r="RPJ39" s="643"/>
      <c r="RPK39" s="643"/>
      <c r="RPL39" s="643"/>
      <c r="RPM39" s="643"/>
      <c r="RPN39" s="643"/>
      <c r="RPO39" s="643"/>
      <c r="RPP39" s="643"/>
      <c r="RPQ39" s="643"/>
      <c r="RPR39" s="643"/>
      <c r="RPS39" s="643"/>
      <c r="RPT39" s="643"/>
      <c r="RPU39" s="643"/>
      <c r="RPV39" s="643"/>
      <c r="RPW39" s="643"/>
      <c r="RPX39" s="643"/>
      <c r="RPY39" s="643"/>
      <c r="RPZ39" s="643"/>
      <c r="RQA39" s="643"/>
      <c r="RQB39" s="643"/>
      <c r="RQC39" s="643"/>
      <c r="RQD39" s="643"/>
      <c r="RQE39" s="643"/>
      <c r="RQF39" s="643"/>
      <c r="RQG39" s="643"/>
      <c r="RQH39" s="643"/>
      <c r="RQI39" s="643"/>
      <c r="RQJ39" s="643"/>
      <c r="RQK39" s="643"/>
      <c r="RQL39" s="643"/>
      <c r="RQM39" s="643"/>
      <c r="RQN39" s="643"/>
      <c r="RQO39" s="643"/>
      <c r="RQP39" s="643"/>
      <c r="RQQ39" s="643"/>
      <c r="RQR39" s="643"/>
      <c r="RQS39" s="643"/>
      <c r="RQT39" s="643"/>
      <c r="RQU39" s="643"/>
      <c r="RQV39" s="643"/>
      <c r="RQW39" s="643"/>
      <c r="RQX39" s="643"/>
      <c r="RQY39" s="643"/>
      <c r="RQZ39" s="643"/>
      <c r="RRA39" s="643"/>
      <c r="RRB39" s="643"/>
      <c r="RRC39" s="643"/>
      <c r="RRD39" s="643"/>
      <c r="RRE39" s="643"/>
      <c r="RRF39" s="643"/>
      <c r="RRG39" s="643"/>
      <c r="RRH39" s="643"/>
      <c r="RRI39" s="643"/>
      <c r="RRJ39" s="643"/>
      <c r="RRK39" s="643"/>
      <c r="RRL39" s="643"/>
      <c r="RRM39" s="643"/>
      <c r="RRN39" s="643"/>
      <c r="RRO39" s="643"/>
      <c r="RRP39" s="643"/>
      <c r="RRQ39" s="643"/>
      <c r="RRR39" s="643"/>
      <c r="RRS39" s="643"/>
      <c r="RRT39" s="643"/>
      <c r="RRU39" s="643"/>
      <c r="RRV39" s="643"/>
      <c r="RRW39" s="643"/>
      <c r="RRX39" s="643"/>
      <c r="RRY39" s="643"/>
      <c r="RRZ39" s="643"/>
      <c r="RSA39" s="643"/>
      <c r="RSB39" s="643"/>
      <c r="RSC39" s="643"/>
      <c r="RSD39" s="643"/>
      <c r="RSE39" s="643"/>
      <c r="RSF39" s="643"/>
      <c r="RSG39" s="643"/>
      <c r="RSH39" s="643"/>
      <c r="RSI39" s="643"/>
      <c r="RSJ39" s="643"/>
      <c r="RSK39" s="643"/>
      <c r="RSL39" s="643"/>
      <c r="RSM39" s="643"/>
      <c r="RSN39" s="643"/>
      <c r="RSO39" s="643"/>
      <c r="RSP39" s="643"/>
      <c r="RSQ39" s="643"/>
      <c r="RSR39" s="643"/>
      <c r="RSS39" s="643"/>
      <c r="RST39" s="643"/>
      <c r="RSU39" s="643"/>
      <c r="RSV39" s="643"/>
      <c r="RSW39" s="643"/>
      <c r="RSX39" s="643"/>
      <c r="RSY39" s="643"/>
      <c r="RSZ39" s="643"/>
      <c r="RTA39" s="643"/>
      <c r="RTB39" s="643"/>
      <c r="RTC39" s="643"/>
      <c r="RTD39" s="643"/>
      <c r="RTE39" s="643"/>
      <c r="RTF39" s="643"/>
      <c r="RTG39" s="643"/>
      <c r="RTH39" s="643"/>
      <c r="RTI39" s="643"/>
      <c r="RTJ39" s="643"/>
      <c r="RTK39" s="643"/>
      <c r="RTL39" s="643"/>
      <c r="RTM39" s="643"/>
      <c r="RTN39" s="643"/>
      <c r="RTO39" s="643"/>
      <c r="RTP39" s="643"/>
      <c r="RTQ39" s="643"/>
      <c r="RTR39" s="643"/>
      <c r="RTS39" s="643"/>
      <c r="RTT39" s="643"/>
      <c r="RTU39" s="643"/>
      <c r="RTV39" s="643"/>
      <c r="RTW39" s="643"/>
      <c r="RTX39" s="643"/>
      <c r="RTY39" s="643"/>
      <c r="RTZ39" s="643"/>
      <c r="RUA39" s="643"/>
      <c r="RUB39" s="643"/>
      <c r="RUC39" s="643"/>
      <c r="RUD39" s="643"/>
      <c r="RUE39" s="643"/>
      <c r="RUF39" s="643"/>
      <c r="RUG39" s="643"/>
      <c r="RUH39" s="643"/>
      <c r="RUI39" s="643"/>
      <c r="RUJ39" s="643"/>
      <c r="RUK39" s="643"/>
      <c r="RUL39" s="643"/>
      <c r="RUM39" s="643"/>
      <c r="RUN39" s="643"/>
      <c r="RUO39" s="643"/>
      <c r="RUP39" s="643"/>
      <c r="RUQ39" s="643"/>
      <c r="RUR39" s="643"/>
      <c r="RUS39" s="643"/>
      <c r="RUT39" s="643"/>
      <c r="RUU39" s="643"/>
      <c r="RUV39" s="643"/>
      <c r="RUW39" s="643"/>
      <c r="RUX39" s="643"/>
      <c r="RUY39" s="643"/>
      <c r="RUZ39" s="643"/>
      <c r="RVA39" s="643"/>
      <c r="RVB39" s="643"/>
      <c r="RVC39" s="643"/>
      <c r="RVD39" s="643"/>
      <c r="RVE39" s="643"/>
      <c r="RVF39" s="643"/>
      <c r="RVG39" s="643"/>
      <c r="RVH39" s="643"/>
      <c r="RVI39" s="643"/>
      <c r="RVJ39" s="643"/>
      <c r="RVK39" s="643"/>
      <c r="RVL39" s="643"/>
      <c r="RVM39" s="643"/>
      <c r="RVN39" s="643"/>
      <c r="RVO39" s="643"/>
      <c r="RVP39" s="643"/>
      <c r="RVQ39" s="643"/>
      <c r="RVR39" s="643"/>
      <c r="RVS39" s="643"/>
      <c r="RVT39" s="643"/>
      <c r="RVU39" s="643"/>
      <c r="RVV39" s="643"/>
      <c r="RVW39" s="643"/>
      <c r="RVX39" s="643"/>
      <c r="RVY39" s="643"/>
      <c r="RVZ39" s="643"/>
      <c r="RWA39" s="643"/>
      <c r="RWB39" s="643"/>
      <c r="RWC39" s="643"/>
      <c r="RWD39" s="643"/>
      <c r="RWE39" s="643"/>
      <c r="RWF39" s="643"/>
      <c r="RWG39" s="643"/>
      <c r="RWH39" s="643"/>
      <c r="RWI39" s="643"/>
      <c r="RWJ39" s="643"/>
      <c r="RWK39" s="643"/>
      <c r="RWL39" s="643"/>
      <c r="RWM39" s="643"/>
      <c r="RWN39" s="643"/>
      <c r="RWO39" s="643"/>
      <c r="RWP39" s="643"/>
      <c r="RWQ39" s="643"/>
      <c r="RWR39" s="643"/>
      <c r="RWS39" s="643"/>
      <c r="RWT39" s="643"/>
      <c r="RWU39" s="643"/>
      <c r="RWV39" s="643"/>
      <c r="RWW39" s="643"/>
      <c r="RWX39" s="643"/>
      <c r="RWY39" s="643"/>
      <c r="RWZ39" s="643"/>
      <c r="RXA39" s="643"/>
      <c r="RXB39" s="643"/>
      <c r="RXC39" s="643"/>
      <c r="RXD39" s="643"/>
      <c r="RXE39" s="643"/>
      <c r="RXF39" s="643"/>
      <c r="RXG39" s="643"/>
      <c r="RXH39" s="643"/>
      <c r="RXI39" s="643"/>
      <c r="RXJ39" s="643"/>
      <c r="RXK39" s="643"/>
      <c r="RXL39" s="643"/>
      <c r="RXM39" s="643"/>
      <c r="RXN39" s="643"/>
      <c r="RXO39" s="643"/>
      <c r="RXP39" s="643"/>
      <c r="RXQ39" s="643"/>
      <c r="RXR39" s="643"/>
      <c r="RXS39" s="643"/>
      <c r="RXT39" s="643"/>
      <c r="RXU39" s="643"/>
      <c r="RXV39" s="643"/>
      <c r="RXW39" s="643"/>
      <c r="RXX39" s="643"/>
      <c r="RXY39" s="643"/>
      <c r="RXZ39" s="643"/>
      <c r="RYA39" s="643"/>
      <c r="RYB39" s="643"/>
      <c r="RYC39" s="643"/>
      <c r="RYD39" s="643"/>
      <c r="RYE39" s="643"/>
      <c r="RYF39" s="643"/>
      <c r="RYG39" s="643"/>
      <c r="RYH39" s="643"/>
      <c r="RYI39" s="643"/>
      <c r="RYJ39" s="643"/>
      <c r="RYK39" s="643"/>
      <c r="RYL39" s="643"/>
      <c r="RYM39" s="643"/>
      <c r="RYN39" s="643"/>
      <c r="RYO39" s="643"/>
      <c r="RYP39" s="643"/>
      <c r="RYQ39" s="643"/>
      <c r="RYR39" s="643"/>
      <c r="RYS39" s="643"/>
      <c r="RYT39" s="643"/>
      <c r="RYU39" s="643"/>
      <c r="RYV39" s="643"/>
      <c r="RYW39" s="643"/>
      <c r="RYX39" s="643"/>
      <c r="RYY39" s="643"/>
      <c r="RYZ39" s="643"/>
      <c r="RZA39" s="643"/>
      <c r="RZB39" s="643"/>
      <c r="RZC39" s="643"/>
      <c r="RZD39" s="643"/>
      <c r="RZE39" s="643"/>
      <c r="RZF39" s="643"/>
      <c r="RZG39" s="643"/>
      <c r="RZH39" s="643"/>
      <c r="RZI39" s="643"/>
      <c r="RZJ39" s="643"/>
      <c r="RZK39" s="643"/>
      <c r="RZL39" s="643"/>
      <c r="RZM39" s="643"/>
      <c r="RZN39" s="643"/>
      <c r="RZO39" s="643"/>
      <c r="RZP39" s="643"/>
      <c r="RZQ39" s="643"/>
      <c r="RZR39" s="643"/>
      <c r="RZS39" s="643"/>
      <c r="RZT39" s="643"/>
      <c r="RZU39" s="643"/>
      <c r="RZV39" s="643"/>
      <c r="RZW39" s="643"/>
      <c r="RZX39" s="643"/>
      <c r="RZY39" s="643"/>
      <c r="RZZ39" s="643"/>
      <c r="SAA39" s="643"/>
      <c r="SAB39" s="643"/>
      <c r="SAC39" s="643"/>
      <c r="SAD39" s="643"/>
      <c r="SAE39" s="643"/>
      <c r="SAF39" s="643"/>
      <c r="SAG39" s="643"/>
      <c r="SAH39" s="643"/>
      <c r="SAI39" s="643"/>
      <c r="SAJ39" s="643"/>
      <c r="SAK39" s="643"/>
      <c r="SAL39" s="643"/>
      <c r="SAM39" s="643"/>
      <c r="SAN39" s="643"/>
      <c r="SAO39" s="643"/>
      <c r="SAP39" s="643"/>
      <c r="SAQ39" s="643"/>
      <c r="SAR39" s="643"/>
      <c r="SAS39" s="643"/>
      <c r="SAT39" s="643"/>
      <c r="SAU39" s="643"/>
      <c r="SAV39" s="643"/>
      <c r="SAW39" s="643"/>
      <c r="SAX39" s="643"/>
      <c r="SAY39" s="643"/>
      <c r="SAZ39" s="643"/>
      <c r="SBA39" s="643"/>
      <c r="SBB39" s="643"/>
      <c r="SBC39" s="643"/>
      <c r="SBD39" s="643"/>
      <c r="SBE39" s="643"/>
      <c r="SBF39" s="643"/>
      <c r="SBG39" s="643"/>
      <c r="SBH39" s="643"/>
      <c r="SBI39" s="643"/>
      <c r="SBJ39" s="643"/>
      <c r="SBK39" s="643"/>
      <c r="SBL39" s="643"/>
      <c r="SBM39" s="643"/>
      <c r="SBN39" s="643"/>
      <c r="SBO39" s="643"/>
      <c r="SBP39" s="643"/>
      <c r="SBQ39" s="643"/>
      <c r="SBR39" s="643"/>
      <c r="SBS39" s="643"/>
      <c r="SBT39" s="643"/>
      <c r="SBU39" s="643"/>
      <c r="SBV39" s="643"/>
      <c r="SBW39" s="643"/>
      <c r="SBX39" s="643"/>
      <c r="SBY39" s="643"/>
      <c r="SBZ39" s="643"/>
      <c r="SCA39" s="643"/>
      <c r="SCB39" s="643"/>
      <c r="SCC39" s="643"/>
      <c r="SCD39" s="643"/>
      <c r="SCE39" s="643"/>
      <c r="SCF39" s="643"/>
      <c r="SCG39" s="643"/>
      <c r="SCH39" s="643"/>
      <c r="SCI39" s="643"/>
      <c r="SCJ39" s="643"/>
      <c r="SCK39" s="643"/>
      <c r="SCL39" s="643"/>
      <c r="SCM39" s="643"/>
      <c r="SCN39" s="643"/>
      <c r="SCO39" s="643"/>
      <c r="SCP39" s="643"/>
      <c r="SCQ39" s="643"/>
      <c r="SCR39" s="643"/>
      <c r="SCS39" s="643"/>
      <c r="SCT39" s="643"/>
      <c r="SCU39" s="643"/>
      <c r="SCV39" s="643"/>
      <c r="SCW39" s="643"/>
      <c r="SCX39" s="643"/>
      <c r="SCY39" s="643"/>
      <c r="SCZ39" s="643"/>
      <c r="SDA39" s="643"/>
      <c r="SDB39" s="643"/>
      <c r="SDC39" s="643"/>
      <c r="SDD39" s="643"/>
      <c r="SDE39" s="643"/>
      <c r="SDF39" s="643"/>
      <c r="SDG39" s="643"/>
      <c r="SDH39" s="643"/>
      <c r="SDI39" s="643"/>
      <c r="SDJ39" s="643"/>
      <c r="SDK39" s="643"/>
      <c r="SDL39" s="643"/>
      <c r="SDM39" s="643"/>
      <c r="SDN39" s="643"/>
      <c r="SDO39" s="643"/>
      <c r="SDP39" s="643"/>
      <c r="SDQ39" s="643"/>
      <c r="SDR39" s="643"/>
      <c r="SDS39" s="643"/>
      <c r="SDT39" s="643"/>
      <c r="SDU39" s="643"/>
      <c r="SDV39" s="643"/>
      <c r="SDW39" s="643"/>
      <c r="SDX39" s="643"/>
      <c r="SDY39" s="643"/>
      <c r="SDZ39" s="643"/>
      <c r="SEA39" s="643"/>
      <c r="SEB39" s="643"/>
      <c r="SEC39" s="643"/>
      <c r="SED39" s="643"/>
      <c r="SEE39" s="643"/>
      <c r="SEF39" s="643"/>
      <c r="SEG39" s="643"/>
      <c r="SEH39" s="643"/>
      <c r="SEI39" s="643"/>
      <c r="SEJ39" s="643"/>
      <c r="SEK39" s="643"/>
      <c r="SEL39" s="643"/>
      <c r="SEM39" s="643"/>
      <c r="SEN39" s="643"/>
      <c r="SEO39" s="643"/>
      <c r="SEP39" s="643"/>
      <c r="SEQ39" s="643"/>
      <c r="SER39" s="643"/>
      <c r="SES39" s="643"/>
      <c r="SET39" s="643"/>
      <c r="SEU39" s="643"/>
      <c r="SEV39" s="643"/>
      <c r="SEW39" s="643"/>
      <c r="SEX39" s="643"/>
      <c r="SEY39" s="643"/>
      <c r="SEZ39" s="643"/>
      <c r="SFA39" s="643"/>
      <c r="SFB39" s="643"/>
      <c r="SFC39" s="643"/>
      <c r="SFD39" s="643"/>
      <c r="SFE39" s="643"/>
      <c r="SFF39" s="643"/>
      <c r="SFG39" s="643"/>
      <c r="SFH39" s="643"/>
      <c r="SFI39" s="643"/>
      <c r="SFJ39" s="643"/>
      <c r="SFK39" s="643"/>
      <c r="SFL39" s="643"/>
      <c r="SFM39" s="643"/>
      <c r="SFN39" s="643"/>
      <c r="SFO39" s="643"/>
      <c r="SFP39" s="643"/>
      <c r="SFQ39" s="643"/>
      <c r="SFR39" s="643"/>
      <c r="SFS39" s="643"/>
      <c r="SFT39" s="643"/>
      <c r="SFU39" s="643"/>
      <c r="SFV39" s="643"/>
      <c r="SFW39" s="643"/>
      <c r="SFX39" s="643"/>
      <c r="SFY39" s="643"/>
      <c r="SFZ39" s="643"/>
      <c r="SGA39" s="643"/>
      <c r="SGB39" s="643"/>
      <c r="SGC39" s="643"/>
      <c r="SGD39" s="643"/>
      <c r="SGE39" s="643"/>
      <c r="SGF39" s="643"/>
      <c r="SGG39" s="643"/>
      <c r="SGH39" s="643"/>
      <c r="SGI39" s="643"/>
      <c r="SGJ39" s="643"/>
      <c r="SGK39" s="643"/>
      <c r="SGL39" s="643"/>
      <c r="SGM39" s="643"/>
      <c r="SGN39" s="643"/>
      <c r="SGO39" s="643"/>
      <c r="SGP39" s="643"/>
      <c r="SGQ39" s="643"/>
      <c r="SGR39" s="643"/>
      <c r="SGS39" s="643"/>
      <c r="SGT39" s="643"/>
      <c r="SGU39" s="643"/>
      <c r="SGV39" s="643"/>
      <c r="SGW39" s="643"/>
      <c r="SGX39" s="643"/>
      <c r="SGY39" s="643"/>
      <c r="SGZ39" s="643"/>
      <c r="SHA39" s="643"/>
      <c r="SHB39" s="643"/>
      <c r="SHC39" s="643"/>
      <c r="SHD39" s="643"/>
      <c r="SHE39" s="643"/>
      <c r="SHF39" s="643"/>
      <c r="SHG39" s="643"/>
      <c r="SHH39" s="643"/>
      <c r="SHI39" s="643"/>
      <c r="SHJ39" s="643"/>
      <c r="SHK39" s="643"/>
      <c r="SHL39" s="643"/>
      <c r="SHM39" s="643"/>
      <c r="SHN39" s="643"/>
      <c r="SHO39" s="643"/>
      <c r="SHP39" s="643"/>
      <c r="SHQ39" s="643"/>
      <c r="SHR39" s="643"/>
      <c r="SHS39" s="643"/>
      <c r="SHT39" s="643"/>
      <c r="SHU39" s="643"/>
      <c r="SHV39" s="643"/>
      <c r="SHW39" s="643"/>
      <c r="SHX39" s="643"/>
      <c r="SHY39" s="643"/>
      <c r="SHZ39" s="643"/>
      <c r="SIA39" s="643"/>
      <c r="SIB39" s="643"/>
      <c r="SIC39" s="643"/>
      <c r="SID39" s="643"/>
      <c r="SIE39" s="643"/>
      <c r="SIF39" s="643"/>
      <c r="SIG39" s="643"/>
      <c r="SIH39" s="643"/>
      <c r="SII39" s="643"/>
      <c r="SIJ39" s="643"/>
      <c r="SIK39" s="643"/>
      <c r="SIL39" s="643"/>
      <c r="SIM39" s="643"/>
      <c r="SIN39" s="643"/>
      <c r="SIO39" s="643"/>
      <c r="SIP39" s="643"/>
      <c r="SIQ39" s="643"/>
      <c r="SIR39" s="643"/>
      <c r="SIS39" s="643"/>
      <c r="SIT39" s="643"/>
      <c r="SIU39" s="643"/>
      <c r="SIV39" s="643"/>
      <c r="SIW39" s="643"/>
      <c r="SIX39" s="643"/>
      <c r="SIY39" s="643"/>
      <c r="SIZ39" s="643"/>
      <c r="SJA39" s="643"/>
      <c r="SJB39" s="643"/>
      <c r="SJC39" s="643"/>
      <c r="SJD39" s="643"/>
      <c r="SJE39" s="643"/>
      <c r="SJF39" s="643"/>
      <c r="SJG39" s="643"/>
      <c r="SJH39" s="643"/>
      <c r="SJI39" s="643"/>
      <c r="SJJ39" s="643"/>
      <c r="SJK39" s="643"/>
      <c r="SJL39" s="643"/>
      <c r="SJM39" s="643"/>
      <c r="SJN39" s="643"/>
      <c r="SJO39" s="643"/>
      <c r="SJP39" s="643"/>
      <c r="SJQ39" s="643"/>
      <c r="SJR39" s="643"/>
      <c r="SJS39" s="643"/>
      <c r="SJT39" s="643"/>
      <c r="SJU39" s="643"/>
      <c r="SJV39" s="643"/>
      <c r="SJW39" s="643"/>
      <c r="SJX39" s="643"/>
      <c r="SJY39" s="643"/>
      <c r="SJZ39" s="643"/>
      <c r="SKA39" s="643"/>
      <c r="SKB39" s="643"/>
      <c r="SKC39" s="643"/>
      <c r="SKD39" s="643"/>
      <c r="SKE39" s="643"/>
      <c r="SKF39" s="643"/>
      <c r="SKG39" s="643"/>
      <c r="SKH39" s="643"/>
      <c r="SKI39" s="643"/>
      <c r="SKJ39" s="643"/>
      <c r="SKK39" s="643"/>
      <c r="SKL39" s="643"/>
      <c r="SKM39" s="643"/>
      <c r="SKN39" s="643"/>
      <c r="SKO39" s="643"/>
      <c r="SKP39" s="643"/>
      <c r="SKQ39" s="643"/>
      <c r="SKR39" s="643"/>
      <c r="SKS39" s="643"/>
      <c r="SKT39" s="643"/>
      <c r="SKU39" s="643"/>
      <c r="SKV39" s="643"/>
      <c r="SKW39" s="643"/>
      <c r="SKX39" s="643"/>
      <c r="SKY39" s="643"/>
      <c r="SKZ39" s="643"/>
      <c r="SLA39" s="643"/>
      <c r="SLB39" s="643"/>
      <c r="SLC39" s="643"/>
      <c r="SLD39" s="643"/>
      <c r="SLE39" s="643"/>
      <c r="SLF39" s="643"/>
      <c r="SLG39" s="643"/>
      <c r="SLH39" s="643"/>
      <c r="SLI39" s="643"/>
      <c r="SLJ39" s="643"/>
      <c r="SLK39" s="643"/>
      <c r="SLL39" s="643"/>
      <c r="SLM39" s="643"/>
      <c r="SLN39" s="643"/>
      <c r="SLO39" s="643"/>
      <c r="SLP39" s="643"/>
      <c r="SLQ39" s="643"/>
      <c r="SLR39" s="643"/>
      <c r="SLS39" s="643"/>
      <c r="SLT39" s="643"/>
      <c r="SLU39" s="643"/>
      <c r="SLV39" s="643"/>
      <c r="SLW39" s="643"/>
      <c r="SLX39" s="643"/>
      <c r="SLY39" s="643"/>
      <c r="SLZ39" s="643"/>
      <c r="SMA39" s="643"/>
      <c r="SMB39" s="643"/>
      <c r="SMC39" s="643"/>
      <c r="SMD39" s="643"/>
      <c r="SME39" s="643"/>
      <c r="SMF39" s="643"/>
      <c r="SMG39" s="643"/>
      <c r="SMH39" s="643"/>
      <c r="SMI39" s="643"/>
      <c r="SMJ39" s="643"/>
      <c r="SMK39" s="643"/>
      <c r="SML39" s="643"/>
      <c r="SMM39" s="643"/>
      <c r="SMN39" s="643"/>
      <c r="SMO39" s="643"/>
      <c r="SMP39" s="643"/>
      <c r="SMQ39" s="643"/>
      <c r="SMR39" s="643"/>
      <c r="SMS39" s="643"/>
      <c r="SMT39" s="643"/>
      <c r="SMU39" s="643"/>
      <c r="SMV39" s="643"/>
      <c r="SMW39" s="643"/>
      <c r="SMX39" s="643"/>
      <c r="SMY39" s="643"/>
      <c r="SMZ39" s="643"/>
      <c r="SNA39" s="643"/>
      <c r="SNB39" s="643"/>
      <c r="SNC39" s="643"/>
      <c r="SND39" s="643"/>
      <c r="SNE39" s="643"/>
      <c r="SNF39" s="643"/>
      <c r="SNG39" s="643"/>
      <c r="SNH39" s="643"/>
      <c r="SNI39" s="643"/>
      <c r="SNJ39" s="643"/>
      <c r="SNK39" s="643"/>
      <c r="SNL39" s="643"/>
      <c r="SNM39" s="643"/>
      <c r="SNN39" s="643"/>
      <c r="SNO39" s="643"/>
      <c r="SNP39" s="643"/>
      <c r="SNQ39" s="643"/>
      <c r="SNR39" s="643"/>
      <c r="SNS39" s="643"/>
      <c r="SNT39" s="643"/>
      <c r="SNU39" s="643"/>
      <c r="SNV39" s="643"/>
      <c r="SNW39" s="643"/>
      <c r="SNX39" s="643"/>
      <c r="SNY39" s="643"/>
      <c r="SNZ39" s="643"/>
      <c r="SOA39" s="643"/>
      <c r="SOB39" s="643"/>
      <c r="SOC39" s="643"/>
      <c r="SOD39" s="643"/>
      <c r="SOE39" s="643"/>
      <c r="SOF39" s="643"/>
      <c r="SOG39" s="643"/>
      <c r="SOH39" s="643"/>
      <c r="SOI39" s="643"/>
      <c r="SOJ39" s="643"/>
      <c r="SOK39" s="643"/>
      <c r="SOL39" s="643"/>
      <c r="SOM39" s="643"/>
      <c r="SON39" s="643"/>
      <c r="SOO39" s="643"/>
      <c r="SOP39" s="643"/>
      <c r="SOQ39" s="643"/>
      <c r="SOR39" s="643"/>
      <c r="SOS39" s="643"/>
      <c r="SOT39" s="643"/>
      <c r="SOU39" s="643"/>
      <c r="SOV39" s="643"/>
      <c r="SOW39" s="643"/>
      <c r="SOX39" s="643"/>
      <c r="SOY39" s="643"/>
      <c r="SOZ39" s="643"/>
      <c r="SPA39" s="643"/>
      <c r="SPB39" s="643"/>
      <c r="SPC39" s="643"/>
      <c r="SPD39" s="643"/>
      <c r="SPE39" s="643"/>
      <c r="SPF39" s="643"/>
      <c r="SPG39" s="643"/>
      <c r="SPH39" s="643"/>
      <c r="SPI39" s="643"/>
      <c r="SPJ39" s="643"/>
      <c r="SPK39" s="643"/>
      <c r="SPL39" s="643"/>
      <c r="SPM39" s="643"/>
      <c r="SPN39" s="643"/>
      <c r="SPO39" s="643"/>
      <c r="SPP39" s="643"/>
      <c r="SPQ39" s="643"/>
      <c r="SPR39" s="643"/>
      <c r="SPS39" s="643"/>
      <c r="SPT39" s="643"/>
      <c r="SPU39" s="643"/>
      <c r="SPV39" s="643"/>
      <c r="SPW39" s="643"/>
      <c r="SPX39" s="643"/>
      <c r="SPY39" s="643"/>
      <c r="SPZ39" s="643"/>
      <c r="SQA39" s="643"/>
      <c r="SQB39" s="643"/>
      <c r="SQC39" s="643"/>
      <c r="SQD39" s="643"/>
      <c r="SQE39" s="643"/>
      <c r="SQF39" s="643"/>
      <c r="SQG39" s="643"/>
      <c r="SQH39" s="643"/>
      <c r="SQI39" s="643"/>
      <c r="SQJ39" s="643"/>
      <c r="SQK39" s="643"/>
      <c r="SQL39" s="643"/>
      <c r="SQM39" s="643"/>
      <c r="SQN39" s="643"/>
      <c r="SQO39" s="643"/>
      <c r="SQP39" s="643"/>
      <c r="SQQ39" s="643"/>
      <c r="SQR39" s="643"/>
      <c r="SQS39" s="643"/>
      <c r="SQT39" s="643"/>
      <c r="SQU39" s="643"/>
      <c r="SQV39" s="643"/>
      <c r="SQW39" s="643"/>
      <c r="SQX39" s="643"/>
      <c r="SQY39" s="643"/>
      <c r="SQZ39" s="643"/>
      <c r="SRA39" s="643"/>
      <c r="SRB39" s="643"/>
      <c r="SRC39" s="643"/>
      <c r="SRD39" s="643"/>
      <c r="SRE39" s="643"/>
      <c r="SRF39" s="643"/>
      <c r="SRG39" s="643"/>
      <c r="SRH39" s="643"/>
      <c r="SRI39" s="643"/>
      <c r="SRJ39" s="643"/>
      <c r="SRK39" s="643"/>
      <c r="SRL39" s="643"/>
      <c r="SRM39" s="643"/>
      <c r="SRN39" s="643"/>
      <c r="SRO39" s="643"/>
      <c r="SRP39" s="643"/>
      <c r="SRQ39" s="643"/>
      <c r="SRR39" s="643"/>
      <c r="SRS39" s="643"/>
      <c r="SRT39" s="643"/>
      <c r="SRU39" s="643"/>
      <c r="SRV39" s="643"/>
      <c r="SRW39" s="643"/>
      <c r="SRX39" s="643"/>
      <c r="SRY39" s="643"/>
      <c r="SRZ39" s="643"/>
      <c r="SSA39" s="643"/>
      <c r="SSB39" s="643"/>
      <c r="SSC39" s="643"/>
      <c r="SSD39" s="643"/>
      <c r="SSE39" s="643"/>
      <c r="SSF39" s="643"/>
      <c r="SSG39" s="643"/>
      <c r="SSH39" s="643"/>
      <c r="SSI39" s="643"/>
      <c r="SSJ39" s="643"/>
      <c r="SSK39" s="643"/>
      <c r="SSL39" s="643"/>
      <c r="SSM39" s="643"/>
      <c r="SSN39" s="643"/>
      <c r="SSO39" s="643"/>
      <c r="SSP39" s="643"/>
      <c r="SSQ39" s="643"/>
      <c r="SSR39" s="643"/>
      <c r="SSS39" s="643"/>
      <c r="SST39" s="643"/>
      <c r="SSU39" s="643"/>
      <c r="SSV39" s="643"/>
      <c r="SSW39" s="643"/>
      <c r="SSX39" s="643"/>
      <c r="SSY39" s="643"/>
      <c r="SSZ39" s="643"/>
      <c r="STA39" s="643"/>
      <c r="STB39" s="643"/>
      <c r="STC39" s="643"/>
      <c r="STD39" s="643"/>
      <c r="STE39" s="643"/>
      <c r="STF39" s="643"/>
      <c r="STG39" s="643"/>
      <c r="STH39" s="643"/>
      <c r="STI39" s="643"/>
      <c r="STJ39" s="643"/>
      <c r="STK39" s="643"/>
      <c r="STL39" s="643"/>
      <c r="STM39" s="643"/>
      <c r="STN39" s="643"/>
      <c r="STO39" s="643"/>
      <c r="STP39" s="643"/>
      <c r="STQ39" s="643"/>
      <c r="STR39" s="643"/>
      <c r="STS39" s="643"/>
      <c r="STT39" s="643"/>
      <c r="STU39" s="643"/>
      <c r="STV39" s="643"/>
      <c r="STW39" s="643"/>
      <c r="STX39" s="643"/>
      <c r="STY39" s="643"/>
      <c r="STZ39" s="643"/>
      <c r="SUA39" s="643"/>
      <c r="SUB39" s="643"/>
      <c r="SUC39" s="643"/>
      <c r="SUD39" s="643"/>
      <c r="SUE39" s="643"/>
      <c r="SUF39" s="643"/>
      <c r="SUG39" s="643"/>
      <c r="SUH39" s="643"/>
      <c r="SUI39" s="643"/>
      <c r="SUJ39" s="643"/>
      <c r="SUK39" s="643"/>
      <c r="SUL39" s="643"/>
      <c r="SUM39" s="643"/>
      <c r="SUN39" s="643"/>
      <c r="SUO39" s="643"/>
      <c r="SUP39" s="643"/>
      <c r="SUQ39" s="643"/>
      <c r="SUR39" s="643"/>
      <c r="SUS39" s="643"/>
      <c r="SUT39" s="643"/>
      <c r="SUU39" s="643"/>
      <c r="SUV39" s="643"/>
      <c r="SUW39" s="643"/>
      <c r="SUX39" s="643"/>
      <c r="SUY39" s="643"/>
      <c r="SUZ39" s="643"/>
      <c r="SVA39" s="643"/>
      <c r="SVB39" s="643"/>
      <c r="SVC39" s="643"/>
      <c r="SVD39" s="643"/>
      <c r="SVE39" s="643"/>
      <c r="SVF39" s="643"/>
      <c r="SVG39" s="643"/>
      <c r="SVH39" s="643"/>
      <c r="SVI39" s="643"/>
      <c r="SVJ39" s="643"/>
      <c r="SVK39" s="643"/>
      <c r="SVL39" s="643"/>
      <c r="SVM39" s="643"/>
      <c r="SVN39" s="643"/>
      <c r="SVO39" s="643"/>
      <c r="SVP39" s="643"/>
      <c r="SVQ39" s="643"/>
      <c r="SVR39" s="643"/>
      <c r="SVS39" s="643"/>
      <c r="SVT39" s="643"/>
      <c r="SVU39" s="643"/>
      <c r="SVV39" s="643"/>
      <c r="SVW39" s="643"/>
      <c r="SVX39" s="643"/>
      <c r="SVY39" s="643"/>
      <c r="SVZ39" s="643"/>
      <c r="SWA39" s="643"/>
      <c r="SWB39" s="643"/>
      <c r="SWC39" s="643"/>
      <c r="SWD39" s="643"/>
      <c r="SWE39" s="643"/>
      <c r="SWF39" s="643"/>
      <c r="SWG39" s="643"/>
      <c r="SWH39" s="643"/>
      <c r="SWI39" s="643"/>
      <c r="SWJ39" s="643"/>
      <c r="SWK39" s="643"/>
      <c r="SWL39" s="643"/>
      <c r="SWM39" s="643"/>
      <c r="SWN39" s="643"/>
      <c r="SWO39" s="643"/>
      <c r="SWP39" s="643"/>
      <c r="SWQ39" s="643"/>
      <c r="SWR39" s="643"/>
      <c r="SWS39" s="643"/>
      <c r="SWT39" s="643"/>
      <c r="SWU39" s="643"/>
      <c r="SWV39" s="643"/>
      <c r="SWW39" s="643"/>
      <c r="SWX39" s="643"/>
      <c r="SWY39" s="643"/>
      <c r="SWZ39" s="643"/>
      <c r="SXA39" s="643"/>
      <c r="SXB39" s="643"/>
      <c r="SXC39" s="643"/>
      <c r="SXD39" s="643"/>
      <c r="SXE39" s="643"/>
      <c r="SXF39" s="643"/>
      <c r="SXG39" s="643"/>
      <c r="SXH39" s="643"/>
      <c r="SXI39" s="643"/>
      <c r="SXJ39" s="643"/>
      <c r="SXK39" s="643"/>
      <c r="SXL39" s="643"/>
      <c r="SXM39" s="643"/>
      <c r="SXN39" s="643"/>
      <c r="SXO39" s="643"/>
      <c r="SXP39" s="643"/>
      <c r="SXQ39" s="643"/>
      <c r="SXR39" s="643"/>
      <c r="SXS39" s="643"/>
      <c r="SXT39" s="643"/>
      <c r="SXU39" s="643"/>
      <c r="SXV39" s="643"/>
      <c r="SXW39" s="643"/>
      <c r="SXX39" s="643"/>
      <c r="SXY39" s="643"/>
      <c r="SXZ39" s="643"/>
      <c r="SYA39" s="643"/>
      <c r="SYB39" s="643"/>
      <c r="SYC39" s="643"/>
      <c r="SYD39" s="643"/>
      <c r="SYE39" s="643"/>
      <c r="SYF39" s="643"/>
      <c r="SYG39" s="643"/>
      <c r="SYH39" s="643"/>
      <c r="SYI39" s="643"/>
      <c r="SYJ39" s="643"/>
      <c r="SYK39" s="643"/>
      <c r="SYL39" s="643"/>
      <c r="SYM39" s="643"/>
      <c r="SYN39" s="643"/>
      <c r="SYO39" s="643"/>
      <c r="SYP39" s="643"/>
      <c r="SYQ39" s="643"/>
      <c r="SYR39" s="643"/>
      <c r="SYS39" s="643"/>
      <c r="SYT39" s="643"/>
      <c r="SYU39" s="643"/>
      <c r="SYV39" s="643"/>
      <c r="SYW39" s="643"/>
      <c r="SYX39" s="643"/>
      <c r="SYY39" s="643"/>
      <c r="SYZ39" s="643"/>
      <c r="SZA39" s="643"/>
      <c r="SZB39" s="643"/>
      <c r="SZC39" s="643"/>
      <c r="SZD39" s="643"/>
      <c r="SZE39" s="643"/>
      <c r="SZF39" s="643"/>
      <c r="SZG39" s="643"/>
      <c r="SZH39" s="643"/>
      <c r="SZI39" s="643"/>
      <c r="SZJ39" s="643"/>
      <c r="SZK39" s="643"/>
      <c r="SZL39" s="643"/>
      <c r="SZM39" s="643"/>
      <c r="SZN39" s="643"/>
      <c r="SZO39" s="643"/>
      <c r="SZP39" s="643"/>
      <c r="SZQ39" s="643"/>
      <c r="SZR39" s="643"/>
      <c r="SZS39" s="643"/>
      <c r="SZT39" s="643"/>
      <c r="SZU39" s="643"/>
      <c r="SZV39" s="643"/>
      <c r="SZW39" s="643"/>
      <c r="SZX39" s="643"/>
      <c r="SZY39" s="643"/>
      <c r="SZZ39" s="643"/>
      <c r="TAA39" s="643"/>
      <c r="TAB39" s="643"/>
      <c r="TAC39" s="643"/>
      <c r="TAD39" s="643"/>
      <c r="TAE39" s="643"/>
      <c r="TAF39" s="643"/>
      <c r="TAG39" s="643"/>
      <c r="TAH39" s="643"/>
      <c r="TAI39" s="643"/>
      <c r="TAJ39" s="643"/>
      <c r="TAK39" s="643"/>
      <c r="TAL39" s="643"/>
      <c r="TAM39" s="643"/>
      <c r="TAN39" s="643"/>
      <c r="TAO39" s="643"/>
      <c r="TAP39" s="643"/>
      <c r="TAQ39" s="643"/>
      <c r="TAR39" s="643"/>
      <c r="TAS39" s="643"/>
      <c r="TAT39" s="643"/>
      <c r="TAU39" s="643"/>
      <c r="TAV39" s="643"/>
      <c r="TAW39" s="643"/>
      <c r="TAX39" s="643"/>
      <c r="TAY39" s="643"/>
      <c r="TAZ39" s="643"/>
      <c r="TBA39" s="643"/>
      <c r="TBB39" s="643"/>
      <c r="TBC39" s="643"/>
      <c r="TBD39" s="643"/>
      <c r="TBE39" s="643"/>
      <c r="TBF39" s="643"/>
      <c r="TBG39" s="643"/>
      <c r="TBH39" s="643"/>
      <c r="TBI39" s="643"/>
      <c r="TBJ39" s="643"/>
      <c r="TBK39" s="643"/>
      <c r="TBL39" s="643"/>
      <c r="TBM39" s="643"/>
      <c r="TBN39" s="643"/>
      <c r="TBO39" s="643"/>
      <c r="TBP39" s="643"/>
      <c r="TBQ39" s="643"/>
      <c r="TBR39" s="643"/>
      <c r="TBS39" s="643"/>
      <c r="TBT39" s="643"/>
      <c r="TBU39" s="643"/>
      <c r="TBV39" s="643"/>
      <c r="TBW39" s="643"/>
      <c r="TBX39" s="643"/>
      <c r="TBY39" s="643"/>
      <c r="TBZ39" s="643"/>
      <c r="TCA39" s="643"/>
      <c r="TCB39" s="643"/>
      <c r="TCC39" s="643"/>
      <c r="TCD39" s="643"/>
      <c r="TCE39" s="643"/>
      <c r="TCF39" s="643"/>
      <c r="TCG39" s="643"/>
      <c r="TCH39" s="643"/>
      <c r="TCI39" s="643"/>
      <c r="TCJ39" s="643"/>
      <c r="TCK39" s="643"/>
      <c r="TCL39" s="643"/>
      <c r="TCM39" s="643"/>
      <c r="TCN39" s="643"/>
      <c r="TCO39" s="643"/>
      <c r="TCP39" s="643"/>
      <c r="TCQ39" s="643"/>
      <c r="TCR39" s="643"/>
      <c r="TCS39" s="643"/>
      <c r="TCT39" s="643"/>
      <c r="TCU39" s="643"/>
      <c r="TCV39" s="643"/>
      <c r="TCW39" s="643"/>
      <c r="TCX39" s="643"/>
      <c r="TCY39" s="643"/>
      <c r="TCZ39" s="643"/>
      <c r="TDA39" s="643"/>
      <c r="TDB39" s="643"/>
      <c r="TDC39" s="643"/>
      <c r="TDD39" s="643"/>
      <c r="TDE39" s="643"/>
      <c r="TDF39" s="643"/>
      <c r="TDG39" s="643"/>
      <c r="TDH39" s="643"/>
      <c r="TDI39" s="643"/>
      <c r="TDJ39" s="643"/>
      <c r="TDK39" s="643"/>
      <c r="TDL39" s="643"/>
      <c r="TDM39" s="643"/>
      <c r="TDN39" s="643"/>
      <c r="TDO39" s="643"/>
      <c r="TDP39" s="643"/>
      <c r="TDQ39" s="643"/>
      <c r="TDR39" s="643"/>
      <c r="TDS39" s="643"/>
      <c r="TDT39" s="643"/>
      <c r="TDU39" s="643"/>
      <c r="TDV39" s="643"/>
      <c r="TDW39" s="643"/>
      <c r="TDX39" s="643"/>
      <c r="TDY39" s="643"/>
      <c r="TDZ39" s="643"/>
      <c r="TEA39" s="643"/>
      <c r="TEB39" s="643"/>
      <c r="TEC39" s="643"/>
      <c r="TED39" s="643"/>
      <c r="TEE39" s="643"/>
      <c r="TEF39" s="643"/>
      <c r="TEG39" s="643"/>
      <c r="TEH39" s="643"/>
      <c r="TEI39" s="643"/>
      <c r="TEJ39" s="643"/>
      <c r="TEK39" s="643"/>
      <c r="TEL39" s="643"/>
      <c r="TEM39" s="643"/>
      <c r="TEN39" s="643"/>
      <c r="TEO39" s="643"/>
      <c r="TEP39" s="643"/>
      <c r="TEQ39" s="643"/>
      <c r="TER39" s="643"/>
      <c r="TES39" s="643"/>
      <c r="TET39" s="643"/>
      <c r="TEU39" s="643"/>
      <c r="TEV39" s="643"/>
      <c r="TEW39" s="643"/>
      <c r="TEX39" s="643"/>
      <c r="TEY39" s="643"/>
      <c r="TEZ39" s="643"/>
      <c r="TFA39" s="643"/>
      <c r="TFB39" s="643"/>
      <c r="TFC39" s="643"/>
      <c r="TFD39" s="643"/>
      <c r="TFE39" s="643"/>
      <c r="TFF39" s="643"/>
      <c r="TFG39" s="643"/>
      <c r="TFH39" s="643"/>
      <c r="TFI39" s="643"/>
      <c r="TFJ39" s="643"/>
      <c r="TFK39" s="643"/>
      <c r="TFL39" s="643"/>
      <c r="TFM39" s="643"/>
      <c r="TFN39" s="643"/>
      <c r="TFO39" s="643"/>
      <c r="TFP39" s="643"/>
      <c r="TFQ39" s="643"/>
      <c r="TFR39" s="643"/>
      <c r="TFS39" s="643"/>
      <c r="TFT39" s="643"/>
      <c r="TFU39" s="643"/>
      <c r="TFV39" s="643"/>
      <c r="TFW39" s="643"/>
      <c r="TFX39" s="643"/>
      <c r="TFY39" s="643"/>
      <c r="TFZ39" s="643"/>
      <c r="TGA39" s="643"/>
      <c r="TGB39" s="643"/>
      <c r="TGC39" s="643"/>
      <c r="TGD39" s="643"/>
      <c r="TGE39" s="643"/>
      <c r="TGF39" s="643"/>
      <c r="TGG39" s="643"/>
      <c r="TGH39" s="643"/>
      <c r="TGI39" s="643"/>
      <c r="TGJ39" s="643"/>
      <c r="TGK39" s="643"/>
      <c r="TGL39" s="643"/>
      <c r="TGM39" s="643"/>
      <c r="TGN39" s="643"/>
      <c r="TGO39" s="643"/>
      <c r="TGP39" s="643"/>
      <c r="TGQ39" s="643"/>
      <c r="TGR39" s="643"/>
      <c r="TGS39" s="643"/>
      <c r="TGT39" s="643"/>
      <c r="TGU39" s="643"/>
      <c r="TGV39" s="643"/>
      <c r="TGW39" s="643"/>
      <c r="TGX39" s="643"/>
      <c r="TGY39" s="643"/>
      <c r="TGZ39" s="643"/>
      <c r="THA39" s="643"/>
      <c r="THB39" s="643"/>
      <c r="THC39" s="643"/>
      <c r="THD39" s="643"/>
      <c r="THE39" s="643"/>
      <c r="THF39" s="643"/>
      <c r="THG39" s="643"/>
      <c r="THH39" s="643"/>
      <c r="THI39" s="643"/>
      <c r="THJ39" s="643"/>
      <c r="THK39" s="643"/>
      <c r="THL39" s="643"/>
      <c r="THM39" s="643"/>
      <c r="THN39" s="643"/>
      <c r="THO39" s="643"/>
      <c r="THP39" s="643"/>
      <c r="THQ39" s="643"/>
      <c r="THR39" s="643"/>
      <c r="THS39" s="643"/>
      <c r="THT39" s="643"/>
      <c r="THU39" s="643"/>
      <c r="THV39" s="643"/>
      <c r="THW39" s="643"/>
      <c r="THX39" s="643"/>
      <c r="THY39" s="643"/>
      <c r="THZ39" s="643"/>
      <c r="TIA39" s="643"/>
      <c r="TIB39" s="643"/>
      <c r="TIC39" s="643"/>
      <c r="TID39" s="643"/>
      <c r="TIE39" s="643"/>
      <c r="TIF39" s="643"/>
      <c r="TIG39" s="643"/>
      <c r="TIH39" s="643"/>
      <c r="TII39" s="643"/>
      <c r="TIJ39" s="643"/>
      <c r="TIK39" s="643"/>
      <c r="TIL39" s="643"/>
      <c r="TIM39" s="643"/>
      <c r="TIN39" s="643"/>
      <c r="TIO39" s="643"/>
      <c r="TIP39" s="643"/>
      <c r="TIQ39" s="643"/>
      <c r="TIR39" s="643"/>
      <c r="TIS39" s="643"/>
      <c r="TIT39" s="643"/>
      <c r="TIU39" s="643"/>
      <c r="TIV39" s="643"/>
      <c r="TIW39" s="643"/>
      <c r="TIX39" s="643"/>
      <c r="TIY39" s="643"/>
      <c r="TIZ39" s="643"/>
      <c r="TJA39" s="643"/>
      <c r="TJB39" s="643"/>
      <c r="TJC39" s="643"/>
      <c r="TJD39" s="643"/>
      <c r="TJE39" s="643"/>
      <c r="TJF39" s="643"/>
      <c r="TJG39" s="643"/>
      <c r="TJH39" s="643"/>
      <c r="TJI39" s="643"/>
      <c r="TJJ39" s="643"/>
      <c r="TJK39" s="643"/>
      <c r="TJL39" s="643"/>
      <c r="TJM39" s="643"/>
      <c r="TJN39" s="643"/>
      <c r="TJO39" s="643"/>
      <c r="TJP39" s="643"/>
      <c r="TJQ39" s="643"/>
      <c r="TJR39" s="643"/>
      <c r="TJS39" s="643"/>
      <c r="TJT39" s="643"/>
      <c r="TJU39" s="643"/>
      <c r="TJV39" s="643"/>
      <c r="TJW39" s="643"/>
      <c r="TJX39" s="643"/>
      <c r="TJY39" s="643"/>
      <c r="TJZ39" s="643"/>
      <c r="TKA39" s="643"/>
      <c r="TKB39" s="643"/>
      <c r="TKC39" s="643"/>
      <c r="TKD39" s="643"/>
      <c r="TKE39" s="643"/>
      <c r="TKF39" s="643"/>
      <c r="TKG39" s="643"/>
      <c r="TKH39" s="643"/>
      <c r="TKI39" s="643"/>
      <c r="TKJ39" s="643"/>
      <c r="TKK39" s="643"/>
      <c r="TKL39" s="643"/>
      <c r="TKM39" s="643"/>
      <c r="TKN39" s="643"/>
      <c r="TKO39" s="643"/>
      <c r="TKP39" s="643"/>
      <c r="TKQ39" s="643"/>
      <c r="TKR39" s="643"/>
      <c r="TKS39" s="643"/>
      <c r="TKT39" s="643"/>
      <c r="TKU39" s="643"/>
      <c r="TKV39" s="643"/>
      <c r="TKW39" s="643"/>
      <c r="TKX39" s="643"/>
      <c r="TKY39" s="643"/>
      <c r="TKZ39" s="643"/>
      <c r="TLA39" s="643"/>
      <c r="TLB39" s="643"/>
      <c r="TLC39" s="643"/>
      <c r="TLD39" s="643"/>
      <c r="TLE39" s="643"/>
      <c r="TLF39" s="643"/>
      <c r="TLG39" s="643"/>
      <c r="TLH39" s="643"/>
      <c r="TLI39" s="643"/>
      <c r="TLJ39" s="643"/>
      <c r="TLK39" s="643"/>
      <c r="TLL39" s="643"/>
      <c r="TLM39" s="643"/>
      <c r="TLN39" s="643"/>
      <c r="TLO39" s="643"/>
      <c r="TLP39" s="643"/>
      <c r="TLQ39" s="643"/>
      <c r="TLR39" s="643"/>
      <c r="TLS39" s="643"/>
      <c r="TLT39" s="643"/>
      <c r="TLU39" s="643"/>
      <c r="TLV39" s="643"/>
      <c r="TLW39" s="643"/>
      <c r="TLX39" s="643"/>
      <c r="TLY39" s="643"/>
      <c r="TLZ39" s="643"/>
      <c r="TMA39" s="643"/>
      <c r="TMB39" s="643"/>
      <c r="TMC39" s="643"/>
      <c r="TMD39" s="643"/>
      <c r="TME39" s="643"/>
      <c r="TMF39" s="643"/>
      <c r="TMG39" s="643"/>
      <c r="TMH39" s="643"/>
      <c r="TMI39" s="643"/>
      <c r="TMJ39" s="643"/>
      <c r="TMK39" s="643"/>
      <c r="TML39" s="643"/>
      <c r="TMM39" s="643"/>
      <c r="TMN39" s="643"/>
      <c r="TMO39" s="643"/>
      <c r="TMP39" s="643"/>
      <c r="TMQ39" s="643"/>
      <c r="TMR39" s="643"/>
      <c r="TMS39" s="643"/>
      <c r="TMT39" s="643"/>
      <c r="TMU39" s="643"/>
      <c r="TMV39" s="643"/>
      <c r="TMW39" s="643"/>
      <c r="TMX39" s="643"/>
      <c r="TMY39" s="643"/>
      <c r="TMZ39" s="643"/>
      <c r="TNA39" s="643"/>
      <c r="TNB39" s="643"/>
      <c r="TNC39" s="643"/>
      <c r="TND39" s="643"/>
      <c r="TNE39" s="643"/>
      <c r="TNF39" s="643"/>
      <c r="TNG39" s="643"/>
      <c r="TNH39" s="643"/>
      <c r="TNI39" s="643"/>
      <c r="TNJ39" s="643"/>
      <c r="TNK39" s="643"/>
      <c r="TNL39" s="643"/>
      <c r="TNM39" s="643"/>
      <c r="TNN39" s="643"/>
      <c r="TNO39" s="643"/>
      <c r="TNP39" s="643"/>
      <c r="TNQ39" s="643"/>
      <c r="TNR39" s="643"/>
      <c r="TNS39" s="643"/>
      <c r="TNT39" s="643"/>
      <c r="TNU39" s="643"/>
      <c r="TNV39" s="643"/>
      <c r="TNW39" s="643"/>
      <c r="TNX39" s="643"/>
      <c r="TNY39" s="643"/>
      <c r="TNZ39" s="643"/>
      <c r="TOA39" s="643"/>
      <c r="TOB39" s="643"/>
      <c r="TOC39" s="643"/>
      <c r="TOD39" s="643"/>
      <c r="TOE39" s="643"/>
      <c r="TOF39" s="643"/>
      <c r="TOG39" s="643"/>
      <c r="TOH39" s="643"/>
      <c r="TOI39" s="643"/>
      <c r="TOJ39" s="643"/>
      <c r="TOK39" s="643"/>
      <c r="TOL39" s="643"/>
      <c r="TOM39" s="643"/>
      <c r="TON39" s="643"/>
      <c r="TOO39" s="643"/>
      <c r="TOP39" s="643"/>
      <c r="TOQ39" s="643"/>
      <c r="TOR39" s="643"/>
      <c r="TOS39" s="643"/>
      <c r="TOT39" s="643"/>
      <c r="TOU39" s="643"/>
      <c r="TOV39" s="643"/>
      <c r="TOW39" s="643"/>
      <c r="TOX39" s="643"/>
      <c r="TOY39" s="643"/>
      <c r="TOZ39" s="643"/>
      <c r="TPA39" s="643"/>
      <c r="TPB39" s="643"/>
      <c r="TPC39" s="643"/>
      <c r="TPD39" s="643"/>
      <c r="TPE39" s="643"/>
      <c r="TPF39" s="643"/>
      <c r="TPG39" s="643"/>
      <c r="TPH39" s="643"/>
      <c r="TPI39" s="643"/>
      <c r="TPJ39" s="643"/>
      <c r="TPK39" s="643"/>
      <c r="TPL39" s="643"/>
      <c r="TPM39" s="643"/>
      <c r="TPN39" s="643"/>
      <c r="TPO39" s="643"/>
      <c r="TPP39" s="643"/>
      <c r="TPQ39" s="643"/>
      <c r="TPR39" s="643"/>
      <c r="TPS39" s="643"/>
      <c r="TPT39" s="643"/>
      <c r="TPU39" s="643"/>
      <c r="TPV39" s="643"/>
      <c r="TPW39" s="643"/>
      <c r="TPX39" s="643"/>
      <c r="TPY39" s="643"/>
      <c r="TPZ39" s="643"/>
      <c r="TQA39" s="643"/>
      <c r="TQB39" s="643"/>
      <c r="TQC39" s="643"/>
      <c r="TQD39" s="643"/>
      <c r="TQE39" s="643"/>
      <c r="TQF39" s="643"/>
      <c r="TQG39" s="643"/>
      <c r="TQH39" s="643"/>
      <c r="TQI39" s="643"/>
      <c r="TQJ39" s="643"/>
      <c r="TQK39" s="643"/>
      <c r="TQL39" s="643"/>
      <c r="TQM39" s="643"/>
      <c r="TQN39" s="643"/>
      <c r="TQO39" s="643"/>
      <c r="TQP39" s="643"/>
      <c r="TQQ39" s="643"/>
      <c r="TQR39" s="643"/>
      <c r="TQS39" s="643"/>
      <c r="TQT39" s="643"/>
      <c r="TQU39" s="643"/>
      <c r="TQV39" s="643"/>
      <c r="TQW39" s="643"/>
      <c r="TQX39" s="643"/>
      <c r="TQY39" s="643"/>
      <c r="TQZ39" s="643"/>
      <c r="TRA39" s="643"/>
      <c r="TRB39" s="643"/>
      <c r="TRC39" s="643"/>
      <c r="TRD39" s="643"/>
      <c r="TRE39" s="643"/>
      <c r="TRF39" s="643"/>
      <c r="TRG39" s="643"/>
      <c r="TRH39" s="643"/>
      <c r="TRI39" s="643"/>
      <c r="TRJ39" s="643"/>
      <c r="TRK39" s="643"/>
      <c r="TRL39" s="643"/>
      <c r="TRM39" s="643"/>
      <c r="TRN39" s="643"/>
      <c r="TRO39" s="643"/>
      <c r="TRP39" s="643"/>
      <c r="TRQ39" s="643"/>
      <c r="TRR39" s="643"/>
      <c r="TRS39" s="643"/>
      <c r="TRT39" s="643"/>
      <c r="TRU39" s="643"/>
      <c r="TRV39" s="643"/>
      <c r="TRW39" s="643"/>
      <c r="TRX39" s="643"/>
      <c r="TRY39" s="643"/>
      <c r="TRZ39" s="643"/>
      <c r="TSA39" s="643"/>
      <c r="TSB39" s="643"/>
      <c r="TSC39" s="643"/>
      <c r="TSD39" s="643"/>
      <c r="TSE39" s="643"/>
      <c r="TSF39" s="643"/>
      <c r="TSG39" s="643"/>
      <c r="TSH39" s="643"/>
      <c r="TSI39" s="643"/>
      <c r="TSJ39" s="643"/>
      <c r="TSK39" s="643"/>
      <c r="TSL39" s="643"/>
      <c r="TSM39" s="643"/>
      <c r="TSN39" s="643"/>
      <c r="TSO39" s="643"/>
      <c r="TSP39" s="643"/>
      <c r="TSQ39" s="643"/>
      <c r="TSR39" s="643"/>
      <c r="TSS39" s="643"/>
      <c r="TST39" s="643"/>
      <c r="TSU39" s="643"/>
      <c r="TSV39" s="643"/>
      <c r="TSW39" s="643"/>
      <c r="TSX39" s="643"/>
      <c r="TSY39" s="643"/>
      <c r="TSZ39" s="643"/>
      <c r="TTA39" s="643"/>
      <c r="TTB39" s="643"/>
      <c r="TTC39" s="643"/>
      <c r="TTD39" s="643"/>
      <c r="TTE39" s="643"/>
      <c r="TTF39" s="643"/>
      <c r="TTG39" s="643"/>
      <c r="TTH39" s="643"/>
      <c r="TTI39" s="643"/>
      <c r="TTJ39" s="643"/>
      <c r="TTK39" s="643"/>
      <c r="TTL39" s="643"/>
      <c r="TTM39" s="643"/>
      <c r="TTN39" s="643"/>
      <c r="TTO39" s="643"/>
      <c r="TTP39" s="643"/>
      <c r="TTQ39" s="643"/>
      <c r="TTR39" s="643"/>
      <c r="TTS39" s="643"/>
      <c r="TTT39" s="643"/>
      <c r="TTU39" s="643"/>
      <c r="TTV39" s="643"/>
      <c r="TTW39" s="643"/>
      <c r="TTX39" s="643"/>
      <c r="TTY39" s="643"/>
      <c r="TTZ39" s="643"/>
      <c r="TUA39" s="643"/>
      <c r="TUB39" s="643"/>
      <c r="TUC39" s="643"/>
      <c r="TUD39" s="643"/>
      <c r="TUE39" s="643"/>
      <c r="TUF39" s="643"/>
      <c r="TUG39" s="643"/>
      <c r="TUH39" s="643"/>
      <c r="TUI39" s="643"/>
      <c r="TUJ39" s="643"/>
      <c r="TUK39" s="643"/>
      <c r="TUL39" s="643"/>
      <c r="TUM39" s="643"/>
      <c r="TUN39" s="643"/>
      <c r="TUO39" s="643"/>
      <c r="TUP39" s="643"/>
      <c r="TUQ39" s="643"/>
      <c r="TUR39" s="643"/>
      <c r="TUS39" s="643"/>
      <c r="TUT39" s="643"/>
      <c r="TUU39" s="643"/>
      <c r="TUV39" s="643"/>
      <c r="TUW39" s="643"/>
      <c r="TUX39" s="643"/>
      <c r="TUY39" s="643"/>
      <c r="TUZ39" s="643"/>
      <c r="TVA39" s="643"/>
      <c r="TVB39" s="643"/>
      <c r="TVC39" s="643"/>
      <c r="TVD39" s="643"/>
      <c r="TVE39" s="643"/>
      <c r="TVF39" s="643"/>
      <c r="TVG39" s="643"/>
      <c r="TVH39" s="643"/>
      <c r="TVI39" s="643"/>
      <c r="TVJ39" s="643"/>
      <c r="TVK39" s="643"/>
      <c r="TVL39" s="643"/>
      <c r="TVM39" s="643"/>
      <c r="TVN39" s="643"/>
      <c r="TVO39" s="643"/>
      <c r="TVP39" s="643"/>
      <c r="TVQ39" s="643"/>
      <c r="TVR39" s="643"/>
      <c r="TVS39" s="643"/>
      <c r="TVT39" s="643"/>
      <c r="TVU39" s="643"/>
      <c r="TVV39" s="643"/>
      <c r="TVW39" s="643"/>
      <c r="TVX39" s="643"/>
      <c r="TVY39" s="643"/>
      <c r="TVZ39" s="643"/>
      <c r="TWA39" s="643"/>
      <c r="TWB39" s="643"/>
      <c r="TWC39" s="643"/>
      <c r="TWD39" s="643"/>
      <c r="TWE39" s="643"/>
      <c r="TWF39" s="643"/>
      <c r="TWG39" s="643"/>
      <c r="TWH39" s="643"/>
      <c r="TWI39" s="643"/>
      <c r="TWJ39" s="643"/>
      <c r="TWK39" s="643"/>
      <c r="TWL39" s="643"/>
      <c r="TWM39" s="643"/>
      <c r="TWN39" s="643"/>
      <c r="TWO39" s="643"/>
      <c r="TWP39" s="643"/>
      <c r="TWQ39" s="643"/>
      <c r="TWR39" s="643"/>
      <c r="TWS39" s="643"/>
      <c r="TWT39" s="643"/>
      <c r="TWU39" s="643"/>
      <c r="TWV39" s="643"/>
      <c r="TWW39" s="643"/>
      <c r="TWX39" s="643"/>
      <c r="TWY39" s="643"/>
      <c r="TWZ39" s="643"/>
      <c r="TXA39" s="643"/>
      <c r="TXB39" s="643"/>
      <c r="TXC39" s="643"/>
      <c r="TXD39" s="643"/>
      <c r="TXE39" s="643"/>
      <c r="TXF39" s="643"/>
      <c r="TXG39" s="643"/>
      <c r="TXH39" s="643"/>
      <c r="TXI39" s="643"/>
      <c r="TXJ39" s="643"/>
      <c r="TXK39" s="643"/>
      <c r="TXL39" s="643"/>
      <c r="TXM39" s="643"/>
      <c r="TXN39" s="643"/>
      <c r="TXO39" s="643"/>
      <c r="TXP39" s="643"/>
      <c r="TXQ39" s="643"/>
      <c r="TXR39" s="643"/>
      <c r="TXS39" s="643"/>
      <c r="TXT39" s="643"/>
      <c r="TXU39" s="643"/>
      <c r="TXV39" s="643"/>
      <c r="TXW39" s="643"/>
      <c r="TXX39" s="643"/>
      <c r="TXY39" s="643"/>
      <c r="TXZ39" s="643"/>
      <c r="TYA39" s="643"/>
      <c r="TYB39" s="643"/>
      <c r="TYC39" s="643"/>
      <c r="TYD39" s="643"/>
      <c r="TYE39" s="643"/>
      <c r="TYF39" s="643"/>
      <c r="TYG39" s="643"/>
      <c r="TYH39" s="643"/>
      <c r="TYI39" s="643"/>
      <c r="TYJ39" s="643"/>
      <c r="TYK39" s="643"/>
      <c r="TYL39" s="643"/>
      <c r="TYM39" s="643"/>
      <c r="TYN39" s="643"/>
      <c r="TYO39" s="643"/>
      <c r="TYP39" s="643"/>
      <c r="TYQ39" s="643"/>
      <c r="TYR39" s="643"/>
      <c r="TYS39" s="643"/>
      <c r="TYT39" s="643"/>
      <c r="TYU39" s="643"/>
      <c r="TYV39" s="643"/>
      <c r="TYW39" s="643"/>
      <c r="TYX39" s="643"/>
      <c r="TYY39" s="643"/>
      <c r="TYZ39" s="643"/>
      <c r="TZA39" s="643"/>
      <c r="TZB39" s="643"/>
      <c r="TZC39" s="643"/>
      <c r="TZD39" s="643"/>
      <c r="TZE39" s="643"/>
      <c r="TZF39" s="643"/>
      <c r="TZG39" s="643"/>
      <c r="TZH39" s="643"/>
      <c r="TZI39" s="643"/>
      <c r="TZJ39" s="643"/>
      <c r="TZK39" s="643"/>
      <c r="TZL39" s="643"/>
      <c r="TZM39" s="643"/>
      <c r="TZN39" s="643"/>
      <c r="TZO39" s="643"/>
      <c r="TZP39" s="643"/>
      <c r="TZQ39" s="643"/>
      <c r="TZR39" s="643"/>
      <c r="TZS39" s="643"/>
      <c r="TZT39" s="643"/>
      <c r="TZU39" s="643"/>
      <c r="TZV39" s="643"/>
      <c r="TZW39" s="643"/>
      <c r="TZX39" s="643"/>
      <c r="TZY39" s="643"/>
      <c r="TZZ39" s="643"/>
      <c r="UAA39" s="643"/>
      <c r="UAB39" s="643"/>
      <c r="UAC39" s="643"/>
      <c r="UAD39" s="643"/>
      <c r="UAE39" s="643"/>
      <c r="UAF39" s="643"/>
      <c r="UAG39" s="643"/>
      <c r="UAH39" s="643"/>
      <c r="UAI39" s="643"/>
      <c r="UAJ39" s="643"/>
      <c r="UAK39" s="643"/>
      <c r="UAL39" s="643"/>
      <c r="UAM39" s="643"/>
      <c r="UAN39" s="643"/>
      <c r="UAO39" s="643"/>
      <c r="UAP39" s="643"/>
      <c r="UAQ39" s="643"/>
      <c r="UAR39" s="643"/>
      <c r="UAS39" s="643"/>
      <c r="UAT39" s="643"/>
      <c r="UAU39" s="643"/>
      <c r="UAV39" s="643"/>
      <c r="UAW39" s="643"/>
      <c r="UAX39" s="643"/>
      <c r="UAY39" s="643"/>
      <c r="UAZ39" s="643"/>
      <c r="UBA39" s="643"/>
      <c r="UBB39" s="643"/>
      <c r="UBC39" s="643"/>
      <c r="UBD39" s="643"/>
      <c r="UBE39" s="643"/>
      <c r="UBF39" s="643"/>
      <c r="UBG39" s="643"/>
      <c r="UBH39" s="643"/>
      <c r="UBI39" s="643"/>
      <c r="UBJ39" s="643"/>
      <c r="UBK39" s="643"/>
      <c r="UBL39" s="643"/>
      <c r="UBM39" s="643"/>
      <c r="UBN39" s="643"/>
      <c r="UBO39" s="643"/>
      <c r="UBP39" s="643"/>
      <c r="UBQ39" s="643"/>
      <c r="UBR39" s="643"/>
      <c r="UBS39" s="643"/>
      <c r="UBT39" s="643"/>
      <c r="UBU39" s="643"/>
      <c r="UBV39" s="643"/>
      <c r="UBW39" s="643"/>
      <c r="UBX39" s="643"/>
      <c r="UBY39" s="643"/>
      <c r="UBZ39" s="643"/>
      <c r="UCA39" s="643"/>
      <c r="UCB39" s="643"/>
      <c r="UCC39" s="643"/>
      <c r="UCD39" s="643"/>
      <c r="UCE39" s="643"/>
      <c r="UCF39" s="643"/>
      <c r="UCG39" s="643"/>
      <c r="UCH39" s="643"/>
      <c r="UCI39" s="643"/>
      <c r="UCJ39" s="643"/>
      <c r="UCK39" s="643"/>
      <c r="UCL39" s="643"/>
      <c r="UCM39" s="643"/>
      <c r="UCN39" s="643"/>
      <c r="UCO39" s="643"/>
      <c r="UCP39" s="643"/>
      <c r="UCQ39" s="643"/>
      <c r="UCR39" s="643"/>
      <c r="UCS39" s="643"/>
      <c r="UCT39" s="643"/>
      <c r="UCU39" s="643"/>
      <c r="UCV39" s="643"/>
      <c r="UCW39" s="643"/>
      <c r="UCX39" s="643"/>
      <c r="UCY39" s="643"/>
      <c r="UCZ39" s="643"/>
      <c r="UDA39" s="643"/>
      <c r="UDB39" s="643"/>
      <c r="UDC39" s="643"/>
      <c r="UDD39" s="643"/>
      <c r="UDE39" s="643"/>
      <c r="UDF39" s="643"/>
      <c r="UDG39" s="643"/>
      <c r="UDH39" s="643"/>
      <c r="UDI39" s="643"/>
      <c r="UDJ39" s="643"/>
      <c r="UDK39" s="643"/>
      <c r="UDL39" s="643"/>
      <c r="UDM39" s="643"/>
      <c r="UDN39" s="643"/>
      <c r="UDO39" s="643"/>
      <c r="UDP39" s="643"/>
      <c r="UDQ39" s="643"/>
      <c r="UDR39" s="643"/>
      <c r="UDS39" s="643"/>
      <c r="UDT39" s="643"/>
      <c r="UDU39" s="643"/>
      <c r="UDV39" s="643"/>
      <c r="UDW39" s="643"/>
      <c r="UDX39" s="643"/>
      <c r="UDY39" s="643"/>
      <c r="UDZ39" s="643"/>
      <c r="UEA39" s="643"/>
      <c r="UEB39" s="643"/>
      <c r="UEC39" s="643"/>
      <c r="UED39" s="643"/>
      <c r="UEE39" s="643"/>
      <c r="UEF39" s="643"/>
      <c r="UEG39" s="643"/>
      <c r="UEH39" s="643"/>
      <c r="UEI39" s="643"/>
      <c r="UEJ39" s="643"/>
      <c r="UEK39" s="643"/>
      <c r="UEL39" s="643"/>
      <c r="UEM39" s="643"/>
      <c r="UEN39" s="643"/>
      <c r="UEO39" s="643"/>
      <c r="UEP39" s="643"/>
      <c r="UEQ39" s="643"/>
      <c r="UER39" s="643"/>
      <c r="UES39" s="643"/>
      <c r="UET39" s="643"/>
      <c r="UEU39" s="643"/>
      <c r="UEV39" s="643"/>
      <c r="UEW39" s="643"/>
      <c r="UEX39" s="643"/>
      <c r="UEY39" s="643"/>
      <c r="UEZ39" s="643"/>
      <c r="UFA39" s="643"/>
      <c r="UFB39" s="643"/>
      <c r="UFC39" s="643"/>
      <c r="UFD39" s="643"/>
      <c r="UFE39" s="643"/>
      <c r="UFF39" s="643"/>
      <c r="UFG39" s="643"/>
      <c r="UFH39" s="643"/>
      <c r="UFI39" s="643"/>
      <c r="UFJ39" s="643"/>
      <c r="UFK39" s="643"/>
      <c r="UFL39" s="643"/>
      <c r="UFM39" s="643"/>
      <c r="UFN39" s="643"/>
      <c r="UFO39" s="643"/>
      <c r="UFP39" s="643"/>
      <c r="UFQ39" s="643"/>
      <c r="UFR39" s="643"/>
      <c r="UFS39" s="643"/>
      <c r="UFT39" s="643"/>
      <c r="UFU39" s="643"/>
      <c r="UFV39" s="643"/>
      <c r="UFW39" s="643"/>
      <c r="UFX39" s="643"/>
      <c r="UFY39" s="643"/>
      <c r="UFZ39" s="643"/>
      <c r="UGA39" s="643"/>
      <c r="UGB39" s="643"/>
      <c r="UGC39" s="643"/>
      <c r="UGD39" s="643"/>
      <c r="UGE39" s="643"/>
      <c r="UGF39" s="643"/>
      <c r="UGG39" s="643"/>
      <c r="UGH39" s="643"/>
      <c r="UGI39" s="643"/>
      <c r="UGJ39" s="643"/>
      <c r="UGK39" s="643"/>
      <c r="UGL39" s="643"/>
      <c r="UGM39" s="643"/>
      <c r="UGN39" s="643"/>
      <c r="UGO39" s="643"/>
      <c r="UGP39" s="643"/>
      <c r="UGQ39" s="643"/>
      <c r="UGR39" s="643"/>
      <c r="UGS39" s="643"/>
      <c r="UGT39" s="643"/>
      <c r="UGU39" s="643"/>
      <c r="UGV39" s="643"/>
      <c r="UGW39" s="643"/>
      <c r="UGX39" s="643"/>
      <c r="UGY39" s="643"/>
      <c r="UGZ39" s="643"/>
      <c r="UHA39" s="643"/>
      <c r="UHB39" s="643"/>
      <c r="UHC39" s="643"/>
      <c r="UHD39" s="643"/>
      <c r="UHE39" s="643"/>
      <c r="UHF39" s="643"/>
      <c r="UHG39" s="643"/>
      <c r="UHH39" s="643"/>
      <c r="UHI39" s="643"/>
      <c r="UHJ39" s="643"/>
      <c r="UHK39" s="643"/>
      <c r="UHL39" s="643"/>
      <c r="UHM39" s="643"/>
      <c r="UHN39" s="643"/>
      <c r="UHO39" s="643"/>
      <c r="UHP39" s="643"/>
      <c r="UHQ39" s="643"/>
      <c r="UHR39" s="643"/>
      <c r="UHS39" s="643"/>
      <c r="UHT39" s="643"/>
      <c r="UHU39" s="643"/>
      <c r="UHV39" s="643"/>
      <c r="UHW39" s="643"/>
      <c r="UHX39" s="643"/>
      <c r="UHY39" s="643"/>
      <c r="UHZ39" s="643"/>
      <c r="UIA39" s="643"/>
      <c r="UIB39" s="643"/>
      <c r="UIC39" s="643"/>
      <c r="UID39" s="643"/>
      <c r="UIE39" s="643"/>
      <c r="UIF39" s="643"/>
      <c r="UIG39" s="643"/>
      <c r="UIH39" s="643"/>
      <c r="UII39" s="643"/>
      <c r="UIJ39" s="643"/>
      <c r="UIK39" s="643"/>
      <c r="UIL39" s="643"/>
      <c r="UIM39" s="643"/>
      <c r="UIN39" s="643"/>
      <c r="UIO39" s="643"/>
      <c r="UIP39" s="643"/>
      <c r="UIQ39" s="643"/>
      <c r="UIR39" s="643"/>
      <c r="UIS39" s="643"/>
      <c r="UIT39" s="643"/>
      <c r="UIU39" s="643"/>
      <c r="UIV39" s="643"/>
      <c r="UIW39" s="643"/>
      <c r="UIX39" s="643"/>
      <c r="UIY39" s="643"/>
      <c r="UIZ39" s="643"/>
      <c r="UJA39" s="643"/>
      <c r="UJB39" s="643"/>
      <c r="UJC39" s="643"/>
      <c r="UJD39" s="643"/>
      <c r="UJE39" s="643"/>
      <c r="UJF39" s="643"/>
      <c r="UJG39" s="643"/>
      <c r="UJH39" s="643"/>
      <c r="UJI39" s="643"/>
      <c r="UJJ39" s="643"/>
      <c r="UJK39" s="643"/>
      <c r="UJL39" s="643"/>
      <c r="UJM39" s="643"/>
      <c r="UJN39" s="643"/>
      <c r="UJO39" s="643"/>
      <c r="UJP39" s="643"/>
      <c r="UJQ39" s="643"/>
      <c r="UJR39" s="643"/>
      <c r="UJS39" s="643"/>
      <c r="UJT39" s="643"/>
      <c r="UJU39" s="643"/>
      <c r="UJV39" s="643"/>
      <c r="UJW39" s="643"/>
      <c r="UJX39" s="643"/>
      <c r="UJY39" s="643"/>
      <c r="UJZ39" s="643"/>
      <c r="UKA39" s="643"/>
      <c r="UKB39" s="643"/>
      <c r="UKC39" s="643"/>
      <c r="UKD39" s="643"/>
      <c r="UKE39" s="643"/>
      <c r="UKF39" s="643"/>
      <c r="UKG39" s="643"/>
      <c r="UKH39" s="643"/>
      <c r="UKI39" s="643"/>
      <c r="UKJ39" s="643"/>
      <c r="UKK39" s="643"/>
      <c r="UKL39" s="643"/>
      <c r="UKM39" s="643"/>
      <c r="UKN39" s="643"/>
      <c r="UKO39" s="643"/>
      <c r="UKP39" s="643"/>
      <c r="UKQ39" s="643"/>
      <c r="UKR39" s="643"/>
      <c r="UKS39" s="643"/>
      <c r="UKT39" s="643"/>
      <c r="UKU39" s="643"/>
      <c r="UKV39" s="643"/>
      <c r="UKW39" s="643"/>
      <c r="UKX39" s="643"/>
      <c r="UKY39" s="643"/>
      <c r="UKZ39" s="643"/>
      <c r="ULA39" s="643"/>
      <c r="ULB39" s="643"/>
      <c r="ULC39" s="643"/>
      <c r="ULD39" s="643"/>
      <c r="ULE39" s="643"/>
      <c r="ULF39" s="643"/>
      <c r="ULG39" s="643"/>
      <c r="ULH39" s="643"/>
      <c r="ULI39" s="643"/>
      <c r="ULJ39" s="643"/>
      <c r="ULK39" s="643"/>
      <c r="ULL39" s="643"/>
      <c r="ULM39" s="643"/>
      <c r="ULN39" s="643"/>
      <c r="ULO39" s="643"/>
      <c r="ULP39" s="643"/>
      <c r="ULQ39" s="643"/>
      <c r="ULR39" s="643"/>
      <c r="ULS39" s="643"/>
      <c r="ULT39" s="643"/>
      <c r="ULU39" s="643"/>
      <c r="ULV39" s="643"/>
      <c r="ULW39" s="643"/>
      <c r="ULX39" s="643"/>
      <c r="ULY39" s="643"/>
      <c r="ULZ39" s="643"/>
      <c r="UMA39" s="643"/>
      <c r="UMB39" s="643"/>
      <c r="UMC39" s="643"/>
      <c r="UMD39" s="643"/>
      <c r="UME39" s="643"/>
      <c r="UMF39" s="643"/>
      <c r="UMG39" s="643"/>
      <c r="UMH39" s="643"/>
      <c r="UMI39" s="643"/>
      <c r="UMJ39" s="643"/>
      <c r="UMK39" s="643"/>
      <c r="UML39" s="643"/>
      <c r="UMM39" s="643"/>
      <c r="UMN39" s="643"/>
      <c r="UMO39" s="643"/>
      <c r="UMP39" s="643"/>
      <c r="UMQ39" s="643"/>
      <c r="UMR39" s="643"/>
      <c r="UMS39" s="643"/>
      <c r="UMT39" s="643"/>
      <c r="UMU39" s="643"/>
      <c r="UMV39" s="643"/>
      <c r="UMW39" s="643"/>
      <c r="UMX39" s="643"/>
      <c r="UMY39" s="643"/>
      <c r="UMZ39" s="643"/>
      <c r="UNA39" s="643"/>
      <c r="UNB39" s="643"/>
      <c r="UNC39" s="643"/>
      <c r="UND39" s="643"/>
      <c r="UNE39" s="643"/>
      <c r="UNF39" s="643"/>
      <c r="UNG39" s="643"/>
      <c r="UNH39" s="643"/>
      <c r="UNI39" s="643"/>
      <c r="UNJ39" s="643"/>
      <c r="UNK39" s="643"/>
      <c r="UNL39" s="643"/>
      <c r="UNM39" s="643"/>
      <c r="UNN39" s="643"/>
      <c r="UNO39" s="643"/>
      <c r="UNP39" s="643"/>
      <c r="UNQ39" s="643"/>
      <c r="UNR39" s="643"/>
      <c r="UNS39" s="643"/>
      <c r="UNT39" s="643"/>
      <c r="UNU39" s="643"/>
      <c r="UNV39" s="643"/>
      <c r="UNW39" s="643"/>
      <c r="UNX39" s="643"/>
      <c r="UNY39" s="643"/>
      <c r="UNZ39" s="643"/>
      <c r="UOA39" s="643"/>
      <c r="UOB39" s="643"/>
      <c r="UOC39" s="643"/>
      <c r="UOD39" s="643"/>
      <c r="UOE39" s="643"/>
      <c r="UOF39" s="643"/>
      <c r="UOG39" s="643"/>
      <c r="UOH39" s="643"/>
      <c r="UOI39" s="643"/>
      <c r="UOJ39" s="643"/>
      <c r="UOK39" s="643"/>
      <c r="UOL39" s="643"/>
      <c r="UOM39" s="643"/>
      <c r="UON39" s="643"/>
      <c r="UOO39" s="643"/>
      <c r="UOP39" s="643"/>
      <c r="UOQ39" s="643"/>
      <c r="UOR39" s="643"/>
      <c r="UOS39" s="643"/>
      <c r="UOT39" s="643"/>
      <c r="UOU39" s="643"/>
      <c r="UOV39" s="643"/>
      <c r="UOW39" s="643"/>
      <c r="UOX39" s="643"/>
      <c r="UOY39" s="643"/>
      <c r="UOZ39" s="643"/>
      <c r="UPA39" s="643"/>
      <c r="UPB39" s="643"/>
      <c r="UPC39" s="643"/>
      <c r="UPD39" s="643"/>
      <c r="UPE39" s="643"/>
      <c r="UPF39" s="643"/>
      <c r="UPG39" s="643"/>
      <c r="UPH39" s="643"/>
      <c r="UPI39" s="643"/>
      <c r="UPJ39" s="643"/>
      <c r="UPK39" s="643"/>
      <c r="UPL39" s="643"/>
      <c r="UPM39" s="643"/>
      <c r="UPN39" s="643"/>
      <c r="UPO39" s="643"/>
      <c r="UPP39" s="643"/>
      <c r="UPQ39" s="643"/>
      <c r="UPR39" s="643"/>
      <c r="UPS39" s="643"/>
      <c r="UPT39" s="643"/>
      <c r="UPU39" s="643"/>
      <c r="UPV39" s="643"/>
      <c r="UPW39" s="643"/>
      <c r="UPX39" s="643"/>
      <c r="UPY39" s="643"/>
      <c r="UPZ39" s="643"/>
      <c r="UQA39" s="643"/>
      <c r="UQB39" s="643"/>
      <c r="UQC39" s="643"/>
      <c r="UQD39" s="643"/>
      <c r="UQE39" s="643"/>
      <c r="UQF39" s="643"/>
      <c r="UQG39" s="643"/>
      <c r="UQH39" s="643"/>
      <c r="UQI39" s="643"/>
      <c r="UQJ39" s="643"/>
      <c r="UQK39" s="643"/>
      <c r="UQL39" s="643"/>
      <c r="UQM39" s="643"/>
      <c r="UQN39" s="643"/>
      <c r="UQO39" s="643"/>
      <c r="UQP39" s="643"/>
      <c r="UQQ39" s="643"/>
      <c r="UQR39" s="643"/>
      <c r="UQS39" s="643"/>
      <c r="UQT39" s="643"/>
      <c r="UQU39" s="643"/>
      <c r="UQV39" s="643"/>
      <c r="UQW39" s="643"/>
      <c r="UQX39" s="643"/>
      <c r="UQY39" s="643"/>
      <c r="UQZ39" s="643"/>
      <c r="URA39" s="643"/>
      <c r="URB39" s="643"/>
      <c r="URC39" s="643"/>
      <c r="URD39" s="643"/>
      <c r="URE39" s="643"/>
      <c r="URF39" s="643"/>
      <c r="URG39" s="643"/>
      <c r="URH39" s="643"/>
      <c r="URI39" s="643"/>
      <c r="URJ39" s="643"/>
      <c r="URK39" s="643"/>
      <c r="URL39" s="643"/>
      <c r="URM39" s="643"/>
      <c r="URN39" s="643"/>
      <c r="URO39" s="643"/>
      <c r="URP39" s="643"/>
      <c r="URQ39" s="643"/>
      <c r="URR39" s="643"/>
      <c r="URS39" s="643"/>
      <c r="URT39" s="643"/>
      <c r="URU39" s="643"/>
      <c r="URV39" s="643"/>
      <c r="URW39" s="643"/>
      <c r="URX39" s="643"/>
      <c r="URY39" s="643"/>
      <c r="URZ39" s="643"/>
      <c r="USA39" s="643"/>
      <c r="USB39" s="643"/>
      <c r="USC39" s="643"/>
      <c r="USD39" s="643"/>
      <c r="USE39" s="643"/>
      <c r="USF39" s="643"/>
      <c r="USG39" s="643"/>
      <c r="USH39" s="643"/>
      <c r="USI39" s="643"/>
      <c r="USJ39" s="643"/>
      <c r="USK39" s="643"/>
      <c r="USL39" s="643"/>
      <c r="USM39" s="643"/>
      <c r="USN39" s="643"/>
      <c r="USO39" s="643"/>
      <c r="USP39" s="643"/>
      <c r="USQ39" s="643"/>
      <c r="USR39" s="643"/>
      <c r="USS39" s="643"/>
      <c r="UST39" s="643"/>
      <c r="USU39" s="643"/>
      <c r="USV39" s="643"/>
      <c r="USW39" s="643"/>
      <c r="USX39" s="643"/>
      <c r="USY39" s="643"/>
      <c r="USZ39" s="643"/>
      <c r="UTA39" s="643"/>
      <c r="UTB39" s="643"/>
      <c r="UTC39" s="643"/>
      <c r="UTD39" s="643"/>
      <c r="UTE39" s="643"/>
      <c r="UTF39" s="643"/>
      <c r="UTG39" s="643"/>
      <c r="UTH39" s="643"/>
      <c r="UTI39" s="643"/>
      <c r="UTJ39" s="643"/>
      <c r="UTK39" s="643"/>
      <c r="UTL39" s="643"/>
      <c r="UTM39" s="643"/>
      <c r="UTN39" s="643"/>
      <c r="UTO39" s="643"/>
      <c r="UTP39" s="643"/>
      <c r="UTQ39" s="643"/>
      <c r="UTR39" s="643"/>
      <c r="UTS39" s="643"/>
      <c r="UTT39" s="643"/>
      <c r="UTU39" s="643"/>
      <c r="UTV39" s="643"/>
      <c r="UTW39" s="643"/>
      <c r="UTX39" s="643"/>
      <c r="UTY39" s="643"/>
      <c r="UTZ39" s="643"/>
      <c r="UUA39" s="643"/>
      <c r="UUB39" s="643"/>
      <c r="UUC39" s="643"/>
      <c r="UUD39" s="643"/>
      <c r="UUE39" s="643"/>
      <c r="UUF39" s="643"/>
      <c r="UUG39" s="643"/>
      <c r="UUH39" s="643"/>
      <c r="UUI39" s="643"/>
      <c r="UUJ39" s="643"/>
      <c r="UUK39" s="643"/>
      <c r="UUL39" s="643"/>
      <c r="UUM39" s="643"/>
      <c r="UUN39" s="643"/>
      <c r="UUO39" s="643"/>
      <c r="UUP39" s="643"/>
      <c r="UUQ39" s="643"/>
      <c r="UUR39" s="643"/>
      <c r="UUS39" s="643"/>
      <c r="UUT39" s="643"/>
      <c r="UUU39" s="643"/>
      <c r="UUV39" s="643"/>
      <c r="UUW39" s="643"/>
      <c r="UUX39" s="643"/>
      <c r="UUY39" s="643"/>
      <c r="UUZ39" s="643"/>
      <c r="UVA39" s="643"/>
      <c r="UVB39" s="643"/>
      <c r="UVC39" s="643"/>
      <c r="UVD39" s="643"/>
      <c r="UVE39" s="643"/>
      <c r="UVF39" s="643"/>
      <c r="UVG39" s="643"/>
      <c r="UVH39" s="643"/>
      <c r="UVI39" s="643"/>
      <c r="UVJ39" s="643"/>
      <c r="UVK39" s="643"/>
      <c r="UVL39" s="643"/>
      <c r="UVM39" s="643"/>
      <c r="UVN39" s="643"/>
      <c r="UVO39" s="643"/>
      <c r="UVP39" s="643"/>
      <c r="UVQ39" s="643"/>
      <c r="UVR39" s="643"/>
      <c r="UVS39" s="643"/>
      <c r="UVT39" s="643"/>
      <c r="UVU39" s="643"/>
      <c r="UVV39" s="643"/>
      <c r="UVW39" s="643"/>
      <c r="UVX39" s="643"/>
      <c r="UVY39" s="643"/>
      <c r="UVZ39" s="643"/>
      <c r="UWA39" s="643"/>
      <c r="UWB39" s="643"/>
      <c r="UWC39" s="643"/>
      <c r="UWD39" s="643"/>
      <c r="UWE39" s="643"/>
      <c r="UWF39" s="643"/>
      <c r="UWG39" s="643"/>
      <c r="UWH39" s="643"/>
      <c r="UWI39" s="643"/>
      <c r="UWJ39" s="643"/>
      <c r="UWK39" s="643"/>
      <c r="UWL39" s="643"/>
      <c r="UWM39" s="643"/>
      <c r="UWN39" s="643"/>
      <c r="UWO39" s="643"/>
      <c r="UWP39" s="643"/>
      <c r="UWQ39" s="643"/>
      <c r="UWR39" s="643"/>
      <c r="UWS39" s="643"/>
      <c r="UWT39" s="643"/>
      <c r="UWU39" s="643"/>
      <c r="UWV39" s="643"/>
      <c r="UWW39" s="643"/>
      <c r="UWX39" s="643"/>
      <c r="UWY39" s="643"/>
      <c r="UWZ39" s="643"/>
      <c r="UXA39" s="643"/>
      <c r="UXB39" s="643"/>
      <c r="UXC39" s="643"/>
      <c r="UXD39" s="643"/>
      <c r="UXE39" s="643"/>
      <c r="UXF39" s="643"/>
      <c r="UXG39" s="643"/>
      <c r="UXH39" s="643"/>
      <c r="UXI39" s="643"/>
      <c r="UXJ39" s="643"/>
      <c r="UXK39" s="643"/>
      <c r="UXL39" s="643"/>
      <c r="UXM39" s="643"/>
      <c r="UXN39" s="643"/>
      <c r="UXO39" s="643"/>
      <c r="UXP39" s="643"/>
      <c r="UXQ39" s="643"/>
      <c r="UXR39" s="643"/>
      <c r="UXS39" s="643"/>
      <c r="UXT39" s="643"/>
      <c r="UXU39" s="643"/>
      <c r="UXV39" s="643"/>
      <c r="UXW39" s="643"/>
      <c r="UXX39" s="643"/>
      <c r="UXY39" s="643"/>
      <c r="UXZ39" s="643"/>
      <c r="UYA39" s="643"/>
      <c r="UYB39" s="643"/>
      <c r="UYC39" s="643"/>
      <c r="UYD39" s="643"/>
      <c r="UYE39" s="643"/>
      <c r="UYF39" s="643"/>
      <c r="UYG39" s="643"/>
      <c r="UYH39" s="643"/>
      <c r="UYI39" s="643"/>
      <c r="UYJ39" s="643"/>
      <c r="UYK39" s="643"/>
      <c r="UYL39" s="643"/>
      <c r="UYM39" s="643"/>
      <c r="UYN39" s="643"/>
      <c r="UYO39" s="643"/>
      <c r="UYP39" s="643"/>
      <c r="UYQ39" s="643"/>
      <c r="UYR39" s="643"/>
      <c r="UYS39" s="643"/>
      <c r="UYT39" s="643"/>
      <c r="UYU39" s="643"/>
      <c r="UYV39" s="643"/>
      <c r="UYW39" s="643"/>
      <c r="UYX39" s="643"/>
      <c r="UYY39" s="643"/>
      <c r="UYZ39" s="643"/>
      <c r="UZA39" s="643"/>
      <c r="UZB39" s="643"/>
      <c r="UZC39" s="643"/>
      <c r="UZD39" s="643"/>
      <c r="UZE39" s="643"/>
      <c r="UZF39" s="643"/>
      <c r="UZG39" s="643"/>
      <c r="UZH39" s="643"/>
      <c r="UZI39" s="643"/>
      <c r="UZJ39" s="643"/>
      <c r="UZK39" s="643"/>
      <c r="UZL39" s="643"/>
      <c r="UZM39" s="643"/>
      <c r="UZN39" s="643"/>
      <c r="UZO39" s="643"/>
      <c r="UZP39" s="643"/>
      <c r="UZQ39" s="643"/>
      <c r="UZR39" s="643"/>
      <c r="UZS39" s="643"/>
      <c r="UZT39" s="643"/>
      <c r="UZU39" s="643"/>
      <c r="UZV39" s="643"/>
      <c r="UZW39" s="643"/>
      <c r="UZX39" s="643"/>
      <c r="UZY39" s="643"/>
      <c r="UZZ39" s="643"/>
      <c r="VAA39" s="643"/>
      <c r="VAB39" s="643"/>
      <c r="VAC39" s="643"/>
      <c r="VAD39" s="643"/>
      <c r="VAE39" s="643"/>
      <c r="VAF39" s="643"/>
      <c r="VAG39" s="643"/>
      <c r="VAH39" s="643"/>
      <c r="VAI39" s="643"/>
      <c r="VAJ39" s="643"/>
      <c r="VAK39" s="643"/>
      <c r="VAL39" s="643"/>
      <c r="VAM39" s="643"/>
      <c r="VAN39" s="643"/>
      <c r="VAO39" s="643"/>
      <c r="VAP39" s="643"/>
      <c r="VAQ39" s="643"/>
      <c r="VAR39" s="643"/>
      <c r="VAS39" s="643"/>
      <c r="VAT39" s="643"/>
      <c r="VAU39" s="643"/>
      <c r="VAV39" s="643"/>
      <c r="VAW39" s="643"/>
      <c r="VAX39" s="643"/>
      <c r="VAY39" s="643"/>
      <c r="VAZ39" s="643"/>
      <c r="VBA39" s="643"/>
      <c r="VBB39" s="643"/>
      <c r="VBC39" s="643"/>
      <c r="VBD39" s="643"/>
      <c r="VBE39" s="643"/>
      <c r="VBF39" s="643"/>
      <c r="VBG39" s="643"/>
      <c r="VBH39" s="643"/>
      <c r="VBI39" s="643"/>
      <c r="VBJ39" s="643"/>
      <c r="VBK39" s="643"/>
      <c r="VBL39" s="643"/>
      <c r="VBM39" s="643"/>
      <c r="VBN39" s="643"/>
      <c r="VBO39" s="643"/>
      <c r="VBP39" s="643"/>
      <c r="VBQ39" s="643"/>
      <c r="VBR39" s="643"/>
      <c r="VBS39" s="643"/>
      <c r="VBT39" s="643"/>
      <c r="VBU39" s="643"/>
      <c r="VBV39" s="643"/>
      <c r="VBW39" s="643"/>
      <c r="VBX39" s="643"/>
      <c r="VBY39" s="643"/>
      <c r="VBZ39" s="643"/>
      <c r="VCA39" s="643"/>
      <c r="VCB39" s="643"/>
      <c r="VCC39" s="643"/>
      <c r="VCD39" s="643"/>
      <c r="VCE39" s="643"/>
      <c r="VCF39" s="643"/>
      <c r="VCG39" s="643"/>
      <c r="VCH39" s="643"/>
      <c r="VCI39" s="643"/>
      <c r="VCJ39" s="643"/>
      <c r="VCK39" s="643"/>
      <c r="VCL39" s="643"/>
      <c r="VCM39" s="643"/>
      <c r="VCN39" s="643"/>
      <c r="VCO39" s="643"/>
      <c r="VCP39" s="643"/>
      <c r="VCQ39" s="643"/>
      <c r="VCR39" s="643"/>
      <c r="VCS39" s="643"/>
      <c r="VCT39" s="643"/>
      <c r="VCU39" s="643"/>
      <c r="VCV39" s="643"/>
      <c r="VCW39" s="643"/>
      <c r="VCX39" s="643"/>
      <c r="VCY39" s="643"/>
      <c r="VCZ39" s="643"/>
      <c r="VDA39" s="643"/>
      <c r="VDB39" s="643"/>
      <c r="VDC39" s="643"/>
      <c r="VDD39" s="643"/>
      <c r="VDE39" s="643"/>
      <c r="VDF39" s="643"/>
      <c r="VDG39" s="643"/>
      <c r="VDH39" s="643"/>
      <c r="VDI39" s="643"/>
      <c r="VDJ39" s="643"/>
      <c r="VDK39" s="643"/>
      <c r="VDL39" s="643"/>
      <c r="VDM39" s="643"/>
      <c r="VDN39" s="643"/>
      <c r="VDO39" s="643"/>
      <c r="VDP39" s="643"/>
      <c r="VDQ39" s="643"/>
      <c r="VDR39" s="643"/>
      <c r="VDS39" s="643"/>
      <c r="VDT39" s="643"/>
      <c r="VDU39" s="643"/>
      <c r="VDV39" s="643"/>
      <c r="VDW39" s="643"/>
      <c r="VDX39" s="643"/>
      <c r="VDY39" s="643"/>
      <c r="VDZ39" s="643"/>
      <c r="VEA39" s="643"/>
      <c r="VEB39" s="643"/>
      <c r="VEC39" s="643"/>
      <c r="VED39" s="643"/>
      <c r="VEE39" s="643"/>
      <c r="VEF39" s="643"/>
      <c r="VEG39" s="643"/>
      <c r="VEH39" s="643"/>
      <c r="VEI39" s="643"/>
      <c r="VEJ39" s="643"/>
      <c r="VEK39" s="643"/>
      <c r="VEL39" s="643"/>
      <c r="VEM39" s="643"/>
      <c r="VEN39" s="643"/>
      <c r="VEO39" s="643"/>
      <c r="VEP39" s="643"/>
      <c r="VEQ39" s="643"/>
      <c r="VER39" s="643"/>
      <c r="VES39" s="643"/>
      <c r="VET39" s="643"/>
      <c r="VEU39" s="643"/>
      <c r="VEV39" s="643"/>
      <c r="VEW39" s="643"/>
      <c r="VEX39" s="643"/>
      <c r="VEY39" s="643"/>
      <c r="VEZ39" s="643"/>
      <c r="VFA39" s="643"/>
      <c r="VFB39" s="643"/>
      <c r="VFC39" s="643"/>
      <c r="VFD39" s="643"/>
      <c r="VFE39" s="643"/>
      <c r="VFF39" s="643"/>
      <c r="VFG39" s="643"/>
      <c r="VFH39" s="643"/>
      <c r="VFI39" s="643"/>
      <c r="VFJ39" s="643"/>
      <c r="VFK39" s="643"/>
      <c r="VFL39" s="643"/>
      <c r="VFM39" s="643"/>
      <c r="VFN39" s="643"/>
      <c r="VFO39" s="643"/>
      <c r="VFP39" s="643"/>
      <c r="VFQ39" s="643"/>
      <c r="VFR39" s="643"/>
      <c r="VFS39" s="643"/>
      <c r="VFT39" s="643"/>
      <c r="VFU39" s="643"/>
      <c r="VFV39" s="643"/>
      <c r="VFW39" s="643"/>
      <c r="VFX39" s="643"/>
      <c r="VFY39" s="643"/>
      <c r="VFZ39" s="643"/>
      <c r="VGA39" s="643"/>
      <c r="VGB39" s="643"/>
      <c r="VGC39" s="643"/>
      <c r="VGD39" s="643"/>
      <c r="VGE39" s="643"/>
      <c r="VGF39" s="643"/>
      <c r="VGG39" s="643"/>
      <c r="VGH39" s="643"/>
      <c r="VGI39" s="643"/>
      <c r="VGJ39" s="643"/>
      <c r="VGK39" s="643"/>
      <c r="VGL39" s="643"/>
      <c r="VGM39" s="643"/>
      <c r="VGN39" s="643"/>
      <c r="VGO39" s="643"/>
      <c r="VGP39" s="643"/>
      <c r="VGQ39" s="643"/>
      <c r="VGR39" s="643"/>
      <c r="VGS39" s="643"/>
      <c r="VGT39" s="643"/>
      <c r="VGU39" s="643"/>
      <c r="VGV39" s="643"/>
      <c r="VGW39" s="643"/>
      <c r="VGX39" s="643"/>
      <c r="VGY39" s="643"/>
      <c r="VGZ39" s="643"/>
      <c r="VHA39" s="643"/>
      <c r="VHB39" s="643"/>
      <c r="VHC39" s="643"/>
      <c r="VHD39" s="643"/>
      <c r="VHE39" s="643"/>
      <c r="VHF39" s="643"/>
      <c r="VHG39" s="643"/>
      <c r="VHH39" s="643"/>
      <c r="VHI39" s="643"/>
      <c r="VHJ39" s="643"/>
      <c r="VHK39" s="643"/>
      <c r="VHL39" s="643"/>
      <c r="VHM39" s="643"/>
      <c r="VHN39" s="643"/>
      <c r="VHO39" s="643"/>
      <c r="VHP39" s="643"/>
      <c r="VHQ39" s="643"/>
      <c r="VHR39" s="643"/>
      <c r="VHS39" s="643"/>
      <c r="VHT39" s="643"/>
      <c r="VHU39" s="643"/>
      <c r="VHV39" s="643"/>
      <c r="VHW39" s="643"/>
      <c r="VHX39" s="643"/>
      <c r="VHY39" s="643"/>
      <c r="VHZ39" s="643"/>
      <c r="VIA39" s="643"/>
      <c r="VIB39" s="643"/>
      <c r="VIC39" s="643"/>
      <c r="VID39" s="643"/>
      <c r="VIE39" s="643"/>
      <c r="VIF39" s="643"/>
      <c r="VIG39" s="643"/>
      <c r="VIH39" s="643"/>
      <c r="VII39" s="643"/>
      <c r="VIJ39" s="643"/>
      <c r="VIK39" s="643"/>
      <c r="VIL39" s="643"/>
      <c r="VIM39" s="643"/>
      <c r="VIN39" s="643"/>
      <c r="VIO39" s="643"/>
      <c r="VIP39" s="643"/>
      <c r="VIQ39" s="643"/>
      <c r="VIR39" s="643"/>
      <c r="VIS39" s="643"/>
      <c r="VIT39" s="643"/>
      <c r="VIU39" s="643"/>
      <c r="VIV39" s="643"/>
      <c r="VIW39" s="643"/>
      <c r="VIX39" s="643"/>
      <c r="VIY39" s="643"/>
      <c r="VIZ39" s="643"/>
      <c r="VJA39" s="643"/>
      <c r="VJB39" s="643"/>
      <c r="VJC39" s="643"/>
      <c r="VJD39" s="643"/>
      <c r="VJE39" s="643"/>
      <c r="VJF39" s="643"/>
      <c r="VJG39" s="643"/>
      <c r="VJH39" s="643"/>
      <c r="VJI39" s="643"/>
      <c r="VJJ39" s="643"/>
      <c r="VJK39" s="643"/>
      <c r="VJL39" s="643"/>
      <c r="VJM39" s="643"/>
      <c r="VJN39" s="643"/>
      <c r="VJO39" s="643"/>
      <c r="VJP39" s="643"/>
      <c r="VJQ39" s="643"/>
      <c r="VJR39" s="643"/>
      <c r="VJS39" s="643"/>
      <c r="VJT39" s="643"/>
      <c r="VJU39" s="643"/>
      <c r="VJV39" s="643"/>
      <c r="VJW39" s="643"/>
      <c r="VJX39" s="643"/>
      <c r="VJY39" s="643"/>
      <c r="VJZ39" s="643"/>
      <c r="VKA39" s="643"/>
      <c r="VKB39" s="643"/>
      <c r="VKC39" s="643"/>
      <c r="VKD39" s="643"/>
      <c r="VKE39" s="643"/>
      <c r="VKF39" s="643"/>
      <c r="VKG39" s="643"/>
      <c r="VKH39" s="643"/>
      <c r="VKI39" s="643"/>
      <c r="VKJ39" s="643"/>
      <c r="VKK39" s="643"/>
      <c r="VKL39" s="643"/>
      <c r="VKM39" s="643"/>
      <c r="VKN39" s="643"/>
      <c r="VKO39" s="643"/>
      <c r="VKP39" s="643"/>
      <c r="VKQ39" s="643"/>
      <c r="VKR39" s="643"/>
      <c r="VKS39" s="643"/>
      <c r="VKT39" s="643"/>
      <c r="VKU39" s="643"/>
      <c r="VKV39" s="643"/>
      <c r="VKW39" s="643"/>
      <c r="VKX39" s="643"/>
      <c r="VKY39" s="643"/>
      <c r="VKZ39" s="643"/>
      <c r="VLA39" s="643"/>
      <c r="VLB39" s="643"/>
      <c r="VLC39" s="643"/>
      <c r="VLD39" s="643"/>
      <c r="VLE39" s="643"/>
      <c r="VLF39" s="643"/>
      <c r="VLG39" s="643"/>
      <c r="VLH39" s="643"/>
      <c r="VLI39" s="643"/>
      <c r="VLJ39" s="643"/>
      <c r="VLK39" s="643"/>
      <c r="VLL39" s="643"/>
      <c r="VLM39" s="643"/>
      <c r="VLN39" s="643"/>
      <c r="VLO39" s="643"/>
      <c r="VLP39" s="643"/>
      <c r="VLQ39" s="643"/>
      <c r="VLR39" s="643"/>
      <c r="VLS39" s="643"/>
      <c r="VLT39" s="643"/>
      <c r="VLU39" s="643"/>
      <c r="VLV39" s="643"/>
      <c r="VLW39" s="643"/>
      <c r="VLX39" s="643"/>
      <c r="VLY39" s="643"/>
      <c r="VLZ39" s="643"/>
      <c r="VMA39" s="643"/>
      <c r="VMB39" s="643"/>
      <c r="VMC39" s="643"/>
      <c r="VMD39" s="643"/>
      <c r="VME39" s="643"/>
      <c r="VMF39" s="643"/>
      <c r="VMG39" s="643"/>
      <c r="VMH39" s="643"/>
      <c r="VMI39" s="643"/>
      <c r="VMJ39" s="643"/>
      <c r="VMK39" s="643"/>
      <c r="VML39" s="643"/>
      <c r="VMM39" s="643"/>
      <c r="VMN39" s="643"/>
      <c r="VMO39" s="643"/>
      <c r="VMP39" s="643"/>
      <c r="VMQ39" s="643"/>
      <c r="VMR39" s="643"/>
      <c r="VMS39" s="643"/>
      <c r="VMT39" s="643"/>
      <c r="VMU39" s="643"/>
      <c r="VMV39" s="643"/>
      <c r="VMW39" s="643"/>
      <c r="VMX39" s="643"/>
      <c r="VMY39" s="643"/>
      <c r="VMZ39" s="643"/>
      <c r="VNA39" s="643"/>
      <c r="VNB39" s="643"/>
      <c r="VNC39" s="643"/>
      <c r="VND39" s="643"/>
      <c r="VNE39" s="643"/>
      <c r="VNF39" s="643"/>
      <c r="VNG39" s="643"/>
      <c r="VNH39" s="643"/>
      <c r="VNI39" s="643"/>
      <c r="VNJ39" s="643"/>
      <c r="VNK39" s="643"/>
      <c r="VNL39" s="643"/>
      <c r="VNM39" s="643"/>
      <c r="VNN39" s="643"/>
      <c r="VNO39" s="643"/>
      <c r="VNP39" s="643"/>
      <c r="VNQ39" s="643"/>
      <c r="VNR39" s="643"/>
      <c r="VNS39" s="643"/>
      <c r="VNT39" s="643"/>
      <c r="VNU39" s="643"/>
      <c r="VNV39" s="643"/>
      <c r="VNW39" s="643"/>
      <c r="VNX39" s="643"/>
      <c r="VNY39" s="643"/>
      <c r="VNZ39" s="643"/>
      <c r="VOA39" s="643"/>
      <c r="VOB39" s="643"/>
      <c r="VOC39" s="643"/>
      <c r="VOD39" s="643"/>
      <c r="VOE39" s="643"/>
      <c r="VOF39" s="643"/>
      <c r="VOG39" s="643"/>
      <c r="VOH39" s="643"/>
      <c r="VOI39" s="643"/>
      <c r="VOJ39" s="643"/>
      <c r="VOK39" s="643"/>
      <c r="VOL39" s="643"/>
      <c r="VOM39" s="643"/>
      <c r="VON39" s="643"/>
      <c r="VOO39" s="643"/>
      <c r="VOP39" s="643"/>
      <c r="VOQ39" s="643"/>
      <c r="VOR39" s="643"/>
      <c r="VOS39" s="643"/>
      <c r="VOT39" s="643"/>
      <c r="VOU39" s="643"/>
      <c r="VOV39" s="643"/>
      <c r="VOW39" s="643"/>
      <c r="VOX39" s="643"/>
      <c r="VOY39" s="643"/>
      <c r="VOZ39" s="643"/>
      <c r="VPA39" s="643"/>
      <c r="VPB39" s="643"/>
      <c r="VPC39" s="643"/>
      <c r="VPD39" s="643"/>
      <c r="VPE39" s="643"/>
      <c r="VPF39" s="643"/>
      <c r="VPG39" s="643"/>
      <c r="VPH39" s="643"/>
      <c r="VPI39" s="643"/>
      <c r="VPJ39" s="643"/>
      <c r="VPK39" s="643"/>
      <c r="VPL39" s="643"/>
      <c r="VPM39" s="643"/>
      <c r="VPN39" s="643"/>
      <c r="VPO39" s="643"/>
      <c r="VPP39" s="643"/>
      <c r="VPQ39" s="643"/>
      <c r="VPR39" s="643"/>
      <c r="VPS39" s="643"/>
      <c r="VPT39" s="643"/>
      <c r="VPU39" s="643"/>
      <c r="VPV39" s="643"/>
      <c r="VPW39" s="643"/>
      <c r="VPX39" s="643"/>
      <c r="VPY39" s="643"/>
      <c r="VPZ39" s="643"/>
      <c r="VQA39" s="643"/>
      <c r="VQB39" s="643"/>
      <c r="VQC39" s="643"/>
      <c r="VQD39" s="643"/>
      <c r="VQE39" s="643"/>
      <c r="VQF39" s="643"/>
      <c r="VQG39" s="643"/>
      <c r="VQH39" s="643"/>
      <c r="VQI39" s="643"/>
      <c r="VQJ39" s="643"/>
      <c r="VQK39" s="643"/>
      <c r="VQL39" s="643"/>
      <c r="VQM39" s="643"/>
      <c r="VQN39" s="643"/>
      <c r="VQO39" s="643"/>
      <c r="VQP39" s="643"/>
      <c r="VQQ39" s="643"/>
      <c r="VQR39" s="643"/>
      <c r="VQS39" s="643"/>
      <c r="VQT39" s="643"/>
      <c r="VQU39" s="643"/>
      <c r="VQV39" s="643"/>
      <c r="VQW39" s="643"/>
      <c r="VQX39" s="643"/>
      <c r="VQY39" s="643"/>
      <c r="VQZ39" s="643"/>
      <c r="VRA39" s="643"/>
      <c r="VRB39" s="643"/>
      <c r="VRC39" s="643"/>
      <c r="VRD39" s="643"/>
      <c r="VRE39" s="643"/>
      <c r="VRF39" s="643"/>
      <c r="VRG39" s="643"/>
      <c r="VRH39" s="643"/>
      <c r="VRI39" s="643"/>
      <c r="VRJ39" s="643"/>
      <c r="VRK39" s="643"/>
      <c r="VRL39" s="643"/>
      <c r="VRM39" s="643"/>
      <c r="VRN39" s="643"/>
      <c r="VRO39" s="643"/>
      <c r="VRP39" s="643"/>
      <c r="VRQ39" s="643"/>
      <c r="VRR39" s="643"/>
      <c r="VRS39" s="643"/>
      <c r="VRT39" s="643"/>
      <c r="VRU39" s="643"/>
      <c r="VRV39" s="643"/>
      <c r="VRW39" s="643"/>
      <c r="VRX39" s="643"/>
      <c r="VRY39" s="643"/>
      <c r="VRZ39" s="643"/>
      <c r="VSA39" s="643"/>
      <c r="VSB39" s="643"/>
      <c r="VSC39" s="643"/>
      <c r="VSD39" s="643"/>
      <c r="VSE39" s="643"/>
      <c r="VSF39" s="643"/>
      <c r="VSG39" s="643"/>
      <c r="VSH39" s="643"/>
      <c r="VSI39" s="643"/>
      <c r="VSJ39" s="643"/>
      <c r="VSK39" s="643"/>
      <c r="VSL39" s="643"/>
      <c r="VSM39" s="643"/>
      <c r="VSN39" s="643"/>
      <c r="VSO39" s="643"/>
      <c r="VSP39" s="643"/>
      <c r="VSQ39" s="643"/>
      <c r="VSR39" s="643"/>
      <c r="VSS39" s="643"/>
      <c r="VST39" s="643"/>
      <c r="VSU39" s="643"/>
      <c r="VSV39" s="643"/>
      <c r="VSW39" s="643"/>
      <c r="VSX39" s="643"/>
      <c r="VSY39" s="643"/>
      <c r="VSZ39" s="643"/>
      <c r="VTA39" s="643"/>
      <c r="VTB39" s="643"/>
      <c r="VTC39" s="643"/>
      <c r="VTD39" s="643"/>
      <c r="VTE39" s="643"/>
      <c r="VTF39" s="643"/>
      <c r="VTG39" s="643"/>
      <c r="VTH39" s="643"/>
      <c r="VTI39" s="643"/>
      <c r="VTJ39" s="643"/>
      <c r="VTK39" s="643"/>
      <c r="VTL39" s="643"/>
      <c r="VTM39" s="643"/>
      <c r="VTN39" s="643"/>
      <c r="VTO39" s="643"/>
      <c r="VTP39" s="643"/>
      <c r="VTQ39" s="643"/>
      <c r="VTR39" s="643"/>
      <c r="VTS39" s="643"/>
      <c r="VTT39" s="643"/>
      <c r="VTU39" s="643"/>
      <c r="VTV39" s="643"/>
      <c r="VTW39" s="643"/>
      <c r="VTX39" s="643"/>
      <c r="VTY39" s="643"/>
      <c r="VTZ39" s="643"/>
      <c r="VUA39" s="643"/>
      <c r="VUB39" s="643"/>
      <c r="VUC39" s="643"/>
      <c r="VUD39" s="643"/>
      <c r="VUE39" s="643"/>
      <c r="VUF39" s="643"/>
      <c r="VUG39" s="643"/>
      <c r="VUH39" s="643"/>
      <c r="VUI39" s="643"/>
      <c r="VUJ39" s="643"/>
      <c r="VUK39" s="643"/>
      <c r="VUL39" s="643"/>
      <c r="VUM39" s="643"/>
      <c r="VUN39" s="643"/>
      <c r="VUO39" s="643"/>
      <c r="VUP39" s="643"/>
      <c r="VUQ39" s="643"/>
      <c r="VUR39" s="643"/>
      <c r="VUS39" s="643"/>
      <c r="VUT39" s="643"/>
      <c r="VUU39" s="643"/>
      <c r="VUV39" s="643"/>
      <c r="VUW39" s="643"/>
      <c r="VUX39" s="643"/>
      <c r="VUY39" s="643"/>
      <c r="VUZ39" s="643"/>
      <c r="VVA39" s="643"/>
      <c r="VVB39" s="643"/>
      <c r="VVC39" s="643"/>
      <c r="VVD39" s="643"/>
      <c r="VVE39" s="643"/>
      <c r="VVF39" s="643"/>
      <c r="VVG39" s="643"/>
      <c r="VVH39" s="643"/>
      <c r="VVI39" s="643"/>
      <c r="VVJ39" s="643"/>
      <c r="VVK39" s="643"/>
      <c r="VVL39" s="643"/>
      <c r="VVM39" s="643"/>
      <c r="VVN39" s="643"/>
      <c r="VVO39" s="643"/>
      <c r="VVP39" s="643"/>
      <c r="VVQ39" s="643"/>
      <c r="VVR39" s="643"/>
      <c r="VVS39" s="643"/>
      <c r="VVT39" s="643"/>
      <c r="VVU39" s="643"/>
      <c r="VVV39" s="643"/>
      <c r="VVW39" s="643"/>
      <c r="VVX39" s="643"/>
      <c r="VVY39" s="643"/>
      <c r="VVZ39" s="643"/>
      <c r="VWA39" s="643"/>
      <c r="VWB39" s="643"/>
      <c r="VWC39" s="643"/>
      <c r="VWD39" s="643"/>
      <c r="VWE39" s="643"/>
      <c r="VWF39" s="643"/>
      <c r="VWG39" s="643"/>
      <c r="VWH39" s="643"/>
      <c r="VWI39" s="643"/>
      <c r="VWJ39" s="643"/>
      <c r="VWK39" s="643"/>
      <c r="VWL39" s="643"/>
      <c r="VWM39" s="643"/>
      <c r="VWN39" s="643"/>
      <c r="VWO39" s="643"/>
      <c r="VWP39" s="643"/>
      <c r="VWQ39" s="643"/>
      <c r="VWR39" s="643"/>
      <c r="VWS39" s="643"/>
      <c r="VWT39" s="643"/>
      <c r="VWU39" s="643"/>
      <c r="VWV39" s="643"/>
      <c r="VWW39" s="643"/>
      <c r="VWX39" s="643"/>
      <c r="VWY39" s="643"/>
      <c r="VWZ39" s="643"/>
      <c r="VXA39" s="643"/>
      <c r="VXB39" s="643"/>
      <c r="VXC39" s="643"/>
      <c r="VXD39" s="643"/>
      <c r="VXE39" s="643"/>
      <c r="VXF39" s="643"/>
      <c r="VXG39" s="643"/>
      <c r="VXH39" s="643"/>
      <c r="VXI39" s="643"/>
      <c r="VXJ39" s="643"/>
      <c r="VXK39" s="643"/>
      <c r="VXL39" s="643"/>
      <c r="VXM39" s="643"/>
      <c r="VXN39" s="643"/>
      <c r="VXO39" s="643"/>
      <c r="VXP39" s="643"/>
      <c r="VXQ39" s="643"/>
      <c r="VXR39" s="643"/>
      <c r="VXS39" s="643"/>
      <c r="VXT39" s="643"/>
      <c r="VXU39" s="643"/>
      <c r="VXV39" s="643"/>
      <c r="VXW39" s="643"/>
      <c r="VXX39" s="643"/>
      <c r="VXY39" s="643"/>
      <c r="VXZ39" s="643"/>
      <c r="VYA39" s="643"/>
      <c r="VYB39" s="643"/>
      <c r="VYC39" s="643"/>
      <c r="VYD39" s="643"/>
      <c r="VYE39" s="643"/>
      <c r="VYF39" s="643"/>
      <c r="VYG39" s="643"/>
      <c r="VYH39" s="643"/>
      <c r="VYI39" s="643"/>
      <c r="VYJ39" s="643"/>
      <c r="VYK39" s="643"/>
      <c r="VYL39" s="643"/>
      <c r="VYM39" s="643"/>
      <c r="VYN39" s="643"/>
      <c r="VYO39" s="643"/>
      <c r="VYP39" s="643"/>
      <c r="VYQ39" s="643"/>
      <c r="VYR39" s="643"/>
      <c r="VYS39" s="643"/>
      <c r="VYT39" s="643"/>
      <c r="VYU39" s="643"/>
      <c r="VYV39" s="643"/>
      <c r="VYW39" s="643"/>
      <c r="VYX39" s="643"/>
      <c r="VYY39" s="643"/>
      <c r="VYZ39" s="643"/>
      <c r="VZA39" s="643"/>
      <c r="VZB39" s="643"/>
      <c r="VZC39" s="643"/>
      <c r="VZD39" s="643"/>
      <c r="VZE39" s="643"/>
      <c r="VZF39" s="643"/>
      <c r="VZG39" s="643"/>
      <c r="VZH39" s="643"/>
      <c r="VZI39" s="643"/>
      <c r="VZJ39" s="643"/>
      <c r="VZK39" s="643"/>
      <c r="VZL39" s="643"/>
      <c r="VZM39" s="643"/>
      <c r="VZN39" s="643"/>
      <c r="VZO39" s="643"/>
      <c r="VZP39" s="643"/>
      <c r="VZQ39" s="643"/>
      <c r="VZR39" s="643"/>
      <c r="VZS39" s="643"/>
      <c r="VZT39" s="643"/>
      <c r="VZU39" s="643"/>
      <c r="VZV39" s="643"/>
      <c r="VZW39" s="643"/>
      <c r="VZX39" s="643"/>
      <c r="VZY39" s="643"/>
      <c r="VZZ39" s="643"/>
      <c r="WAA39" s="643"/>
      <c r="WAB39" s="643"/>
      <c r="WAC39" s="643"/>
      <c r="WAD39" s="643"/>
      <c r="WAE39" s="643"/>
      <c r="WAF39" s="643"/>
      <c r="WAG39" s="643"/>
      <c r="WAH39" s="643"/>
      <c r="WAI39" s="643"/>
      <c r="WAJ39" s="643"/>
      <c r="WAK39" s="643"/>
      <c r="WAL39" s="643"/>
      <c r="WAM39" s="643"/>
      <c r="WAN39" s="643"/>
      <c r="WAO39" s="643"/>
      <c r="WAP39" s="643"/>
      <c r="WAQ39" s="643"/>
      <c r="WAR39" s="643"/>
      <c r="WAS39" s="643"/>
      <c r="WAT39" s="643"/>
      <c r="WAU39" s="643"/>
      <c r="WAV39" s="643"/>
      <c r="WAW39" s="643"/>
      <c r="WAX39" s="643"/>
      <c r="WAY39" s="643"/>
      <c r="WAZ39" s="643"/>
      <c r="WBA39" s="643"/>
      <c r="WBB39" s="643"/>
      <c r="WBC39" s="643"/>
      <c r="WBD39" s="643"/>
      <c r="WBE39" s="643"/>
      <c r="WBF39" s="643"/>
      <c r="WBG39" s="643"/>
      <c r="WBH39" s="643"/>
      <c r="WBI39" s="643"/>
      <c r="WBJ39" s="643"/>
      <c r="WBK39" s="643"/>
      <c r="WBL39" s="643"/>
      <c r="WBM39" s="643"/>
      <c r="WBN39" s="643"/>
      <c r="WBO39" s="643"/>
      <c r="WBP39" s="643"/>
      <c r="WBQ39" s="643"/>
      <c r="WBR39" s="643"/>
      <c r="WBS39" s="643"/>
      <c r="WBT39" s="643"/>
      <c r="WBU39" s="643"/>
      <c r="WBV39" s="643"/>
      <c r="WBW39" s="643"/>
      <c r="WBX39" s="643"/>
      <c r="WBY39" s="643"/>
      <c r="WBZ39" s="643"/>
      <c r="WCA39" s="643"/>
      <c r="WCB39" s="643"/>
      <c r="WCC39" s="643"/>
      <c r="WCD39" s="643"/>
      <c r="WCE39" s="643"/>
      <c r="WCF39" s="643"/>
      <c r="WCG39" s="643"/>
      <c r="WCH39" s="643"/>
      <c r="WCI39" s="643"/>
      <c r="WCJ39" s="643"/>
      <c r="WCK39" s="643"/>
      <c r="WCL39" s="643"/>
      <c r="WCM39" s="643"/>
      <c r="WCN39" s="643"/>
      <c r="WCO39" s="643"/>
      <c r="WCP39" s="643"/>
      <c r="WCQ39" s="643"/>
      <c r="WCR39" s="643"/>
      <c r="WCS39" s="643"/>
      <c r="WCT39" s="643"/>
      <c r="WCU39" s="643"/>
      <c r="WCV39" s="643"/>
      <c r="WCW39" s="643"/>
      <c r="WCX39" s="643"/>
      <c r="WCY39" s="643"/>
      <c r="WCZ39" s="643"/>
      <c r="WDA39" s="643"/>
      <c r="WDB39" s="643"/>
      <c r="WDC39" s="643"/>
      <c r="WDD39" s="643"/>
      <c r="WDE39" s="643"/>
      <c r="WDF39" s="643"/>
      <c r="WDG39" s="643"/>
      <c r="WDH39" s="643"/>
      <c r="WDI39" s="643"/>
      <c r="WDJ39" s="643"/>
      <c r="WDK39" s="643"/>
      <c r="WDL39" s="643"/>
      <c r="WDM39" s="643"/>
      <c r="WDN39" s="643"/>
      <c r="WDO39" s="643"/>
      <c r="WDP39" s="643"/>
      <c r="WDQ39" s="643"/>
      <c r="WDR39" s="643"/>
      <c r="WDS39" s="643"/>
      <c r="WDT39" s="643"/>
      <c r="WDU39" s="643"/>
      <c r="WDV39" s="643"/>
      <c r="WDW39" s="643"/>
      <c r="WDX39" s="643"/>
      <c r="WDY39" s="643"/>
      <c r="WDZ39" s="643"/>
      <c r="WEA39" s="643"/>
      <c r="WEB39" s="643"/>
      <c r="WEC39" s="643"/>
      <c r="WED39" s="643"/>
      <c r="WEE39" s="643"/>
      <c r="WEF39" s="643"/>
      <c r="WEG39" s="643"/>
      <c r="WEH39" s="643"/>
      <c r="WEI39" s="643"/>
      <c r="WEJ39" s="643"/>
      <c r="WEK39" s="643"/>
      <c r="WEL39" s="643"/>
      <c r="WEM39" s="643"/>
      <c r="WEN39" s="643"/>
      <c r="WEO39" s="643"/>
      <c r="WEP39" s="643"/>
      <c r="WEQ39" s="643"/>
      <c r="WER39" s="643"/>
      <c r="WES39" s="643"/>
      <c r="WET39" s="643"/>
      <c r="WEU39" s="643"/>
      <c r="WEV39" s="643"/>
      <c r="WEW39" s="643"/>
      <c r="WEX39" s="643"/>
      <c r="WEY39" s="643"/>
      <c r="WEZ39" s="643"/>
      <c r="WFA39" s="643"/>
      <c r="WFB39" s="643"/>
      <c r="WFC39" s="643"/>
      <c r="WFD39" s="643"/>
      <c r="WFE39" s="643"/>
      <c r="WFF39" s="643"/>
      <c r="WFG39" s="643"/>
      <c r="WFH39" s="643"/>
      <c r="WFI39" s="643"/>
      <c r="WFJ39" s="643"/>
      <c r="WFK39" s="643"/>
      <c r="WFL39" s="643"/>
      <c r="WFM39" s="643"/>
      <c r="WFN39" s="643"/>
      <c r="WFO39" s="643"/>
      <c r="WFP39" s="643"/>
      <c r="WFQ39" s="643"/>
      <c r="WFR39" s="643"/>
      <c r="WFS39" s="643"/>
      <c r="WFT39" s="643"/>
      <c r="WFU39" s="643"/>
      <c r="WFV39" s="643"/>
      <c r="WFW39" s="643"/>
      <c r="WFX39" s="643"/>
      <c r="WFY39" s="643"/>
      <c r="WFZ39" s="643"/>
      <c r="WGA39" s="643"/>
      <c r="WGB39" s="643"/>
      <c r="WGC39" s="643"/>
      <c r="WGD39" s="643"/>
      <c r="WGE39" s="643"/>
      <c r="WGF39" s="643"/>
      <c r="WGG39" s="643"/>
      <c r="WGH39" s="643"/>
      <c r="WGI39" s="643"/>
      <c r="WGJ39" s="643"/>
      <c r="WGK39" s="643"/>
      <c r="WGL39" s="643"/>
      <c r="WGM39" s="643"/>
      <c r="WGN39" s="643"/>
      <c r="WGO39" s="643"/>
      <c r="WGP39" s="643"/>
      <c r="WGQ39" s="643"/>
      <c r="WGR39" s="643"/>
      <c r="WGS39" s="643"/>
      <c r="WGT39" s="643"/>
      <c r="WGU39" s="643"/>
      <c r="WGV39" s="643"/>
      <c r="WGW39" s="643"/>
      <c r="WGX39" s="643"/>
      <c r="WGY39" s="643"/>
      <c r="WGZ39" s="643"/>
      <c r="WHA39" s="643"/>
      <c r="WHB39" s="643"/>
      <c r="WHC39" s="643"/>
      <c r="WHD39" s="643"/>
      <c r="WHE39" s="643"/>
      <c r="WHF39" s="643"/>
      <c r="WHG39" s="643"/>
      <c r="WHH39" s="643"/>
      <c r="WHI39" s="643"/>
      <c r="WHJ39" s="643"/>
      <c r="WHK39" s="643"/>
      <c r="WHL39" s="643"/>
      <c r="WHM39" s="643"/>
      <c r="WHN39" s="643"/>
      <c r="WHO39" s="643"/>
      <c r="WHP39" s="643"/>
      <c r="WHQ39" s="643"/>
      <c r="WHR39" s="643"/>
      <c r="WHS39" s="643"/>
      <c r="WHT39" s="643"/>
      <c r="WHU39" s="643"/>
      <c r="WHV39" s="643"/>
      <c r="WHW39" s="643"/>
      <c r="WHX39" s="643"/>
      <c r="WHY39" s="643"/>
      <c r="WHZ39" s="643"/>
      <c r="WIA39" s="643"/>
      <c r="WIB39" s="643"/>
      <c r="WIC39" s="643"/>
      <c r="WID39" s="643"/>
      <c r="WIE39" s="643"/>
      <c r="WIF39" s="643"/>
      <c r="WIG39" s="643"/>
      <c r="WIH39" s="643"/>
      <c r="WII39" s="643"/>
      <c r="WIJ39" s="643"/>
      <c r="WIK39" s="643"/>
      <c r="WIL39" s="643"/>
      <c r="WIM39" s="643"/>
      <c r="WIN39" s="643"/>
      <c r="WIO39" s="643"/>
      <c r="WIP39" s="643"/>
      <c r="WIQ39" s="643"/>
      <c r="WIR39" s="643"/>
      <c r="WIS39" s="643"/>
      <c r="WIT39" s="643"/>
      <c r="WIU39" s="643"/>
      <c r="WIV39" s="643"/>
      <c r="WIW39" s="643"/>
      <c r="WIX39" s="643"/>
      <c r="WIY39" s="643"/>
      <c r="WIZ39" s="643"/>
      <c r="WJA39" s="643"/>
      <c r="WJB39" s="643"/>
      <c r="WJC39" s="643"/>
      <c r="WJD39" s="643"/>
      <c r="WJE39" s="643"/>
      <c r="WJF39" s="643"/>
      <c r="WJG39" s="643"/>
      <c r="WJH39" s="643"/>
      <c r="WJI39" s="643"/>
      <c r="WJJ39" s="643"/>
      <c r="WJK39" s="643"/>
      <c r="WJL39" s="643"/>
      <c r="WJM39" s="643"/>
      <c r="WJN39" s="643"/>
      <c r="WJO39" s="643"/>
      <c r="WJP39" s="643"/>
      <c r="WJQ39" s="643"/>
      <c r="WJR39" s="643"/>
      <c r="WJS39" s="643"/>
      <c r="WJT39" s="643"/>
      <c r="WJU39" s="643"/>
      <c r="WJV39" s="643"/>
      <c r="WJW39" s="643"/>
      <c r="WJX39" s="643"/>
      <c r="WJY39" s="643"/>
      <c r="WJZ39" s="643"/>
      <c r="WKA39" s="643"/>
      <c r="WKB39" s="643"/>
      <c r="WKC39" s="643"/>
      <c r="WKD39" s="643"/>
      <c r="WKE39" s="643"/>
      <c r="WKF39" s="643"/>
      <c r="WKG39" s="643"/>
      <c r="WKH39" s="643"/>
      <c r="WKI39" s="643"/>
      <c r="WKJ39" s="643"/>
      <c r="WKK39" s="643"/>
      <c r="WKL39" s="643"/>
      <c r="WKM39" s="643"/>
      <c r="WKN39" s="643"/>
      <c r="WKO39" s="643"/>
      <c r="WKP39" s="643"/>
      <c r="WKQ39" s="643"/>
      <c r="WKR39" s="643"/>
      <c r="WKS39" s="643"/>
      <c r="WKT39" s="643"/>
      <c r="WKU39" s="643"/>
      <c r="WKV39" s="643"/>
      <c r="WKW39" s="643"/>
      <c r="WKX39" s="643"/>
      <c r="WKY39" s="643"/>
      <c r="WKZ39" s="643"/>
      <c r="WLA39" s="643"/>
      <c r="WLB39" s="643"/>
      <c r="WLC39" s="643"/>
      <c r="WLD39" s="643"/>
      <c r="WLE39" s="643"/>
      <c r="WLF39" s="643"/>
      <c r="WLG39" s="643"/>
      <c r="WLH39" s="643"/>
      <c r="WLI39" s="643"/>
      <c r="WLJ39" s="643"/>
      <c r="WLK39" s="643"/>
      <c r="WLL39" s="643"/>
      <c r="WLM39" s="643"/>
      <c r="WLN39" s="643"/>
      <c r="WLO39" s="643"/>
      <c r="WLP39" s="643"/>
      <c r="WLQ39" s="643"/>
      <c r="WLR39" s="643"/>
      <c r="WLS39" s="643"/>
      <c r="WLT39" s="643"/>
      <c r="WLU39" s="643"/>
      <c r="WLV39" s="643"/>
      <c r="WLW39" s="643"/>
      <c r="WLX39" s="643"/>
      <c r="WLY39" s="643"/>
      <c r="WLZ39" s="643"/>
      <c r="WMA39" s="643"/>
      <c r="WMB39" s="643"/>
      <c r="WMC39" s="643"/>
      <c r="WMD39" s="643"/>
      <c r="WME39" s="643"/>
      <c r="WMF39" s="643"/>
      <c r="WMG39" s="643"/>
      <c r="WMH39" s="643"/>
      <c r="WMI39" s="643"/>
      <c r="WMJ39" s="643"/>
      <c r="WMK39" s="643"/>
      <c r="WML39" s="643"/>
      <c r="WMM39" s="643"/>
      <c r="WMN39" s="643"/>
      <c r="WMO39" s="643"/>
      <c r="WMP39" s="643"/>
      <c r="WMQ39" s="643"/>
      <c r="WMR39" s="643"/>
      <c r="WMS39" s="643"/>
      <c r="WMT39" s="643"/>
      <c r="WMU39" s="643"/>
      <c r="WMV39" s="643"/>
      <c r="WMW39" s="643"/>
      <c r="WMX39" s="643"/>
      <c r="WMY39" s="643"/>
      <c r="WMZ39" s="643"/>
      <c r="WNA39" s="643"/>
      <c r="WNB39" s="643"/>
      <c r="WNC39" s="643"/>
      <c r="WND39" s="643"/>
      <c r="WNE39" s="643"/>
      <c r="WNF39" s="643"/>
      <c r="WNG39" s="643"/>
      <c r="WNH39" s="643"/>
      <c r="WNI39" s="643"/>
      <c r="WNJ39" s="643"/>
      <c r="WNK39" s="643"/>
      <c r="WNL39" s="643"/>
      <c r="WNM39" s="643"/>
      <c r="WNN39" s="643"/>
      <c r="WNO39" s="643"/>
      <c r="WNP39" s="643"/>
      <c r="WNQ39" s="643"/>
      <c r="WNR39" s="643"/>
      <c r="WNS39" s="643"/>
      <c r="WNT39" s="643"/>
      <c r="WNU39" s="643"/>
      <c r="WNV39" s="643"/>
      <c r="WNW39" s="643"/>
      <c r="WNX39" s="643"/>
      <c r="WNY39" s="643"/>
      <c r="WNZ39" s="643"/>
      <c r="WOA39" s="643"/>
      <c r="WOB39" s="643"/>
      <c r="WOC39" s="643"/>
      <c r="WOD39" s="643"/>
      <c r="WOE39" s="643"/>
      <c r="WOF39" s="643"/>
      <c r="WOG39" s="643"/>
      <c r="WOH39" s="643"/>
      <c r="WOI39" s="643"/>
      <c r="WOJ39" s="643"/>
      <c r="WOK39" s="643"/>
      <c r="WOL39" s="643"/>
      <c r="WOM39" s="643"/>
      <c r="WON39" s="643"/>
      <c r="WOO39" s="643"/>
      <c r="WOP39" s="643"/>
      <c r="WOQ39" s="643"/>
      <c r="WOR39" s="643"/>
      <c r="WOS39" s="643"/>
      <c r="WOT39" s="643"/>
      <c r="WOU39" s="643"/>
      <c r="WOV39" s="643"/>
      <c r="WOW39" s="643"/>
      <c r="WOX39" s="643"/>
      <c r="WOY39" s="643"/>
      <c r="WOZ39" s="643"/>
      <c r="WPA39" s="643"/>
      <c r="WPB39" s="643"/>
      <c r="WPC39" s="643"/>
      <c r="WPD39" s="643"/>
      <c r="WPE39" s="643"/>
      <c r="WPF39" s="643"/>
      <c r="WPG39" s="643"/>
      <c r="WPH39" s="643"/>
      <c r="WPI39" s="643"/>
      <c r="WPJ39" s="643"/>
      <c r="WPK39" s="643"/>
      <c r="WPL39" s="643"/>
      <c r="WPM39" s="643"/>
      <c r="WPN39" s="643"/>
      <c r="WPO39" s="643"/>
      <c r="WPP39" s="643"/>
      <c r="WPQ39" s="643"/>
      <c r="WPR39" s="643"/>
      <c r="WPS39" s="643"/>
      <c r="WPT39" s="643"/>
      <c r="WPU39" s="643"/>
      <c r="WPV39" s="643"/>
      <c r="WPW39" s="643"/>
      <c r="WPX39" s="643"/>
      <c r="WPY39" s="643"/>
      <c r="WPZ39" s="643"/>
      <c r="WQA39" s="643"/>
      <c r="WQB39" s="643"/>
      <c r="WQC39" s="643"/>
      <c r="WQD39" s="643"/>
      <c r="WQE39" s="643"/>
      <c r="WQF39" s="643"/>
      <c r="WQG39" s="643"/>
      <c r="WQH39" s="643"/>
      <c r="WQI39" s="643"/>
      <c r="WQJ39" s="643"/>
      <c r="WQK39" s="643"/>
      <c r="WQL39" s="643"/>
      <c r="WQM39" s="643"/>
      <c r="WQN39" s="643"/>
      <c r="WQO39" s="643"/>
      <c r="WQP39" s="643"/>
      <c r="WQQ39" s="643"/>
      <c r="WQR39" s="643"/>
      <c r="WQS39" s="643"/>
      <c r="WQT39" s="643"/>
      <c r="WQU39" s="643"/>
      <c r="WQV39" s="643"/>
      <c r="WQW39" s="643"/>
      <c r="WQX39" s="643"/>
      <c r="WQY39" s="643"/>
      <c r="WQZ39" s="643"/>
      <c r="WRA39" s="643"/>
      <c r="WRB39" s="643"/>
      <c r="WRC39" s="643"/>
      <c r="WRD39" s="643"/>
      <c r="WRE39" s="643"/>
      <c r="WRF39" s="643"/>
      <c r="WRG39" s="643"/>
      <c r="WRH39" s="643"/>
      <c r="WRI39" s="643"/>
      <c r="WRJ39" s="643"/>
      <c r="WRK39" s="643"/>
      <c r="WRL39" s="643"/>
      <c r="WRM39" s="643"/>
      <c r="WRN39" s="643"/>
      <c r="WRO39" s="643"/>
      <c r="WRP39" s="643"/>
      <c r="WRQ39" s="643"/>
      <c r="WRR39" s="643"/>
      <c r="WRS39" s="643"/>
      <c r="WRT39" s="643"/>
      <c r="WRU39" s="643"/>
      <c r="WRV39" s="643"/>
      <c r="WRW39" s="643"/>
      <c r="WRX39" s="643"/>
      <c r="WRY39" s="643"/>
      <c r="WRZ39" s="643"/>
      <c r="WSA39" s="643"/>
      <c r="WSB39" s="643"/>
      <c r="WSC39" s="643"/>
      <c r="WSD39" s="643"/>
      <c r="WSE39" s="643"/>
      <c r="WSF39" s="643"/>
      <c r="WSG39" s="643"/>
      <c r="WSH39" s="643"/>
      <c r="WSI39" s="643"/>
      <c r="WSJ39" s="643"/>
      <c r="WSK39" s="643"/>
      <c r="WSL39" s="643"/>
      <c r="WSM39" s="643"/>
      <c r="WSN39" s="643"/>
      <c r="WSO39" s="643"/>
      <c r="WSP39" s="643"/>
      <c r="WSQ39" s="643"/>
      <c r="WSR39" s="643"/>
      <c r="WSS39" s="643"/>
      <c r="WST39" s="643"/>
      <c r="WSU39" s="643"/>
      <c r="WSV39" s="643"/>
      <c r="WSW39" s="643"/>
      <c r="WSX39" s="643"/>
      <c r="WSY39" s="643"/>
      <c r="WSZ39" s="643"/>
      <c r="WTA39" s="643"/>
      <c r="WTB39" s="643"/>
      <c r="WTC39" s="643"/>
      <c r="WTD39" s="643"/>
      <c r="WTE39" s="643"/>
      <c r="WTF39" s="643"/>
      <c r="WTG39" s="643"/>
      <c r="WTH39" s="643"/>
      <c r="WTI39" s="643"/>
      <c r="WTJ39" s="643"/>
      <c r="WTK39" s="643"/>
      <c r="WTL39" s="643"/>
      <c r="WTM39" s="643"/>
      <c r="WTN39" s="643"/>
      <c r="WTO39" s="643"/>
      <c r="WTP39" s="643"/>
      <c r="WTQ39" s="643"/>
      <c r="WTR39" s="643"/>
      <c r="WTS39" s="643"/>
      <c r="WTT39" s="643"/>
      <c r="WTU39" s="643"/>
      <c r="WTV39" s="643"/>
      <c r="WTW39" s="643"/>
      <c r="WTX39" s="643"/>
      <c r="WTY39" s="643"/>
      <c r="WTZ39" s="643"/>
      <c r="WUA39" s="643"/>
      <c r="WUB39" s="643"/>
      <c r="WUC39" s="643"/>
      <c r="WUD39" s="643"/>
      <c r="WUE39" s="643"/>
      <c r="WUF39" s="643"/>
      <c r="WUG39" s="643"/>
      <c r="WUH39" s="643"/>
      <c r="WUI39" s="643"/>
      <c r="WUJ39" s="643"/>
      <c r="WUK39" s="643"/>
      <c r="WUL39" s="643"/>
      <c r="WUM39" s="643"/>
      <c r="WUN39" s="643"/>
      <c r="WUO39" s="643"/>
      <c r="WUP39" s="643"/>
      <c r="WUQ39" s="643"/>
      <c r="WUR39" s="643"/>
      <c r="WUS39" s="643"/>
      <c r="WUT39" s="643"/>
      <c r="WUU39" s="643"/>
      <c r="WUV39" s="643"/>
      <c r="WUW39" s="643"/>
      <c r="WUX39" s="643"/>
      <c r="WUY39" s="643"/>
      <c r="WUZ39" s="643"/>
      <c r="WVA39" s="643"/>
      <c r="WVB39" s="643"/>
      <c r="WVC39" s="643"/>
      <c r="WVD39" s="643"/>
      <c r="WVE39" s="643"/>
      <c r="WVF39" s="643"/>
      <c r="WVG39" s="643"/>
      <c r="WVH39" s="643"/>
      <c r="WVI39" s="643"/>
      <c r="WVJ39" s="643"/>
      <c r="WVK39" s="643"/>
      <c r="WVL39" s="643"/>
      <c r="WVM39" s="643"/>
      <c r="WVN39" s="643"/>
      <c r="WVO39" s="643"/>
      <c r="WVP39" s="643"/>
      <c r="WVQ39" s="643"/>
      <c r="WVR39" s="643"/>
      <c r="WVS39" s="643"/>
      <c r="WVT39" s="643"/>
      <c r="WVU39" s="643"/>
      <c r="WVV39" s="643"/>
      <c r="WVW39" s="643"/>
      <c r="WVX39" s="643"/>
      <c r="WVY39" s="643"/>
      <c r="WVZ39" s="643"/>
      <c r="WWA39" s="643"/>
      <c r="WWB39" s="643"/>
      <c r="WWC39" s="643"/>
      <c r="WWD39" s="643"/>
      <c r="WWE39" s="643"/>
      <c r="WWF39" s="643"/>
      <c r="WWG39" s="643"/>
      <c r="WWH39" s="643"/>
      <c r="WWI39" s="643"/>
      <c r="WWJ39" s="643"/>
      <c r="WWK39" s="643"/>
      <c r="WWL39" s="643"/>
      <c r="WWM39" s="643"/>
      <c r="WWN39" s="643"/>
      <c r="WWO39" s="643"/>
      <c r="WWP39" s="643"/>
      <c r="WWQ39" s="643"/>
      <c r="WWR39" s="643"/>
      <c r="WWS39" s="643"/>
      <c r="WWT39" s="643"/>
      <c r="WWU39" s="643"/>
      <c r="WWV39" s="643"/>
      <c r="WWW39" s="643"/>
      <c r="WWX39" s="643"/>
      <c r="WWY39" s="643"/>
      <c r="WWZ39" s="643"/>
      <c r="WXA39" s="643"/>
      <c r="WXB39" s="643"/>
      <c r="WXC39" s="643"/>
      <c r="WXD39" s="643"/>
      <c r="WXE39" s="643"/>
      <c r="WXF39" s="643"/>
      <c r="WXG39" s="643"/>
      <c r="WXH39" s="643"/>
      <c r="WXI39" s="643"/>
      <c r="WXJ39" s="643"/>
      <c r="WXK39" s="643"/>
      <c r="WXL39" s="643"/>
      <c r="WXM39" s="643"/>
      <c r="WXN39" s="643"/>
      <c r="WXO39" s="643"/>
      <c r="WXP39" s="643"/>
      <c r="WXQ39" s="643"/>
      <c r="WXR39" s="643"/>
      <c r="WXS39" s="643"/>
      <c r="WXT39" s="643"/>
      <c r="WXU39" s="643"/>
      <c r="WXV39" s="643"/>
      <c r="WXW39" s="643"/>
      <c r="WXX39" s="643"/>
      <c r="WXY39" s="643"/>
      <c r="WXZ39" s="643"/>
      <c r="WYA39" s="643"/>
      <c r="WYB39" s="643"/>
      <c r="WYC39" s="643"/>
      <c r="WYD39" s="643"/>
      <c r="WYE39" s="643"/>
      <c r="WYF39" s="643"/>
      <c r="WYG39" s="643"/>
      <c r="WYH39" s="643"/>
      <c r="WYI39" s="643"/>
      <c r="WYJ39" s="643"/>
      <c r="WYK39" s="643"/>
      <c r="WYL39" s="643"/>
      <c r="WYM39" s="643"/>
      <c r="WYN39" s="643"/>
      <c r="WYO39" s="643"/>
      <c r="WYP39" s="643"/>
      <c r="WYQ39" s="643"/>
      <c r="WYR39" s="643"/>
      <c r="WYS39" s="643"/>
      <c r="WYT39" s="643"/>
      <c r="WYU39" s="643"/>
      <c r="WYV39" s="643"/>
      <c r="WYW39" s="643"/>
      <c r="WYX39" s="643"/>
      <c r="WYY39" s="643"/>
      <c r="WYZ39" s="643"/>
      <c r="WZA39" s="643"/>
      <c r="WZB39" s="643"/>
      <c r="WZC39" s="643"/>
      <c r="WZD39" s="643"/>
      <c r="WZE39" s="643"/>
      <c r="WZF39" s="643"/>
      <c r="WZG39" s="643"/>
      <c r="WZH39" s="643"/>
      <c r="WZI39" s="643"/>
      <c r="WZJ39" s="643"/>
      <c r="WZK39" s="643"/>
      <c r="WZL39" s="643"/>
      <c r="WZM39" s="643"/>
      <c r="WZN39" s="643"/>
      <c r="WZO39" s="643"/>
      <c r="WZP39" s="643"/>
      <c r="WZQ39" s="643"/>
      <c r="WZR39" s="643"/>
      <c r="WZS39" s="643"/>
      <c r="WZT39" s="643"/>
      <c r="WZU39" s="643"/>
      <c r="WZV39" s="643"/>
      <c r="WZW39" s="643"/>
      <c r="WZX39" s="643"/>
      <c r="WZY39" s="643"/>
      <c r="WZZ39" s="643"/>
      <c r="XAA39" s="643"/>
      <c r="XAB39" s="643"/>
      <c r="XAC39" s="643"/>
      <c r="XAD39" s="643"/>
      <c r="XAE39" s="643"/>
      <c r="XAF39" s="643"/>
      <c r="XAG39" s="643"/>
      <c r="XAH39" s="643"/>
      <c r="XAI39" s="643"/>
      <c r="XAJ39" s="643"/>
      <c r="XAK39" s="643"/>
      <c r="XAL39" s="643"/>
      <c r="XAM39" s="643"/>
      <c r="XAN39" s="643"/>
      <c r="XAO39" s="643"/>
      <c r="XAP39" s="643"/>
      <c r="XAQ39" s="643"/>
      <c r="XAR39" s="643"/>
      <c r="XAS39" s="643"/>
      <c r="XAT39" s="643"/>
      <c r="XAU39" s="643"/>
      <c r="XAV39" s="643"/>
      <c r="XAW39" s="643"/>
      <c r="XAX39" s="643"/>
      <c r="XAY39" s="643"/>
      <c r="XAZ39" s="643"/>
      <c r="XBA39" s="643"/>
      <c r="XBB39" s="643"/>
      <c r="XBC39" s="643"/>
      <c r="XBD39" s="643"/>
      <c r="XBE39" s="643"/>
      <c r="XBF39" s="643"/>
      <c r="XBG39" s="643"/>
      <c r="XBH39" s="643"/>
      <c r="XBI39" s="643"/>
      <c r="XBJ39" s="643"/>
      <c r="XBK39" s="643"/>
      <c r="XBL39" s="643"/>
      <c r="XBM39" s="643"/>
      <c r="XBN39" s="643"/>
      <c r="XBO39" s="643"/>
      <c r="XBP39" s="643"/>
      <c r="XBQ39" s="643"/>
      <c r="XBR39" s="643"/>
      <c r="XBS39" s="643"/>
      <c r="XBT39" s="643"/>
      <c r="XBU39" s="643"/>
      <c r="XBV39" s="643"/>
      <c r="XBW39" s="643"/>
      <c r="XBX39" s="643"/>
      <c r="XBY39" s="643"/>
      <c r="XBZ39" s="643"/>
      <c r="XCA39" s="643"/>
      <c r="XCB39" s="643"/>
      <c r="XCC39" s="643"/>
      <c r="XCD39" s="643"/>
      <c r="XCE39" s="643"/>
      <c r="XCF39" s="643"/>
      <c r="XCG39" s="643"/>
      <c r="XCH39" s="643"/>
      <c r="XCI39" s="643"/>
      <c r="XCJ39" s="643"/>
      <c r="XCK39" s="643"/>
      <c r="XCL39" s="643"/>
      <c r="XCM39" s="643"/>
      <c r="XCN39" s="643"/>
      <c r="XCO39" s="643"/>
      <c r="XCP39" s="643"/>
      <c r="XCQ39" s="643"/>
      <c r="XCR39" s="643"/>
      <c r="XCS39" s="643"/>
      <c r="XCT39" s="643"/>
      <c r="XCU39" s="643"/>
      <c r="XCV39" s="643"/>
      <c r="XCW39" s="643"/>
      <c r="XCX39" s="643"/>
      <c r="XCY39" s="643"/>
      <c r="XCZ39" s="643"/>
      <c r="XDA39" s="643"/>
      <c r="XDB39" s="643"/>
      <c r="XDC39" s="643"/>
      <c r="XDD39" s="643"/>
      <c r="XDE39" s="643"/>
      <c r="XDF39" s="643"/>
      <c r="XDG39" s="643"/>
      <c r="XDH39" s="643"/>
      <c r="XDI39" s="643"/>
      <c r="XDJ39" s="643"/>
      <c r="XDK39" s="643"/>
      <c r="XDL39" s="643"/>
      <c r="XDM39" s="643"/>
      <c r="XDN39" s="643"/>
      <c r="XDO39" s="643"/>
      <c r="XDP39" s="643"/>
      <c r="XDQ39" s="643"/>
      <c r="XDR39" s="643"/>
      <c r="XDS39" s="643"/>
      <c r="XDT39" s="643"/>
      <c r="XDU39" s="643"/>
      <c r="XDV39" s="643"/>
      <c r="XDW39" s="643"/>
      <c r="XDX39" s="643"/>
      <c r="XDY39" s="643"/>
      <c r="XDZ39" s="643"/>
      <c r="XEA39" s="643"/>
      <c r="XEB39" s="643"/>
      <c r="XEC39" s="643"/>
      <c r="XED39" s="643"/>
      <c r="XEE39" s="643"/>
      <c r="XEF39" s="643"/>
      <c r="XEG39" s="643"/>
      <c r="XEH39" s="643"/>
      <c r="XEI39" s="643"/>
      <c r="XEJ39" s="643"/>
      <c r="XEK39" s="643"/>
      <c r="XEL39" s="643"/>
      <c r="XEM39" s="643"/>
      <c r="XEN39" s="643"/>
      <c r="XEO39" s="643"/>
      <c r="XEP39" s="643"/>
      <c r="XEQ39" s="643"/>
      <c r="XER39" s="643"/>
      <c r="XES39" s="643"/>
      <c r="XET39" s="643"/>
      <c r="XEU39" s="643"/>
      <c r="XEV39" s="643"/>
      <c r="XEW39" s="643"/>
      <c r="XEX39" s="643"/>
      <c r="XEY39" s="643"/>
      <c r="XEZ39" s="643"/>
      <c r="XFA39" s="643"/>
      <c r="XFB39" s="643"/>
      <c r="XFC39" s="643"/>
      <c r="XFD39" s="643"/>
    </row>
    <row r="40" spans="1:16384">
      <c r="A40" s="643"/>
      <c r="B40" t="s">
        <v>3718</v>
      </c>
      <c r="C40" s="643"/>
      <c r="D40" s="643"/>
      <c r="E40" s="802"/>
      <c r="I40" s="643"/>
      <c r="M40" s="786" t="str">
        <f>IF(M28=0,M37,M32/'Input data'!E10)</f>
        <v>NA</v>
      </c>
      <c r="N40" s="643"/>
      <c r="O40" t="s">
        <v>3716</v>
      </c>
      <c r="Q40" s="747" t="s">
        <v>3290</v>
      </c>
      <c r="R40" s="78" t="str">
        <f>IF(M10=1,IF(M40&gt;4,"Warning: gas exit velocity is outside of model limits. Efficiency result could be erroneous. Proceed with caution. Model exit velocity limits: 0.5 to 4 m/s",IF(M40&lt;0.5,"Warning: gas exit velocity is outside of model limits. Efficiency result could be erroneous. Proceed with caution. Model exit velocity limits: 0.5 to 4 m/s",IF(M40*'Input data'!E10&gt;100,"Warning: EPA regulates flare exit velocity. If you have a low BTU flare gas, you may be near flaring exit velocity limits.",""))),"")</f>
        <v/>
      </c>
      <c r="Y40" s="643"/>
      <c r="Z40" s="643"/>
      <c r="AA40" s="643"/>
      <c r="AB40" s="643"/>
      <c r="AC40" s="643"/>
      <c r="AD40" s="643"/>
      <c r="AE40" s="643"/>
      <c r="AF40" s="643"/>
      <c r="AG40" s="643"/>
      <c r="AH40" s="643"/>
      <c r="AI40" s="643"/>
      <c r="AJ40" s="643"/>
      <c r="AK40" s="643"/>
      <c r="AL40" s="643"/>
      <c r="AM40" s="643"/>
      <c r="AN40" s="643"/>
      <c r="AO40" s="643"/>
      <c r="AP40" s="643"/>
      <c r="AQ40" s="643"/>
      <c r="AR40" s="643"/>
      <c r="AS40" s="643"/>
      <c r="AT40" s="643"/>
      <c r="AU40" s="643"/>
      <c r="AV40" s="643"/>
      <c r="AW40" s="643"/>
      <c r="AX40" s="643"/>
      <c r="AY40" s="643"/>
      <c r="AZ40" s="643"/>
      <c r="BA40" s="643"/>
      <c r="BB40" s="643"/>
      <c r="BC40" s="643"/>
      <c r="BD40" s="643"/>
      <c r="BE40" s="643"/>
      <c r="BF40" s="643"/>
      <c r="BG40" s="643"/>
      <c r="BH40" s="643"/>
      <c r="BI40" s="643"/>
      <c r="BJ40" s="643"/>
      <c r="BK40" s="643"/>
      <c r="BL40" s="643"/>
      <c r="BM40" s="643"/>
      <c r="BN40" s="643"/>
      <c r="BO40" s="643"/>
      <c r="BP40" s="643"/>
      <c r="BQ40" s="643"/>
      <c r="BR40" s="643"/>
      <c r="BS40" s="643"/>
      <c r="BT40" s="643"/>
      <c r="BU40" s="643"/>
      <c r="BV40" s="643"/>
      <c r="BW40" s="643"/>
      <c r="BX40" s="643"/>
      <c r="BY40" s="643"/>
      <c r="BZ40" s="643"/>
      <c r="CA40" s="643"/>
      <c r="CB40" s="643"/>
      <c r="CC40" s="643"/>
      <c r="CD40" s="643"/>
      <c r="CE40" s="643"/>
      <c r="CF40" s="643"/>
      <c r="CG40" s="643"/>
      <c r="CH40" s="643"/>
      <c r="CI40" s="643"/>
      <c r="CJ40" s="643"/>
      <c r="CK40" s="643"/>
      <c r="CL40" s="643"/>
      <c r="CM40" s="643"/>
      <c r="CN40" s="643"/>
      <c r="CO40" s="643"/>
      <c r="CP40" s="643"/>
      <c r="CQ40" s="643"/>
      <c r="CR40" s="643"/>
      <c r="CS40" s="643"/>
      <c r="CT40" s="643"/>
      <c r="CU40" s="643"/>
      <c r="CV40" s="643"/>
      <c r="CW40" s="643"/>
      <c r="CX40" s="643"/>
      <c r="CY40" s="643"/>
      <c r="CZ40" s="643"/>
      <c r="DA40" s="643"/>
      <c r="DB40" s="643"/>
      <c r="DC40" s="643"/>
      <c r="DD40" s="643"/>
      <c r="DE40" s="643"/>
      <c r="DF40" s="643"/>
      <c r="DG40" s="643"/>
      <c r="DH40" s="643"/>
      <c r="DI40" s="643"/>
      <c r="DJ40" s="643"/>
      <c r="DK40" s="643"/>
      <c r="DL40" s="643"/>
      <c r="DM40" s="643"/>
      <c r="DN40" s="643"/>
      <c r="DO40" s="643"/>
      <c r="DP40" s="643"/>
      <c r="DQ40" s="643"/>
      <c r="DR40" s="643"/>
      <c r="DS40" s="643"/>
      <c r="DT40" s="643"/>
      <c r="DU40" s="643"/>
      <c r="DV40" s="643"/>
      <c r="DW40" s="643"/>
      <c r="DX40" s="643"/>
      <c r="DY40" s="643"/>
      <c r="DZ40" s="643"/>
      <c r="EA40" s="643"/>
      <c r="EB40" s="643"/>
      <c r="EC40" s="643"/>
      <c r="ED40" s="643"/>
      <c r="EE40" s="643"/>
      <c r="EF40" s="643"/>
      <c r="EG40" s="643"/>
      <c r="EH40" s="643"/>
      <c r="EI40" s="643"/>
      <c r="EJ40" s="643"/>
      <c r="EK40" s="643"/>
      <c r="EL40" s="643"/>
      <c r="EM40" s="643"/>
      <c r="EN40" s="643"/>
      <c r="EO40" s="643"/>
      <c r="EP40" s="643"/>
      <c r="EQ40" s="643"/>
      <c r="ER40" s="643"/>
      <c r="ES40" s="643"/>
      <c r="ET40" s="643"/>
      <c r="EU40" s="643"/>
      <c r="EV40" s="643"/>
      <c r="EW40" s="643"/>
      <c r="EX40" s="643"/>
      <c r="EY40" s="643"/>
      <c r="EZ40" s="643"/>
      <c r="FA40" s="643"/>
      <c r="FB40" s="643"/>
      <c r="FC40" s="643"/>
      <c r="FD40" s="643"/>
      <c r="FE40" s="643"/>
      <c r="FF40" s="643"/>
      <c r="FG40" s="643"/>
      <c r="FH40" s="643"/>
      <c r="FI40" s="643"/>
      <c r="FJ40" s="643"/>
      <c r="FK40" s="643"/>
      <c r="FL40" s="643"/>
      <c r="FM40" s="643"/>
      <c r="FN40" s="643"/>
      <c r="FO40" s="643"/>
      <c r="FP40" s="643"/>
      <c r="FQ40" s="643"/>
      <c r="FR40" s="643"/>
      <c r="FS40" s="643"/>
      <c r="FT40" s="643"/>
      <c r="FU40" s="643"/>
      <c r="FV40" s="643"/>
      <c r="FW40" s="643"/>
      <c r="FX40" s="643"/>
      <c r="FY40" s="643"/>
      <c r="FZ40" s="643"/>
      <c r="GA40" s="643"/>
      <c r="GB40" s="643"/>
      <c r="GC40" s="643"/>
      <c r="GD40" s="643"/>
      <c r="GE40" s="643"/>
      <c r="GF40" s="643"/>
      <c r="GG40" s="643"/>
      <c r="GH40" s="643"/>
      <c r="GI40" s="643"/>
      <c r="GJ40" s="643"/>
      <c r="GK40" s="643"/>
      <c r="GL40" s="643"/>
      <c r="GM40" s="643"/>
      <c r="GN40" s="643"/>
      <c r="GO40" s="643"/>
      <c r="GP40" s="643"/>
      <c r="GQ40" s="643"/>
      <c r="GR40" s="643"/>
      <c r="GS40" s="643"/>
      <c r="GT40" s="643"/>
      <c r="GU40" s="643"/>
      <c r="GV40" s="643"/>
      <c r="GW40" s="643"/>
      <c r="GX40" s="643"/>
      <c r="GY40" s="643"/>
      <c r="GZ40" s="643"/>
      <c r="HA40" s="643"/>
      <c r="HB40" s="643"/>
      <c r="HC40" s="643"/>
      <c r="HD40" s="643"/>
      <c r="HE40" s="643"/>
      <c r="HF40" s="643"/>
      <c r="HG40" s="643"/>
      <c r="HH40" s="643"/>
      <c r="HI40" s="643"/>
      <c r="HJ40" s="643"/>
      <c r="HK40" s="643"/>
      <c r="HL40" s="643"/>
      <c r="HM40" s="643"/>
      <c r="HN40" s="643"/>
      <c r="HO40" s="643"/>
      <c r="HP40" s="643"/>
      <c r="HQ40" s="643"/>
      <c r="HR40" s="643"/>
      <c r="HS40" s="643"/>
      <c r="HT40" s="643"/>
      <c r="HU40" s="643"/>
      <c r="HV40" s="643"/>
      <c r="HW40" s="643"/>
      <c r="HX40" s="643"/>
      <c r="HY40" s="643"/>
      <c r="HZ40" s="643"/>
      <c r="IA40" s="643"/>
      <c r="IB40" s="643"/>
      <c r="IC40" s="643"/>
      <c r="ID40" s="643"/>
      <c r="IE40" s="643"/>
      <c r="IF40" s="643"/>
      <c r="IG40" s="643"/>
      <c r="IH40" s="643"/>
      <c r="II40" s="643"/>
      <c r="IJ40" s="643"/>
      <c r="IK40" s="643"/>
      <c r="IL40" s="643"/>
      <c r="IM40" s="643"/>
      <c r="IN40" s="643"/>
      <c r="IO40" s="643"/>
      <c r="IP40" s="643"/>
      <c r="IQ40" s="643"/>
      <c r="IR40" s="643"/>
      <c r="IS40" s="643"/>
      <c r="IT40" s="643"/>
      <c r="IU40" s="643"/>
      <c r="IV40" s="643"/>
      <c r="IW40" s="643"/>
      <c r="IX40" s="643"/>
      <c r="IY40" s="643"/>
      <c r="IZ40" s="643"/>
      <c r="JA40" s="643"/>
      <c r="JB40" s="643"/>
      <c r="JC40" s="643"/>
      <c r="JD40" s="643"/>
      <c r="JE40" s="643"/>
      <c r="JF40" s="643"/>
      <c r="JG40" s="643"/>
      <c r="JH40" s="643"/>
      <c r="JI40" s="643"/>
      <c r="JJ40" s="643"/>
      <c r="JK40" s="643"/>
      <c r="JL40" s="643"/>
      <c r="JM40" s="643"/>
      <c r="JN40" s="643"/>
      <c r="JO40" s="643"/>
      <c r="JP40" s="643"/>
      <c r="JQ40" s="643"/>
      <c r="JR40" s="643"/>
      <c r="JS40" s="643"/>
      <c r="JT40" s="643"/>
      <c r="JU40" s="643"/>
      <c r="JV40" s="643"/>
      <c r="JW40" s="643"/>
      <c r="JX40" s="643"/>
      <c r="JY40" s="643"/>
      <c r="JZ40" s="643"/>
      <c r="KA40" s="643"/>
      <c r="KB40" s="643"/>
      <c r="KC40" s="643"/>
      <c r="KD40" s="643"/>
      <c r="KE40" s="643"/>
      <c r="KF40" s="643"/>
      <c r="KG40" s="643"/>
      <c r="KH40" s="643"/>
      <c r="KI40" s="643"/>
      <c r="KJ40" s="643"/>
      <c r="KK40" s="643"/>
      <c r="KL40" s="643"/>
      <c r="KM40" s="643"/>
      <c r="KN40" s="643"/>
      <c r="KO40" s="643"/>
      <c r="KP40" s="643"/>
      <c r="KQ40" s="643"/>
      <c r="KR40" s="643"/>
      <c r="KS40" s="643"/>
      <c r="KT40" s="643"/>
      <c r="KU40" s="643"/>
      <c r="KV40" s="643"/>
      <c r="KW40" s="643"/>
      <c r="KX40" s="643"/>
      <c r="KY40" s="643"/>
      <c r="KZ40" s="643"/>
      <c r="LA40" s="643"/>
      <c r="LB40" s="643"/>
      <c r="LC40" s="643"/>
      <c r="LD40" s="643"/>
      <c r="LE40" s="643"/>
      <c r="LF40" s="643"/>
      <c r="LG40" s="643"/>
      <c r="LH40" s="643"/>
      <c r="LI40" s="643"/>
      <c r="LJ40" s="643"/>
      <c r="LK40" s="643"/>
      <c r="LL40" s="643"/>
      <c r="LM40" s="643"/>
      <c r="LN40" s="643"/>
      <c r="LO40" s="643"/>
      <c r="LP40" s="643"/>
      <c r="LQ40" s="643"/>
      <c r="LR40" s="643"/>
      <c r="LS40" s="643"/>
      <c r="LT40" s="643"/>
      <c r="LU40" s="643"/>
      <c r="LV40" s="643"/>
      <c r="LW40" s="643"/>
      <c r="LX40" s="643"/>
      <c r="LY40" s="643"/>
      <c r="LZ40" s="643"/>
      <c r="MA40" s="643"/>
      <c r="MB40" s="643"/>
      <c r="MC40" s="643"/>
      <c r="MD40" s="643"/>
      <c r="ME40" s="643"/>
      <c r="MF40" s="643"/>
      <c r="MG40" s="643"/>
      <c r="MH40" s="643"/>
      <c r="MI40" s="643"/>
      <c r="MJ40" s="643"/>
      <c r="MK40" s="643"/>
      <c r="ML40" s="643"/>
      <c r="MM40" s="643"/>
      <c r="MN40" s="643"/>
      <c r="MO40" s="643"/>
      <c r="MP40" s="643"/>
      <c r="MQ40" s="643"/>
      <c r="MR40" s="643"/>
      <c r="MS40" s="643"/>
      <c r="MT40" s="643"/>
      <c r="MU40" s="643"/>
      <c r="MV40" s="643"/>
      <c r="MW40" s="643"/>
      <c r="MX40" s="643"/>
      <c r="MY40" s="643"/>
      <c r="MZ40" s="643"/>
      <c r="NA40" s="643"/>
      <c r="NB40" s="643"/>
      <c r="NC40" s="643"/>
      <c r="ND40" s="643"/>
      <c r="NE40" s="643"/>
      <c r="NF40" s="643"/>
      <c r="NG40" s="643"/>
      <c r="NH40" s="643"/>
      <c r="NI40" s="643"/>
      <c r="NJ40" s="643"/>
      <c r="NK40" s="643"/>
      <c r="NL40" s="643"/>
      <c r="NM40" s="643"/>
      <c r="NN40" s="643"/>
      <c r="NO40" s="643"/>
      <c r="NP40" s="643"/>
      <c r="NQ40" s="643"/>
      <c r="NR40" s="643"/>
      <c r="NS40" s="643"/>
      <c r="NT40" s="643"/>
      <c r="NU40" s="643"/>
      <c r="NV40" s="643"/>
      <c r="NW40" s="643"/>
      <c r="NX40" s="643"/>
      <c r="NY40" s="643"/>
      <c r="NZ40" s="643"/>
      <c r="OA40" s="643"/>
      <c r="OB40" s="643"/>
      <c r="OC40" s="643"/>
      <c r="OD40" s="643"/>
      <c r="OE40" s="643"/>
      <c r="OF40" s="643"/>
      <c r="OG40" s="643"/>
      <c r="OH40" s="643"/>
      <c r="OI40" s="643"/>
      <c r="OJ40" s="643"/>
      <c r="OK40" s="643"/>
      <c r="OL40" s="643"/>
      <c r="OM40" s="643"/>
      <c r="ON40" s="643"/>
      <c r="OO40" s="643"/>
      <c r="OP40" s="643"/>
      <c r="OQ40" s="643"/>
      <c r="OR40" s="643"/>
      <c r="OS40" s="643"/>
      <c r="OT40" s="643"/>
      <c r="OU40" s="643"/>
      <c r="OV40" s="643"/>
      <c r="OW40" s="643"/>
      <c r="OX40" s="643"/>
      <c r="OY40" s="643"/>
      <c r="OZ40" s="643"/>
      <c r="PA40" s="643"/>
      <c r="PB40" s="643"/>
      <c r="PC40" s="643"/>
      <c r="PD40" s="643"/>
      <c r="PE40" s="643"/>
      <c r="PF40" s="643"/>
      <c r="PG40" s="643"/>
      <c r="PH40" s="643"/>
      <c r="PI40" s="643"/>
      <c r="PJ40" s="643"/>
      <c r="PK40" s="643"/>
      <c r="PL40" s="643"/>
      <c r="PM40" s="643"/>
      <c r="PN40" s="643"/>
      <c r="PO40" s="643"/>
      <c r="PP40" s="643"/>
      <c r="PQ40" s="643"/>
      <c r="PR40" s="643"/>
      <c r="PS40" s="643"/>
      <c r="PT40" s="643"/>
      <c r="PU40" s="643"/>
      <c r="PV40" s="643"/>
      <c r="PW40" s="643"/>
      <c r="PX40" s="643"/>
      <c r="PY40" s="643"/>
      <c r="PZ40" s="643"/>
      <c r="QA40" s="643"/>
      <c r="QB40" s="643"/>
      <c r="QC40" s="643"/>
      <c r="QD40" s="643"/>
      <c r="QE40" s="643"/>
      <c r="QF40" s="643"/>
      <c r="QG40" s="643"/>
      <c r="QH40" s="643"/>
      <c r="QI40" s="643"/>
      <c r="QJ40" s="643"/>
      <c r="QK40" s="643"/>
      <c r="QL40" s="643"/>
      <c r="QM40" s="643"/>
      <c r="QN40" s="643"/>
      <c r="QO40" s="643"/>
      <c r="QP40" s="643"/>
      <c r="QQ40" s="643"/>
      <c r="QR40" s="643"/>
      <c r="QS40" s="643"/>
      <c r="QT40" s="643"/>
      <c r="QU40" s="643"/>
      <c r="QV40" s="643"/>
      <c r="QW40" s="643"/>
      <c r="QX40" s="643"/>
      <c r="QY40" s="643"/>
      <c r="QZ40" s="643"/>
      <c r="RA40" s="643"/>
      <c r="RB40" s="643"/>
      <c r="RC40" s="643"/>
      <c r="RD40" s="643"/>
      <c r="RE40" s="643"/>
      <c r="RF40" s="643"/>
      <c r="RG40" s="643"/>
      <c r="RH40" s="643"/>
      <c r="RI40" s="643"/>
      <c r="RJ40" s="643"/>
      <c r="RK40" s="643"/>
      <c r="RL40" s="643"/>
      <c r="RM40" s="643"/>
      <c r="RN40" s="643"/>
      <c r="RO40" s="643"/>
      <c r="RP40" s="643"/>
      <c r="RQ40" s="643"/>
      <c r="RR40" s="643"/>
      <c r="RS40" s="643"/>
      <c r="RT40" s="643"/>
      <c r="RU40" s="643"/>
      <c r="RV40" s="643"/>
      <c r="RW40" s="643"/>
      <c r="RX40" s="643"/>
      <c r="RY40" s="643"/>
      <c r="RZ40" s="643"/>
      <c r="SA40" s="643"/>
      <c r="SB40" s="643"/>
      <c r="SC40" s="643"/>
      <c r="SD40" s="643"/>
      <c r="SE40" s="643"/>
      <c r="SF40" s="643"/>
      <c r="SG40" s="643"/>
      <c r="SH40" s="643"/>
      <c r="SI40" s="643"/>
      <c r="SJ40" s="643"/>
      <c r="SK40" s="643"/>
      <c r="SL40" s="643"/>
      <c r="SM40" s="643"/>
      <c r="SN40" s="643"/>
      <c r="SO40" s="643"/>
      <c r="SP40" s="643"/>
      <c r="SQ40" s="643"/>
      <c r="SR40" s="643"/>
      <c r="SS40" s="643"/>
      <c r="ST40" s="643"/>
      <c r="SU40" s="643"/>
      <c r="SV40" s="643"/>
      <c r="SW40" s="643"/>
      <c r="SX40" s="643"/>
      <c r="SY40" s="643"/>
      <c r="SZ40" s="643"/>
      <c r="TA40" s="643"/>
      <c r="TB40" s="643"/>
      <c r="TC40" s="643"/>
      <c r="TD40" s="643"/>
      <c r="TE40" s="643"/>
      <c r="TF40" s="643"/>
      <c r="TG40" s="643"/>
      <c r="TH40" s="643"/>
      <c r="TI40" s="643"/>
      <c r="TJ40" s="643"/>
      <c r="TK40" s="643"/>
      <c r="TL40" s="643"/>
      <c r="TM40" s="643"/>
      <c r="TN40" s="643"/>
      <c r="TO40" s="643"/>
      <c r="TP40" s="643"/>
      <c r="TQ40" s="643"/>
      <c r="TR40" s="643"/>
      <c r="TS40" s="643"/>
      <c r="TT40" s="643"/>
      <c r="TU40" s="643"/>
      <c r="TV40" s="643"/>
      <c r="TW40" s="643"/>
      <c r="TX40" s="643"/>
      <c r="TY40" s="643"/>
      <c r="TZ40" s="643"/>
      <c r="UA40" s="643"/>
      <c r="UB40" s="643"/>
      <c r="UC40" s="643"/>
      <c r="UD40" s="643"/>
      <c r="UE40" s="643"/>
      <c r="UF40" s="643"/>
      <c r="UG40" s="643"/>
      <c r="UH40" s="643"/>
      <c r="UI40" s="643"/>
      <c r="UJ40" s="643"/>
      <c r="UK40" s="643"/>
      <c r="UL40" s="643"/>
      <c r="UM40" s="643"/>
      <c r="UN40" s="643"/>
      <c r="UO40" s="643"/>
      <c r="UP40" s="643"/>
      <c r="UQ40" s="643"/>
      <c r="UR40" s="643"/>
      <c r="US40" s="643"/>
      <c r="UT40" s="643"/>
      <c r="UU40" s="643"/>
      <c r="UV40" s="643"/>
      <c r="UW40" s="643"/>
      <c r="UX40" s="643"/>
      <c r="UY40" s="643"/>
      <c r="UZ40" s="643"/>
      <c r="VA40" s="643"/>
      <c r="VB40" s="643"/>
      <c r="VC40" s="643"/>
      <c r="VD40" s="643"/>
      <c r="VE40" s="643"/>
      <c r="VF40" s="643"/>
      <c r="VG40" s="643"/>
      <c r="VH40" s="643"/>
      <c r="VI40" s="643"/>
      <c r="VJ40" s="643"/>
      <c r="VK40" s="643"/>
      <c r="VL40" s="643"/>
      <c r="VM40" s="643"/>
      <c r="VN40" s="643"/>
      <c r="VO40" s="643"/>
      <c r="VP40" s="643"/>
      <c r="VQ40" s="643"/>
      <c r="VR40" s="643"/>
      <c r="VS40" s="643"/>
      <c r="VT40" s="643"/>
      <c r="VU40" s="643"/>
      <c r="VV40" s="643"/>
      <c r="VW40" s="643"/>
      <c r="VX40" s="643"/>
      <c r="VY40" s="643"/>
      <c r="VZ40" s="643"/>
      <c r="WA40" s="643"/>
      <c r="WB40" s="643"/>
      <c r="WC40" s="643"/>
      <c r="WD40" s="643"/>
      <c r="WE40" s="643"/>
      <c r="WF40" s="643"/>
      <c r="WG40" s="643"/>
      <c r="WH40" s="643"/>
      <c r="WI40" s="643"/>
      <c r="WJ40" s="643"/>
      <c r="WK40" s="643"/>
      <c r="WL40" s="643"/>
      <c r="WM40" s="643"/>
      <c r="WN40" s="643"/>
      <c r="WO40" s="643"/>
      <c r="WP40" s="643"/>
      <c r="WQ40" s="643"/>
      <c r="WR40" s="643"/>
      <c r="WS40" s="643"/>
      <c r="WT40" s="643"/>
      <c r="WU40" s="643"/>
      <c r="WV40" s="643"/>
      <c r="WW40" s="643"/>
      <c r="WX40" s="643"/>
      <c r="WY40" s="643"/>
      <c r="WZ40" s="643"/>
      <c r="XA40" s="643"/>
      <c r="XB40" s="643"/>
      <c r="XC40" s="643"/>
      <c r="XD40" s="643"/>
      <c r="XE40" s="643"/>
      <c r="XF40" s="643"/>
      <c r="XG40" s="643"/>
      <c r="XH40" s="643"/>
      <c r="XI40" s="643"/>
      <c r="XJ40" s="643"/>
      <c r="XK40" s="643"/>
      <c r="XL40" s="643"/>
      <c r="XM40" s="643"/>
      <c r="XN40" s="643"/>
      <c r="XO40" s="643"/>
      <c r="XP40" s="643"/>
      <c r="XQ40" s="643"/>
      <c r="XR40" s="643"/>
      <c r="XS40" s="643"/>
      <c r="XT40" s="643"/>
      <c r="XU40" s="643"/>
      <c r="XV40" s="643"/>
      <c r="XW40" s="643"/>
      <c r="XX40" s="643"/>
      <c r="XY40" s="643"/>
      <c r="XZ40" s="643"/>
      <c r="YA40" s="643"/>
      <c r="YB40" s="643"/>
      <c r="YC40" s="643"/>
      <c r="YD40" s="643"/>
      <c r="YE40" s="643"/>
      <c r="YF40" s="643"/>
      <c r="YG40" s="643"/>
      <c r="YH40" s="643"/>
      <c r="YI40" s="643"/>
      <c r="YJ40" s="643"/>
      <c r="YK40" s="643"/>
      <c r="YL40" s="643"/>
      <c r="YM40" s="643"/>
      <c r="YN40" s="643"/>
      <c r="YO40" s="643"/>
      <c r="YP40" s="643"/>
      <c r="YQ40" s="643"/>
      <c r="YR40" s="643"/>
      <c r="YS40" s="643"/>
      <c r="YT40" s="643"/>
      <c r="YU40" s="643"/>
      <c r="YV40" s="643"/>
      <c r="YW40" s="643"/>
      <c r="YX40" s="643"/>
      <c r="YY40" s="643"/>
      <c r="YZ40" s="643"/>
      <c r="ZA40" s="643"/>
      <c r="ZB40" s="643"/>
      <c r="ZC40" s="643"/>
      <c r="ZD40" s="643"/>
      <c r="ZE40" s="643"/>
      <c r="ZF40" s="643"/>
      <c r="ZG40" s="643"/>
      <c r="ZH40" s="643"/>
      <c r="ZI40" s="643"/>
      <c r="ZJ40" s="643"/>
      <c r="ZK40" s="643"/>
      <c r="ZL40" s="643"/>
      <c r="ZM40" s="643"/>
      <c r="ZN40" s="643"/>
      <c r="ZO40" s="643"/>
      <c r="ZP40" s="643"/>
      <c r="ZQ40" s="643"/>
      <c r="ZR40" s="643"/>
      <c r="ZS40" s="643"/>
      <c r="ZT40" s="643"/>
      <c r="ZU40" s="643"/>
      <c r="ZV40" s="643"/>
      <c r="ZW40" s="643"/>
      <c r="ZX40" s="643"/>
      <c r="ZY40" s="643"/>
      <c r="ZZ40" s="643"/>
      <c r="AAA40" s="643"/>
      <c r="AAB40" s="643"/>
      <c r="AAC40" s="643"/>
      <c r="AAD40" s="643"/>
      <c r="AAE40" s="643"/>
      <c r="AAF40" s="643"/>
      <c r="AAG40" s="643"/>
      <c r="AAH40" s="643"/>
      <c r="AAI40" s="643"/>
      <c r="AAJ40" s="643"/>
      <c r="AAK40" s="643"/>
      <c r="AAL40" s="643"/>
      <c r="AAM40" s="643"/>
      <c r="AAN40" s="643"/>
      <c r="AAO40" s="643"/>
      <c r="AAP40" s="643"/>
      <c r="AAQ40" s="643"/>
      <c r="AAR40" s="643"/>
      <c r="AAS40" s="643"/>
      <c r="AAT40" s="643"/>
      <c r="AAU40" s="643"/>
      <c r="AAV40" s="643"/>
      <c r="AAW40" s="643"/>
      <c r="AAX40" s="643"/>
      <c r="AAY40" s="643"/>
      <c r="AAZ40" s="643"/>
      <c r="ABA40" s="643"/>
      <c r="ABB40" s="643"/>
      <c r="ABC40" s="643"/>
      <c r="ABD40" s="643"/>
      <c r="ABE40" s="643"/>
      <c r="ABF40" s="643"/>
      <c r="ABG40" s="643"/>
      <c r="ABH40" s="643"/>
      <c r="ABI40" s="643"/>
      <c r="ABJ40" s="643"/>
      <c r="ABK40" s="643"/>
      <c r="ABL40" s="643"/>
      <c r="ABM40" s="643"/>
      <c r="ABN40" s="643"/>
      <c r="ABO40" s="643"/>
      <c r="ABP40" s="643"/>
      <c r="ABQ40" s="643"/>
      <c r="ABR40" s="643"/>
      <c r="ABS40" s="643"/>
      <c r="ABT40" s="643"/>
      <c r="ABU40" s="643"/>
      <c r="ABV40" s="643"/>
      <c r="ABW40" s="643"/>
      <c r="ABX40" s="643"/>
      <c r="ABY40" s="643"/>
      <c r="ABZ40" s="643"/>
      <c r="ACA40" s="643"/>
      <c r="ACB40" s="643"/>
      <c r="ACC40" s="643"/>
      <c r="ACD40" s="643"/>
      <c r="ACE40" s="643"/>
      <c r="ACF40" s="643"/>
      <c r="ACG40" s="643"/>
      <c r="ACH40" s="643"/>
      <c r="ACI40" s="643"/>
      <c r="ACJ40" s="643"/>
      <c r="ACK40" s="643"/>
      <c r="ACL40" s="643"/>
      <c r="ACM40" s="643"/>
      <c r="ACN40" s="643"/>
      <c r="ACO40" s="643"/>
      <c r="ACP40" s="643"/>
      <c r="ACQ40" s="643"/>
      <c r="ACR40" s="643"/>
      <c r="ACS40" s="643"/>
      <c r="ACT40" s="643"/>
      <c r="ACU40" s="643"/>
      <c r="ACV40" s="643"/>
      <c r="ACW40" s="643"/>
      <c r="ACX40" s="643"/>
      <c r="ACY40" s="643"/>
      <c r="ACZ40" s="643"/>
      <c r="ADA40" s="643"/>
      <c r="ADB40" s="643"/>
      <c r="ADC40" s="643"/>
      <c r="ADD40" s="643"/>
      <c r="ADE40" s="643"/>
      <c r="ADF40" s="643"/>
      <c r="ADG40" s="643"/>
      <c r="ADH40" s="643"/>
      <c r="ADI40" s="643"/>
      <c r="ADJ40" s="643"/>
      <c r="ADK40" s="643"/>
      <c r="ADL40" s="643"/>
      <c r="ADM40" s="643"/>
      <c r="ADN40" s="643"/>
      <c r="ADO40" s="643"/>
      <c r="ADP40" s="643"/>
      <c r="ADQ40" s="643"/>
      <c r="ADR40" s="643"/>
      <c r="ADS40" s="643"/>
      <c r="ADT40" s="643"/>
      <c r="ADU40" s="643"/>
      <c r="ADV40" s="643"/>
      <c r="ADW40" s="643"/>
      <c r="ADX40" s="643"/>
      <c r="ADY40" s="643"/>
      <c r="ADZ40" s="643"/>
      <c r="AEA40" s="643"/>
      <c r="AEB40" s="643"/>
      <c r="AEC40" s="643"/>
      <c r="AED40" s="643"/>
      <c r="AEE40" s="643"/>
      <c r="AEF40" s="643"/>
      <c r="AEG40" s="643"/>
      <c r="AEH40" s="643"/>
      <c r="AEI40" s="643"/>
      <c r="AEJ40" s="643"/>
      <c r="AEK40" s="643"/>
      <c r="AEL40" s="643"/>
      <c r="AEM40" s="643"/>
      <c r="AEN40" s="643"/>
      <c r="AEO40" s="643"/>
      <c r="AEP40" s="643"/>
      <c r="AEQ40" s="643"/>
      <c r="AER40" s="643"/>
      <c r="AES40" s="643"/>
      <c r="AET40" s="643"/>
      <c r="AEU40" s="643"/>
      <c r="AEV40" s="643"/>
      <c r="AEW40" s="643"/>
      <c r="AEX40" s="643"/>
      <c r="AEY40" s="643"/>
      <c r="AEZ40" s="643"/>
      <c r="AFA40" s="643"/>
      <c r="AFB40" s="643"/>
      <c r="AFC40" s="643"/>
      <c r="AFD40" s="643"/>
      <c r="AFE40" s="643"/>
      <c r="AFF40" s="643"/>
      <c r="AFG40" s="643"/>
      <c r="AFH40" s="643"/>
      <c r="AFI40" s="643"/>
      <c r="AFJ40" s="643"/>
      <c r="AFK40" s="643"/>
      <c r="AFL40" s="643"/>
      <c r="AFM40" s="643"/>
      <c r="AFN40" s="643"/>
      <c r="AFO40" s="643"/>
      <c r="AFP40" s="643"/>
      <c r="AFQ40" s="643"/>
      <c r="AFR40" s="643"/>
      <c r="AFS40" s="643"/>
      <c r="AFT40" s="643"/>
      <c r="AFU40" s="643"/>
      <c r="AFV40" s="643"/>
      <c r="AFW40" s="643"/>
      <c r="AFX40" s="643"/>
      <c r="AFY40" s="643"/>
      <c r="AFZ40" s="643"/>
      <c r="AGA40" s="643"/>
      <c r="AGB40" s="643"/>
      <c r="AGC40" s="643"/>
      <c r="AGD40" s="643"/>
      <c r="AGE40" s="643"/>
      <c r="AGF40" s="643"/>
      <c r="AGG40" s="643"/>
      <c r="AGH40" s="643"/>
      <c r="AGI40" s="643"/>
      <c r="AGJ40" s="643"/>
      <c r="AGK40" s="643"/>
      <c r="AGL40" s="643"/>
      <c r="AGM40" s="643"/>
      <c r="AGN40" s="643"/>
      <c r="AGO40" s="643"/>
      <c r="AGP40" s="643"/>
      <c r="AGQ40" s="643"/>
      <c r="AGR40" s="643"/>
      <c r="AGS40" s="643"/>
      <c r="AGT40" s="643"/>
      <c r="AGU40" s="643"/>
      <c r="AGV40" s="643"/>
      <c r="AGW40" s="643"/>
      <c r="AGX40" s="643"/>
      <c r="AGY40" s="643"/>
      <c r="AGZ40" s="643"/>
      <c r="AHA40" s="643"/>
      <c r="AHB40" s="643"/>
      <c r="AHC40" s="643"/>
      <c r="AHD40" s="643"/>
      <c r="AHE40" s="643"/>
      <c r="AHF40" s="643"/>
      <c r="AHG40" s="643"/>
      <c r="AHH40" s="643"/>
      <c r="AHI40" s="643"/>
      <c r="AHJ40" s="643"/>
      <c r="AHK40" s="643"/>
      <c r="AHL40" s="643"/>
      <c r="AHM40" s="643"/>
      <c r="AHN40" s="643"/>
      <c r="AHO40" s="643"/>
      <c r="AHP40" s="643"/>
      <c r="AHQ40" s="643"/>
      <c r="AHR40" s="643"/>
      <c r="AHS40" s="643"/>
      <c r="AHT40" s="643"/>
      <c r="AHU40" s="643"/>
      <c r="AHV40" s="643"/>
      <c r="AHW40" s="643"/>
      <c r="AHX40" s="643"/>
      <c r="AHY40" s="643"/>
      <c r="AHZ40" s="643"/>
      <c r="AIA40" s="643"/>
      <c r="AIB40" s="643"/>
      <c r="AIC40" s="643"/>
      <c r="AID40" s="643"/>
      <c r="AIE40" s="643"/>
      <c r="AIF40" s="643"/>
      <c r="AIG40" s="643"/>
      <c r="AIH40" s="643"/>
      <c r="AII40" s="643"/>
      <c r="AIJ40" s="643"/>
      <c r="AIK40" s="643"/>
      <c r="AIL40" s="643"/>
      <c r="AIM40" s="643"/>
      <c r="AIN40" s="643"/>
      <c r="AIO40" s="643"/>
      <c r="AIP40" s="643"/>
      <c r="AIQ40" s="643"/>
      <c r="AIR40" s="643"/>
      <c r="AIS40" s="643"/>
      <c r="AIT40" s="643"/>
      <c r="AIU40" s="643"/>
      <c r="AIV40" s="643"/>
      <c r="AIW40" s="643"/>
      <c r="AIX40" s="643"/>
      <c r="AIY40" s="643"/>
      <c r="AIZ40" s="643"/>
      <c r="AJA40" s="643"/>
      <c r="AJB40" s="643"/>
      <c r="AJC40" s="643"/>
      <c r="AJD40" s="643"/>
      <c r="AJE40" s="643"/>
      <c r="AJF40" s="643"/>
      <c r="AJG40" s="643"/>
      <c r="AJH40" s="643"/>
      <c r="AJI40" s="643"/>
      <c r="AJJ40" s="643"/>
      <c r="AJK40" s="643"/>
      <c r="AJL40" s="643"/>
      <c r="AJM40" s="643"/>
      <c r="AJN40" s="643"/>
      <c r="AJO40" s="643"/>
      <c r="AJP40" s="643"/>
      <c r="AJQ40" s="643"/>
      <c r="AJR40" s="643"/>
      <c r="AJS40" s="643"/>
      <c r="AJT40" s="643"/>
      <c r="AJU40" s="643"/>
      <c r="AJV40" s="643"/>
      <c r="AJW40" s="643"/>
      <c r="AJX40" s="643"/>
      <c r="AJY40" s="643"/>
      <c r="AJZ40" s="643"/>
      <c r="AKA40" s="643"/>
      <c r="AKB40" s="643"/>
      <c r="AKC40" s="643"/>
      <c r="AKD40" s="643"/>
      <c r="AKE40" s="643"/>
      <c r="AKF40" s="643"/>
      <c r="AKG40" s="643"/>
      <c r="AKH40" s="643"/>
      <c r="AKI40" s="643"/>
      <c r="AKJ40" s="643"/>
      <c r="AKK40" s="643"/>
      <c r="AKL40" s="643"/>
      <c r="AKM40" s="643"/>
      <c r="AKN40" s="643"/>
      <c r="AKO40" s="643"/>
      <c r="AKP40" s="643"/>
      <c r="AKQ40" s="643"/>
      <c r="AKR40" s="643"/>
      <c r="AKS40" s="643"/>
      <c r="AKT40" s="643"/>
      <c r="AKU40" s="643"/>
      <c r="AKV40" s="643"/>
      <c r="AKW40" s="643"/>
      <c r="AKX40" s="643"/>
      <c r="AKY40" s="643"/>
      <c r="AKZ40" s="643"/>
      <c r="ALA40" s="643"/>
      <c r="ALB40" s="643"/>
      <c r="ALC40" s="643"/>
      <c r="ALD40" s="643"/>
      <c r="ALE40" s="643"/>
      <c r="ALF40" s="643"/>
      <c r="ALG40" s="643"/>
      <c r="ALH40" s="643"/>
      <c r="ALI40" s="643"/>
      <c r="ALJ40" s="643"/>
      <c r="ALK40" s="643"/>
      <c r="ALL40" s="643"/>
      <c r="ALM40" s="643"/>
      <c r="ALN40" s="643"/>
      <c r="ALO40" s="643"/>
      <c r="ALP40" s="643"/>
      <c r="ALQ40" s="643"/>
      <c r="ALR40" s="643"/>
      <c r="ALS40" s="643"/>
      <c r="ALT40" s="643"/>
      <c r="ALU40" s="643"/>
      <c r="ALV40" s="643"/>
      <c r="ALW40" s="643"/>
      <c r="ALX40" s="643"/>
      <c r="ALY40" s="643"/>
      <c r="ALZ40" s="643"/>
      <c r="AMA40" s="643"/>
      <c r="AMB40" s="643"/>
      <c r="AMC40" s="643"/>
      <c r="AMD40" s="643"/>
      <c r="AME40" s="643"/>
      <c r="AMF40" s="643"/>
      <c r="AMG40" s="643"/>
      <c r="AMH40" s="643"/>
      <c r="AMI40" s="643"/>
      <c r="AMJ40" s="643"/>
      <c r="AMK40" s="643"/>
      <c r="AML40" s="643"/>
      <c r="AMM40" s="643"/>
      <c r="AMN40" s="643"/>
      <c r="AMO40" s="643"/>
      <c r="AMP40" s="643"/>
      <c r="AMQ40" s="643"/>
      <c r="AMR40" s="643"/>
      <c r="AMS40" s="643"/>
      <c r="AMT40" s="643"/>
      <c r="AMU40" s="643"/>
      <c r="AMV40" s="643"/>
      <c r="AMW40" s="643"/>
      <c r="AMX40" s="643"/>
      <c r="AMY40" s="643"/>
      <c r="AMZ40" s="643"/>
      <c r="ANA40" s="643"/>
      <c r="ANB40" s="643"/>
      <c r="ANC40" s="643"/>
      <c r="AND40" s="643"/>
      <c r="ANE40" s="643"/>
      <c r="ANF40" s="643"/>
      <c r="ANG40" s="643"/>
      <c r="ANH40" s="643"/>
      <c r="ANI40" s="643"/>
      <c r="ANJ40" s="643"/>
      <c r="ANK40" s="643"/>
      <c r="ANL40" s="643"/>
      <c r="ANM40" s="643"/>
      <c r="ANN40" s="643"/>
      <c r="ANO40" s="643"/>
      <c r="ANP40" s="643"/>
      <c r="ANQ40" s="643"/>
      <c r="ANR40" s="643"/>
      <c r="ANS40" s="643"/>
      <c r="ANT40" s="643"/>
      <c r="ANU40" s="643"/>
      <c r="ANV40" s="643"/>
      <c r="ANW40" s="643"/>
      <c r="ANX40" s="643"/>
      <c r="ANY40" s="643"/>
      <c r="ANZ40" s="643"/>
      <c r="AOA40" s="643"/>
      <c r="AOB40" s="643"/>
      <c r="AOC40" s="643"/>
      <c r="AOD40" s="643"/>
      <c r="AOE40" s="643"/>
      <c r="AOF40" s="643"/>
      <c r="AOG40" s="643"/>
      <c r="AOH40" s="643"/>
      <c r="AOI40" s="643"/>
      <c r="AOJ40" s="643"/>
      <c r="AOK40" s="643"/>
      <c r="AOL40" s="643"/>
      <c r="AOM40" s="643"/>
      <c r="AON40" s="643"/>
      <c r="AOO40" s="643"/>
      <c r="AOP40" s="643"/>
      <c r="AOQ40" s="643"/>
      <c r="AOR40" s="643"/>
      <c r="AOS40" s="643"/>
      <c r="AOT40" s="643"/>
      <c r="AOU40" s="643"/>
      <c r="AOV40" s="643"/>
      <c r="AOW40" s="643"/>
      <c r="AOX40" s="643"/>
      <c r="AOY40" s="643"/>
      <c r="AOZ40" s="643"/>
      <c r="APA40" s="643"/>
      <c r="APB40" s="643"/>
      <c r="APC40" s="643"/>
      <c r="APD40" s="643"/>
      <c r="APE40" s="643"/>
      <c r="APF40" s="643"/>
      <c r="APG40" s="643"/>
      <c r="APH40" s="643"/>
      <c r="API40" s="643"/>
      <c r="APJ40" s="643"/>
      <c r="APK40" s="643"/>
      <c r="APL40" s="643"/>
      <c r="APM40" s="643"/>
      <c r="APN40" s="643"/>
      <c r="APO40" s="643"/>
      <c r="APP40" s="643"/>
      <c r="APQ40" s="643"/>
      <c r="APR40" s="643"/>
      <c r="APS40" s="643"/>
      <c r="APT40" s="643"/>
      <c r="APU40" s="643"/>
      <c r="APV40" s="643"/>
      <c r="APW40" s="643"/>
      <c r="APX40" s="643"/>
      <c r="APY40" s="643"/>
      <c r="APZ40" s="643"/>
      <c r="AQA40" s="643"/>
      <c r="AQB40" s="643"/>
      <c r="AQC40" s="643"/>
      <c r="AQD40" s="643"/>
      <c r="AQE40" s="643"/>
      <c r="AQF40" s="643"/>
      <c r="AQG40" s="643"/>
      <c r="AQH40" s="643"/>
      <c r="AQI40" s="643"/>
      <c r="AQJ40" s="643"/>
      <c r="AQK40" s="643"/>
      <c r="AQL40" s="643"/>
      <c r="AQM40" s="643"/>
      <c r="AQN40" s="643"/>
      <c r="AQO40" s="643"/>
      <c r="AQP40" s="643"/>
      <c r="AQQ40" s="643"/>
      <c r="AQR40" s="643"/>
      <c r="AQS40" s="643"/>
      <c r="AQT40" s="643"/>
      <c r="AQU40" s="643"/>
      <c r="AQV40" s="643"/>
      <c r="AQW40" s="643"/>
      <c r="AQX40" s="643"/>
      <c r="AQY40" s="643"/>
      <c r="AQZ40" s="643"/>
      <c r="ARA40" s="643"/>
      <c r="ARB40" s="643"/>
      <c r="ARC40" s="643"/>
      <c r="ARD40" s="643"/>
      <c r="ARE40" s="643"/>
      <c r="ARF40" s="643"/>
      <c r="ARG40" s="643"/>
      <c r="ARH40" s="643"/>
      <c r="ARI40" s="643"/>
      <c r="ARJ40" s="643"/>
      <c r="ARK40" s="643"/>
      <c r="ARL40" s="643"/>
      <c r="ARM40" s="643"/>
      <c r="ARN40" s="643"/>
      <c r="ARO40" s="643"/>
      <c r="ARP40" s="643"/>
      <c r="ARQ40" s="643"/>
      <c r="ARR40" s="643"/>
      <c r="ARS40" s="643"/>
      <c r="ART40" s="643"/>
      <c r="ARU40" s="643"/>
      <c r="ARV40" s="643"/>
      <c r="ARW40" s="643"/>
      <c r="ARX40" s="643"/>
      <c r="ARY40" s="643"/>
      <c r="ARZ40" s="643"/>
      <c r="ASA40" s="643"/>
      <c r="ASB40" s="643"/>
      <c r="ASC40" s="643"/>
      <c r="ASD40" s="643"/>
      <c r="ASE40" s="643"/>
      <c r="ASF40" s="643"/>
      <c r="ASG40" s="643"/>
      <c r="ASH40" s="643"/>
      <c r="ASI40" s="643"/>
      <c r="ASJ40" s="643"/>
      <c r="ASK40" s="643"/>
      <c r="ASL40" s="643"/>
      <c r="ASM40" s="643"/>
      <c r="ASN40" s="643"/>
      <c r="ASO40" s="643"/>
      <c r="ASP40" s="643"/>
      <c r="ASQ40" s="643"/>
      <c r="ASR40" s="643"/>
      <c r="ASS40" s="643"/>
      <c r="AST40" s="643"/>
      <c r="ASU40" s="643"/>
      <c r="ASV40" s="643"/>
      <c r="ASW40" s="643"/>
      <c r="ASX40" s="643"/>
      <c r="ASY40" s="643"/>
      <c r="ASZ40" s="643"/>
      <c r="ATA40" s="643"/>
      <c r="ATB40" s="643"/>
      <c r="ATC40" s="643"/>
      <c r="ATD40" s="643"/>
      <c r="ATE40" s="643"/>
      <c r="ATF40" s="643"/>
      <c r="ATG40" s="643"/>
      <c r="ATH40" s="643"/>
      <c r="ATI40" s="643"/>
      <c r="ATJ40" s="643"/>
      <c r="ATK40" s="643"/>
      <c r="ATL40" s="643"/>
      <c r="ATM40" s="643"/>
      <c r="ATN40" s="643"/>
      <c r="ATO40" s="643"/>
      <c r="ATP40" s="643"/>
      <c r="ATQ40" s="643"/>
      <c r="ATR40" s="643"/>
      <c r="ATS40" s="643"/>
      <c r="ATT40" s="643"/>
      <c r="ATU40" s="643"/>
      <c r="ATV40" s="643"/>
      <c r="ATW40" s="643"/>
      <c r="ATX40" s="643"/>
      <c r="ATY40" s="643"/>
      <c r="ATZ40" s="643"/>
      <c r="AUA40" s="643"/>
      <c r="AUB40" s="643"/>
      <c r="AUC40" s="643"/>
      <c r="AUD40" s="643"/>
      <c r="AUE40" s="643"/>
      <c r="AUF40" s="643"/>
      <c r="AUG40" s="643"/>
      <c r="AUH40" s="643"/>
      <c r="AUI40" s="643"/>
      <c r="AUJ40" s="643"/>
      <c r="AUK40" s="643"/>
      <c r="AUL40" s="643"/>
      <c r="AUM40" s="643"/>
      <c r="AUN40" s="643"/>
      <c r="AUO40" s="643"/>
      <c r="AUP40" s="643"/>
      <c r="AUQ40" s="643"/>
      <c r="AUR40" s="643"/>
      <c r="AUS40" s="643"/>
      <c r="AUT40" s="643"/>
      <c r="AUU40" s="643"/>
      <c r="AUV40" s="643"/>
      <c r="AUW40" s="643"/>
      <c r="AUX40" s="643"/>
      <c r="AUY40" s="643"/>
      <c r="AUZ40" s="643"/>
      <c r="AVA40" s="643"/>
      <c r="AVB40" s="643"/>
      <c r="AVC40" s="643"/>
      <c r="AVD40" s="643"/>
      <c r="AVE40" s="643"/>
      <c r="AVF40" s="643"/>
      <c r="AVG40" s="643"/>
      <c r="AVH40" s="643"/>
      <c r="AVI40" s="643"/>
      <c r="AVJ40" s="643"/>
      <c r="AVK40" s="643"/>
      <c r="AVL40" s="643"/>
      <c r="AVM40" s="643"/>
      <c r="AVN40" s="643"/>
      <c r="AVO40" s="643"/>
      <c r="AVP40" s="643"/>
      <c r="AVQ40" s="643"/>
      <c r="AVR40" s="643"/>
      <c r="AVS40" s="643"/>
      <c r="AVT40" s="643"/>
      <c r="AVU40" s="643"/>
      <c r="AVV40" s="643"/>
      <c r="AVW40" s="643"/>
      <c r="AVX40" s="643"/>
      <c r="AVY40" s="643"/>
      <c r="AVZ40" s="643"/>
      <c r="AWA40" s="643"/>
      <c r="AWB40" s="643"/>
      <c r="AWC40" s="643"/>
      <c r="AWD40" s="643"/>
      <c r="AWE40" s="643"/>
      <c r="AWF40" s="643"/>
      <c r="AWG40" s="643"/>
      <c r="AWH40" s="643"/>
      <c r="AWI40" s="643"/>
      <c r="AWJ40" s="643"/>
      <c r="AWK40" s="643"/>
      <c r="AWL40" s="643"/>
      <c r="AWM40" s="643"/>
      <c r="AWN40" s="643"/>
      <c r="AWO40" s="643"/>
      <c r="AWP40" s="643"/>
      <c r="AWQ40" s="643"/>
      <c r="AWR40" s="643"/>
      <c r="AWS40" s="643"/>
      <c r="AWT40" s="643"/>
      <c r="AWU40" s="643"/>
      <c r="AWV40" s="643"/>
      <c r="AWW40" s="643"/>
      <c r="AWX40" s="643"/>
      <c r="AWY40" s="643"/>
      <c r="AWZ40" s="643"/>
      <c r="AXA40" s="643"/>
      <c r="AXB40" s="643"/>
      <c r="AXC40" s="643"/>
      <c r="AXD40" s="643"/>
      <c r="AXE40" s="643"/>
      <c r="AXF40" s="643"/>
      <c r="AXG40" s="643"/>
      <c r="AXH40" s="643"/>
      <c r="AXI40" s="643"/>
      <c r="AXJ40" s="643"/>
      <c r="AXK40" s="643"/>
      <c r="AXL40" s="643"/>
      <c r="AXM40" s="643"/>
      <c r="AXN40" s="643"/>
      <c r="AXO40" s="643"/>
      <c r="AXP40" s="643"/>
      <c r="AXQ40" s="643"/>
      <c r="AXR40" s="643"/>
      <c r="AXS40" s="643"/>
      <c r="AXT40" s="643"/>
      <c r="AXU40" s="643"/>
      <c r="AXV40" s="643"/>
      <c r="AXW40" s="643"/>
      <c r="AXX40" s="643"/>
      <c r="AXY40" s="643"/>
      <c r="AXZ40" s="643"/>
      <c r="AYA40" s="643"/>
      <c r="AYB40" s="643"/>
      <c r="AYC40" s="643"/>
      <c r="AYD40" s="643"/>
      <c r="AYE40" s="643"/>
      <c r="AYF40" s="643"/>
      <c r="AYG40" s="643"/>
      <c r="AYH40" s="643"/>
      <c r="AYI40" s="643"/>
      <c r="AYJ40" s="643"/>
      <c r="AYK40" s="643"/>
      <c r="AYL40" s="643"/>
      <c r="AYM40" s="643"/>
      <c r="AYN40" s="643"/>
      <c r="AYO40" s="643"/>
      <c r="AYP40" s="643"/>
      <c r="AYQ40" s="643"/>
      <c r="AYR40" s="643"/>
      <c r="AYS40" s="643"/>
      <c r="AYT40" s="643"/>
      <c r="AYU40" s="643"/>
      <c r="AYV40" s="643"/>
      <c r="AYW40" s="643"/>
      <c r="AYX40" s="643"/>
      <c r="AYY40" s="643"/>
      <c r="AYZ40" s="643"/>
      <c r="AZA40" s="643"/>
      <c r="AZB40" s="643"/>
      <c r="AZC40" s="643"/>
      <c r="AZD40" s="643"/>
      <c r="AZE40" s="643"/>
      <c r="AZF40" s="643"/>
      <c r="AZG40" s="643"/>
      <c r="AZH40" s="643"/>
      <c r="AZI40" s="643"/>
      <c r="AZJ40" s="643"/>
      <c r="AZK40" s="643"/>
      <c r="AZL40" s="643"/>
      <c r="AZM40" s="643"/>
      <c r="AZN40" s="643"/>
      <c r="AZO40" s="643"/>
      <c r="AZP40" s="643"/>
      <c r="AZQ40" s="643"/>
      <c r="AZR40" s="643"/>
      <c r="AZS40" s="643"/>
      <c r="AZT40" s="643"/>
      <c r="AZU40" s="643"/>
      <c r="AZV40" s="643"/>
      <c r="AZW40" s="643"/>
      <c r="AZX40" s="643"/>
      <c r="AZY40" s="643"/>
      <c r="AZZ40" s="643"/>
      <c r="BAA40" s="643"/>
      <c r="BAB40" s="643"/>
      <c r="BAC40" s="643"/>
      <c r="BAD40" s="643"/>
      <c r="BAE40" s="643"/>
      <c r="BAF40" s="643"/>
      <c r="BAG40" s="643"/>
      <c r="BAH40" s="643"/>
      <c r="BAI40" s="643"/>
      <c r="BAJ40" s="643"/>
      <c r="BAK40" s="643"/>
      <c r="BAL40" s="643"/>
      <c r="BAM40" s="643"/>
      <c r="BAN40" s="643"/>
      <c r="BAO40" s="643"/>
      <c r="BAP40" s="643"/>
      <c r="BAQ40" s="643"/>
      <c r="BAR40" s="643"/>
      <c r="BAS40" s="643"/>
      <c r="BAT40" s="643"/>
      <c r="BAU40" s="643"/>
      <c r="BAV40" s="643"/>
      <c r="BAW40" s="643"/>
      <c r="BAX40" s="643"/>
      <c r="BAY40" s="643"/>
      <c r="BAZ40" s="643"/>
      <c r="BBA40" s="643"/>
      <c r="BBB40" s="643"/>
      <c r="BBC40" s="643"/>
      <c r="BBD40" s="643"/>
      <c r="BBE40" s="643"/>
      <c r="BBF40" s="643"/>
      <c r="BBG40" s="643"/>
      <c r="BBH40" s="643"/>
      <c r="BBI40" s="643"/>
      <c r="BBJ40" s="643"/>
      <c r="BBK40" s="643"/>
      <c r="BBL40" s="643"/>
      <c r="BBM40" s="643"/>
      <c r="BBN40" s="643"/>
      <c r="BBO40" s="643"/>
      <c r="BBP40" s="643"/>
      <c r="BBQ40" s="643"/>
      <c r="BBR40" s="643"/>
      <c r="BBS40" s="643"/>
      <c r="BBT40" s="643"/>
      <c r="BBU40" s="643"/>
      <c r="BBV40" s="643"/>
      <c r="BBW40" s="643"/>
      <c r="BBX40" s="643"/>
      <c r="BBY40" s="643"/>
      <c r="BBZ40" s="643"/>
      <c r="BCA40" s="643"/>
      <c r="BCB40" s="643"/>
      <c r="BCC40" s="643"/>
      <c r="BCD40" s="643"/>
      <c r="BCE40" s="643"/>
      <c r="BCF40" s="643"/>
      <c r="BCG40" s="643"/>
      <c r="BCH40" s="643"/>
      <c r="BCI40" s="643"/>
      <c r="BCJ40" s="643"/>
      <c r="BCK40" s="643"/>
      <c r="BCL40" s="643"/>
      <c r="BCM40" s="643"/>
      <c r="BCN40" s="643"/>
      <c r="BCO40" s="643"/>
      <c r="BCP40" s="643"/>
      <c r="BCQ40" s="643"/>
      <c r="BCR40" s="643"/>
      <c r="BCS40" s="643"/>
      <c r="BCT40" s="643"/>
      <c r="BCU40" s="643"/>
      <c r="BCV40" s="643"/>
      <c r="BCW40" s="643"/>
      <c r="BCX40" s="643"/>
      <c r="BCY40" s="643"/>
      <c r="BCZ40" s="643"/>
      <c r="BDA40" s="643"/>
      <c r="BDB40" s="643"/>
      <c r="BDC40" s="643"/>
      <c r="BDD40" s="643"/>
      <c r="BDE40" s="643"/>
      <c r="BDF40" s="643"/>
      <c r="BDG40" s="643"/>
      <c r="BDH40" s="643"/>
      <c r="BDI40" s="643"/>
      <c r="BDJ40" s="643"/>
      <c r="BDK40" s="643"/>
      <c r="BDL40" s="643"/>
      <c r="BDM40" s="643"/>
      <c r="BDN40" s="643"/>
      <c r="BDO40" s="643"/>
      <c r="BDP40" s="643"/>
      <c r="BDQ40" s="643"/>
      <c r="BDR40" s="643"/>
      <c r="BDS40" s="643"/>
      <c r="BDT40" s="643"/>
      <c r="BDU40" s="643"/>
      <c r="BDV40" s="643"/>
      <c r="BDW40" s="643"/>
      <c r="BDX40" s="643"/>
      <c r="BDY40" s="643"/>
      <c r="BDZ40" s="643"/>
      <c r="BEA40" s="643"/>
      <c r="BEB40" s="643"/>
      <c r="BEC40" s="643"/>
      <c r="BED40" s="643"/>
      <c r="BEE40" s="643"/>
      <c r="BEF40" s="643"/>
      <c r="BEG40" s="643"/>
      <c r="BEH40" s="643"/>
      <c r="BEI40" s="643"/>
      <c r="BEJ40" s="643"/>
      <c r="BEK40" s="643"/>
      <c r="BEL40" s="643"/>
      <c r="BEM40" s="643"/>
      <c r="BEN40" s="643"/>
      <c r="BEO40" s="643"/>
      <c r="BEP40" s="643"/>
      <c r="BEQ40" s="643"/>
      <c r="BER40" s="643"/>
      <c r="BES40" s="643"/>
      <c r="BET40" s="643"/>
      <c r="BEU40" s="643"/>
      <c r="BEV40" s="643"/>
      <c r="BEW40" s="643"/>
      <c r="BEX40" s="643"/>
      <c r="BEY40" s="643"/>
      <c r="BEZ40" s="643"/>
      <c r="BFA40" s="643"/>
      <c r="BFB40" s="643"/>
      <c r="BFC40" s="643"/>
      <c r="BFD40" s="643"/>
      <c r="BFE40" s="643"/>
      <c r="BFF40" s="643"/>
      <c r="BFG40" s="643"/>
      <c r="BFH40" s="643"/>
      <c r="BFI40" s="643"/>
      <c r="BFJ40" s="643"/>
      <c r="BFK40" s="643"/>
      <c r="BFL40" s="643"/>
      <c r="BFM40" s="643"/>
      <c r="BFN40" s="643"/>
      <c r="BFO40" s="643"/>
      <c r="BFP40" s="643"/>
      <c r="BFQ40" s="643"/>
      <c r="BFR40" s="643"/>
      <c r="BFS40" s="643"/>
      <c r="BFT40" s="643"/>
      <c r="BFU40" s="643"/>
      <c r="BFV40" s="643"/>
      <c r="BFW40" s="643"/>
      <c r="BFX40" s="643"/>
      <c r="BFY40" s="643"/>
      <c r="BFZ40" s="643"/>
      <c r="BGA40" s="643"/>
      <c r="BGB40" s="643"/>
      <c r="BGC40" s="643"/>
      <c r="BGD40" s="643"/>
      <c r="BGE40" s="643"/>
      <c r="BGF40" s="643"/>
      <c r="BGG40" s="643"/>
      <c r="BGH40" s="643"/>
      <c r="BGI40" s="643"/>
      <c r="BGJ40" s="643"/>
      <c r="BGK40" s="643"/>
      <c r="BGL40" s="643"/>
      <c r="BGM40" s="643"/>
      <c r="BGN40" s="643"/>
      <c r="BGO40" s="643"/>
      <c r="BGP40" s="643"/>
      <c r="BGQ40" s="643"/>
      <c r="BGR40" s="643"/>
      <c r="BGS40" s="643"/>
      <c r="BGT40" s="643"/>
      <c r="BGU40" s="643"/>
      <c r="BGV40" s="643"/>
      <c r="BGW40" s="643"/>
      <c r="BGX40" s="643"/>
      <c r="BGY40" s="643"/>
      <c r="BGZ40" s="643"/>
      <c r="BHA40" s="643"/>
      <c r="BHB40" s="643"/>
      <c r="BHC40" s="643"/>
      <c r="BHD40" s="643"/>
      <c r="BHE40" s="643"/>
      <c r="BHF40" s="643"/>
      <c r="BHG40" s="643"/>
      <c r="BHH40" s="643"/>
      <c r="BHI40" s="643"/>
      <c r="BHJ40" s="643"/>
      <c r="BHK40" s="643"/>
      <c r="BHL40" s="643"/>
      <c r="BHM40" s="643"/>
      <c r="BHN40" s="643"/>
      <c r="BHO40" s="643"/>
      <c r="BHP40" s="643"/>
      <c r="BHQ40" s="643"/>
      <c r="BHR40" s="643"/>
      <c r="BHS40" s="643"/>
      <c r="BHT40" s="643"/>
      <c r="BHU40" s="643"/>
      <c r="BHV40" s="643"/>
      <c r="BHW40" s="643"/>
      <c r="BHX40" s="643"/>
      <c r="BHY40" s="643"/>
      <c r="BHZ40" s="643"/>
      <c r="BIA40" s="643"/>
      <c r="BIB40" s="643"/>
      <c r="BIC40" s="643"/>
      <c r="BID40" s="643"/>
      <c r="BIE40" s="643"/>
      <c r="BIF40" s="643"/>
      <c r="BIG40" s="643"/>
      <c r="BIH40" s="643"/>
      <c r="BII40" s="643"/>
      <c r="BIJ40" s="643"/>
      <c r="BIK40" s="643"/>
      <c r="BIL40" s="643"/>
      <c r="BIM40" s="643"/>
      <c r="BIN40" s="643"/>
      <c r="BIO40" s="643"/>
      <c r="BIP40" s="643"/>
      <c r="BIQ40" s="643"/>
      <c r="BIR40" s="643"/>
      <c r="BIS40" s="643"/>
      <c r="BIT40" s="643"/>
      <c r="BIU40" s="643"/>
      <c r="BIV40" s="643"/>
      <c r="BIW40" s="643"/>
      <c r="BIX40" s="643"/>
      <c r="BIY40" s="643"/>
      <c r="BIZ40" s="643"/>
      <c r="BJA40" s="643"/>
      <c r="BJB40" s="643"/>
      <c r="BJC40" s="643"/>
      <c r="BJD40" s="643"/>
      <c r="BJE40" s="643"/>
      <c r="BJF40" s="643"/>
      <c r="BJG40" s="643"/>
      <c r="BJH40" s="643"/>
      <c r="BJI40" s="643"/>
      <c r="BJJ40" s="643"/>
      <c r="BJK40" s="643"/>
      <c r="BJL40" s="643"/>
      <c r="BJM40" s="643"/>
      <c r="BJN40" s="643"/>
      <c r="BJO40" s="643"/>
      <c r="BJP40" s="643"/>
      <c r="BJQ40" s="643"/>
      <c r="BJR40" s="643"/>
      <c r="BJS40" s="643"/>
      <c r="BJT40" s="643"/>
      <c r="BJU40" s="643"/>
      <c r="BJV40" s="643"/>
      <c r="BJW40" s="643"/>
      <c r="BJX40" s="643"/>
      <c r="BJY40" s="643"/>
      <c r="BJZ40" s="643"/>
      <c r="BKA40" s="643"/>
      <c r="BKB40" s="643"/>
      <c r="BKC40" s="643"/>
      <c r="BKD40" s="643"/>
      <c r="BKE40" s="643"/>
      <c r="BKF40" s="643"/>
      <c r="BKG40" s="643"/>
      <c r="BKH40" s="643"/>
      <c r="BKI40" s="643"/>
      <c r="BKJ40" s="643"/>
      <c r="BKK40" s="643"/>
      <c r="BKL40" s="643"/>
      <c r="BKM40" s="643"/>
      <c r="BKN40" s="643"/>
      <c r="BKO40" s="643"/>
      <c r="BKP40" s="643"/>
      <c r="BKQ40" s="643"/>
      <c r="BKR40" s="643"/>
      <c r="BKS40" s="643"/>
      <c r="BKT40" s="643"/>
      <c r="BKU40" s="643"/>
      <c r="BKV40" s="643"/>
      <c r="BKW40" s="643"/>
      <c r="BKX40" s="643"/>
      <c r="BKY40" s="643"/>
      <c r="BKZ40" s="643"/>
      <c r="BLA40" s="643"/>
      <c r="BLB40" s="643"/>
      <c r="BLC40" s="643"/>
      <c r="BLD40" s="643"/>
      <c r="BLE40" s="643"/>
      <c r="BLF40" s="643"/>
      <c r="BLG40" s="643"/>
      <c r="BLH40" s="643"/>
      <c r="BLI40" s="643"/>
      <c r="BLJ40" s="643"/>
      <c r="BLK40" s="643"/>
      <c r="BLL40" s="643"/>
      <c r="BLM40" s="643"/>
      <c r="BLN40" s="643"/>
      <c r="BLO40" s="643"/>
      <c r="BLP40" s="643"/>
      <c r="BLQ40" s="643"/>
      <c r="BLR40" s="643"/>
      <c r="BLS40" s="643"/>
      <c r="BLT40" s="643"/>
      <c r="BLU40" s="643"/>
      <c r="BLV40" s="643"/>
      <c r="BLW40" s="643"/>
      <c r="BLX40" s="643"/>
      <c r="BLY40" s="643"/>
      <c r="BLZ40" s="643"/>
      <c r="BMA40" s="643"/>
      <c r="BMB40" s="643"/>
      <c r="BMC40" s="643"/>
      <c r="BMD40" s="643"/>
      <c r="BME40" s="643"/>
      <c r="BMF40" s="643"/>
      <c r="BMG40" s="643"/>
      <c r="BMH40" s="643"/>
      <c r="BMI40" s="643"/>
      <c r="BMJ40" s="643"/>
      <c r="BMK40" s="643"/>
      <c r="BML40" s="643"/>
      <c r="BMM40" s="643"/>
      <c r="BMN40" s="643"/>
      <c r="BMO40" s="643"/>
      <c r="BMP40" s="643"/>
      <c r="BMQ40" s="643"/>
      <c r="BMR40" s="643"/>
      <c r="BMS40" s="643"/>
      <c r="BMT40" s="643"/>
      <c r="BMU40" s="643"/>
      <c r="BMV40" s="643"/>
      <c r="BMW40" s="643"/>
      <c r="BMX40" s="643"/>
      <c r="BMY40" s="643"/>
      <c r="BMZ40" s="643"/>
      <c r="BNA40" s="643"/>
      <c r="BNB40" s="643"/>
      <c r="BNC40" s="643"/>
      <c r="BND40" s="643"/>
      <c r="BNE40" s="643"/>
      <c r="BNF40" s="643"/>
      <c r="BNG40" s="643"/>
      <c r="BNH40" s="643"/>
      <c r="BNI40" s="643"/>
      <c r="BNJ40" s="643"/>
      <c r="BNK40" s="643"/>
      <c r="BNL40" s="643"/>
      <c r="BNM40" s="643"/>
      <c r="BNN40" s="643"/>
      <c r="BNO40" s="643"/>
      <c r="BNP40" s="643"/>
      <c r="BNQ40" s="643"/>
      <c r="BNR40" s="643"/>
      <c r="BNS40" s="643"/>
      <c r="BNT40" s="643"/>
      <c r="BNU40" s="643"/>
      <c r="BNV40" s="643"/>
      <c r="BNW40" s="643"/>
      <c r="BNX40" s="643"/>
      <c r="BNY40" s="643"/>
      <c r="BNZ40" s="643"/>
      <c r="BOA40" s="643"/>
      <c r="BOB40" s="643"/>
      <c r="BOC40" s="643"/>
      <c r="BOD40" s="643"/>
      <c r="BOE40" s="643"/>
      <c r="BOF40" s="643"/>
      <c r="BOG40" s="643"/>
      <c r="BOH40" s="643"/>
      <c r="BOI40" s="643"/>
      <c r="BOJ40" s="643"/>
      <c r="BOK40" s="643"/>
      <c r="BOL40" s="643"/>
      <c r="BOM40" s="643"/>
      <c r="BON40" s="643"/>
      <c r="BOO40" s="643"/>
      <c r="BOP40" s="643"/>
      <c r="BOQ40" s="643"/>
      <c r="BOR40" s="643"/>
      <c r="BOS40" s="643"/>
      <c r="BOT40" s="643"/>
      <c r="BOU40" s="643"/>
      <c r="BOV40" s="643"/>
      <c r="BOW40" s="643"/>
      <c r="BOX40" s="643"/>
      <c r="BOY40" s="643"/>
      <c r="BOZ40" s="643"/>
      <c r="BPA40" s="643"/>
      <c r="BPB40" s="643"/>
      <c r="BPC40" s="643"/>
      <c r="BPD40" s="643"/>
      <c r="BPE40" s="643"/>
      <c r="BPF40" s="643"/>
      <c r="BPG40" s="643"/>
      <c r="BPH40" s="643"/>
      <c r="BPI40" s="643"/>
      <c r="BPJ40" s="643"/>
      <c r="BPK40" s="643"/>
      <c r="BPL40" s="643"/>
      <c r="BPM40" s="643"/>
      <c r="BPN40" s="643"/>
      <c r="BPO40" s="643"/>
      <c r="BPP40" s="643"/>
      <c r="BPQ40" s="643"/>
      <c r="BPR40" s="643"/>
      <c r="BPS40" s="643"/>
      <c r="BPT40" s="643"/>
      <c r="BPU40" s="643"/>
      <c r="BPV40" s="643"/>
      <c r="BPW40" s="643"/>
      <c r="BPX40" s="643"/>
      <c r="BPY40" s="643"/>
      <c r="BPZ40" s="643"/>
      <c r="BQA40" s="643"/>
      <c r="BQB40" s="643"/>
      <c r="BQC40" s="643"/>
      <c r="BQD40" s="643"/>
      <c r="BQE40" s="643"/>
      <c r="BQF40" s="643"/>
      <c r="BQG40" s="643"/>
      <c r="BQH40" s="643"/>
      <c r="BQI40" s="643"/>
      <c r="BQJ40" s="643"/>
      <c r="BQK40" s="643"/>
      <c r="BQL40" s="643"/>
      <c r="BQM40" s="643"/>
      <c r="BQN40" s="643"/>
      <c r="BQO40" s="643"/>
      <c r="BQP40" s="643"/>
      <c r="BQQ40" s="643"/>
      <c r="BQR40" s="643"/>
      <c r="BQS40" s="643"/>
      <c r="BQT40" s="643"/>
      <c r="BQU40" s="643"/>
      <c r="BQV40" s="643"/>
      <c r="BQW40" s="643"/>
      <c r="BQX40" s="643"/>
      <c r="BQY40" s="643"/>
      <c r="BQZ40" s="643"/>
      <c r="BRA40" s="643"/>
      <c r="BRB40" s="643"/>
      <c r="BRC40" s="643"/>
      <c r="BRD40" s="643"/>
      <c r="BRE40" s="643"/>
      <c r="BRF40" s="643"/>
      <c r="BRG40" s="643"/>
      <c r="BRH40" s="643"/>
      <c r="BRI40" s="643"/>
      <c r="BRJ40" s="643"/>
      <c r="BRK40" s="643"/>
      <c r="BRL40" s="643"/>
      <c r="BRM40" s="643"/>
      <c r="BRN40" s="643"/>
      <c r="BRO40" s="643"/>
      <c r="BRP40" s="643"/>
      <c r="BRQ40" s="643"/>
      <c r="BRR40" s="643"/>
      <c r="BRS40" s="643"/>
      <c r="BRT40" s="643"/>
      <c r="BRU40" s="643"/>
      <c r="BRV40" s="643"/>
      <c r="BRW40" s="643"/>
      <c r="BRX40" s="643"/>
      <c r="BRY40" s="643"/>
      <c r="BRZ40" s="643"/>
      <c r="BSA40" s="643"/>
      <c r="BSB40" s="643"/>
      <c r="BSC40" s="643"/>
      <c r="BSD40" s="643"/>
      <c r="BSE40" s="643"/>
      <c r="BSF40" s="643"/>
      <c r="BSG40" s="643"/>
      <c r="BSH40" s="643"/>
      <c r="BSI40" s="643"/>
      <c r="BSJ40" s="643"/>
      <c r="BSK40" s="643"/>
      <c r="BSL40" s="643"/>
      <c r="BSM40" s="643"/>
      <c r="BSN40" s="643"/>
      <c r="BSO40" s="643"/>
      <c r="BSP40" s="643"/>
      <c r="BSQ40" s="643"/>
      <c r="BSR40" s="643"/>
      <c r="BSS40" s="643"/>
      <c r="BST40" s="643"/>
      <c r="BSU40" s="643"/>
      <c r="BSV40" s="643"/>
      <c r="BSW40" s="643"/>
      <c r="BSX40" s="643"/>
      <c r="BSY40" s="643"/>
      <c r="BSZ40" s="643"/>
      <c r="BTA40" s="643"/>
      <c r="BTB40" s="643"/>
      <c r="BTC40" s="643"/>
      <c r="BTD40" s="643"/>
      <c r="BTE40" s="643"/>
      <c r="BTF40" s="643"/>
      <c r="BTG40" s="643"/>
      <c r="BTH40" s="643"/>
      <c r="BTI40" s="643"/>
      <c r="BTJ40" s="643"/>
      <c r="BTK40" s="643"/>
      <c r="BTL40" s="643"/>
      <c r="BTM40" s="643"/>
      <c r="BTN40" s="643"/>
      <c r="BTO40" s="643"/>
      <c r="BTP40" s="643"/>
      <c r="BTQ40" s="643"/>
      <c r="BTR40" s="643"/>
      <c r="BTS40" s="643"/>
      <c r="BTT40" s="643"/>
      <c r="BTU40" s="643"/>
      <c r="BTV40" s="643"/>
      <c r="BTW40" s="643"/>
      <c r="BTX40" s="643"/>
      <c r="BTY40" s="643"/>
      <c r="BTZ40" s="643"/>
      <c r="BUA40" s="643"/>
      <c r="BUB40" s="643"/>
      <c r="BUC40" s="643"/>
      <c r="BUD40" s="643"/>
      <c r="BUE40" s="643"/>
      <c r="BUF40" s="643"/>
      <c r="BUG40" s="643"/>
      <c r="BUH40" s="643"/>
      <c r="BUI40" s="643"/>
      <c r="BUJ40" s="643"/>
      <c r="BUK40" s="643"/>
      <c r="BUL40" s="643"/>
      <c r="BUM40" s="643"/>
      <c r="BUN40" s="643"/>
      <c r="BUO40" s="643"/>
      <c r="BUP40" s="643"/>
      <c r="BUQ40" s="643"/>
      <c r="BUR40" s="643"/>
      <c r="BUS40" s="643"/>
      <c r="BUT40" s="643"/>
      <c r="BUU40" s="643"/>
      <c r="BUV40" s="643"/>
      <c r="BUW40" s="643"/>
      <c r="BUX40" s="643"/>
      <c r="BUY40" s="643"/>
      <c r="BUZ40" s="643"/>
      <c r="BVA40" s="643"/>
      <c r="BVB40" s="643"/>
      <c r="BVC40" s="643"/>
      <c r="BVD40" s="643"/>
      <c r="BVE40" s="643"/>
      <c r="BVF40" s="643"/>
      <c r="BVG40" s="643"/>
      <c r="BVH40" s="643"/>
      <c r="BVI40" s="643"/>
      <c r="BVJ40" s="643"/>
      <c r="BVK40" s="643"/>
      <c r="BVL40" s="643"/>
      <c r="BVM40" s="643"/>
      <c r="BVN40" s="643"/>
      <c r="BVO40" s="643"/>
      <c r="BVP40" s="643"/>
      <c r="BVQ40" s="643"/>
      <c r="BVR40" s="643"/>
      <c r="BVS40" s="643"/>
      <c r="BVT40" s="643"/>
      <c r="BVU40" s="643"/>
      <c r="BVV40" s="643"/>
      <c r="BVW40" s="643"/>
      <c r="BVX40" s="643"/>
      <c r="BVY40" s="643"/>
      <c r="BVZ40" s="643"/>
      <c r="BWA40" s="643"/>
      <c r="BWB40" s="643"/>
      <c r="BWC40" s="643"/>
      <c r="BWD40" s="643"/>
      <c r="BWE40" s="643"/>
      <c r="BWF40" s="643"/>
      <c r="BWG40" s="643"/>
      <c r="BWH40" s="643"/>
      <c r="BWI40" s="643"/>
      <c r="BWJ40" s="643"/>
      <c r="BWK40" s="643"/>
      <c r="BWL40" s="643"/>
      <c r="BWM40" s="643"/>
      <c r="BWN40" s="643"/>
      <c r="BWO40" s="643"/>
      <c r="BWP40" s="643"/>
      <c r="BWQ40" s="643"/>
      <c r="BWR40" s="643"/>
      <c r="BWS40" s="643"/>
      <c r="BWT40" s="643"/>
      <c r="BWU40" s="643"/>
      <c r="BWV40" s="643"/>
      <c r="BWW40" s="643"/>
      <c r="BWX40" s="643"/>
      <c r="BWY40" s="643"/>
      <c r="BWZ40" s="643"/>
      <c r="BXA40" s="643"/>
      <c r="BXB40" s="643"/>
      <c r="BXC40" s="643"/>
      <c r="BXD40" s="643"/>
      <c r="BXE40" s="643"/>
      <c r="BXF40" s="643"/>
      <c r="BXG40" s="643"/>
      <c r="BXH40" s="643"/>
      <c r="BXI40" s="643"/>
      <c r="BXJ40" s="643"/>
      <c r="BXK40" s="643"/>
      <c r="BXL40" s="643"/>
      <c r="BXM40" s="643"/>
      <c r="BXN40" s="643"/>
      <c r="BXO40" s="643"/>
      <c r="BXP40" s="643"/>
      <c r="BXQ40" s="643"/>
      <c r="BXR40" s="643"/>
      <c r="BXS40" s="643"/>
      <c r="BXT40" s="643"/>
      <c r="BXU40" s="643"/>
      <c r="BXV40" s="643"/>
      <c r="BXW40" s="643"/>
      <c r="BXX40" s="643"/>
      <c r="BXY40" s="643"/>
      <c r="BXZ40" s="643"/>
      <c r="BYA40" s="643"/>
      <c r="BYB40" s="643"/>
      <c r="BYC40" s="643"/>
      <c r="BYD40" s="643"/>
      <c r="BYE40" s="643"/>
      <c r="BYF40" s="643"/>
      <c r="BYG40" s="643"/>
      <c r="BYH40" s="643"/>
      <c r="BYI40" s="643"/>
      <c r="BYJ40" s="643"/>
      <c r="BYK40" s="643"/>
      <c r="BYL40" s="643"/>
      <c r="BYM40" s="643"/>
      <c r="BYN40" s="643"/>
      <c r="BYO40" s="643"/>
      <c r="BYP40" s="643"/>
      <c r="BYQ40" s="643"/>
      <c r="BYR40" s="643"/>
      <c r="BYS40" s="643"/>
      <c r="BYT40" s="643"/>
      <c r="BYU40" s="643"/>
      <c r="BYV40" s="643"/>
      <c r="BYW40" s="643"/>
      <c r="BYX40" s="643"/>
      <c r="BYY40" s="643"/>
      <c r="BYZ40" s="643"/>
      <c r="BZA40" s="643"/>
      <c r="BZB40" s="643"/>
      <c r="BZC40" s="643"/>
      <c r="BZD40" s="643"/>
      <c r="BZE40" s="643"/>
      <c r="BZF40" s="643"/>
      <c r="BZG40" s="643"/>
      <c r="BZH40" s="643"/>
      <c r="BZI40" s="643"/>
      <c r="BZJ40" s="643"/>
      <c r="BZK40" s="643"/>
      <c r="BZL40" s="643"/>
      <c r="BZM40" s="643"/>
      <c r="BZN40" s="643"/>
      <c r="BZO40" s="643"/>
      <c r="BZP40" s="643"/>
      <c r="BZQ40" s="643"/>
      <c r="BZR40" s="643"/>
      <c r="BZS40" s="643"/>
      <c r="BZT40" s="643"/>
      <c r="BZU40" s="643"/>
      <c r="BZV40" s="643"/>
      <c r="BZW40" s="643"/>
      <c r="BZX40" s="643"/>
      <c r="BZY40" s="643"/>
      <c r="BZZ40" s="643"/>
      <c r="CAA40" s="643"/>
      <c r="CAB40" s="643"/>
      <c r="CAC40" s="643"/>
      <c r="CAD40" s="643"/>
      <c r="CAE40" s="643"/>
      <c r="CAF40" s="643"/>
      <c r="CAG40" s="643"/>
      <c r="CAH40" s="643"/>
      <c r="CAI40" s="643"/>
      <c r="CAJ40" s="643"/>
      <c r="CAK40" s="643"/>
      <c r="CAL40" s="643"/>
      <c r="CAM40" s="643"/>
      <c r="CAN40" s="643"/>
      <c r="CAO40" s="643"/>
      <c r="CAP40" s="643"/>
      <c r="CAQ40" s="643"/>
      <c r="CAR40" s="643"/>
      <c r="CAS40" s="643"/>
      <c r="CAT40" s="643"/>
      <c r="CAU40" s="643"/>
      <c r="CAV40" s="643"/>
      <c r="CAW40" s="643"/>
      <c r="CAX40" s="643"/>
      <c r="CAY40" s="643"/>
      <c r="CAZ40" s="643"/>
      <c r="CBA40" s="643"/>
      <c r="CBB40" s="643"/>
      <c r="CBC40" s="643"/>
      <c r="CBD40" s="643"/>
      <c r="CBE40" s="643"/>
      <c r="CBF40" s="643"/>
      <c r="CBG40" s="643"/>
      <c r="CBH40" s="643"/>
      <c r="CBI40" s="643"/>
      <c r="CBJ40" s="643"/>
      <c r="CBK40" s="643"/>
      <c r="CBL40" s="643"/>
      <c r="CBM40" s="643"/>
      <c r="CBN40" s="643"/>
      <c r="CBO40" s="643"/>
      <c r="CBP40" s="643"/>
      <c r="CBQ40" s="643"/>
      <c r="CBR40" s="643"/>
      <c r="CBS40" s="643"/>
      <c r="CBT40" s="643"/>
      <c r="CBU40" s="643"/>
      <c r="CBV40" s="643"/>
      <c r="CBW40" s="643"/>
      <c r="CBX40" s="643"/>
      <c r="CBY40" s="643"/>
      <c r="CBZ40" s="643"/>
      <c r="CCA40" s="643"/>
      <c r="CCB40" s="643"/>
      <c r="CCC40" s="643"/>
      <c r="CCD40" s="643"/>
      <c r="CCE40" s="643"/>
      <c r="CCF40" s="643"/>
      <c r="CCG40" s="643"/>
      <c r="CCH40" s="643"/>
      <c r="CCI40" s="643"/>
      <c r="CCJ40" s="643"/>
      <c r="CCK40" s="643"/>
      <c r="CCL40" s="643"/>
      <c r="CCM40" s="643"/>
      <c r="CCN40" s="643"/>
      <c r="CCO40" s="643"/>
      <c r="CCP40" s="643"/>
      <c r="CCQ40" s="643"/>
      <c r="CCR40" s="643"/>
      <c r="CCS40" s="643"/>
      <c r="CCT40" s="643"/>
      <c r="CCU40" s="643"/>
      <c r="CCV40" s="643"/>
      <c r="CCW40" s="643"/>
      <c r="CCX40" s="643"/>
      <c r="CCY40" s="643"/>
      <c r="CCZ40" s="643"/>
      <c r="CDA40" s="643"/>
      <c r="CDB40" s="643"/>
      <c r="CDC40" s="643"/>
      <c r="CDD40" s="643"/>
      <c r="CDE40" s="643"/>
      <c r="CDF40" s="643"/>
      <c r="CDG40" s="643"/>
      <c r="CDH40" s="643"/>
      <c r="CDI40" s="643"/>
      <c r="CDJ40" s="643"/>
      <c r="CDK40" s="643"/>
      <c r="CDL40" s="643"/>
      <c r="CDM40" s="643"/>
      <c r="CDN40" s="643"/>
      <c r="CDO40" s="643"/>
      <c r="CDP40" s="643"/>
      <c r="CDQ40" s="643"/>
      <c r="CDR40" s="643"/>
      <c r="CDS40" s="643"/>
      <c r="CDT40" s="643"/>
      <c r="CDU40" s="643"/>
      <c r="CDV40" s="643"/>
      <c r="CDW40" s="643"/>
      <c r="CDX40" s="643"/>
      <c r="CDY40" s="643"/>
      <c r="CDZ40" s="643"/>
      <c r="CEA40" s="643"/>
      <c r="CEB40" s="643"/>
      <c r="CEC40" s="643"/>
      <c r="CED40" s="643"/>
      <c r="CEE40" s="643"/>
      <c r="CEF40" s="643"/>
      <c r="CEG40" s="643"/>
      <c r="CEH40" s="643"/>
      <c r="CEI40" s="643"/>
      <c r="CEJ40" s="643"/>
      <c r="CEK40" s="643"/>
      <c r="CEL40" s="643"/>
      <c r="CEM40" s="643"/>
      <c r="CEN40" s="643"/>
      <c r="CEO40" s="643"/>
      <c r="CEP40" s="643"/>
      <c r="CEQ40" s="643"/>
      <c r="CER40" s="643"/>
      <c r="CES40" s="643"/>
      <c r="CET40" s="643"/>
      <c r="CEU40" s="643"/>
      <c r="CEV40" s="643"/>
      <c r="CEW40" s="643"/>
      <c r="CEX40" s="643"/>
      <c r="CEY40" s="643"/>
      <c r="CEZ40" s="643"/>
      <c r="CFA40" s="643"/>
      <c r="CFB40" s="643"/>
      <c r="CFC40" s="643"/>
      <c r="CFD40" s="643"/>
      <c r="CFE40" s="643"/>
      <c r="CFF40" s="643"/>
      <c r="CFG40" s="643"/>
      <c r="CFH40" s="643"/>
      <c r="CFI40" s="643"/>
      <c r="CFJ40" s="643"/>
      <c r="CFK40" s="643"/>
      <c r="CFL40" s="643"/>
      <c r="CFM40" s="643"/>
      <c r="CFN40" s="643"/>
      <c r="CFO40" s="643"/>
      <c r="CFP40" s="643"/>
      <c r="CFQ40" s="643"/>
      <c r="CFR40" s="643"/>
      <c r="CFS40" s="643"/>
      <c r="CFT40" s="643"/>
      <c r="CFU40" s="643"/>
      <c r="CFV40" s="643"/>
      <c r="CFW40" s="643"/>
      <c r="CFX40" s="643"/>
      <c r="CFY40" s="643"/>
      <c r="CFZ40" s="643"/>
      <c r="CGA40" s="643"/>
      <c r="CGB40" s="643"/>
      <c r="CGC40" s="643"/>
      <c r="CGD40" s="643"/>
      <c r="CGE40" s="643"/>
      <c r="CGF40" s="643"/>
      <c r="CGG40" s="643"/>
      <c r="CGH40" s="643"/>
      <c r="CGI40" s="643"/>
      <c r="CGJ40" s="643"/>
      <c r="CGK40" s="643"/>
      <c r="CGL40" s="643"/>
      <c r="CGM40" s="643"/>
      <c r="CGN40" s="643"/>
      <c r="CGO40" s="643"/>
      <c r="CGP40" s="643"/>
      <c r="CGQ40" s="643"/>
      <c r="CGR40" s="643"/>
      <c r="CGS40" s="643"/>
      <c r="CGT40" s="643"/>
      <c r="CGU40" s="643"/>
      <c r="CGV40" s="643"/>
      <c r="CGW40" s="643"/>
      <c r="CGX40" s="643"/>
      <c r="CGY40" s="643"/>
      <c r="CGZ40" s="643"/>
      <c r="CHA40" s="643"/>
      <c r="CHB40" s="643"/>
      <c r="CHC40" s="643"/>
      <c r="CHD40" s="643"/>
      <c r="CHE40" s="643"/>
      <c r="CHF40" s="643"/>
      <c r="CHG40" s="643"/>
      <c r="CHH40" s="643"/>
      <c r="CHI40" s="643"/>
      <c r="CHJ40" s="643"/>
      <c r="CHK40" s="643"/>
      <c r="CHL40" s="643"/>
      <c r="CHM40" s="643"/>
      <c r="CHN40" s="643"/>
      <c r="CHO40" s="643"/>
      <c r="CHP40" s="643"/>
      <c r="CHQ40" s="643"/>
      <c r="CHR40" s="643"/>
      <c r="CHS40" s="643"/>
      <c r="CHT40" s="643"/>
      <c r="CHU40" s="643"/>
      <c r="CHV40" s="643"/>
      <c r="CHW40" s="643"/>
      <c r="CHX40" s="643"/>
      <c r="CHY40" s="643"/>
      <c r="CHZ40" s="643"/>
      <c r="CIA40" s="643"/>
      <c r="CIB40" s="643"/>
      <c r="CIC40" s="643"/>
      <c r="CID40" s="643"/>
      <c r="CIE40" s="643"/>
      <c r="CIF40" s="643"/>
      <c r="CIG40" s="643"/>
      <c r="CIH40" s="643"/>
      <c r="CII40" s="643"/>
      <c r="CIJ40" s="643"/>
      <c r="CIK40" s="643"/>
      <c r="CIL40" s="643"/>
      <c r="CIM40" s="643"/>
      <c r="CIN40" s="643"/>
      <c r="CIO40" s="643"/>
      <c r="CIP40" s="643"/>
      <c r="CIQ40" s="643"/>
      <c r="CIR40" s="643"/>
      <c r="CIS40" s="643"/>
      <c r="CIT40" s="643"/>
      <c r="CIU40" s="643"/>
      <c r="CIV40" s="643"/>
      <c r="CIW40" s="643"/>
      <c r="CIX40" s="643"/>
      <c r="CIY40" s="643"/>
      <c r="CIZ40" s="643"/>
      <c r="CJA40" s="643"/>
      <c r="CJB40" s="643"/>
      <c r="CJC40" s="643"/>
      <c r="CJD40" s="643"/>
      <c r="CJE40" s="643"/>
      <c r="CJF40" s="643"/>
      <c r="CJG40" s="643"/>
      <c r="CJH40" s="643"/>
      <c r="CJI40" s="643"/>
      <c r="CJJ40" s="643"/>
      <c r="CJK40" s="643"/>
      <c r="CJL40" s="643"/>
      <c r="CJM40" s="643"/>
      <c r="CJN40" s="643"/>
      <c r="CJO40" s="643"/>
      <c r="CJP40" s="643"/>
      <c r="CJQ40" s="643"/>
      <c r="CJR40" s="643"/>
      <c r="CJS40" s="643"/>
      <c r="CJT40" s="643"/>
      <c r="CJU40" s="643"/>
      <c r="CJV40" s="643"/>
      <c r="CJW40" s="643"/>
      <c r="CJX40" s="643"/>
      <c r="CJY40" s="643"/>
      <c r="CJZ40" s="643"/>
      <c r="CKA40" s="643"/>
      <c r="CKB40" s="643"/>
      <c r="CKC40" s="643"/>
      <c r="CKD40" s="643"/>
      <c r="CKE40" s="643"/>
      <c r="CKF40" s="643"/>
      <c r="CKG40" s="643"/>
      <c r="CKH40" s="643"/>
      <c r="CKI40" s="643"/>
      <c r="CKJ40" s="643"/>
      <c r="CKK40" s="643"/>
      <c r="CKL40" s="643"/>
      <c r="CKM40" s="643"/>
      <c r="CKN40" s="643"/>
      <c r="CKO40" s="643"/>
      <c r="CKP40" s="643"/>
      <c r="CKQ40" s="643"/>
      <c r="CKR40" s="643"/>
      <c r="CKS40" s="643"/>
      <c r="CKT40" s="643"/>
      <c r="CKU40" s="643"/>
      <c r="CKV40" s="643"/>
      <c r="CKW40" s="643"/>
      <c r="CKX40" s="643"/>
      <c r="CKY40" s="643"/>
      <c r="CKZ40" s="643"/>
      <c r="CLA40" s="643"/>
      <c r="CLB40" s="643"/>
      <c r="CLC40" s="643"/>
      <c r="CLD40" s="643"/>
      <c r="CLE40" s="643"/>
      <c r="CLF40" s="643"/>
      <c r="CLG40" s="643"/>
      <c r="CLH40" s="643"/>
      <c r="CLI40" s="643"/>
      <c r="CLJ40" s="643"/>
      <c r="CLK40" s="643"/>
      <c r="CLL40" s="643"/>
      <c r="CLM40" s="643"/>
      <c r="CLN40" s="643"/>
      <c r="CLO40" s="643"/>
      <c r="CLP40" s="643"/>
      <c r="CLQ40" s="643"/>
      <c r="CLR40" s="643"/>
      <c r="CLS40" s="643"/>
      <c r="CLT40" s="643"/>
      <c r="CLU40" s="643"/>
      <c r="CLV40" s="643"/>
      <c r="CLW40" s="643"/>
      <c r="CLX40" s="643"/>
      <c r="CLY40" s="643"/>
      <c r="CLZ40" s="643"/>
      <c r="CMA40" s="643"/>
      <c r="CMB40" s="643"/>
      <c r="CMC40" s="643"/>
      <c r="CMD40" s="643"/>
      <c r="CME40" s="643"/>
      <c r="CMF40" s="643"/>
      <c r="CMG40" s="643"/>
      <c r="CMH40" s="643"/>
      <c r="CMI40" s="643"/>
      <c r="CMJ40" s="643"/>
      <c r="CMK40" s="643"/>
      <c r="CML40" s="643"/>
      <c r="CMM40" s="643"/>
      <c r="CMN40" s="643"/>
      <c r="CMO40" s="643"/>
      <c r="CMP40" s="643"/>
      <c r="CMQ40" s="643"/>
      <c r="CMR40" s="643"/>
      <c r="CMS40" s="643"/>
      <c r="CMT40" s="643"/>
      <c r="CMU40" s="643"/>
      <c r="CMV40" s="643"/>
      <c r="CMW40" s="643"/>
      <c r="CMX40" s="643"/>
      <c r="CMY40" s="643"/>
      <c r="CMZ40" s="643"/>
      <c r="CNA40" s="643"/>
      <c r="CNB40" s="643"/>
      <c r="CNC40" s="643"/>
      <c r="CND40" s="643"/>
      <c r="CNE40" s="643"/>
      <c r="CNF40" s="643"/>
      <c r="CNG40" s="643"/>
      <c r="CNH40" s="643"/>
      <c r="CNI40" s="643"/>
      <c r="CNJ40" s="643"/>
      <c r="CNK40" s="643"/>
      <c r="CNL40" s="643"/>
      <c r="CNM40" s="643"/>
      <c r="CNN40" s="643"/>
      <c r="CNO40" s="643"/>
      <c r="CNP40" s="643"/>
      <c r="CNQ40" s="643"/>
      <c r="CNR40" s="643"/>
      <c r="CNS40" s="643"/>
      <c r="CNT40" s="643"/>
      <c r="CNU40" s="643"/>
      <c r="CNV40" s="643"/>
      <c r="CNW40" s="643"/>
      <c r="CNX40" s="643"/>
      <c r="CNY40" s="643"/>
      <c r="CNZ40" s="643"/>
      <c r="COA40" s="643"/>
      <c r="COB40" s="643"/>
      <c r="COC40" s="643"/>
      <c r="COD40" s="643"/>
      <c r="COE40" s="643"/>
      <c r="COF40" s="643"/>
      <c r="COG40" s="643"/>
      <c r="COH40" s="643"/>
      <c r="COI40" s="643"/>
      <c r="COJ40" s="643"/>
      <c r="COK40" s="643"/>
      <c r="COL40" s="643"/>
      <c r="COM40" s="643"/>
      <c r="CON40" s="643"/>
      <c r="COO40" s="643"/>
      <c r="COP40" s="643"/>
      <c r="COQ40" s="643"/>
      <c r="COR40" s="643"/>
      <c r="COS40" s="643"/>
      <c r="COT40" s="643"/>
      <c r="COU40" s="643"/>
      <c r="COV40" s="643"/>
      <c r="COW40" s="643"/>
      <c r="COX40" s="643"/>
      <c r="COY40" s="643"/>
      <c r="COZ40" s="643"/>
      <c r="CPA40" s="643"/>
      <c r="CPB40" s="643"/>
      <c r="CPC40" s="643"/>
      <c r="CPD40" s="643"/>
      <c r="CPE40" s="643"/>
      <c r="CPF40" s="643"/>
      <c r="CPG40" s="643"/>
      <c r="CPH40" s="643"/>
      <c r="CPI40" s="643"/>
      <c r="CPJ40" s="643"/>
      <c r="CPK40" s="643"/>
      <c r="CPL40" s="643"/>
      <c r="CPM40" s="643"/>
      <c r="CPN40" s="643"/>
      <c r="CPO40" s="643"/>
      <c r="CPP40" s="643"/>
      <c r="CPQ40" s="643"/>
      <c r="CPR40" s="643"/>
      <c r="CPS40" s="643"/>
      <c r="CPT40" s="643"/>
      <c r="CPU40" s="643"/>
      <c r="CPV40" s="643"/>
      <c r="CPW40" s="643"/>
      <c r="CPX40" s="643"/>
      <c r="CPY40" s="643"/>
      <c r="CPZ40" s="643"/>
      <c r="CQA40" s="643"/>
      <c r="CQB40" s="643"/>
      <c r="CQC40" s="643"/>
      <c r="CQD40" s="643"/>
      <c r="CQE40" s="643"/>
      <c r="CQF40" s="643"/>
      <c r="CQG40" s="643"/>
      <c r="CQH40" s="643"/>
      <c r="CQI40" s="643"/>
      <c r="CQJ40" s="643"/>
      <c r="CQK40" s="643"/>
      <c r="CQL40" s="643"/>
      <c r="CQM40" s="643"/>
      <c r="CQN40" s="643"/>
      <c r="CQO40" s="643"/>
      <c r="CQP40" s="643"/>
      <c r="CQQ40" s="643"/>
      <c r="CQR40" s="643"/>
      <c r="CQS40" s="643"/>
      <c r="CQT40" s="643"/>
      <c r="CQU40" s="643"/>
      <c r="CQV40" s="643"/>
      <c r="CQW40" s="643"/>
      <c r="CQX40" s="643"/>
      <c r="CQY40" s="643"/>
      <c r="CQZ40" s="643"/>
      <c r="CRA40" s="643"/>
      <c r="CRB40" s="643"/>
      <c r="CRC40" s="643"/>
      <c r="CRD40" s="643"/>
      <c r="CRE40" s="643"/>
      <c r="CRF40" s="643"/>
      <c r="CRG40" s="643"/>
      <c r="CRH40" s="643"/>
      <c r="CRI40" s="643"/>
      <c r="CRJ40" s="643"/>
      <c r="CRK40" s="643"/>
      <c r="CRL40" s="643"/>
      <c r="CRM40" s="643"/>
      <c r="CRN40" s="643"/>
      <c r="CRO40" s="643"/>
      <c r="CRP40" s="643"/>
      <c r="CRQ40" s="643"/>
      <c r="CRR40" s="643"/>
      <c r="CRS40" s="643"/>
      <c r="CRT40" s="643"/>
      <c r="CRU40" s="643"/>
      <c r="CRV40" s="643"/>
      <c r="CRW40" s="643"/>
      <c r="CRX40" s="643"/>
      <c r="CRY40" s="643"/>
      <c r="CRZ40" s="643"/>
      <c r="CSA40" s="643"/>
      <c r="CSB40" s="643"/>
      <c r="CSC40" s="643"/>
      <c r="CSD40" s="643"/>
      <c r="CSE40" s="643"/>
      <c r="CSF40" s="643"/>
      <c r="CSG40" s="643"/>
      <c r="CSH40" s="643"/>
      <c r="CSI40" s="643"/>
      <c r="CSJ40" s="643"/>
      <c r="CSK40" s="643"/>
      <c r="CSL40" s="643"/>
      <c r="CSM40" s="643"/>
      <c r="CSN40" s="643"/>
      <c r="CSO40" s="643"/>
      <c r="CSP40" s="643"/>
      <c r="CSQ40" s="643"/>
      <c r="CSR40" s="643"/>
      <c r="CSS40" s="643"/>
      <c r="CST40" s="643"/>
      <c r="CSU40" s="643"/>
      <c r="CSV40" s="643"/>
      <c r="CSW40" s="643"/>
      <c r="CSX40" s="643"/>
      <c r="CSY40" s="643"/>
      <c r="CSZ40" s="643"/>
      <c r="CTA40" s="643"/>
      <c r="CTB40" s="643"/>
      <c r="CTC40" s="643"/>
      <c r="CTD40" s="643"/>
      <c r="CTE40" s="643"/>
      <c r="CTF40" s="643"/>
      <c r="CTG40" s="643"/>
      <c r="CTH40" s="643"/>
      <c r="CTI40" s="643"/>
      <c r="CTJ40" s="643"/>
      <c r="CTK40" s="643"/>
      <c r="CTL40" s="643"/>
      <c r="CTM40" s="643"/>
      <c r="CTN40" s="643"/>
      <c r="CTO40" s="643"/>
      <c r="CTP40" s="643"/>
      <c r="CTQ40" s="643"/>
      <c r="CTR40" s="643"/>
      <c r="CTS40" s="643"/>
      <c r="CTT40" s="643"/>
      <c r="CTU40" s="643"/>
      <c r="CTV40" s="643"/>
      <c r="CTW40" s="643"/>
      <c r="CTX40" s="643"/>
      <c r="CTY40" s="643"/>
      <c r="CTZ40" s="643"/>
      <c r="CUA40" s="643"/>
      <c r="CUB40" s="643"/>
      <c r="CUC40" s="643"/>
      <c r="CUD40" s="643"/>
      <c r="CUE40" s="643"/>
      <c r="CUF40" s="643"/>
      <c r="CUG40" s="643"/>
      <c r="CUH40" s="643"/>
      <c r="CUI40" s="643"/>
      <c r="CUJ40" s="643"/>
      <c r="CUK40" s="643"/>
      <c r="CUL40" s="643"/>
      <c r="CUM40" s="643"/>
      <c r="CUN40" s="643"/>
      <c r="CUO40" s="643"/>
      <c r="CUP40" s="643"/>
      <c r="CUQ40" s="643"/>
      <c r="CUR40" s="643"/>
      <c r="CUS40" s="643"/>
      <c r="CUT40" s="643"/>
      <c r="CUU40" s="643"/>
      <c r="CUV40" s="643"/>
      <c r="CUW40" s="643"/>
      <c r="CUX40" s="643"/>
      <c r="CUY40" s="643"/>
      <c r="CUZ40" s="643"/>
      <c r="CVA40" s="643"/>
      <c r="CVB40" s="643"/>
      <c r="CVC40" s="643"/>
      <c r="CVD40" s="643"/>
      <c r="CVE40" s="643"/>
      <c r="CVF40" s="643"/>
      <c r="CVG40" s="643"/>
      <c r="CVH40" s="643"/>
      <c r="CVI40" s="643"/>
      <c r="CVJ40" s="643"/>
      <c r="CVK40" s="643"/>
      <c r="CVL40" s="643"/>
      <c r="CVM40" s="643"/>
      <c r="CVN40" s="643"/>
      <c r="CVO40" s="643"/>
      <c r="CVP40" s="643"/>
      <c r="CVQ40" s="643"/>
      <c r="CVR40" s="643"/>
      <c r="CVS40" s="643"/>
      <c r="CVT40" s="643"/>
      <c r="CVU40" s="643"/>
      <c r="CVV40" s="643"/>
      <c r="CVW40" s="643"/>
      <c r="CVX40" s="643"/>
      <c r="CVY40" s="643"/>
      <c r="CVZ40" s="643"/>
      <c r="CWA40" s="643"/>
      <c r="CWB40" s="643"/>
      <c r="CWC40" s="643"/>
      <c r="CWD40" s="643"/>
      <c r="CWE40" s="643"/>
      <c r="CWF40" s="643"/>
      <c r="CWG40" s="643"/>
      <c r="CWH40" s="643"/>
      <c r="CWI40" s="643"/>
      <c r="CWJ40" s="643"/>
      <c r="CWK40" s="643"/>
      <c r="CWL40" s="643"/>
      <c r="CWM40" s="643"/>
      <c r="CWN40" s="643"/>
      <c r="CWO40" s="643"/>
      <c r="CWP40" s="643"/>
      <c r="CWQ40" s="643"/>
      <c r="CWR40" s="643"/>
      <c r="CWS40" s="643"/>
      <c r="CWT40" s="643"/>
      <c r="CWU40" s="643"/>
      <c r="CWV40" s="643"/>
      <c r="CWW40" s="643"/>
      <c r="CWX40" s="643"/>
      <c r="CWY40" s="643"/>
      <c r="CWZ40" s="643"/>
      <c r="CXA40" s="643"/>
      <c r="CXB40" s="643"/>
      <c r="CXC40" s="643"/>
      <c r="CXD40" s="643"/>
      <c r="CXE40" s="643"/>
      <c r="CXF40" s="643"/>
      <c r="CXG40" s="643"/>
      <c r="CXH40" s="643"/>
      <c r="CXI40" s="643"/>
      <c r="CXJ40" s="643"/>
      <c r="CXK40" s="643"/>
      <c r="CXL40" s="643"/>
      <c r="CXM40" s="643"/>
      <c r="CXN40" s="643"/>
      <c r="CXO40" s="643"/>
      <c r="CXP40" s="643"/>
      <c r="CXQ40" s="643"/>
      <c r="CXR40" s="643"/>
      <c r="CXS40" s="643"/>
      <c r="CXT40" s="643"/>
      <c r="CXU40" s="643"/>
      <c r="CXV40" s="643"/>
      <c r="CXW40" s="643"/>
      <c r="CXX40" s="643"/>
      <c r="CXY40" s="643"/>
      <c r="CXZ40" s="643"/>
      <c r="CYA40" s="643"/>
      <c r="CYB40" s="643"/>
      <c r="CYC40" s="643"/>
      <c r="CYD40" s="643"/>
      <c r="CYE40" s="643"/>
      <c r="CYF40" s="643"/>
      <c r="CYG40" s="643"/>
      <c r="CYH40" s="643"/>
      <c r="CYI40" s="643"/>
      <c r="CYJ40" s="643"/>
      <c r="CYK40" s="643"/>
      <c r="CYL40" s="643"/>
      <c r="CYM40" s="643"/>
      <c r="CYN40" s="643"/>
      <c r="CYO40" s="643"/>
      <c r="CYP40" s="643"/>
      <c r="CYQ40" s="643"/>
      <c r="CYR40" s="643"/>
      <c r="CYS40" s="643"/>
      <c r="CYT40" s="643"/>
      <c r="CYU40" s="643"/>
      <c r="CYV40" s="643"/>
      <c r="CYW40" s="643"/>
      <c r="CYX40" s="643"/>
      <c r="CYY40" s="643"/>
      <c r="CYZ40" s="643"/>
      <c r="CZA40" s="643"/>
      <c r="CZB40" s="643"/>
      <c r="CZC40" s="643"/>
      <c r="CZD40" s="643"/>
      <c r="CZE40" s="643"/>
      <c r="CZF40" s="643"/>
      <c r="CZG40" s="643"/>
      <c r="CZH40" s="643"/>
      <c r="CZI40" s="643"/>
      <c r="CZJ40" s="643"/>
      <c r="CZK40" s="643"/>
      <c r="CZL40" s="643"/>
      <c r="CZM40" s="643"/>
      <c r="CZN40" s="643"/>
      <c r="CZO40" s="643"/>
      <c r="CZP40" s="643"/>
      <c r="CZQ40" s="643"/>
      <c r="CZR40" s="643"/>
      <c r="CZS40" s="643"/>
      <c r="CZT40" s="643"/>
      <c r="CZU40" s="643"/>
      <c r="CZV40" s="643"/>
      <c r="CZW40" s="643"/>
      <c r="CZX40" s="643"/>
      <c r="CZY40" s="643"/>
      <c r="CZZ40" s="643"/>
      <c r="DAA40" s="643"/>
      <c r="DAB40" s="643"/>
      <c r="DAC40" s="643"/>
      <c r="DAD40" s="643"/>
      <c r="DAE40" s="643"/>
      <c r="DAF40" s="643"/>
      <c r="DAG40" s="643"/>
      <c r="DAH40" s="643"/>
      <c r="DAI40" s="643"/>
      <c r="DAJ40" s="643"/>
      <c r="DAK40" s="643"/>
      <c r="DAL40" s="643"/>
      <c r="DAM40" s="643"/>
      <c r="DAN40" s="643"/>
      <c r="DAO40" s="643"/>
      <c r="DAP40" s="643"/>
      <c r="DAQ40" s="643"/>
      <c r="DAR40" s="643"/>
      <c r="DAS40" s="643"/>
      <c r="DAT40" s="643"/>
      <c r="DAU40" s="643"/>
      <c r="DAV40" s="643"/>
      <c r="DAW40" s="643"/>
      <c r="DAX40" s="643"/>
      <c r="DAY40" s="643"/>
      <c r="DAZ40" s="643"/>
      <c r="DBA40" s="643"/>
      <c r="DBB40" s="643"/>
      <c r="DBC40" s="643"/>
      <c r="DBD40" s="643"/>
      <c r="DBE40" s="643"/>
      <c r="DBF40" s="643"/>
      <c r="DBG40" s="643"/>
      <c r="DBH40" s="643"/>
      <c r="DBI40" s="643"/>
      <c r="DBJ40" s="643"/>
      <c r="DBK40" s="643"/>
      <c r="DBL40" s="643"/>
      <c r="DBM40" s="643"/>
      <c r="DBN40" s="643"/>
      <c r="DBO40" s="643"/>
      <c r="DBP40" s="643"/>
      <c r="DBQ40" s="643"/>
      <c r="DBR40" s="643"/>
      <c r="DBS40" s="643"/>
      <c r="DBT40" s="643"/>
      <c r="DBU40" s="643"/>
      <c r="DBV40" s="643"/>
      <c r="DBW40" s="643"/>
      <c r="DBX40" s="643"/>
      <c r="DBY40" s="643"/>
      <c r="DBZ40" s="643"/>
      <c r="DCA40" s="643"/>
      <c r="DCB40" s="643"/>
      <c r="DCC40" s="643"/>
      <c r="DCD40" s="643"/>
      <c r="DCE40" s="643"/>
      <c r="DCF40" s="643"/>
      <c r="DCG40" s="643"/>
      <c r="DCH40" s="643"/>
      <c r="DCI40" s="643"/>
      <c r="DCJ40" s="643"/>
      <c r="DCK40" s="643"/>
      <c r="DCL40" s="643"/>
      <c r="DCM40" s="643"/>
      <c r="DCN40" s="643"/>
      <c r="DCO40" s="643"/>
      <c r="DCP40" s="643"/>
      <c r="DCQ40" s="643"/>
      <c r="DCR40" s="643"/>
      <c r="DCS40" s="643"/>
      <c r="DCT40" s="643"/>
      <c r="DCU40" s="643"/>
      <c r="DCV40" s="643"/>
      <c r="DCW40" s="643"/>
      <c r="DCX40" s="643"/>
      <c r="DCY40" s="643"/>
      <c r="DCZ40" s="643"/>
      <c r="DDA40" s="643"/>
      <c r="DDB40" s="643"/>
      <c r="DDC40" s="643"/>
      <c r="DDD40" s="643"/>
      <c r="DDE40" s="643"/>
      <c r="DDF40" s="643"/>
      <c r="DDG40" s="643"/>
      <c r="DDH40" s="643"/>
      <c r="DDI40" s="643"/>
      <c r="DDJ40" s="643"/>
      <c r="DDK40" s="643"/>
      <c r="DDL40" s="643"/>
      <c r="DDM40" s="643"/>
      <c r="DDN40" s="643"/>
      <c r="DDO40" s="643"/>
      <c r="DDP40" s="643"/>
      <c r="DDQ40" s="643"/>
      <c r="DDR40" s="643"/>
      <c r="DDS40" s="643"/>
      <c r="DDT40" s="643"/>
      <c r="DDU40" s="643"/>
      <c r="DDV40" s="643"/>
      <c r="DDW40" s="643"/>
      <c r="DDX40" s="643"/>
      <c r="DDY40" s="643"/>
      <c r="DDZ40" s="643"/>
      <c r="DEA40" s="643"/>
      <c r="DEB40" s="643"/>
      <c r="DEC40" s="643"/>
      <c r="DED40" s="643"/>
      <c r="DEE40" s="643"/>
      <c r="DEF40" s="643"/>
      <c r="DEG40" s="643"/>
      <c r="DEH40" s="643"/>
      <c r="DEI40" s="643"/>
      <c r="DEJ40" s="643"/>
      <c r="DEK40" s="643"/>
      <c r="DEL40" s="643"/>
      <c r="DEM40" s="643"/>
      <c r="DEN40" s="643"/>
      <c r="DEO40" s="643"/>
      <c r="DEP40" s="643"/>
      <c r="DEQ40" s="643"/>
      <c r="DER40" s="643"/>
      <c r="DES40" s="643"/>
      <c r="DET40" s="643"/>
      <c r="DEU40" s="643"/>
      <c r="DEV40" s="643"/>
      <c r="DEW40" s="643"/>
      <c r="DEX40" s="643"/>
      <c r="DEY40" s="643"/>
      <c r="DEZ40" s="643"/>
      <c r="DFA40" s="643"/>
      <c r="DFB40" s="643"/>
      <c r="DFC40" s="643"/>
      <c r="DFD40" s="643"/>
      <c r="DFE40" s="643"/>
      <c r="DFF40" s="643"/>
      <c r="DFG40" s="643"/>
      <c r="DFH40" s="643"/>
      <c r="DFI40" s="643"/>
      <c r="DFJ40" s="643"/>
      <c r="DFK40" s="643"/>
      <c r="DFL40" s="643"/>
      <c r="DFM40" s="643"/>
      <c r="DFN40" s="643"/>
      <c r="DFO40" s="643"/>
      <c r="DFP40" s="643"/>
      <c r="DFQ40" s="643"/>
      <c r="DFR40" s="643"/>
      <c r="DFS40" s="643"/>
      <c r="DFT40" s="643"/>
      <c r="DFU40" s="643"/>
      <c r="DFV40" s="643"/>
      <c r="DFW40" s="643"/>
      <c r="DFX40" s="643"/>
      <c r="DFY40" s="643"/>
      <c r="DFZ40" s="643"/>
      <c r="DGA40" s="643"/>
      <c r="DGB40" s="643"/>
      <c r="DGC40" s="643"/>
      <c r="DGD40" s="643"/>
      <c r="DGE40" s="643"/>
      <c r="DGF40" s="643"/>
      <c r="DGG40" s="643"/>
      <c r="DGH40" s="643"/>
      <c r="DGI40" s="643"/>
      <c r="DGJ40" s="643"/>
      <c r="DGK40" s="643"/>
      <c r="DGL40" s="643"/>
      <c r="DGM40" s="643"/>
      <c r="DGN40" s="643"/>
      <c r="DGO40" s="643"/>
      <c r="DGP40" s="643"/>
      <c r="DGQ40" s="643"/>
      <c r="DGR40" s="643"/>
      <c r="DGS40" s="643"/>
      <c r="DGT40" s="643"/>
      <c r="DGU40" s="643"/>
      <c r="DGV40" s="643"/>
      <c r="DGW40" s="643"/>
      <c r="DGX40" s="643"/>
      <c r="DGY40" s="643"/>
      <c r="DGZ40" s="643"/>
      <c r="DHA40" s="643"/>
      <c r="DHB40" s="643"/>
      <c r="DHC40" s="643"/>
      <c r="DHD40" s="643"/>
      <c r="DHE40" s="643"/>
      <c r="DHF40" s="643"/>
      <c r="DHG40" s="643"/>
      <c r="DHH40" s="643"/>
      <c r="DHI40" s="643"/>
      <c r="DHJ40" s="643"/>
      <c r="DHK40" s="643"/>
      <c r="DHL40" s="643"/>
      <c r="DHM40" s="643"/>
      <c r="DHN40" s="643"/>
      <c r="DHO40" s="643"/>
      <c r="DHP40" s="643"/>
      <c r="DHQ40" s="643"/>
      <c r="DHR40" s="643"/>
      <c r="DHS40" s="643"/>
      <c r="DHT40" s="643"/>
      <c r="DHU40" s="643"/>
      <c r="DHV40" s="643"/>
      <c r="DHW40" s="643"/>
      <c r="DHX40" s="643"/>
      <c r="DHY40" s="643"/>
      <c r="DHZ40" s="643"/>
      <c r="DIA40" s="643"/>
      <c r="DIB40" s="643"/>
      <c r="DIC40" s="643"/>
      <c r="DID40" s="643"/>
      <c r="DIE40" s="643"/>
      <c r="DIF40" s="643"/>
      <c r="DIG40" s="643"/>
      <c r="DIH40" s="643"/>
      <c r="DII40" s="643"/>
      <c r="DIJ40" s="643"/>
      <c r="DIK40" s="643"/>
      <c r="DIL40" s="643"/>
      <c r="DIM40" s="643"/>
      <c r="DIN40" s="643"/>
      <c r="DIO40" s="643"/>
      <c r="DIP40" s="643"/>
      <c r="DIQ40" s="643"/>
      <c r="DIR40" s="643"/>
      <c r="DIS40" s="643"/>
      <c r="DIT40" s="643"/>
      <c r="DIU40" s="643"/>
      <c r="DIV40" s="643"/>
      <c r="DIW40" s="643"/>
      <c r="DIX40" s="643"/>
      <c r="DIY40" s="643"/>
      <c r="DIZ40" s="643"/>
      <c r="DJA40" s="643"/>
      <c r="DJB40" s="643"/>
      <c r="DJC40" s="643"/>
      <c r="DJD40" s="643"/>
      <c r="DJE40" s="643"/>
      <c r="DJF40" s="643"/>
      <c r="DJG40" s="643"/>
      <c r="DJH40" s="643"/>
      <c r="DJI40" s="643"/>
      <c r="DJJ40" s="643"/>
      <c r="DJK40" s="643"/>
      <c r="DJL40" s="643"/>
      <c r="DJM40" s="643"/>
      <c r="DJN40" s="643"/>
      <c r="DJO40" s="643"/>
      <c r="DJP40" s="643"/>
      <c r="DJQ40" s="643"/>
      <c r="DJR40" s="643"/>
      <c r="DJS40" s="643"/>
      <c r="DJT40" s="643"/>
      <c r="DJU40" s="643"/>
      <c r="DJV40" s="643"/>
      <c r="DJW40" s="643"/>
      <c r="DJX40" s="643"/>
      <c r="DJY40" s="643"/>
      <c r="DJZ40" s="643"/>
      <c r="DKA40" s="643"/>
      <c r="DKB40" s="643"/>
      <c r="DKC40" s="643"/>
      <c r="DKD40" s="643"/>
      <c r="DKE40" s="643"/>
      <c r="DKF40" s="643"/>
      <c r="DKG40" s="643"/>
      <c r="DKH40" s="643"/>
      <c r="DKI40" s="643"/>
      <c r="DKJ40" s="643"/>
      <c r="DKK40" s="643"/>
      <c r="DKL40" s="643"/>
      <c r="DKM40" s="643"/>
      <c r="DKN40" s="643"/>
      <c r="DKO40" s="643"/>
      <c r="DKP40" s="643"/>
      <c r="DKQ40" s="643"/>
      <c r="DKR40" s="643"/>
      <c r="DKS40" s="643"/>
      <c r="DKT40" s="643"/>
      <c r="DKU40" s="643"/>
      <c r="DKV40" s="643"/>
      <c r="DKW40" s="643"/>
      <c r="DKX40" s="643"/>
      <c r="DKY40" s="643"/>
      <c r="DKZ40" s="643"/>
      <c r="DLA40" s="643"/>
      <c r="DLB40" s="643"/>
      <c r="DLC40" s="643"/>
      <c r="DLD40" s="643"/>
      <c r="DLE40" s="643"/>
      <c r="DLF40" s="643"/>
      <c r="DLG40" s="643"/>
      <c r="DLH40" s="643"/>
      <c r="DLI40" s="643"/>
      <c r="DLJ40" s="643"/>
      <c r="DLK40" s="643"/>
      <c r="DLL40" s="643"/>
      <c r="DLM40" s="643"/>
      <c r="DLN40" s="643"/>
      <c r="DLO40" s="643"/>
      <c r="DLP40" s="643"/>
      <c r="DLQ40" s="643"/>
      <c r="DLR40" s="643"/>
      <c r="DLS40" s="643"/>
      <c r="DLT40" s="643"/>
      <c r="DLU40" s="643"/>
      <c r="DLV40" s="643"/>
      <c r="DLW40" s="643"/>
      <c r="DLX40" s="643"/>
      <c r="DLY40" s="643"/>
      <c r="DLZ40" s="643"/>
      <c r="DMA40" s="643"/>
      <c r="DMB40" s="643"/>
      <c r="DMC40" s="643"/>
      <c r="DMD40" s="643"/>
      <c r="DME40" s="643"/>
      <c r="DMF40" s="643"/>
      <c r="DMG40" s="643"/>
      <c r="DMH40" s="643"/>
      <c r="DMI40" s="643"/>
      <c r="DMJ40" s="643"/>
      <c r="DMK40" s="643"/>
      <c r="DML40" s="643"/>
      <c r="DMM40" s="643"/>
      <c r="DMN40" s="643"/>
      <c r="DMO40" s="643"/>
      <c r="DMP40" s="643"/>
      <c r="DMQ40" s="643"/>
      <c r="DMR40" s="643"/>
      <c r="DMS40" s="643"/>
      <c r="DMT40" s="643"/>
      <c r="DMU40" s="643"/>
      <c r="DMV40" s="643"/>
      <c r="DMW40" s="643"/>
      <c r="DMX40" s="643"/>
      <c r="DMY40" s="643"/>
      <c r="DMZ40" s="643"/>
      <c r="DNA40" s="643"/>
      <c r="DNB40" s="643"/>
      <c r="DNC40" s="643"/>
      <c r="DND40" s="643"/>
      <c r="DNE40" s="643"/>
      <c r="DNF40" s="643"/>
      <c r="DNG40" s="643"/>
      <c r="DNH40" s="643"/>
      <c r="DNI40" s="643"/>
      <c r="DNJ40" s="643"/>
      <c r="DNK40" s="643"/>
      <c r="DNL40" s="643"/>
      <c r="DNM40" s="643"/>
      <c r="DNN40" s="643"/>
      <c r="DNO40" s="643"/>
      <c r="DNP40" s="643"/>
      <c r="DNQ40" s="643"/>
      <c r="DNR40" s="643"/>
      <c r="DNS40" s="643"/>
      <c r="DNT40" s="643"/>
      <c r="DNU40" s="643"/>
      <c r="DNV40" s="643"/>
      <c r="DNW40" s="643"/>
      <c r="DNX40" s="643"/>
      <c r="DNY40" s="643"/>
      <c r="DNZ40" s="643"/>
      <c r="DOA40" s="643"/>
      <c r="DOB40" s="643"/>
      <c r="DOC40" s="643"/>
      <c r="DOD40" s="643"/>
      <c r="DOE40" s="643"/>
      <c r="DOF40" s="643"/>
      <c r="DOG40" s="643"/>
      <c r="DOH40" s="643"/>
      <c r="DOI40" s="643"/>
      <c r="DOJ40" s="643"/>
      <c r="DOK40" s="643"/>
      <c r="DOL40" s="643"/>
      <c r="DOM40" s="643"/>
      <c r="DON40" s="643"/>
      <c r="DOO40" s="643"/>
      <c r="DOP40" s="643"/>
      <c r="DOQ40" s="643"/>
      <c r="DOR40" s="643"/>
      <c r="DOS40" s="643"/>
      <c r="DOT40" s="643"/>
      <c r="DOU40" s="643"/>
      <c r="DOV40" s="643"/>
      <c r="DOW40" s="643"/>
      <c r="DOX40" s="643"/>
      <c r="DOY40" s="643"/>
      <c r="DOZ40" s="643"/>
      <c r="DPA40" s="643"/>
      <c r="DPB40" s="643"/>
      <c r="DPC40" s="643"/>
      <c r="DPD40" s="643"/>
      <c r="DPE40" s="643"/>
      <c r="DPF40" s="643"/>
      <c r="DPG40" s="643"/>
      <c r="DPH40" s="643"/>
      <c r="DPI40" s="643"/>
      <c r="DPJ40" s="643"/>
      <c r="DPK40" s="643"/>
      <c r="DPL40" s="643"/>
      <c r="DPM40" s="643"/>
      <c r="DPN40" s="643"/>
      <c r="DPO40" s="643"/>
      <c r="DPP40" s="643"/>
      <c r="DPQ40" s="643"/>
      <c r="DPR40" s="643"/>
      <c r="DPS40" s="643"/>
      <c r="DPT40" s="643"/>
      <c r="DPU40" s="643"/>
      <c r="DPV40" s="643"/>
      <c r="DPW40" s="643"/>
      <c r="DPX40" s="643"/>
      <c r="DPY40" s="643"/>
      <c r="DPZ40" s="643"/>
      <c r="DQA40" s="643"/>
      <c r="DQB40" s="643"/>
      <c r="DQC40" s="643"/>
      <c r="DQD40" s="643"/>
      <c r="DQE40" s="643"/>
      <c r="DQF40" s="643"/>
      <c r="DQG40" s="643"/>
      <c r="DQH40" s="643"/>
      <c r="DQI40" s="643"/>
      <c r="DQJ40" s="643"/>
      <c r="DQK40" s="643"/>
      <c r="DQL40" s="643"/>
      <c r="DQM40" s="643"/>
      <c r="DQN40" s="643"/>
      <c r="DQO40" s="643"/>
      <c r="DQP40" s="643"/>
      <c r="DQQ40" s="643"/>
      <c r="DQR40" s="643"/>
      <c r="DQS40" s="643"/>
      <c r="DQT40" s="643"/>
      <c r="DQU40" s="643"/>
      <c r="DQV40" s="643"/>
      <c r="DQW40" s="643"/>
      <c r="DQX40" s="643"/>
      <c r="DQY40" s="643"/>
      <c r="DQZ40" s="643"/>
      <c r="DRA40" s="643"/>
      <c r="DRB40" s="643"/>
      <c r="DRC40" s="643"/>
      <c r="DRD40" s="643"/>
      <c r="DRE40" s="643"/>
      <c r="DRF40" s="643"/>
      <c r="DRG40" s="643"/>
      <c r="DRH40" s="643"/>
      <c r="DRI40" s="643"/>
      <c r="DRJ40" s="643"/>
      <c r="DRK40" s="643"/>
      <c r="DRL40" s="643"/>
      <c r="DRM40" s="643"/>
      <c r="DRN40" s="643"/>
      <c r="DRO40" s="643"/>
      <c r="DRP40" s="643"/>
      <c r="DRQ40" s="643"/>
      <c r="DRR40" s="643"/>
      <c r="DRS40" s="643"/>
      <c r="DRT40" s="643"/>
      <c r="DRU40" s="643"/>
      <c r="DRV40" s="643"/>
      <c r="DRW40" s="643"/>
      <c r="DRX40" s="643"/>
      <c r="DRY40" s="643"/>
      <c r="DRZ40" s="643"/>
      <c r="DSA40" s="643"/>
      <c r="DSB40" s="643"/>
      <c r="DSC40" s="643"/>
      <c r="DSD40" s="643"/>
      <c r="DSE40" s="643"/>
      <c r="DSF40" s="643"/>
      <c r="DSG40" s="643"/>
      <c r="DSH40" s="643"/>
      <c r="DSI40" s="643"/>
      <c r="DSJ40" s="643"/>
      <c r="DSK40" s="643"/>
      <c r="DSL40" s="643"/>
      <c r="DSM40" s="643"/>
      <c r="DSN40" s="643"/>
      <c r="DSO40" s="643"/>
      <c r="DSP40" s="643"/>
      <c r="DSQ40" s="643"/>
      <c r="DSR40" s="643"/>
      <c r="DSS40" s="643"/>
      <c r="DST40" s="643"/>
      <c r="DSU40" s="643"/>
      <c r="DSV40" s="643"/>
      <c r="DSW40" s="643"/>
      <c r="DSX40" s="643"/>
      <c r="DSY40" s="643"/>
      <c r="DSZ40" s="643"/>
      <c r="DTA40" s="643"/>
      <c r="DTB40" s="643"/>
      <c r="DTC40" s="643"/>
      <c r="DTD40" s="643"/>
      <c r="DTE40" s="643"/>
      <c r="DTF40" s="643"/>
      <c r="DTG40" s="643"/>
      <c r="DTH40" s="643"/>
      <c r="DTI40" s="643"/>
      <c r="DTJ40" s="643"/>
      <c r="DTK40" s="643"/>
      <c r="DTL40" s="643"/>
      <c r="DTM40" s="643"/>
      <c r="DTN40" s="643"/>
      <c r="DTO40" s="643"/>
      <c r="DTP40" s="643"/>
      <c r="DTQ40" s="643"/>
      <c r="DTR40" s="643"/>
      <c r="DTS40" s="643"/>
      <c r="DTT40" s="643"/>
      <c r="DTU40" s="643"/>
      <c r="DTV40" s="643"/>
      <c r="DTW40" s="643"/>
      <c r="DTX40" s="643"/>
      <c r="DTY40" s="643"/>
      <c r="DTZ40" s="643"/>
      <c r="DUA40" s="643"/>
      <c r="DUB40" s="643"/>
      <c r="DUC40" s="643"/>
      <c r="DUD40" s="643"/>
      <c r="DUE40" s="643"/>
      <c r="DUF40" s="643"/>
      <c r="DUG40" s="643"/>
      <c r="DUH40" s="643"/>
      <c r="DUI40" s="643"/>
      <c r="DUJ40" s="643"/>
      <c r="DUK40" s="643"/>
      <c r="DUL40" s="643"/>
      <c r="DUM40" s="643"/>
      <c r="DUN40" s="643"/>
      <c r="DUO40" s="643"/>
      <c r="DUP40" s="643"/>
      <c r="DUQ40" s="643"/>
      <c r="DUR40" s="643"/>
      <c r="DUS40" s="643"/>
      <c r="DUT40" s="643"/>
      <c r="DUU40" s="643"/>
      <c r="DUV40" s="643"/>
      <c r="DUW40" s="643"/>
      <c r="DUX40" s="643"/>
      <c r="DUY40" s="643"/>
      <c r="DUZ40" s="643"/>
      <c r="DVA40" s="643"/>
      <c r="DVB40" s="643"/>
      <c r="DVC40" s="643"/>
      <c r="DVD40" s="643"/>
      <c r="DVE40" s="643"/>
      <c r="DVF40" s="643"/>
      <c r="DVG40" s="643"/>
      <c r="DVH40" s="643"/>
      <c r="DVI40" s="643"/>
      <c r="DVJ40" s="643"/>
      <c r="DVK40" s="643"/>
      <c r="DVL40" s="643"/>
      <c r="DVM40" s="643"/>
      <c r="DVN40" s="643"/>
      <c r="DVO40" s="643"/>
      <c r="DVP40" s="643"/>
      <c r="DVQ40" s="643"/>
      <c r="DVR40" s="643"/>
      <c r="DVS40" s="643"/>
      <c r="DVT40" s="643"/>
      <c r="DVU40" s="643"/>
      <c r="DVV40" s="643"/>
      <c r="DVW40" s="643"/>
      <c r="DVX40" s="643"/>
      <c r="DVY40" s="643"/>
      <c r="DVZ40" s="643"/>
      <c r="DWA40" s="643"/>
      <c r="DWB40" s="643"/>
      <c r="DWC40" s="643"/>
      <c r="DWD40" s="643"/>
      <c r="DWE40" s="643"/>
      <c r="DWF40" s="643"/>
      <c r="DWG40" s="643"/>
      <c r="DWH40" s="643"/>
      <c r="DWI40" s="643"/>
      <c r="DWJ40" s="643"/>
      <c r="DWK40" s="643"/>
      <c r="DWL40" s="643"/>
      <c r="DWM40" s="643"/>
      <c r="DWN40" s="643"/>
      <c r="DWO40" s="643"/>
      <c r="DWP40" s="643"/>
      <c r="DWQ40" s="643"/>
      <c r="DWR40" s="643"/>
      <c r="DWS40" s="643"/>
      <c r="DWT40" s="643"/>
      <c r="DWU40" s="643"/>
      <c r="DWV40" s="643"/>
      <c r="DWW40" s="643"/>
      <c r="DWX40" s="643"/>
      <c r="DWY40" s="643"/>
      <c r="DWZ40" s="643"/>
      <c r="DXA40" s="643"/>
      <c r="DXB40" s="643"/>
      <c r="DXC40" s="643"/>
      <c r="DXD40" s="643"/>
      <c r="DXE40" s="643"/>
      <c r="DXF40" s="643"/>
      <c r="DXG40" s="643"/>
      <c r="DXH40" s="643"/>
      <c r="DXI40" s="643"/>
      <c r="DXJ40" s="643"/>
      <c r="DXK40" s="643"/>
      <c r="DXL40" s="643"/>
      <c r="DXM40" s="643"/>
      <c r="DXN40" s="643"/>
      <c r="DXO40" s="643"/>
      <c r="DXP40" s="643"/>
      <c r="DXQ40" s="643"/>
      <c r="DXR40" s="643"/>
      <c r="DXS40" s="643"/>
      <c r="DXT40" s="643"/>
      <c r="DXU40" s="643"/>
      <c r="DXV40" s="643"/>
      <c r="DXW40" s="643"/>
      <c r="DXX40" s="643"/>
      <c r="DXY40" s="643"/>
      <c r="DXZ40" s="643"/>
      <c r="DYA40" s="643"/>
      <c r="DYB40" s="643"/>
      <c r="DYC40" s="643"/>
      <c r="DYD40" s="643"/>
      <c r="DYE40" s="643"/>
      <c r="DYF40" s="643"/>
      <c r="DYG40" s="643"/>
      <c r="DYH40" s="643"/>
      <c r="DYI40" s="643"/>
      <c r="DYJ40" s="643"/>
      <c r="DYK40" s="643"/>
      <c r="DYL40" s="643"/>
      <c r="DYM40" s="643"/>
      <c r="DYN40" s="643"/>
      <c r="DYO40" s="643"/>
      <c r="DYP40" s="643"/>
      <c r="DYQ40" s="643"/>
      <c r="DYR40" s="643"/>
      <c r="DYS40" s="643"/>
      <c r="DYT40" s="643"/>
      <c r="DYU40" s="643"/>
      <c r="DYV40" s="643"/>
      <c r="DYW40" s="643"/>
      <c r="DYX40" s="643"/>
      <c r="DYY40" s="643"/>
      <c r="DYZ40" s="643"/>
      <c r="DZA40" s="643"/>
      <c r="DZB40" s="643"/>
      <c r="DZC40" s="643"/>
      <c r="DZD40" s="643"/>
      <c r="DZE40" s="643"/>
      <c r="DZF40" s="643"/>
      <c r="DZG40" s="643"/>
      <c r="DZH40" s="643"/>
      <c r="DZI40" s="643"/>
      <c r="DZJ40" s="643"/>
      <c r="DZK40" s="643"/>
      <c r="DZL40" s="643"/>
      <c r="DZM40" s="643"/>
      <c r="DZN40" s="643"/>
      <c r="DZO40" s="643"/>
      <c r="DZP40" s="643"/>
      <c r="DZQ40" s="643"/>
      <c r="DZR40" s="643"/>
      <c r="DZS40" s="643"/>
      <c r="DZT40" s="643"/>
      <c r="DZU40" s="643"/>
      <c r="DZV40" s="643"/>
      <c r="DZW40" s="643"/>
      <c r="DZX40" s="643"/>
      <c r="DZY40" s="643"/>
      <c r="DZZ40" s="643"/>
      <c r="EAA40" s="643"/>
      <c r="EAB40" s="643"/>
      <c r="EAC40" s="643"/>
      <c r="EAD40" s="643"/>
      <c r="EAE40" s="643"/>
      <c r="EAF40" s="643"/>
      <c r="EAG40" s="643"/>
      <c r="EAH40" s="643"/>
      <c r="EAI40" s="643"/>
      <c r="EAJ40" s="643"/>
      <c r="EAK40" s="643"/>
      <c r="EAL40" s="643"/>
      <c r="EAM40" s="643"/>
      <c r="EAN40" s="643"/>
      <c r="EAO40" s="643"/>
      <c r="EAP40" s="643"/>
      <c r="EAQ40" s="643"/>
      <c r="EAR40" s="643"/>
      <c r="EAS40" s="643"/>
      <c r="EAT40" s="643"/>
      <c r="EAU40" s="643"/>
      <c r="EAV40" s="643"/>
      <c r="EAW40" s="643"/>
      <c r="EAX40" s="643"/>
      <c r="EAY40" s="643"/>
      <c r="EAZ40" s="643"/>
      <c r="EBA40" s="643"/>
      <c r="EBB40" s="643"/>
      <c r="EBC40" s="643"/>
      <c r="EBD40" s="643"/>
      <c r="EBE40" s="643"/>
      <c r="EBF40" s="643"/>
      <c r="EBG40" s="643"/>
      <c r="EBH40" s="643"/>
      <c r="EBI40" s="643"/>
      <c r="EBJ40" s="643"/>
      <c r="EBK40" s="643"/>
      <c r="EBL40" s="643"/>
      <c r="EBM40" s="643"/>
      <c r="EBN40" s="643"/>
      <c r="EBO40" s="643"/>
      <c r="EBP40" s="643"/>
      <c r="EBQ40" s="643"/>
      <c r="EBR40" s="643"/>
      <c r="EBS40" s="643"/>
      <c r="EBT40" s="643"/>
      <c r="EBU40" s="643"/>
      <c r="EBV40" s="643"/>
      <c r="EBW40" s="643"/>
      <c r="EBX40" s="643"/>
      <c r="EBY40" s="643"/>
      <c r="EBZ40" s="643"/>
      <c r="ECA40" s="643"/>
      <c r="ECB40" s="643"/>
      <c r="ECC40" s="643"/>
      <c r="ECD40" s="643"/>
      <c r="ECE40" s="643"/>
      <c r="ECF40" s="643"/>
      <c r="ECG40" s="643"/>
      <c r="ECH40" s="643"/>
      <c r="ECI40" s="643"/>
      <c r="ECJ40" s="643"/>
      <c r="ECK40" s="643"/>
      <c r="ECL40" s="643"/>
      <c r="ECM40" s="643"/>
      <c r="ECN40" s="643"/>
      <c r="ECO40" s="643"/>
      <c r="ECP40" s="643"/>
      <c r="ECQ40" s="643"/>
      <c r="ECR40" s="643"/>
      <c r="ECS40" s="643"/>
      <c r="ECT40" s="643"/>
      <c r="ECU40" s="643"/>
      <c r="ECV40" s="643"/>
      <c r="ECW40" s="643"/>
      <c r="ECX40" s="643"/>
      <c r="ECY40" s="643"/>
      <c r="ECZ40" s="643"/>
      <c r="EDA40" s="643"/>
      <c r="EDB40" s="643"/>
      <c r="EDC40" s="643"/>
      <c r="EDD40" s="643"/>
      <c r="EDE40" s="643"/>
      <c r="EDF40" s="643"/>
      <c r="EDG40" s="643"/>
      <c r="EDH40" s="643"/>
      <c r="EDI40" s="643"/>
      <c r="EDJ40" s="643"/>
      <c r="EDK40" s="643"/>
      <c r="EDL40" s="643"/>
      <c r="EDM40" s="643"/>
      <c r="EDN40" s="643"/>
      <c r="EDO40" s="643"/>
      <c r="EDP40" s="643"/>
      <c r="EDQ40" s="643"/>
      <c r="EDR40" s="643"/>
      <c r="EDS40" s="643"/>
      <c r="EDT40" s="643"/>
      <c r="EDU40" s="643"/>
      <c r="EDV40" s="643"/>
      <c r="EDW40" s="643"/>
      <c r="EDX40" s="643"/>
      <c r="EDY40" s="643"/>
      <c r="EDZ40" s="643"/>
      <c r="EEA40" s="643"/>
      <c r="EEB40" s="643"/>
      <c r="EEC40" s="643"/>
      <c r="EED40" s="643"/>
      <c r="EEE40" s="643"/>
      <c r="EEF40" s="643"/>
      <c r="EEG40" s="643"/>
      <c r="EEH40" s="643"/>
      <c r="EEI40" s="643"/>
      <c r="EEJ40" s="643"/>
      <c r="EEK40" s="643"/>
      <c r="EEL40" s="643"/>
      <c r="EEM40" s="643"/>
      <c r="EEN40" s="643"/>
      <c r="EEO40" s="643"/>
      <c r="EEP40" s="643"/>
      <c r="EEQ40" s="643"/>
      <c r="EER40" s="643"/>
      <c r="EES40" s="643"/>
      <c r="EET40" s="643"/>
      <c r="EEU40" s="643"/>
      <c r="EEV40" s="643"/>
      <c r="EEW40" s="643"/>
      <c r="EEX40" s="643"/>
      <c r="EEY40" s="643"/>
      <c r="EEZ40" s="643"/>
      <c r="EFA40" s="643"/>
      <c r="EFB40" s="643"/>
      <c r="EFC40" s="643"/>
      <c r="EFD40" s="643"/>
      <c r="EFE40" s="643"/>
      <c r="EFF40" s="643"/>
      <c r="EFG40" s="643"/>
      <c r="EFH40" s="643"/>
      <c r="EFI40" s="643"/>
      <c r="EFJ40" s="643"/>
      <c r="EFK40" s="643"/>
      <c r="EFL40" s="643"/>
      <c r="EFM40" s="643"/>
      <c r="EFN40" s="643"/>
      <c r="EFO40" s="643"/>
      <c r="EFP40" s="643"/>
      <c r="EFQ40" s="643"/>
      <c r="EFR40" s="643"/>
      <c r="EFS40" s="643"/>
      <c r="EFT40" s="643"/>
      <c r="EFU40" s="643"/>
      <c r="EFV40" s="643"/>
      <c r="EFW40" s="643"/>
      <c r="EFX40" s="643"/>
      <c r="EFY40" s="643"/>
      <c r="EFZ40" s="643"/>
      <c r="EGA40" s="643"/>
      <c r="EGB40" s="643"/>
      <c r="EGC40" s="643"/>
      <c r="EGD40" s="643"/>
      <c r="EGE40" s="643"/>
      <c r="EGF40" s="643"/>
      <c r="EGG40" s="643"/>
      <c r="EGH40" s="643"/>
      <c r="EGI40" s="643"/>
      <c r="EGJ40" s="643"/>
      <c r="EGK40" s="643"/>
      <c r="EGL40" s="643"/>
      <c r="EGM40" s="643"/>
      <c r="EGN40" s="643"/>
      <c r="EGO40" s="643"/>
      <c r="EGP40" s="643"/>
      <c r="EGQ40" s="643"/>
      <c r="EGR40" s="643"/>
      <c r="EGS40" s="643"/>
      <c r="EGT40" s="643"/>
      <c r="EGU40" s="643"/>
      <c r="EGV40" s="643"/>
      <c r="EGW40" s="643"/>
      <c r="EGX40" s="643"/>
      <c r="EGY40" s="643"/>
      <c r="EGZ40" s="643"/>
      <c r="EHA40" s="643"/>
      <c r="EHB40" s="643"/>
      <c r="EHC40" s="643"/>
      <c r="EHD40" s="643"/>
      <c r="EHE40" s="643"/>
      <c r="EHF40" s="643"/>
      <c r="EHG40" s="643"/>
      <c r="EHH40" s="643"/>
      <c r="EHI40" s="643"/>
      <c r="EHJ40" s="643"/>
      <c r="EHK40" s="643"/>
      <c r="EHL40" s="643"/>
      <c r="EHM40" s="643"/>
      <c r="EHN40" s="643"/>
      <c r="EHO40" s="643"/>
      <c r="EHP40" s="643"/>
      <c r="EHQ40" s="643"/>
      <c r="EHR40" s="643"/>
      <c r="EHS40" s="643"/>
      <c r="EHT40" s="643"/>
      <c r="EHU40" s="643"/>
      <c r="EHV40" s="643"/>
      <c r="EHW40" s="643"/>
      <c r="EHX40" s="643"/>
      <c r="EHY40" s="643"/>
      <c r="EHZ40" s="643"/>
      <c r="EIA40" s="643"/>
      <c r="EIB40" s="643"/>
      <c r="EIC40" s="643"/>
      <c r="EID40" s="643"/>
      <c r="EIE40" s="643"/>
      <c r="EIF40" s="643"/>
      <c r="EIG40" s="643"/>
      <c r="EIH40" s="643"/>
      <c r="EII40" s="643"/>
      <c r="EIJ40" s="643"/>
      <c r="EIK40" s="643"/>
      <c r="EIL40" s="643"/>
      <c r="EIM40" s="643"/>
      <c r="EIN40" s="643"/>
      <c r="EIO40" s="643"/>
      <c r="EIP40" s="643"/>
      <c r="EIQ40" s="643"/>
      <c r="EIR40" s="643"/>
      <c r="EIS40" s="643"/>
      <c r="EIT40" s="643"/>
      <c r="EIU40" s="643"/>
      <c r="EIV40" s="643"/>
      <c r="EIW40" s="643"/>
      <c r="EIX40" s="643"/>
      <c r="EIY40" s="643"/>
      <c r="EIZ40" s="643"/>
      <c r="EJA40" s="643"/>
      <c r="EJB40" s="643"/>
      <c r="EJC40" s="643"/>
      <c r="EJD40" s="643"/>
      <c r="EJE40" s="643"/>
      <c r="EJF40" s="643"/>
      <c r="EJG40" s="643"/>
      <c r="EJH40" s="643"/>
      <c r="EJI40" s="643"/>
      <c r="EJJ40" s="643"/>
      <c r="EJK40" s="643"/>
      <c r="EJL40" s="643"/>
      <c r="EJM40" s="643"/>
      <c r="EJN40" s="643"/>
      <c r="EJO40" s="643"/>
      <c r="EJP40" s="643"/>
      <c r="EJQ40" s="643"/>
      <c r="EJR40" s="643"/>
      <c r="EJS40" s="643"/>
      <c r="EJT40" s="643"/>
      <c r="EJU40" s="643"/>
      <c r="EJV40" s="643"/>
      <c r="EJW40" s="643"/>
      <c r="EJX40" s="643"/>
      <c r="EJY40" s="643"/>
      <c r="EJZ40" s="643"/>
      <c r="EKA40" s="643"/>
      <c r="EKB40" s="643"/>
      <c r="EKC40" s="643"/>
      <c r="EKD40" s="643"/>
      <c r="EKE40" s="643"/>
      <c r="EKF40" s="643"/>
      <c r="EKG40" s="643"/>
      <c r="EKH40" s="643"/>
      <c r="EKI40" s="643"/>
      <c r="EKJ40" s="643"/>
      <c r="EKK40" s="643"/>
      <c r="EKL40" s="643"/>
      <c r="EKM40" s="643"/>
      <c r="EKN40" s="643"/>
      <c r="EKO40" s="643"/>
      <c r="EKP40" s="643"/>
      <c r="EKQ40" s="643"/>
      <c r="EKR40" s="643"/>
      <c r="EKS40" s="643"/>
      <c r="EKT40" s="643"/>
      <c r="EKU40" s="643"/>
      <c r="EKV40" s="643"/>
      <c r="EKW40" s="643"/>
      <c r="EKX40" s="643"/>
      <c r="EKY40" s="643"/>
      <c r="EKZ40" s="643"/>
      <c r="ELA40" s="643"/>
      <c r="ELB40" s="643"/>
      <c r="ELC40" s="643"/>
      <c r="ELD40" s="643"/>
      <c r="ELE40" s="643"/>
      <c r="ELF40" s="643"/>
      <c r="ELG40" s="643"/>
      <c r="ELH40" s="643"/>
      <c r="ELI40" s="643"/>
      <c r="ELJ40" s="643"/>
      <c r="ELK40" s="643"/>
      <c r="ELL40" s="643"/>
      <c r="ELM40" s="643"/>
      <c r="ELN40" s="643"/>
      <c r="ELO40" s="643"/>
      <c r="ELP40" s="643"/>
      <c r="ELQ40" s="643"/>
      <c r="ELR40" s="643"/>
      <c r="ELS40" s="643"/>
      <c r="ELT40" s="643"/>
      <c r="ELU40" s="643"/>
      <c r="ELV40" s="643"/>
      <c r="ELW40" s="643"/>
      <c r="ELX40" s="643"/>
      <c r="ELY40" s="643"/>
      <c r="ELZ40" s="643"/>
      <c r="EMA40" s="643"/>
      <c r="EMB40" s="643"/>
      <c r="EMC40" s="643"/>
      <c r="EMD40" s="643"/>
      <c r="EME40" s="643"/>
      <c r="EMF40" s="643"/>
      <c r="EMG40" s="643"/>
      <c r="EMH40" s="643"/>
      <c r="EMI40" s="643"/>
      <c r="EMJ40" s="643"/>
      <c r="EMK40" s="643"/>
      <c r="EML40" s="643"/>
      <c r="EMM40" s="643"/>
      <c r="EMN40" s="643"/>
      <c r="EMO40" s="643"/>
      <c r="EMP40" s="643"/>
      <c r="EMQ40" s="643"/>
      <c r="EMR40" s="643"/>
      <c r="EMS40" s="643"/>
      <c r="EMT40" s="643"/>
      <c r="EMU40" s="643"/>
      <c r="EMV40" s="643"/>
      <c r="EMW40" s="643"/>
      <c r="EMX40" s="643"/>
      <c r="EMY40" s="643"/>
      <c r="EMZ40" s="643"/>
      <c r="ENA40" s="643"/>
      <c r="ENB40" s="643"/>
      <c r="ENC40" s="643"/>
      <c r="END40" s="643"/>
      <c r="ENE40" s="643"/>
      <c r="ENF40" s="643"/>
      <c r="ENG40" s="643"/>
      <c r="ENH40" s="643"/>
      <c r="ENI40" s="643"/>
      <c r="ENJ40" s="643"/>
      <c r="ENK40" s="643"/>
      <c r="ENL40" s="643"/>
      <c r="ENM40" s="643"/>
      <c r="ENN40" s="643"/>
      <c r="ENO40" s="643"/>
      <c r="ENP40" s="643"/>
      <c r="ENQ40" s="643"/>
      <c r="ENR40" s="643"/>
      <c r="ENS40" s="643"/>
      <c r="ENT40" s="643"/>
      <c r="ENU40" s="643"/>
      <c r="ENV40" s="643"/>
      <c r="ENW40" s="643"/>
      <c r="ENX40" s="643"/>
      <c r="ENY40" s="643"/>
      <c r="ENZ40" s="643"/>
      <c r="EOA40" s="643"/>
      <c r="EOB40" s="643"/>
      <c r="EOC40" s="643"/>
      <c r="EOD40" s="643"/>
      <c r="EOE40" s="643"/>
      <c r="EOF40" s="643"/>
      <c r="EOG40" s="643"/>
      <c r="EOH40" s="643"/>
      <c r="EOI40" s="643"/>
      <c r="EOJ40" s="643"/>
      <c r="EOK40" s="643"/>
      <c r="EOL40" s="643"/>
      <c r="EOM40" s="643"/>
      <c r="EON40" s="643"/>
      <c r="EOO40" s="643"/>
      <c r="EOP40" s="643"/>
      <c r="EOQ40" s="643"/>
      <c r="EOR40" s="643"/>
      <c r="EOS40" s="643"/>
      <c r="EOT40" s="643"/>
      <c r="EOU40" s="643"/>
      <c r="EOV40" s="643"/>
      <c r="EOW40" s="643"/>
      <c r="EOX40" s="643"/>
      <c r="EOY40" s="643"/>
      <c r="EOZ40" s="643"/>
      <c r="EPA40" s="643"/>
      <c r="EPB40" s="643"/>
      <c r="EPC40" s="643"/>
      <c r="EPD40" s="643"/>
      <c r="EPE40" s="643"/>
      <c r="EPF40" s="643"/>
      <c r="EPG40" s="643"/>
      <c r="EPH40" s="643"/>
      <c r="EPI40" s="643"/>
      <c r="EPJ40" s="643"/>
      <c r="EPK40" s="643"/>
      <c r="EPL40" s="643"/>
      <c r="EPM40" s="643"/>
      <c r="EPN40" s="643"/>
      <c r="EPO40" s="643"/>
      <c r="EPP40" s="643"/>
      <c r="EPQ40" s="643"/>
      <c r="EPR40" s="643"/>
      <c r="EPS40" s="643"/>
      <c r="EPT40" s="643"/>
      <c r="EPU40" s="643"/>
      <c r="EPV40" s="643"/>
      <c r="EPW40" s="643"/>
      <c r="EPX40" s="643"/>
      <c r="EPY40" s="643"/>
      <c r="EPZ40" s="643"/>
      <c r="EQA40" s="643"/>
      <c r="EQB40" s="643"/>
      <c r="EQC40" s="643"/>
      <c r="EQD40" s="643"/>
      <c r="EQE40" s="643"/>
      <c r="EQF40" s="643"/>
      <c r="EQG40" s="643"/>
      <c r="EQH40" s="643"/>
      <c r="EQI40" s="643"/>
      <c r="EQJ40" s="643"/>
      <c r="EQK40" s="643"/>
      <c r="EQL40" s="643"/>
      <c r="EQM40" s="643"/>
      <c r="EQN40" s="643"/>
      <c r="EQO40" s="643"/>
      <c r="EQP40" s="643"/>
      <c r="EQQ40" s="643"/>
      <c r="EQR40" s="643"/>
      <c r="EQS40" s="643"/>
      <c r="EQT40" s="643"/>
      <c r="EQU40" s="643"/>
      <c r="EQV40" s="643"/>
      <c r="EQW40" s="643"/>
      <c r="EQX40" s="643"/>
      <c r="EQY40" s="643"/>
      <c r="EQZ40" s="643"/>
      <c r="ERA40" s="643"/>
      <c r="ERB40" s="643"/>
      <c r="ERC40" s="643"/>
      <c r="ERD40" s="643"/>
      <c r="ERE40" s="643"/>
      <c r="ERF40" s="643"/>
      <c r="ERG40" s="643"/>
      <c r="ERH40" s="643"/>
      <c r="ERI40" s="643"/>
      <c r="ERJ40" s="643"/>
      <c r="ERK40" s="643"/>
      <c r="ERL40" s="643"/>
      <c r="ERM40" s="643"/>
      <c r="ERN40" s="643"/>
      <c r="ERO40" s="643"/>
      <c r="ERP40" s="643"/>
      <c r="ERQ40" s="643"/>
      <c r="ERR40" s="643"/>
      <c r="ERS40" s="643"/>
      <c r="ERT40" s="643"/>
      <c r="ERU40" s="643"/>
      <c r="ERV40" s="643"/>
      <c r="ERW40" s="643"/>
      <c r="ERX40" s="643"/>
      <c r="ERY40" s="643"/>
      <c r="ERZ40" s="643"/>
      <c r="ESA40" s="643"/>
      <c r="ESB40" s="643"/>
      <c r="ESC40" s="643"/>
      <c r="ESD40" s="643"/>
      <c r="ESE40" s="643"/>
      <c r="ESF40" s="643"/>
      <c r="ESG40" s="643"/>
      <c r="ESH40" s="643"/>
      <c r="ESI40" s="643"/>
      <c r="ESJ40" s="643"/>
      <c r="ESK40" s="643"/>
      <c r="ESL40" s="643"/>
      <c r="ESM40" s="643"/>
      <c r="ESN40" s="643"/>
      <c r="ESO40" s="643"/>
      <c r="ESP40" s="643"/>
      <c r="ESQ40" s="643"/>
      <c r="ESR40" s="643"/>
      <c r="ESS40" s="643"/>
      <c r="EST40" s="643"/>
      <c r="ESU40" s="643"/>
      <c r="ESV40" s="643"/>
      <c r="ESW40" s="643"/>
      <c r="ESX40" s="643"/>
      <c r="ESY40" s="643"/>
      <c r="ESZ40" s="643"/>
      <c r="ETA40" s="643"/>
      <c r="ETB40" s="643"/>
      <c r="ETC40" s="643"/>
      <c r="ETD40" s="643"/>
      <c r="ETE40" s="643"/>
      <c r="ETF40" s="643"/>
      <c r="ETG40" s="643"/>
      <c r="ETH40" s="643"/>
      <c r="ETI40" s="643"/>
      <c r="ETJ40" s="643"/>
      <c r="ETK40" s="643"/>
      <c r="ETL40" s="643"/>
      <c r="ETM40" s="643"/>
      <c r="ETN40" s="643"/>
      <c r="ETO40" s="643"/>
      <c r="ETP40" s="643"/>
      <c r="ETQ40" s="643"/>
      <c r="ETR40" s="643"/>
      <c r="ETS40" s="643"/>
      <c r="ETT40" s="643"/>
      <c r="ETU40" s="643"/>
      <c r="ETV40" s="643"/>
      <c r="ETW40" s="643"/>
      <c r="ETX40" s="643"/>
      <c r="ETY40" s="643"/>
      <c r="ETZ40" s="643"/>
      <c r="EUA40" s="643"/>
      <c r="EUB40" s="643"/>
      <c r="EUC40" s="643"/>
      <c r="EUD40" s="643"/>
      <c r="EUE40" s="643"/>
      <c r="EUF40" s="643"/>
      <c r="EUG40" s="643"/>
      <c r="EUH40" s="643"/>
      <c r="EUI40" s="643"/>
      <c r="EUJ40" s="643"/>
      <c r="EUK40" s="643"/>
      <c r="EUL40" s="643"/>
      <c r="EUM40" s="643"/>
      <c r="EUN40" s="643"/>
      <c r="EUO40" s="643"/>
      <c r="EUP40" s="643"/>
      <c r="EUQ40" s="643"/>
      <c r="EUR40" s="643"/>
      <c r="EUS40" s="643"/>
      <c r="EUT40" s="643"/>
      <c r="EUU40" s="643"/>
      <c r="EUV40" s="643"/>
      <c r="EUW40" s="643"/>
      <c r="EUX40" s="643"/>
      <c r="EUY40" s="643"/>
      <c r="EUZ40" s="643"/>
      <c r="EVA40" s="643"/>
      <c r="EVB40" s="643"/>
      <c r="EVC40" s="643"/>
      <c r="EVD40" s="643"/>
      <c r="EVE40" s="643"/>
      <c r="EVF40" s="643"/>
      <c r="EVG40" s="643"/>
      <c r="EVH40" s="643"/>
      <c r="EVI40" s="643"/>
      <c r="EVJ40" s="643"/>
      <c r="EVK40" s="643"/>
      <c r="EVL40" s="643"/>
      <c r="EVM40" s="643"/>
      <c r="EVN40" s="643"/>
      <c r="EVO40" s="643"/>
      <c r="EVP40" s="643"/>
      <c r="EVQ40" s="643"/>
      <c r="EVR40" s="643"/>
      <c r="EVS40" s="643"/>
      <c r="EVT40" s="643"/>
      <c r="EVU40" s="643"/>
      <c r="EVV40" s="643"/>
      <c r="EVW40" s="643"/>
      <c r="EVX40" s="643"/>
      <c r="EVY40" s="643"/>
      <c r="EVZ40" s="643"/>
      <c r="EWA40" s="643"/>
      <c r="EWB40" s="643"/>
      <c r="EWC40" s="643"/>
      <c r="EWD40" s="643"/>
      <c r="EWE40" s="643"/>
      <c r="EWF40" s="643"/>
      <c r="EWG40" s="643"/>
      <c r="EWH40" s="643"/>
      <c r="EWI40" s="643"/>
      <c r="EWJ40" s="643"/>
      <c r="EWK40" s="643"/>
      <c r="EWL40" s="643"/>
      <c r="EWM40" s="643"/>
      <c r="EWN40" s="643"/>
      <c r="EWO40" s="643"/>
      <c r="EWP40" s="643"/>
      <c r="EWQ40" s="643"/>
      <c r="EWR40" s="643"/>
      <c r="EWS40" s="643"/>
      <c r="EWT40" s="643"/>
      <c r="EWU40" s="643"/>
      <c r="EWV40" s="643"/>
      <c r="EWW40" s="643"/>
      <c r="EWX40" s="643"/>
      <c r="EWY40" s="643"/>
      <c r="EWZ40" s="643"/>
      <c r="EXA40" s="643"/>
      <c r="EXB40" s="643"/>
      <c r="EXC40" s="643"/>
      <c r="EXD40" s="643"/>
      <c r="EXE40" s="643"/>
      <c r="EXF40" s="643"/>
      <c r="EXG40" s="643"/>
      <c r="EXH40" s="643"/>
      <c r="EXI40" s="643"/>
      <c r="EXJ40" s="643"/>
      <c r="EXK40" s="643"/>
      <c r="EXL40" s="643"/>
      <c r="EXM40" s="643"/>
      <c r="EXN40" s="643"/>
      <c r="EXO40" s="643"/>
      <c r="EXP40" s="643"/>
      <c r="EXQ40" s="643"/>
      <c r="EXR40" s="643"/>
      <c r="EXS40" s="643"/>
      <c r="EXT40" s="643"/>
      <c r="EXU40" s="643"/>
      <c r="EXV40" s="643"/>
      <c r="EXW40" s="643"/>
      <c r="EXX40" s="643"/>
      <c r="EXY40" s="643"/>
      <c r="EXZ40" s="643"/>
      <c r="EYA40" s="643"/>
      <c r="EYB40" s="643"/>
      <c r="EYC40" s="643"/>
      <c r="EYD40" s="643"/>
      <c r="EYE40" s="643"/>
      <c r="EYF40" s="643"/>
      <c r="EYG40" s="643"/>
      <c r="EYH40" s="643"/>
      <c r="EYI40" s="643"/>
      <c r="EYJ40" s="643"/>
      <c r="EYK40" s="643"/>
      <c r="EYL40" s="643"/>
      <c r="EYM40" s="643"/>
      <c r="EYN40" s="643"/>
      <c r="EYO40" s="643"/>
      <c r="EYP40" s="643"/>
      <c r="EYQ40" s="643"/>
      <c r="EYR40" s="643"/>
      <c r="EYS40" s="643"/>
      <c r="EYT40" s="643"/>
      <c r="EYU40" s="643"/>
      <c r="EYV40" s="643"/>
      <c r="EYW40" s="643"/>
      <c r="EYX40" s="643"/>
      <c r="EYY40" s="643"/>
      <c r="EYZ40" s="643"/>
      <c r="EZA40" s="643"/>
      <c r="EZB40" s="643"/>
      <c r="EZC40" s="643"/>
      <c r="EZD40" s="643"/>
      <c r="EZE40" s="643"/>
      <c r="EZF40" s="643"/>
      <c r="EZG40" s="643"/>
      <c r="EZH40" s="643"/>
      <c r="EZI40" s="643"/>
      <c r="EZJ40" s="643"/>
      <c r="EZK40" s="643"/>
      <c r="EZL40" s="643"/>
      <c r="EZM40" s="643"/>
      <c r="EZN40" s="643"/>
      <c r="EZO40" s="643"/>
      <c r="EZP40" s="643"/>
      <c r="EZQ40" s="643"/>
      <c r="EZR40" s="643"/>
      <c r="EZS40" s="643"/>
      <c r="EZT40" s="643"/>
      <c r="EZU40" s="643"/>
      <c r="EZV40" s="643"/>
      <c r="EZW40" s="643"/>
      <c r="EZX40" s="643"/>
      <c r="EZY40" s="643"/>
      <c r="EZZ40" s="643"/>
      <c r="FAA40" s="643"/>
      <c r="FAB40" s="643"/>
      <c r="FAC40" s="643"/>
      <c r="FAD40" s="643"/>
      <c r="FAE40" s="643"/>
      <c r="FAF40" s="643"/>
      <c r="FAG40" s="643"/>
      <c r="FAH40" s="643"/>
      <c r="FAI40" s="643"/>
      <c r="FAJ40" s="643"/>
      <c r="FAK40" s="643"/>
      <c r="FAL40" s="643"/>
      <c r="FAM40" s="643"/>
      <c r="FAN40" s="643"/>
      <c r="FAO40" s="643"/>
      <c r="FAP40" s="643"/>
      <c r="FAQ40" s="643"/>
      <c r="FAR40" s="643"/>
      <c r="FAS40" s="643"/>
      <c r="FAT40" s="643"/>
      <c r="FAU40" s="643"/>
      <c r="FAV40" s="643"/>
      <c r="FAW40" s="643"/>
      <c r="FAX40" s="643"/>
      <c r="FAY40" s="643"/>
      <c r="FAZ40" s="643"/>
      <c r="FBA40" s="643"/>
      <c r="FBB40" s="643"/>
      <c r="FBC40" s="643"/>
      <c r="FBD40" s="643"/>
      <c r="FBE40" s="643"/>
      <c r="FBF40" s="643"/>
      <c r="FBG40" s="643"/>
      <c r="FBH40" s="643"/>
      <c r="FBI40" s="643"/>
      <c r="FBJ40" s="643"/>
      <c r="FBK40" s="643"/>
      <c r="FBL40" s="643"/>
      <c r="FBM40" s="643"/>
      <c r="FBN40" s="643"/>
      <c r="FBO40" s="643"/>
      <c r="FBP40" s="643"/>
      <c r="FBQ40" s="643"/>
      <c r="FBR40" s="643"/>
      <c r="FBS40" s="643"/>
      <c r="FBT40" s="643"/>
      <c r="FBU40" s="643"/>
      <c r="FBV40" s="643"/>
      <c r="FBW40" s="643"/>
      <c r="FBX40" s="643"/>
      <c r="FBY40" s="643"/>
      <c r="FBZ40" s="643"/>
      <c r="FCA40" s="643"/>
      <c r="FCB40" s="643"/>
      <c r="FCC40" s="643"/>
      <c r="FCD40" s="643"/>
      <c r="FCE40" s="643"/>
      <c r="FCF40" s="643"/>
      <c r="FCG40" s="643"/>
      <c r="FCH40" s="643"/>
      <c r="FCI40" s="643"/>
      <c r="FCJ40" s="643"/>
      <c r="FCK40" s="643"/>
      <c r="FCL40" s="643"/>
      <c r="FCM40" s="643"/>
      <c r="FCN40" s="643"/>
      <c r="FCO40" s="643"/>
      <c r="FCP40" s="643"/>
      <c r="FCQ40" s="643"/>
      <c r="FCR40" s="643"/>
      <c r="FCS40" s="643"/>
      <c r="FCT40" s="643"/>
      <c r="FCU40" s="643"/>
      <c r="FCV40" s="643"/>
      <c r="FCW40" s="643"/>
      <c r="FCX40" s="643"/>
      <c r="FCY40" s="643"/>
      <c r="FCZ40" s="643"/>
      <c r="FDA40" s="643"/>
      <c r="FDB40" s="643"/>
      <c r="FDC40" s="643"/>
      <c r="FDD40" s="643"/>
      <c r="FDE40" s="643"/>
      <c r="FDF40" s="643"/>
      <c r="FDG40" s="643"/>
      <c r="FDH40" s="643"/>
      <c r="FDI40" s="643"/>
      <c r="FDJ40" s="643"/>
      <c r="FDK40" s="643"/>
      <c r="FDL40" s="643"/>
      <c r="FDM40" s="643"/>
      <c r="FDN40" s="643"/>
      <c r="FDO40" s="643"/>
      <c r="FDP40" s="643"/>
      <c r="FDQ40" s="643"/>
      <c r="FDR40" s="643"/>
      <c r="FDS40" s="643"/>
      <c r="FDT40" s="643"/>
      <c r="FDU40" s="643"/>
      <c r="FDV40" s="643"/>
      <c r="FDW40" s="643"/>
      <c r="FDX40" s="643"/>
      <c r="FDY40" s="643"/>
      <c r="FDZ40" s="643"/>
      <c r="FEA40" s="643"/>
      <c r="FEB40" s="643"/>
      <c r="FEC40" s="643"/>
      <c r="FED40" s="643"/>
      <c r="FEE40" s="643"/>
      <c r="FEF40" s="643"/>
      <c r="FEG40" s="643"/>
      <c r="FEH40" s="643"/>
      <c r="FEI40" s="643"/>
      <c r="FEJ40" s="643"/>
      <c r="FEK40" s="643"/>
      <c r="FEL40" s="643"/>
      <c r="FEM40" s="643"/>
      <c r="FEN40" s="643"/>
      <c r="FEO40" s="643"/>
      <c r="FEP40" s="643"/>
      <c r="FEQ40" s="643"/>
      <c r="FER40" s="643"/>
      <c r="FES40" s="643"/>
      <c r="FET40" s="643"/>
      <c r="FEU40" s="643"/>
      <c r="FEV40" s="643"/>
      <c r="FEW40" s="643"/>
      <c r="FEX40" s="643"/>
      <c r="FEY40" s="643"/>
      <c r="FEZ40" s="643"/>
      <c r="FFA40" s="643"/>
      <c r="FFB40" s="643"/>
      <c r="FFC40" s="643"/>
      <c r="FFD40" s="643"/>
      <c r="FFE40" s="643"/>
      <c r="FFF40" s="643"/>
      <c r="FFG40" s="643"/>
      <c r="FFH40" s="643"/>
      <c r="FFI40" s="643"/>
      <c r="FFJ40" s="643"/>
      <c r="FFK40" s="643"/>
      <c r="FFL40" s="643"/>
      <c r="FFM40" s="643"/>
      <c r="FFN40" s="643"/>
      <c r="FFO40" s="643"/>
      <c r="FFP40" s="643"/>
      <c r="FFQ40" s="643"/>
      <c r="FFR40" s="643"/>
      <c r="FFS40" s="643"/>
      <c r="FFT40" s="643"/>
      <c r="FFU40" s="643"/>
      <c r="FFV40" s="643"/>
      <c r="FFW40" s="643"/>
      <c r="FFX40" s="643"/>
      <c r="FFY40" s="643"/>
      <c r="FFZ40" s="643"/>
      <c r="FGA40" s="643"/>
      <c r="FGB40" s="643"/>
      <c r="FGC40" s="643"/>
      <c r="FGD40" s="643"/>
      <c r="FGE40" s="643"/>
      <c r="FGF40" s="643"/>
      <c r="FGG40" s="643"/>
      <c r="FGH40" s="643"/>
      <c r="FGI40" s="643"/>
      <c r="FGJ40" s="643"/>
      <c r="FGK40" s="643"/>
      <c r="FGL40" s="643"/>
      <c r="FGM40" s="643"/>
      <c r="FGN40" s="643"/>
      <c r="FGO40" s="643"/>
      <c r="FGP40" s="643"/>
      <c r="FGQ40" s="643"/>
      <c r="FGR40" s="643"/>
      <c r="FGS40" s="643"/>
      <c r="FGT40" s="643"/>
      <c r="FGU40" s="643"/>
      <c r="FGV40" s="643"/>
      <c r="FGW40" s="643"/>
      <c r="FGX40" s="643"/>
      <c r="FGY40" s="643"/>
      <c r="FGZ40" s="643"/>
      <c r="FHA40" s="643"/>
      <c r="FHB40" s="643"/>
      <c r="FHC40" s="643"/>
      <c r="FHD40" s="643"/>
      <c r="FHE40" s="643"/>
      <c r="FHF40" s="643"/>
      <c r="FHG40" s="643"/>
      <c r="FHH40" s="643"/>
      <c r="FHI40" s="643"/>
      <c r="FHJ40" s="643"/>
      <c r="FHK40" s="643"/>
      <c r="FHL40" s="643"/>
      <c r="FHM40" s="643"/>
      <c r="FHN40" s="643"/>
      <c r="FHO40" s="643"/>
      <c r="FHP40" s="643"/>
      <c r="FHQ40" s="643"/>
      <c r="FHR40" s="643"/>
      <c r="FHS40" s="643"/>
      <c r="FHT40" s="643"/>
      <c r="FHU40" s="643"/>
      <c r="FHV40" s="643"/>
      <c r="FHW40" s="643"/>
      <c r="FHX40" s="643"/>
      <c r="FHY40" s="643"/>
      <c r="FHZ40" s="643"/>
      <c r="FIA40" s="643"/>
      <c r="FIB40" s="643"/>
      <c r="FIC40" s="643"/>
      <c r="FID40" s="643"/>
      <c r="FIE40" s="643"/>
      <c r="FIF40" s="643"/>
      <c r="FIG40" s="643"/>
      <c r="FIH40" s="643"/>
      <c r="FII40" s="643"/>
      <c r="FIJ40" s="643"/>
      <c r="FIK40" s="643"/>
      <c r="FIL40" s="643"/>
      <c r="FIM40" s="643"/>
      <c r="FIN40" s="643"/>
      <c r="FIO40" s="643"/>
      <c r="FIP40" s="643"/>
      <c r="FIQ40" s="643"/>
      <c r="FIR40" s="643"/>
      <c r="FIS40" s="643"/>
      <c r="FIT40" s="643"/>
      <c r="FIU40" s="643"/>
      <c r="FIV40" s="643"/>
      <c r="FIW40" s="643"/>
      <c r="FIX40" s="643"/>
      <c r="FIY40" s="643"/>
      <c r="FIZ40" s="643"/>
      <c r="FJA40" s="643"/>
      <c r="FJB40" s="643"/>
      <c r="FJC40" s="643"/>
      <c r="FJD40" s="643"/>
      <c r="FJE40" s="643"/>
      <c r="FJF40" s="643"/>
      <c r="FJG40" s="643"/>
      <c r="FJH40" s="643"/>
      <c r="FJI40" s="643"/>
      <c r="FJJ40" s="643"/>
      <c r="FJK40" s="643"/>
      <c r="FJL40" s="643"/>
      <c r="FJM40" s="643"/>
      <c r="FJN40" s="643"/>
      <c r="FJO40" s="643"/>
      <c r="FJP40" s="643"/>
      <c r="FJQ40" s="643"/>
      <c r="FJR40" s="643"/>
      <c r="FJS40" s="643"/>
      <c r="FJT40" s="643"/>
      <c r="FJU40" s="643"/>
      <c r="FJV40" s="643"/>
      <c r="FJW40" s="643"/>
      <c r="FJX40" s="643"/>
      <c r="FJY40" s="643"/>
      <c r="FJZ40" s="643"/>
      <c r="FKA40" s="643"/>
      <c r="FKB40" s="643"/>
      <c r="FKC40" s="643"/>
      <c r="FKD40" s="643"/>
      <c r="FKE40" s="643"/>
      <c r="FKF40" s="643"/>
      <c r="FKG40" s="643"/>
      <c r="FKH40" s="643"/>
      <c r="FKI40" s="643"/>
      <c r="FKJ40" s="643"/>
      <c r="FKK40" s="643"/>
      <c r="FKL40" s="643"/>
      <c r="FKM40" s="643"/>
      <c r="FKN40" s="643"/>
      <c r="FKO40" s="643"/>
      <c r="FKP40" s="643"/>
      <c r="FKQ40" s="643"/>
      <c r="FKR40" s="643"/>
      <c r="FKS40" s="643"/>
      <c r="FKT40" s="643"/>
      <c r="FKU40" s="643"/>
      <c r="FKV40" s="643"/>
      <c r="FKW40" s="643"/>
      <c r="FKX40" s="643"/>
      <c r="FKY40" s="643"/>
      <c r="FKZ40" s="643"/>
      <c r="FLA40" s="643"/>
      <c r="FLB40" s="643"/>
      <c r="FLC40" s="643"/>
      <c r="FLD40" s="643"/>
      <c r="FLE40" s="643"/>
      <c r="FLF40" s="643"/>
      <c r="FLG40" s="643"/>
      <c r="FLH40" s="643"/>
      <c r="FLI40" s="643"/>
      <c r="FLJ40" s="643"/>
      <c r="FLK40" s="643"/>
      <c r="FLL40" s="643"/>
      <c r="FLM40" s="643"/>
      <c r="FLN40" s="643"/>
      <c r="FLO40" s="643"/>
      <c r="FLP40" s="643"/>
      <c r="FLQ40" s="643"/>
      <c r="FLR40" s="643"/>
      <c r="FLS40" s="643"/>
      <c r="FLT40" s="643"/>
      <c r="FLU40" s="643"/>
      <c r="FLV40" s="643"/>
      <c r="FLW40" s="643"/>
      <c r="FLX40" s="643"/>
      <c r="FLY40" s="643"/>
      <c r="FLZ40" s="643"/>
      <c r="FMA40" s="643"/>
      <c r="FMB40" s="643"/>
      <c r="FMC40" s="643"/>
      <c r="FMD40" s="643"/>
      <c r="FME40" s="643"/>
      <c r="FMF40" s="643"/>
      <c r="FMG40" s="643"/>
      <c r="FMH40" s="643"/>
      <c r="FMI40" s="643"/>
      <c r="FMJ40" s="643"/>
      <c r="FMK40" s="643"/>
      <c r="FML40" s="643"/>
      <c r="FMM40" s="643"/>
      <c r="FMN40" s="643"/>
      <c r="FMO40" s="643"/>
      <c r="FMP40" s="643"/>
      <c r="FMQ40" s="643"/>
      <c r="FMR40" s="643"/>
      <c r="FMS40" s="643"/>
      <c r="FMT40" s="643"/>
      <c r="FMU40" s="643"/>
      <c r="FMV40" s="643"/>
      <c r="FMW40" s="643"/>
      <c r="FMX40" s="643"/>
      <c r="FMY40" s="643"/>
      <c r="FMZ40" s="643"/>
      <c r="FNA40" s="643"/>
      <c r="FNB40" s="643"/>
      <c r="FNC40" s="643"/>
      <c r="FND40" s="643"/>
      <c r="FNE40" s="643"/>
      <c r="FNF40" s="643"/>
      <c r="FNG40" s="643"/>
      <c r="FNH40" s="643"/>
      <c r="FNI40" s="643"/>
      <c r="FNJ40" s="643"/>
      <c r="FNK40" s="643"/>
      <c r="FNL40" s="643"/>
      <c r="FNM40" s="643"/>
      <c r="FNN40" s="643"/>
      <c r="FNO40" s="643"/>
      <c r="FNP40" s="643"/>
      <c r="FNQ40" s="643"/>
      <c r="FNR40" s="643"/>
      <c r="FNS40" s="643"/>
      <c r="FNT40" s="643"/>
      <c r="FNU40" s="643"/>
      <c r="FNV40" s="643"/>
      <c r="FNW40" s="643"/>
      <c r="FNX40" s="643"/>
      <c r="FNY40" s="643"/>
      <c r="FNZ40" s="643"/>
      <c r="FOA40" s="643"/>
      <c r="FOB40" s="643"/>
      <c r="FOC40" s="643"/>
      <c r="FOD40" s="643"/>
      <c r="FOE40" s="643"/>
      <c r="FOF40" s="643"/>
      <c r="FOG40" s="643"/>
      <c r="FOH40" s="643"/>
      <c r="FOI40" s="643"/>
      <c r="FOJ40" s="643"/>
      <c r="FOK40" s="643"/>
      <c r="FOL40" s="643"/>
      <c r="FOM40" s="643"/>
      <c r="FON40" s="643"/>
      <c r="FOO40" s="643"/>
      <c r="FOP40" s="643"/>
      <c r="FOQ40" s="643"/>
      <c r="FOR40" s="643"/>
      <c r="FOS40" s="643"/>
      <c r="FOT40" s="643"/>
      <c r="FOU40" s="643"/>
      <c r="FOV40" s="643"/>
      <c r="FOW40" s="643"/>
      <c r="FOX40" s="643"/>
      <c r="FOY40" s="643"/>
      <c r="FOZ40" s="643"/>
      <c r="FPA40" s="643"/>
      <c r="FPB40" s="643"/>
      <c r="FPC40" s="643"/>
      <c r="FPD40" s="643"/>
      <c r="FPE40" s="643"/>
      <c r="FPF40" s="643"/>
      <c r="FPG40" s="643"/>
      <c r="FPH40" s="643"/>
      <c r="FPI40" s="643"/>
      <c r="FPJ40" s="643"/>
      <c r="FPK40" s="643"/>
      <c r="FPL40" s="643"/>
      <c r="FPM40" s="643"/>
      <c r="FPN40" s="643"/>
      <c r="FPO40" s="643"/>
      <c r="FPP40" s="643"/>
      <c r="FPQ40" s="643"/>
      <c r="FPR40" s="643"/>
      <c r="FPS40" s="643"/>
      <c r="FPT40" s="643"/>
      <c r="FPU40" s="643"/>
      <c r="FPV40" s="643"/>
      <c r="FPW40" s="643"/>
      <c r="FPX40" s="643"/>
      <c r="FPY40" s="643"/>
      <c r="FPZ40" s="643"/>
      <c r="FQA40" s="643"/>
      <c r="FQB40" s="643"/>
      <c r="FQC40" s="643"/>
      <c r="FQD40" s="643"/>
      <c r="FQE40" s="643"/>
      <c r="FQF40" s="643"/>
      <c r="FQG40" s="643"/>
      <c r="FQH40" s="643"/>
      <c r="FQI40" s="643"/>
      <c r="FQJ40" s="643"/>
      <c r="FQK40" s="643"/>
      <c r="FQL40" s="643"/>
      <c r="FQM40" s="643"/>
      <c r="FQN40" s="643"/>
      <c r="FQO40" s="643"/>
      <c r="FQP40" s="643"/>
      <c r="FQQ40" s="643"/>
      <c r="FQR40" s="643"/>
      <c r="FQS40" s="643"/>
      <c r="FQT40" s="643"/>
      <c r="FQU40" s="643"/>
      <c r="FQV40" s="643"/>
      <c r="FQW40" s="643"/>
      <c r="FQX40" s="643"/>
      <c r="FQY40" s="643"/>
      <c r="FQZ40" s="643"/>
      <c r="FRA40" s="643"/>
      <c r="FRB40" s="643"/>
      <c r="FRC40" s="643"/>
      <c r="FRD40" s="643"/>
      <c r="FRE40" s="643"/>
      <c r="FRF40" s="643"/>
      <c r="FRG40" s="643"/>
      <c r="FRH40" s="643"/>
      <c r="FRI40" s="643"/>
      <c r="FRJ40" s="643"/>
      <c r="FRK40" s="643"/>
      <c r="FRL40" s="643"/>
      <c r="FRM40" s="643"/>
      <c r="FRN40" s="643"/>
      <c r="FRO40" s="643"/>
      <c r="FRP40" s="643"/>
      <c r="FRQ40" s="643"/>
      <c r="FRR40" s="643"/>
      <c r="FRS40" s="643"/>
      <c r="FRT40" s="643"/>
      <c r="FRU40" s="643"/>
      <c r="FRV40" s="643"/>
      <c r="FRW40" s="643"/>
      <c r="FRX40" s="643"/>
      <c r="FRY40" s="643"/>
      <c r="FRZ40" s="643"/>
      <c r="FSA40" s="643"/>
      <c r="FSB40" s="643"/>
      <c r="FSC40" s="643"/>
      <c r="FSD40" s="643"/>
      <c r="FSE40" s="643"/>
      <c r="FSF40" s="643"/>
      <c r="FSG40" s="643"/>
      <c r="FSH40" s="643"/>
      <c r="FSI40" s="643"/>
      <c r="FSJ40" s="643"/>
      <c r="FSK40" s="643"/>
      <c r="FSL40" s="643"/>
      <c r="FSM40" s="643"/>
      <c r="FSN40" s="643"/>
      <c r="FSO40" s="643"/>
      <c r="FSP40" s="643"/>
      <c r="FSQ40" s="643"/>
      <c r="FSR40" s="643"/>
      <c r="FSS40" s="643"/>
      <c r="FST40" s="643"/>
      <c r="FSU40" s="643"/>
      <c r="FSV40" s="643"/>
      <c r="FSW40" s="643"/>
      <c r="FSX40" s="643"/>
      <c r="FSY40" s="643"/>
      <c r="FSZ40" s="643"/>
      <c r="FTA40" s="643"/>
      <c r="FTB40" s="643"/>
      <c r="FTC40" s="643"/>
      <c r="FTD40" s="643"/>
      <c r="FTE40" s="643"/>
      <c r="FTF40" s="643"/>
      <c r="FTG40" s="643"/>
      <c r="FTH40" s="643"/>
      <c r="FTI40" s="643"/>
      <c r="FTJ40" s="643"/>
      <c r="FTK40" s="643"/>
      <c r="FTL40" s="643"/>
      <c r="FTM40" s="643"/>
      <c r="FTN40" s="643"/>
      <c r="FTO40" s="643"/>
      <c r="FTP40" s="643"/>
      <c r="FTQ40" s="643"/>
      <c r="FTR40" s="643"/>
      <c r="FTS40" s="643"/>
      <c r="FTT40" s="643"/>
      <c r="FTU40" s="643"/>
      <c r="FTV40" s="643"/>
      <c r="FTW40" s="643"/>
      <c r="FTX40" s="643"/>
      <c r="FTY40" s="643"/>
      <c r="FTZ40" s="643"/>
      <c r="FUA40" s="643"/>
      <c r="FUB40" s="643"/>
      <c r="FUC40" s="643"/>
      <c r="FUD40" s="643"/>
      <c r="FUE40" s="643"/>
      <c r="FUF40" s="643"/>
      <c r="FUG40" s="643"/>
      <c r="FUH40" s="643"/>
      <c r="FUI40" s="643"/>
      <c r="FUJ40" s="643"/>
      <c r="FUK40" s="643"/>
      <c r="FUL40" s="643"/>
      <c r="FUM40" s="643"/>
      <c r="FUN40" s="643"/>
      <c r="FUO40" s="643"/>
      <c r="FUP40" s="643"/>
      <c r="FUQ40" s="643"/>
      <c r="FUR40" s="643"/>
      <c r="FUS40" s="643"/>
      <c r="FUT40" s="643"/>
      <c r="FUU40" s="643"/>
      <c r="FUV40" s="643"/>
      <c r="FUW40" s="643"/>
      <c r="FUX40" s="643"/>
      <c r="FUY40" s="643"/>
      <c r="FUZ40" s="643"/>
      <c r="FVA40" s="643"/>
      <c r="FVB40" s="643"/>
      <c r="FVC40" s="643"/>
      <c r="FVD40" s="643"/>
      <c r="FVE40" s="643"/>
      <c r="FVF40" s="643"/>
      <c r="FVG40" s="643"/>
      <c r="FVH40" s="643"/>
      <c r="FVI40" s="643"/>
      <c r="FVJ40" s="643"/>
      <c r="FVK40" s="643"/>
      <c r="FVL40" s="643"/>
      <c r="FVM40" s="643"/>
      <c r="FVN40" s="643"/>
      <c r="FVO40" s="643"/>
      <c r="FVP40" s="643"/>
      <c r="FVQ40" s="643"/>
      <c r="FVR40" s="643"/>
      <c r="FVS40" s="643"/>
      <c r="FVT40" s="643"/>
      <c r="FVU40" s="643"/>
      <c r="FVV40" s="643"/>
      <c r="FVW40" s="643"/>
      <c r="FVX40" s="643"/>
      <c r="FVY40" s="643"/>
      <c r="FVZ40" s="643"/>
      <c r="FWA40" s="643"/>
      <c r="FWB40" s="643"/>
      <c r="FWC40" s="643"/>
      <c r="FWD40" s="643"/>
      <c r="FWE40" s="643"/>
      <c r="FWF40" s="643"/>
      <c r="FWG40" s="643"/>
      <c r="FWH40" s="643"/>
      <c r="FWI40" s="643"/>
      <c r="FWJ40" s="643"/>
      <c r="FWK40" s="643"/>
      <c r="FWL40" s="643"/>
      <c r="FWM40" s="643"/>
      <c r="FWN40" s="643"/>
      <c r="FWO40" s="643"/>
      <c r="FWP40" s="643"/>
      <c r="FWQ40" s="643"/>
      <c r="FWR40" s="643"/>
      <c r="FWS40" s="643"/>
      <c r="FWT40" s="643"/>
      <c r="FWU40" s="643"/>
      <c r="FWV40" s="643"/>
      <c r="FWW40" s="643"/>
      <c r="FWX40" s="643"/>
      <c r="FWY40" s="643"/>
      <c r="FWZ40" s="643"/>
      <c r="FXA40" s="643"/>
      <c r="FXB40" s="643"/>
      <c r="FXC40" s="643"/>
      <c r="FXD40" s="643"/>
      <c r="FXE40" s="643"/>
      <c r="FXF40" s="643"/>
      <c r="FXG40" s="643"/>
      <c r="FXH40" s="643"/>
      <c r="FXI40" s="643"/>
      <c r="FXJ40" s="643"/>
      <c r="FXK40" s="643"/>
      <c r="FXL40" s="643"/>
      <c r="FXM40" s="643"/>
      <c r="FXN40" s="643"/>
      <c r="FXO40" s="643"/>
      <c r="FXP40" s="643"/>
      <c r="FXQ40" s="643"/>
      <c r="FXR40" s="643"/>
      <c r="FXS40" s="643"/>
      <c r="FXT40" s="643"/>
      <c r="FXU40" s="643"/>
      <c r="FXV40" s="643"/>
      <c r="FXW40" s="643"/>
      <c r="FXX40" s="643"/>
      <c r="FXY40" s="643"/>
      <c r="FXZ40" s="643"/>
      <c r="FYA40" s="643"/>
      <c r="FYB40" s="643"/>
      <c r="FYC40" s="643"/>
      <c r="FYD40" s="643"/>
      <c r="FYE40" s="643"/>
      <c r="FYF40" s="643"/>
      <c r="FYG40" s="643"/>
      <c r="FYH40" s="643"/>
      <c r="FYI40" s="643"/>
      <c r="FYJ40" s="643"/>
      <c r="FYK40" s="643"/>
      <c r="FYL40" s="643"/>
      <c r="FYM40" s="643"/>
      <c r="FYN40" s="643"/>
      <c r="FYO40" s="643"/>
      <c r="FYP40" s="643"/>
      <c r="FYQ40" s="643"/>
      <c r="FYR40" s="643"/>
      <c r="FYS40" s="643"/>
      <c r="FYT40" s="643"/>
      <c r="FYU40" s="643"/>
      <c r="FYV40" s="643"/>
      <c r="FYW40" s="643"/>
      <c r="FYX40" s="643"/>
      <c r="FYY40" s="643"/>
      <c r="FYZ40" s="643"/>
      <c r="FZA40" s="643"/>
      <c r="FZB40" s="643"/>
      <c r="FZC40" s="643"/>
      <c r="FZD40" s="643"/>
      <c r="FZE40" s="643"/>
      <c r="FZF40" s="643"/>
      <c r="FZG40" s="643"/>
      <c r="FZH40" s="643"/>
      <c r="FZI40" s="643"/>
      <c r="FZJ40" s="643"/>
      <c r="FZK40" s="643"/>
      <c r="FZL40" s="643"/>
      <c r="FZM40" s="643"/>
      <c r="FZN40" s="643"/>
      <c r="FZO40" s="643"/>
      <c r="FZP40" s="643"/>
      <c r="FZQ40" s="643"/>
      <c r="FZR40" s="643"/>
      <c r="FZS40" s="643"/>
      <c r="FZT40" s="643"/>
      <c r="FZU40" s="643"/>
      <c r="FZV40" s="643"/>
      <c r="FZW40" s="643"/>
      <c r="FZX40" s="643"/>
      <c r="FZY40" s="643"/>
      <c r="FZZ40" s="643"/>
      <c r="GAA40" s="643"/>
      <c r="GAB40" s="643"/>
      <c r="GAC40" s="643"/>
      <c r="GAD40" s="643"/>
      <c r="GAE40" s="643"/>
      <c r="GAF40" s="643"/>
      <c r="GAG40" s="643"/>
      <c r="GAH40" s="643"/>
      <c r="GAI40" s="643"/>
      <c r="GAJ40" s="643"/>
      <c r="GAK40" s="643"/>
      <c r="GAL40" s="643"/>
      <c r="GAM40" s="643"/>
      <c r="GAN40" s="643"/>
      <c r="GAO40" s="643"/>
      <c r="GAP40" s="643"/>
      <c r="GAQ40" s="643"/>
      <c r="GAR40" s="643"/>
      <c r="GAS40" s="643"/>
      <c r="GAT40" s="643"/>
      <c r="GAU40" s="643"/>
      <c r="GAV40" s="643"/>
      <c r="GAW40" s="643"/>
      <c r="GAX40" s="643"/>
      <c r="GAY40" s="643"/>
      <c r="GAZ40" s="643"/>
      <c r="GBA40" s="643"/>
      <c r="GBB40" s="643"/>
      <c r="GBC40" s="643"/>
      <c r="GBD40" s="643"/>
      <c r="GBE40" s="643"/>
      <c r="GBF40" s="643"/>
      <c r="GBG40" s="643"/>
      <c r="GBH40" s="643"/>
      <c r="GBI40" s="643"/>
      <c r="GBJ40" s="643"/>
      <c r="GBK40" s="643"/>
      <c r="GBL40" s="643"/>
      <c r="GBM40" s="643"/>
      <c r="GBN40" s="643"/>
      <c r="GBO40" s="643"/>
      <c r="GBP40" s="643"/>
      <c r="GBQ40" s="643"/>
      <c r="GBR40" s="643"/>
      <c r="GBS40" s="643"/>
      <c r="GBT40" s="643"/>
      <c r="GBU40" s="643"/>
      <c r="GBV40" s="643"/>
      <c r="GBW40" s="643"/>
      <c r="GBX40" s="643"/>
      <c r="GBY40" s="643"/>
      <c r="GBZ40" s="643"/>
      <c r="GCA40" s="643"/>
      <c r="GCB40" s="643"/>
      <c r="GCC40" s="643"/>
      <c r="GCD40" s="643"/>
      <c r="GCE40" s="643"/>
      <c r="GCF40" s="643"/>
      <c r="GCG40" s="643"/>
      <c r="GCH40" s="643"/>
      <c r="GCI40" s="643"/>
      <c r="GCJ40" s="643"/>
      <c r="GCK40" s="643"/>
      <c r="GCL40" s="643"/>
      <c r="GCM40" s="643"/>
      <c r="GCN40" s="643"/>
      <c r="GCO40" s="643"/>
      <c r="GCP40" s="643"/>
      <c r="GCQ40" s="643"/>
      <c r="GCR40" s="643"/>
      <c r="GCS40" s="643"/>
      <c r="GCT40" s="643"/>
      <c r="GCU40" s="643"/>
      <c r="GCV40" s="643"/>
      <c r="GCW40" s="643"/>
      <c r="GCX40" s="643"/>
      <c r="GCY40" s="643"/>
      <c r="GCZ40" s="643"/>
      <c r="GDA40" s="643"/>
      <c r="GDB40" s="643"/>
      <c r="GDC40" s="643"/>
      <c r="GDD40" s="643"/>
      <c r="GDE40" s="643"/>
      <c r="GDF40" s="643"/>
      <c r="GDG40" s="643"/>
      <c r="GDH40" s="643"/>
      <c r="GDI40" s="643"/>
      <c r="GDJ40" s="643"/>
      <c r="GDK40" s="643"/>
      <c r="GDL40" s="643"/>
      <c r="GDM40" s="643"/>
      <c r="GDN40" s="643"/>
      <c r="GDO40" s="643"/>
      <c r="GDP40" s="643"/>
      <c r="GDQ40" s="643"/>
      <c r="GDR40" s="643"/>
      <c r="GDS40" s="643"/>
      <c r="GDT40" s="643"/>
      <c r="GDU40" s="643"/>
      <c r="GDV40" s="643"/>
      <c r="GDW40" s="643"/>
      <c r="GDX40" s="643"/>
      <c r="GDY40" s="643"/>
      <c r="GDZ40" s="643"/>
      <c r="GEA40" s="643"/>
      <c r="GEB40" s="643"/>
      <c r="GEC40" s="643"/>
      <c r="GED40" s="643"/>
      <c r="GEE40" s="643"/>
      <c r="GEF40" s="643"/>
      <c r="GEG40" s="643"/>
      <c r="GEH40" s="643"/>
      <c r="GEI40" s="643"/>
      <c r="GEJ40" s="643"/>
      <c r="GEK40" s="643"/>
      <c r="GEL40" s="643"/>
      <c r="GEM40" s="643"/>
      <c r="GEN40" s="643"/>
      <c r="GEO40" s="643"/>
      <c r="GEP40" s="643"/>
      <c r="GEQ40" s="643"/>
      <c r="GER40" s="643"/>
      <c r="GES40" s="643"/>
      <c r="GET40" s="643"/>
      <c r="GEU40" s="643"/>
      <c r="GEV40" s="643"/>
      <c r="GEW40" s="643"/>
      <c r="GEX40" s="643"/>
      <c r="GEY40" s="643"/>
      <c r="GEZ40" s="643"/>
      <c r="GFA40" s="643"/>
      <c r="GFB40" s="643"/>
      <c r="GFC40" s="643"/>
      <c r="GFD40" s="643"/>
      <c r="GFE40" s="643"/>
      <c r="GFF40" s="643"/>
      <c r="GFG40" s="643"/>
      <c r="GFH40" s="643"/>
      <c r="GFI40" s="643"/>
      <c r="GFJ40" s="643"/>
      <c r="GFK40" s="643"/>
      <c r="GFL40" s="643"/>
      <c r="GFM40" s="643"/>
      <c r="GFN40" s="643"/>
      <c r="GFO40" s="643"/>
      <c r="GFP40" s="643"/>
      <c r="GFQ40" s="643"/>
      <c r="GFR40" s="643"/>
      <c r="GFS40" s="643"/>
      <c r="GFT40" s="643"/>
      <c r="GFU40" s="643"/>
      <c r="GFV40" s="643"/>
      <c r="GFW40" s="643"/>
      <c r="GFX40" s="643"/>
      <c r="GFY40" s="643"/>
      <c r="GFZ40" s="643"/>
      <c r="GGA40" s="643"/>
      <c r="GGB40" s="643"/>
      <c r="GGC40" s="643"/>
      <c r="GGD40" s="643"/>
      <c r="GGE40" s="643"/>
      <c r="GGF40" s="643"/>
      <c r="GGG40" s="643"/>
      <c r="GGH40" s="643"/>
      <c r="GGI40" s="643"/>
      <c r="GGJ40" s="643"/>
      <c r="GGK40" s="643"/>
      <c r="GGL40" s="643"/>
      <c r="GGM40" s="643"/>
      <c r="GGN40" s="643"/>
      <c r="GGO40" s="643"/>
      <c r="GGP40" s="643"/>
      <c r="GGQ40" s="643"/>
      <c r="GGR40" s="643"/>
      <c r="GGS40" s="643"/>
      <c r="GGT40" s="643"/>
      <c r="GGU40" s="643"/>
      <c r="GGV40" s="643"/>
      <c r="GGW40" s="643"/>
      <c r="GGX40" s="643"/>
      <c r="GGY40" s="643"/>
      <c r="GGZ40" s="643"/>
      <c r="GHA40" s="643"/>
      <c r="GHB40" s="643"/>
      <c r="GHC40" s="643"/>
      <c r="GHD40" s="643"/>
      <c r="GHE40" s="643"/>
      <c r="GHF40" s="643"/>
      <c r="GHG40" s="643"/>
      <c r="GHH40" s="643"/>
      <c r="GHI40" s="643"/>
      <c r="GHJ40" s="643"/>
      <c r="GHK40" s="643"/>
      <c r="GHL40" s="643"/>
      <c r="GHM40" s="643"/>
      <c r="GHN40" s="643"/>
      <c r="GHO40" s="643"/>
      <c r="GHP40" s="643"/>
      <c r="GHQ40" s="643"/>
      <c r="GHR40" s="643"/>
      <c r="GHS40" s="643"/>
      <c r="GHT40" s="643"/>
      <c r="GHU40" s="643"/>
      <c r="GHV40" s="643"/>
      <c r="GHW40" s="643"/>
      <c r="GHX40" s="643"/>
      <c r="GHY40" s="643"/>
      <c r="GHZ40" s="643"/>
      <c r="GIA40" s="643"/>
      <c r="GIB40" s="643"/>
      <c r="GIC40" s="643"/>
      <c r="GID40" s="643"/>
      <c r="GIE40" s="643"/>
      <c r="GIF40" s="643"/>
      <c r="GIG40" s="643"/>
      <c r="GIH40" s="643"/>
      <c r="GII40" s="643"/>
      <c r="GIJ40" s="643"/>
      <c r="GIK40" s="643"/>
      <c r="GIL40" s="643"/>
      <c r="GIM40" s="643"/>
      <c r="GIN40" s="643"/>
      <c r="GIO40" s="643"/>
      <c r="GIP40" s="643"/>
      <c r="GIQ40" s="643"/>
      <c r="GIR40" s="643"/>
      <c r="GIS40" s="643"/>
      <c r="GIT40" s="643"/>
      <c r="GIU40" s="643"/>
      <c r="GIV40" s="643"/>
      <c r="GIW40" s="643"/>
      <c r="GIX40" s="643"/>
      <c r="GIY40" s="643"/>
      <c r="GIZ40" s="643"/>
      <c r="GJA40" s="643"/>
      <c r="GJB40" s="643"/>
      <c r="GJC40" s="643"/>
      <c r="GJD40" s="643"/>
      <c r="GJE40" s="643"/>
      <c r="GJF40" s="643"/>
      <c r="GJG40" s="643"/>
      <c r="GJH40" s="643"/>
      <c r="GJI40" s="643"/>
      <c r="GJJ40" s="643"/>
      <c r="GJK40" s="643"/>
      <c r="GJL40" s="643"/>
      <c r="GJM40" s="643"/>
      <c r="GJN40" s="643"/>
      <c r="GJO40" s="643"/>
      <c r="GJP40" s="643"/>
      <c r="GJQ40" s="643"/>
      <c r="GJR40" s="643"/>
      <c r="GJS40" s="643"/>
      <c r="GJT40" s="643"/>
      <c r="GJU40" s="643"/>
      <c r="GJV40" s="643"/>
      <c r="GJW40" s="643"/>
      <c r="GJX40" s="643"/>
      <c r="GJY40" s="643"/>
      <c r="GJZ40" s="643"/>
      <c r="GKA40" s="643"/>
      <c r="GKB40" s="643"/>
      <c r="GKC40" s="643"/>
      <c r="GKD40" s="643"/>
      <c r="GKE40" s="643"/>
      <c r="GKF40" s="643"/>
      <c r="GKG40" s="643"/>
      <c r="GKH40" s="643"/>
      <c r="GKI40" s="643"/>
      <c r="GKJ40" s="643"/>
      <c r="GKK40" s="643"/>
      <c r="GKL40" s="643"/>
      <c r="GKM40" s="643"/>
      <c r="GKN40" s="643"/>
      <c r="GKO40" s="643"/>
      <c r="GKP40" s="643"/>
      <c r="GKQ40" s="643"/>
      <c r="GKR40" s="643"/>
      <c r="GKS40" s="643"/>
      <c r="GKT40" s="643"/>
      <c r="GKU40" s="643"/>
      <c r="GKV40" s="643"/>
      <c r="GKW40" s="643"/>
      <c r="GKX40" s="643"/>
      <c r="GKY40" s="643"/>
      <c r="GKZ40" s="643"/>
      <c r="GLA40" s="643"/>
      <c r="GLB40" s="643"/>
      <c r="GLC40" s="643"/>
      <c r="GLD40" s="643"/>
      <c r="GLE40" s="643"/>
      <c r="GLF40" s="643"/>
      <c r="GLG40" s="643"/>
      <c r="GLH40" s="643"/>
      <c r="GLI40" s="643"/>
      <c r="GLJ40" s="643"/>
      <c r="GLK40" s="643"/>
      <c r="GLL40" s="643"/>
      <c r="GLM40" s="643"/>
      <c r="GLN40" s="643"/>
      <c r="GLO40" s="643"/>
      <c r="GLP40" s="643"/>
      <c r="GLQ40" s="643"/>
      <c r="GLR40" s="643"/>
      <c r="GLS40" s="643"/>
      <c r="GLT40" s="643"/>
      <c r="GLU40" s="643"/>
      <c r="GLV40" s="643"/>
      <c r="GLW40" s="643"/>
      <c r="GLX40" s="643"/>
      <c r="GLY40" s="643"/>
      <c r="GLZ40" s="643"/>
      <c r="GMA40" s="643"/>
      <c r="GMB40" s="643"/>
      <c r="GMC40" s="643"/>
      <c r="GMD40" s="643"/>
      <c r="GME40" s="643"/>
      <c r="GMF40" s="643"/>
      <c r="GMG40" s="643"/>
      <c r="GMH40" s="643"/>
      <c r="GMI40" s="643"/>
      <c r="GMJ40" s="643"/>
      <c r="GMK40" s="643"/>
      <c r="GML40" s="643"/>
      <c r="GMM40" s="643"/>
      <c r="GMN40" s="643"/>
      <c r="GMO40" s="643"/>
      <c r="GMP40" s="643"/>
      <c r="GMQ40" s="643"/>
      <c r="GMR40" s="643"/>
      <c r="GMS40" s="643"/>
      <c r="GMT40" s="643"/>
      <c r="GMU40" s="643"/>
      <c r="GMV40" s="643"/>
      <c r="GMW40" s="643"/>
      <c r="GMX40" s="643"/>
      <c r="GMY40" s="643"/>
      <c r="GMZ40" s="643"/>
      <c r="GNA40" s="643"/>
      <c r="GNB40" s="643"/>
      <c r="GNC40" s="643"/>
      <c r="GND40" s="643"/>
      <c r="GNE40" s="643"/>
      <c r="GNF40" s="643"/>
      <c r="GNG40" s="643"/>
      <c r="GNH40" s="643"/>
      <c r="GNI40" s="643"/>
      <c r="GNJ40" s="643"/>
      <c r="GNK40" s="643"/>
      <c r="GNL40" s="643"/>
      <c r="GNM40" s="643"/>
      <c r="GNN40" s="643"/>
      <c r="GNO40" s="643"/>
      <c r="GNP40" s="643"/>
      <c r="GNQ40" s="643"/>
      <c r="GNR40" s="643"/>
      <c r="GNS40" s="643"/>
      <c r="GNT40" s="643"/>
      <c r="GNU40" s="643"/>
      <c r="GNV40" s="643"/>
      <c r="GNW40" s="643"/>
      <c r="GNX40" s="643"/>
      <c r="GNY40" s="643"/>
      <c r="GNZ40" s="643"/>
      <c r="GOA40" s="643"/>
      <c r="GOB40" s="643"/>
      <c r="GOC40" s="643"/>
      <c r="GOD40" s="643"/>
      <c r="GOE40" s="643"/>
      <c r="GOF40" s="643"/>
      <c r="GOG40" s="643"/>
      <c r="GOH40" s="643"/>
      <c r="GOI40" s="643"/>
      <c r="GOJ40" s="643"/>
      <c r="GOK40" s="643"/>
      <c r="GOL40" s="643"/>
      <c r="GOM40" s="643"/>
      <c r="GON40" s="643"/>
      <c r="GOO40" s="643"/>
      <c r="GOP40" s="643"/>
      <c r="GOQ40" s="643"/>
      <c r="GOR40" s="643"/>
      <c r="GOS40" s="643"/>
      <c r="GOT40" s="643"/>
      <c r="GOU40" s="643"/>
      <c r="GOV40" s="643"/>
      <c r="GOW40" s="643"/>
      <c r="GOX40" s="643"/>
      <c r="GOY40" s="643"/>
      <c r="GOZ40" s="643"/>
      <c r="GPA40" s="643"/>
      <c r="GPB40" s="643"/>
      <c r="GPC40" s="643"/>
      <c r="GPD40" s="643"/>
      <c r="GPE40" s="643"/>
      <c r="GPF40" s="643"/>
      <c r="GPG40" s="643"/>
      <c r="GPH40" s="643"/>
      <c r="GPI40" s="643"/>
      <c r="GPJ40" s="643"/>
      <c r="GPK40" s="643"/>
      <c r="GPL40" s="643"/>
      <c r="GPM40" s="643"/>
      <c r="GPN40" s="643"/>
      <c r="GPO40" s="643"/>
      <c r="GPP40" s="643"/>
      <c r="GPQ40" s="643"/>
      <c r="GPR40" s="643"/>
      <c r="GPS40" s="643"/>
      <c r="GPT40" s="643"/>
      <c r="GPU40" s="643"/>
      <c r="GPV40" s="643"/>
      <c r="GPW40" s="643"/>
      <c r="GPX40" s="643"/>
      <c r="GPY40" s="643"/>
      <c r="GPZ40" s="643"/>
      <c r="GQA40" s="643"/>
      <c r="GQB40" s="643"/>
      <c r="GQC40" s="643"/>
      <c r="GQD40" s="643"/>
      <c r="GQE40" s="643"/>
      <c r="GQF40" s="643"/>
      <c r="GQG40" s="643"/>
      <c r="GQH40" s="643"/>
      <c r="GQI40" s="643"/>
      <c r="GQJ40" s="643"/>
      <c r="GQK40" s="643"/>
      <c r="GQL40" s="643"/>
      <c r="GQM40" s="643"/>
      <c r="GQN40" s="643"/>
      <c r="GQO40" s="643"/>
      <c r="GQP40" s="643"/>
      <c r="GQQ40" s="643"/>
      <c r="GQR40" s="643"/>
      <c r="GQS40" s="643"/>
      <c r="GQT40" s="643"/>
      <c r="GQU40" s="643"/>
      <c r="GQV40" s="643"/>
      <c r="GQW40" s="643"/>
      <c r="GQX40" s="643"/>
      <c r="GQY40" s="643"/>
      <c r="GQZ40" s="643"/>
      <c r="GRA40" s="643"/>
      <c r="GRB40" s="643"/>
      <c r="GRC40" s="643"/>
      <c r="GRD40" s="643"/>
      <c r="GRE40" s="643"/>
      <c r="GRF40" s="643"/>
      <c r="GRG40" s="643"/>
      <c r="GRH40" s="643"/>
      <c r="GRI40" s="643"/>
      <c r="GRJ40" s="643"/>
      <c r="GRK40" s="643"/>
      <c r="GRL40" s="643"/>
      <c r="GRM40" s="643"/>
      <c r="GRN40" s="643"/>
      <c r="GRO40" s="643"/>
      <c r="GRP40" s="643"/>
      <c r="GRQ40" s="643"/>
      <c r="GRR40" s="643"/>
      <c r="GRS40" s="643"/>
      <c r="GRT40" s="643"/>
      <c r="GRU40" s="643"/>
      <c r="GRV40" s="643"/>
      <c r="GRW40" s="643"/>
      <c r="GRX40" s="643"/>
      <c r="GRY40" s="643"/>
      <c r="GRZ40" s="643"/>
      <c r="GSA40" s="643"/>
      <c r="GSB40" s="643"/>
      <c r="GSC40" s="643"/>
      <c r="GSD40" s="643"/>
      <c r="GSE40" s="643"/>
      <c r="GSF40" s="643"/>
      <c r="GSG40" s="643"/>
      <c r="GSH40" s="643"/>
      <c r="GSI40" s="643"/>
      <c r="GSJ40" s="643"/>
      <c r="GSK40" s="643"/>
      <c r="GSL40" s="643"/>
      <c r="GSM40" s="643"/>
      <c r="GSN40" s="643"/>
      <c r="GSO40" s="643"/>
      <c r="GSP40" s="643"/>
      <c r="GSQ40" s="643"/>
      <c r="GSR40" s="643"/>
      <c r="GSS40" s="643"/>
      <c r="GST40" s="643"/>
      <c r="GSU40" s="643"/>
      <c r="GSV40" s="643"/>
      <c r="GSW40" s="643"/>
      <c r="GSX40" s="643"/>
      <c r="GSY40" s="643"/>
      <c r="GSZ40" s="643"/>
      <c r="GTA40" s="643"/>
      <c r="GTB40" s="643"/>
      <c r="GTC40" s="643"/>
      <c r="GTD40" s="643"/>
      <c r="GTE40" s="643"/>
      <c r="GTF40" s="643"/>
      <c r="GTG40" s="643"/>
      <c r="GTH40" s="643"/>
      <c r="GTI40" s="643"/>
      <c r="GTJ40" s="643"/>
      <c r="GTK40" s="643"/>
      <c r="GTL40" s="643"/>
      <c r="GTM40" s="643"/>
      <c r="GTN40" s="643"/>
      <c r="GTO40" s="643"/>
      <c r="GTP40" s="643"/>
      <c r="GTQ40" s="643"/>
      <c r="GTR40" s="643"/>
      <c r="GTS40" s="643"/>
      <c r="GTT40" s="643"/>
      <c r="GTU40" s="643"/>
      <c r="GTV40" s="643"/>
      <c r="GTW40" s="643"/>
      <c r="GTX40" s="643"/>
      <c r="GTY40" s="643"/>
      <c r="GTZ40" s="643"/>
      <c r="GUA40" s="643"/>
      <c r="GUB40" s="643"/>
      <c r="GUC40" s="643"/>
      <c r="GUD40" s="643"/>
      <c r="GUE40" s="643"/>
      <c r="GUF40" s="643"/>
      <c r="GUG40" s="643"/>
      <c r="GUH40" s="643"/>
      <c r="GUI40" s="643"/>
      <c r="GUJ40" s="643"/>
      <c r="GUK40" s="643"/>
      <c r="GUL40" s="643"/>
      <c r="GUM40" s="643"/>
      <c r="GUN40" s="643"/>
      <c r="GUO40" s="643"/>
      <c r="GUP40" s="643"/>
      <c r="GUQ40" s="643"/>
      <c r="GUR40" s="643"/>
      <c r="GUS40" s="643"/>
      <c r="GUT40" s="643"/>
      <c r="GUU40" s="643"/>
      <c r="GUV40" s="643"/>
      <c r="GUW40" s="643"/>
      <c r="GUX40" s="643"/>
      <c r="GUY40" s="643"/>
      <c r="GUZ40" s="643"/>
      <c r="GVA40" s="643"/>
      <c r="GVB40" s="643"/>
      <c r="GVC40" s="643"/>
      <c r="GVD40" s="643"/>
      <c r="GVE40" s="643"/>
      <c r="GVF40" s="643"/>
      <c r="GVG40" s="643"/>
      <c r="GVH40" s="643"/>
      <c r="GVI40" s="643"/>
      <c r="GVJ40" s="643"/>
      <c r="GVK40" s="643"/>
      <c r="GVL40" s="643"/>
      <c r="GVM40" s="643"/>
      <c r="GVN40" s="643"/>
      <c r="GVO40" s="643"/>
      <c r="GVP40" s="643"/>
      <c r="GVQ40" s="643"/>
      <c r="GVR40" s="643"/>
      <c r="GVS40" s="643"/>
      <c r="GVT40" s="643"/>
      <c r="GVU40" s="643"/>
      <c r="GVV40" s="643"/>
      <c r="GVW40" s="643"/>
      <c r="GVX40" s="643"/>
      <c r="GVY40" s="643"/>
      <c r="GVZ40" s="643"/>
      <c r="GWA40" s="643"/>
      <c r="GWB40" s="643"/>
      <c r="GWC40" s="643"/>
      <c r="GWD40" s="643"/>
      <c r="GWE40" s="643"/>
      <c r="GWF40" s="643"/>
      <c r="GWG40" s="643"/>
      <c r="GWH40" s="643"/>
      <c r="GWI40" s="643"/>
      <c r="GWJ40" s="643"/>
      <c r="GWK40" s="643"/>
      <c r="GWL40" s="643"/>
      <c r="GWM40" s="643"/>
      <c r="GWN40" s="643"/>
      <c r="GWO40" s="643"/>
      <c r="GWP40" s="643"/>
      <c r="GWQ40" s="643"/>
      <c r="GWR40" s="643"/>
      <c r="GWS40" s="643"/>
      <c r="GWT40" s="643"/>
      <c r="GWU40" s="643"/>
      <c r="GWV40" s="643"/>
      <c r="GWW40" s="643"/>
      <c r="GWX40" s="643"/>
      <c r="GWY40" s="643"/>
      <c r="GWZ40" s="643"/>
      <c r="GXA40" s="643"/>
      <c r="GXB40" s="643"/>
      <c r="GXC40" s="643"/>
      <c r="GXD40" s="643"/>
      <c r="GXE40" s="643"/>
      <c r="GXF40" s="643"/>
      <c r="GXG40" s="643"/>
      <c r="GXH40" s="643"/>
      <c r="GXI40" s="643"/>
      <c r="GXJ40" s="643"/>
      <c r="GXK40" s="643"/>
      <c r="GXL40" s="643"/>
      <c r="GXM40" s="643"/>
      <c r="GXN40" s="643"/>
      <c r="GXO40" s="643"/>
      <c r="GXP40" s="643"/>
      <c r="GXQ40" s="643"/>
      <c r="GXR40" s="643"/>
      <c r="GXS40" s="643"/>
      <c r="GXT40" s="643"/>
      <c r="GXU40" s="643"/>
      <c r="GXV40" s="643"/>
      <c r="GXW40" s="643"/>
      <c r="GXX40" s="643"/>
      <c r="GXY40" s="643"/>
      <c r="GXZ40" s="643"/>
      <c r="GYA40" s="643"/>
      <c r="GYB40" s="643"/>
      <c r="GYC40" s="643"/>
      <c r="GYD40" s="643"/>
      <c r="GYE40" s="643"/>
      <c r="GYF40" s="643"/>
      <c r="GYG40" s="643"/>
      <c r="GYH40" s="643"/>
      <c r="GYI40" s="643"/>
      <c r="GYJ40" s="643"/>
      <c r="GYK40" s="643"/>
      <c r="GYL40" s="643"/>
      <c r="GYM40" s="643"/>
      <c r="GYN40" s="643"/>
      <c r="GYO40" s="643"/>
      <c r="GYP40" s="643"/>
      <c r="GYQ40" s="643"/>
      <c r="GYR40" s="643"/>
      <c r="GYS40" s="643"/>
      <c r="GYT40" s="643"/>
      <c r="GYU40" s="643"/>
      <c r="GYV40" s="643"/>
      <c r="GYW40" s="643"/>
      <c r="GYX40" s="643"/>
      <c r="GYY40" s="643"/>
      <c r="GYZ40" s="643"/>
      <c r="GZA40" s="643"/>
      <c r="GZB40" s="643"/>
      <c r="GZC40" s="643"/>
      <c r="GZD40" s="643"/>
      <c r="GZE40" s="643"/>
      <c r="GZF40" s="643"/>
      <c r="GZG40" s="643"/>
      <c r="GZH40" s="643"/>
      <c r="GZI40" s="643"/>
      <c r="GZJ40" s="643"/>
      <c r="GZK40" s="643"/>
      <c r="GZL40" s="643"/>
      <c r="GZM40" s="643"/>
      <c r="GZN40" s="643"/>
      <c r="GZO40" s="643"/>
      <c r="GZP40" s="643"/>
      <c r="GZQ40" s="643"/>
      <c r="GZR40" s="643"/>
      <c r="GZS40" s="643"/>
      <c r="GZT40" s="643"/>
      <c r="GZU40" s="643"/>
      <c r="GZV40" s="643"/>
      <c r="GZW40" s="643"/>
      <c r="GZX40" s="643"/>
      <c r="GZY40" s="643"/>
      <c r="GZZ40" s="643"/>
      <c r="HAA40" s="643"/>
      <c r="HAB40" s="643"/>
      <c r="HAC40" s="643"/>
      <c r="HAD40" s="643"/>
      <c r="HAE40" s="643"/>
      <c r="HAF40" s="643"/>
      <c r="HAG40" s="643"/>
      <c r="HAH40" s="643"/>
      <c r="HAI40" s="643"/>
      <c r="HAJ40" s="643"/>
      <c r="HAK40" s="643"/>
      <c r="HAL40" s="643"/>
      <c r="HAM40" s="643"/>
      <c r="HAN40" s="643"/>
      <c r="HAO40" s="643"/>
      <c r="HAP40" s="643"/>
      <c r="HAQ40" s="643"/>
      <c r="HAR40" s="643"/>
      <c r="HAS40" s="643"/>
      <c r="HAT40" s="643"/>
      <c r="HAU40" s="643"/>
      <c r="HAV40" s="643"/>
      <c r="HAW40" s="643"/>
      <c r="HAX40" s="643"/>
      <c r="HAY40" s="643"/>
      <c r="HAZ40" s="643"/>
      <c r="HBA40" s="643"/>
      <c r="HBB40" s="643"/>
      <c r="HBC40" s="643"/>
      <c r="HBD40" s="643"/>
      <c r="HBE40" s="643"/>
      <c r="HBF40" s="643"/>
      <c r="HBG40" s="643"/>
      <c r="HBH40" s="643"/>
      <c r="HBI40" s="643"/>
      <c r="HBJ40" s="643"/>
      <c r="HBK40" s="643"/>
      <c r="HBL40" s="643"/>
      <c r="HBM40" s="643"/>
      <c r="HBN40" s="643"/>
      <c r="HBO40" s="643"/>
      <c r="HBP40" s="643"/>
      <c r="HBQ40" s="643"/>
      <c r="HBR40" s="643"/>
      <c r="HBS40" s="643"/>
      <c r="HBT40" s="643"/>
      <c r="HBU40" s="643"/>
      <c r="HBV40" s="643"/>
      <c r="HBW40" s="643"/>
      <c r="HBX40" s="643"/>
      <c r="HBY40" s="643"/>
      <c r="HBZ40" s="643"/>
      <c r="HCA40" s="643"/>
      <c r="HCB40" s="643"/>
      <c r="HCC40" s="643"/>
      <c r="HCD40" s="643"/>
      <c r="HCE40" s="643"/>
      <c r="HCF40" s="643"/>
      <c r="HCG40" s="643"/>
      <c r="HCH40" s="643"/>
      <c r="HCI40" s="643"/>
      <c r="HCJ40" s="643"/>
      <c r="HCK40" s="643"/>
      <c r="HCL40" s="643"/>
      <c r="HCM40" s="643"/>
      <c r="HCN40" s="643"/>
      <c r="HCO40" s="643"/>
      <c r="HCP40" s="643"/>
      <c r="HCQ40" s="643"/>
      <c r="HCR40" s="643"/>
      <c r="HCS40" s="643"/>
      <c r="HCT40" s="643"/>
      <c r="HCU40" s="643"/>
      <c r="HCV40" s="643"/>
      <c r="HCW40" s="643"/>
      <c r="HCX40" s="643"/>
      <c r="HCY40" s="643"/>
      <c r="HCZ40" s="643"/>
      <c r="HDA40" s="643"/>
      <c r="HDB40" s="643"/>
      <c r="HDC40" s="643"/>
      <c r="HDD40" s="643"/>
      <c r="HDE40" s="643"/>
      <c r="HDF40" s="643"/>
      <c r="HDG40" s="643"/>
      <c r="HDH40" s="643"/>
      <c r="HDI40" s="643"/>
      <c r="HDJ40" s="643"/>
      <c r="HDK40" s="643"/>
      <c r="HDL40" s="643"/>
      <c r="HDM40" s="643"/>
      <c r="HDN40" s="643"/>
      <c r="HDO40" s="643"/>
      <c r="HDP40" s="643"/>
      <c r="HDQ40" s="643"/>
      <c r="HDR40" s="643"/>
      <c r="HDS40" s="643"/>
      <c r="HDT40" s="643"/>
      <c r="HDU40" s="643"/>
      <c r="HDV40" s="643"/>
      <c r="HDW40" s="643"/>
      <c r="HDX40" s="643"/>
      <c r="HDY40" s="643"/>
      <c r="HDZ40" s="643"/>
      <c r="HEA40" s="643"/>
      <c r="HEB40" s="643"/>
      <c r="HEC40" s="643"/>
      <c r="HED40" s="643"/>
      <c r="HEE40" s="643"/>
      <c r="HEF40" s="643"/>
      <c r="HEG40" s="643"/>
      <c r="HEH40" s="643"/>
      <c r="HEI40" s="643"/>
      <c r="HEJ40" s="643"/>
      <c r="HEK40" s="643"/>
      <c r="HEL40" s="643"/>
      <c r="HEM40" s="643"/>
      <c r="HEN40" s="643"/>
      <c r="HEO40" s="643"/>
      <c r="HEP40" s="643"/>
      <c r="HEQ40" s="643"/>
      <c r="HER40" s="643"/>
      <c r="HES40" s="643"/>
      <c r="HET40" s="643"/>
      <c r="HEU40" s="643"/>
      <c r="HEV40" s="643"/>
      <c r="HEW40" s="643"/>
      <c r="HEX40" s="643"/>
      <c r="HEY40" s="643"/>
      <c r="HEZ40" s="643"/>
      <c r="HFA40" s="643"/>
      <c r="HFB40" s="643"/>
      <c r="HFC40" s="643"/>
      <c r="HFD40" s="643"/>
      <c r="HFE40" s="643"/>
      <c r="HFF40" s="643"/>
      <c r="HFG40" s="643"/>
      <c r="HFH40" s="643"/>
      <c r="HFI40" s="643"/>
      <c r="HFJ40" s="643"/>
      <c r="HFK40" s="643"/>
      <c r="HFL40" s="643"/>
      <c r="HFM40" s="643"/>
      <c r="HFN40" s="643"/>
      <c r="HFO40" s="643"/>
      <c r="HFP40" s="643"/>
      <c r="HFQ40" s="643"/>
      <c r="HFR40" s="643"/>
      <c r="HFS40" s="643"/>
      <c r="HFT40" s="643"/>
      <c r="HFU40" s="643"/>
      <c r="HFV40" s="643"/>
      <c r="HFW40" s="643"/>
      <c r="HFX40" s="643"/>
      <c r="HFY40" s="643"/>
      <c r="HFZ40" s="643"/>
      <c r="HGA40" s="643"/>
      <c r="HGB40" s="643"/>
      <c r="HGC40" s="643"/>
      <c r="HGD40" s="643"/>
      <c r="HGE40" s="643"/>
      <c r="HGF40" s="643"/>
      <c r="HGG40" s="643"/>
      <c r="HGH40" s="643"/>
      <c r="HGI40" s="643"/>
      <c r="HGJ40" s="643"/>
      <c r="HGK40" s="643"/>
      <c r="HGL40" s="643"/>
      <c r="HGM40" s="643"/>
      <c r="HGN40" s="643"/>
      <c r="HGO40" s="643"/>
      <c r="HGP40" s="643"/>
      <c r="HGQ40" s="643"/>
      <c r="HGR40" s="643"/>
      <c r="HGS40" s="643"/>
      <c r="HGT40" s="643"/>
      <c r="HGU40" s="643"/>
      <c r="HGV40" s="643"/>
      <c r="HGW40" s="643"/>
      <c r="HGX40" s="643"/>
      <c r="HGY40" s="643"/>
      <c r="HGZ40" s="643"/>
      <c r="HHA40" s="643"/>
      <c r="HHB40" s="643"/>
      <c r="HHC40" s="643"/>
      <c r="HHD40" s="643"/>
      <c r="HHE40" s="643"/>
      <c r="HHF40" s="643"/>
      <c r="HHG40" s="643"/>
      <c r="HHH40" s="643"/>
      <c r="HHI40" s="643"/>
      <c r="HHJ40" s="643"/>
      <c r="HHK40" s="643"/>
      <c r="HHL40" s="643"/>
      <c r="HHM40" s="643"/>
      <c r="HHN40" s="643"/>
      <c r="HHO40" s="643"/>
      <c r="HHP40" s="643"/>
      <c r="HHQ40" s="643"/>
      <c r="HHR40" s="643"/>
      <c r="HHS40" s="643"/>
      <c r="HHT40" s="643"/>
      <c r="HHU40" s="643"/>
      <c r="HHV40" s="643"/>
      <c r="HHW40" s="643"/>
      <c r="HHX40" s="643"/>
      <c r="HHY40" s="643"/>
      <c r="HHZ40" s="643"/>
      <c r="HIA40" s="643"/>
      <c r="HIB40" s="643"/>
      <c r="HIC40" s="643"/>
      <c r="HID40" s="643"/>
      <c r="HIE40" s="643"/>
      <c r="HIF40" s="643"/>
      <c r="HIG40" s="643"/>
      <c r="HIH40" s="643"/>
      <c r="HII40" s="643"/>
      <c r="HIJ40" s="643"/>
      <c r="HIK40" s="643"/>
      <c r="HIL40" s="643"/>
      <c r="HIM40" s="643"/>
      <c r="HIN40" s="643"/>
      <c r="HIO40" s="643"/>
      <c r="HIP40" s="643"/>
      <c r="HIQ40" s="643"/>
      <c r="HIR40" s="643"/>
      <c r="HIS40" s="643"/>
      <c r="HIT40" s="643"/>
      <c r="HIU40" s="643"/>
      <c r="HIV40" s="643"/>
      <c r="HIW40" s="643"/>
      <c r="HIX40" s="643"/>
      <c r="HIY40" s="643"/>
      <c r="HIZ40" s="643"/>
      <c r="HJA40" s="643"/>
      <c r="HJB40" s="643"/>
      <c r="HJC40" s="643"/>
      <c r="HJD40" s="643"/>
      <c r="HJE40" s="643"/>
      <c r="HJF40" s="643"/>
      <c r="HJG40" s="643"/>
      <c r="HJH40" s="643"/>
      <c r="HJI40" s="643"/>
      <c r="HJJ40" s="643"/>
      <c r="HJK40" s="643"/>
      <c r="HJL40" s="643"/>
      <c r="HJM40" s="643"/>
      <c r="HJN40" s="643"/>
      <c r="HJO40" s="643"/>
      <c r="HJP40" s="643"/>
      <c r="HJQ40" s="643"/>
      <c r="HJR40" s="643"/>
      <c r="HJS40" s="643"/>
      <c r="HJT40" s="643"/>
      <c r="HJU40" s="643"/>
      <c r="HJV40" s="643"/>
      <c r="HJW40" s="643"/>
      <c r="HJX40" s="643"/>
      <c r="HJY40" s="643"/>
      <c r="HJZ40" s="643"/>
      <c r="HKA40" s="643"/>
      <c r="HKB40" s="643"/>
      <c r="HKC40" s="643"/>
      <c r="HKD40" s="643"/>
      <c r="HKE40" s="643"/>
      <c r="HKF40" s="643"/>
      <c r="HKG40" s="643"/>
      <c r="HKH40" s="643"/>
      <c r="HKI40" s="643"/>
      <c r="HKJ40" s="643"/>
      <c r="HKK40" s="643"/>
      <c r="HKL40" s="643"/>
      <c r="HKM40" s="643"/>
      <c r="HKN40" s="643"/>
      <c r="HKO40" s="643"/>
      <c r="HKP40" s="643"/>
      <c r="HKQ40" s="643"/>
      <c r="HKR40" s="643"/>
      <c r="HKS40" s="643"/>
      <c r="HKT40" s="643"/>
      <c r="HKU40" s="643"/>
      <c r="HKV40" s="643"/>
      <c r="HKW40" s="643"/>
      <c r="HKX40" s="643"/>
      <c r="HKY40" s="643"/>
      <c r="HKZ40" s="643"/>
      <c r="HLA40" s="643"/>
      <c r="HLB40" s="643"/>
      <c r="HLC40" s="643"/>
      <c r="HLD40" s="643"/>
      <c r="HLE40" s="643"/>
      <c r="HLF40" s="643"/>
      <c r="HLG40" s="643"/>
      <c r="HLH40" s="643"/>
      <c r="HLI40" s="643"/>
      <c r="HLJ40" s="643"/>
      <c r="HLK40" s="643"/>
      <c r="HLL40" s="643"/>
      <c r="HLM40" s="643"/>
      <c r="HLN40" s="643"/>
      <c r="HLO40" s="643"/>
      <c r="HLP40" s="643"/>
      <c r="HLQ40" s="643"/>
      <c r="HLR40" s="643"/>
      <c r="HLS40" s="643"/>
      <c r="HLT40" s="643"/>
      <c r="HLU40" s="643"/>
      <c r="HLV40" s="643"/>
      <c r="HLW40" s="643"/>
      <c r="HLX40" s="643"/>
      <c r="HLY40" s="643"/>
      <c r="HLZ40" s="643"/>
      <c r="HMA40" s="643"/>
      <c r="HMB40" s="643"/>
      <c r="HMC40" s="643"/>
      <c r="HMD40" s="643"/>
      <c r="HME40" s="643"/>
      <c r="HMF40" s="643"/>
      <c r="HMG40" s="643"/>
      <c r="HMH40" s="643"/>
      <c r="HMI40" s="643"/>
      <c r="HMJ40" s="643"/>
      <c r="HMK40" s="643"/>
      <c r="HML40" s="643"/>
      <c r="HMM40" s="643"/>
      <c r="HMN40" s="643"/>
      <c r="HMO40" s="643"/>
      <c r="HMP40" s="643"/>
      <c r="HMQ40" s="643"/>
      <c r="HMR40" s="643"/>
      <c r="HMS40" s="643"/>
      <c r="HMT40" s="643"/>
      <c r="HMU40" s="643"/>
      <c r="HMV40" s="643"/>
      <c r="HMW40" s="643"/>
      <c r="HMX40" s="643"/>
      <c r="HMY40" s="643"/>
      <c r="HMZ40" s="643"/>
      <c r="HNA40" s="643"/>
      <c r="HNB40" s="643"/>
      <c r="HNC40" s="643"/>
      <c r="HND40" s="643"/>
      <c r="HNE40" s="643"/>
      <c r="HNF40" s="643"/>
      <c r="HNG40" s="643"/>
      <c r="HNH40" s="643"/>
      <c r="HNI40" s="643"/>
      <c r="HNJ40" s="643"/>
      <c r="HNK40" s="643"/>
      <c r="HNL40" s="643"/>
      <c r="HNM40" s="643"/>
      <c r="HNN40" s="643"/>
      <c r="HNO40" s="643"/>
      <c r="HNP40" s="643"/>
      <c r="HNQ40" s="643"/>
      <c r="HNR40" s="643"/>
      <c r="HNS40" s="643"/>
      <c r="HNT40" s="643"/>
      <c r="HNU40" s="643"/>
      <c r="HNV40" s="643"/>
      <c r="HNW40" s="643"/>
      <c r="HNX40" s="643"/>
      <c r="HNY40" s="643"/>
      <c r="HNZ40" s="643"/>
      <c r="HOA40" s="643"/>
      <c r="HOB40" s="643"/>
      <c r="HOC40" s="643"/>
      <c r="HOD40" s="643"/>
      <c r="HOE40" s="643"/>
      <c r="HOF40" s="643"/>
      <c r="HOG40" s="643"/>
      <c r="HOH40" s="643"/>
      <c r="HOI40" s="643"/>
      <c r="HOJ40" s="643"/>
      <c r="HOK40" s="643"/>
      <c r="HOL40" s="643"/>
      <c r="HOM40" s="643"/>
      <c r="HON40" s="643"/>
      <c r="HOO40" s="643"/>
      <c r="HOP40" s="643"/>
      <c r="HOQ40" s="643"/>
      <c r="HOR40" s="643"/>
      <c r="HOS40" s="643"/>
      <c r="HOT40" s="643"/>
      <c r="HOU40" s="643"/>
      <c r="HOV40" s="643"/>
      <c r="HOW40" s="643"/>
      <c r="HOX40" s="643"/>
      <c r="HOY40" s="643"/>
      <c r="HOZ40" s="643"/>
      <c r="HPA40" s="643"/>
      <c r="HPB40" s="643"/>
      <c r="HPC40" s="643"/>
      <c r="HPD40" s="643"/>
      <c r="HPE40" s="643"/>
      <c r="HPF40" s="643"/>
      <c r="HPG40" s="643"/>
      <c r="HPH40" s="643"/>
      <c r="HPI40" s="643"/>
      <c r="HPJ40" s="643"/>
      <c r="HPK40" s="643"/>
      <c r="HPL40" s="643"/>
      <c r="HPM40" s="643"/>
      <c r="HPN40" s="643"/>
      <c r="HPO40" s="643"/>
      <c r="HPP40" s="643"/>
      <c r="HPQ40" s="643"/>
      <c r="HPR40" s="643"/>
      <c r="HPS40" s="643"/>
      <c r="HPT40" s="643"/>
      <c r="HPU40" s="643"/>
      <c r="HPV40" s="643"/>
      <c r="HPW40" s="643"/>
      <c r="HPX40" s="643"/>
      <c r="HPY40" s="643"/>
      <c r="HPZ40" s="643"/>
      <c r="HQA40" s="643"/>
      <c r="HQB40" s="643"/>
      <c r="HQC40" s="643"/>
      <c r="HQD40" s="643"/>
      <c r="HQE40" s="643"/>
      <c r="HQF40" s="643"/>
      <c r="HQG40" s="643"/>
      <c r="HQH40" s="643"/>
      <c r="HQI40" s="643"/>
      <c r="HQJ40" s="643"/>
      <c r="HQK40" s="643"/>
      <c r="HQL40" s="643"/>
      <c r="HQM40" s="643"/>
      <c r="HQN40" s="643"/>
      <c r="HQO40" s="643"/>
      <c r="HQP40" s="643"/>
      <c r="HQQ40" s="643"/>
      <c r="HQR40" s="643"/>
      <c r="HQS40" s="643"/>
      <c r="HQT40" s="643"/>
      <c r="HQU40" s="643"/>
      <c r="HQV40" s="643"/>
      <c r="HQW40" s="643"/>
      <c r="HQX40" s="643"/>
      <c r="HQY40" s="643"/>
      <c r="HQZ40" s="643"/>
      <c r="HRA40" s="643"/>
      <c r="HRB40" s="643"/>
      <c r="HRC40" s="643"/>
      <c r="HRD40" s="643"/>
      <c r="HRE40" s="643"/>
      <c r="HRF40" s="643"/>
      <c r="HRG40" s="643"/>
      <c r="HRH40" s="643"/>
      <c r="HRI40" s="643"/>
      <c r="HRJ40" s="643"/>
      <c r="HRK40" s="643"/>
      <c r="HRL40" s="643"/>
      <c r="HRM40" s="643"/>
      <c r="HRN40" s="643"/>
      <c r="HRO40" s="643"/>
      <c r="HRP40" s="643"/>
      <c r="HRQ40" s="643"/>
      <c r="HRR40" s="643"/>
      <c r="HRS40" s="643"/>
      <c r="HRT40" s="643"/>
      <c r="HRU40" s="643"/>
      <c r="HRV40" s="643"/>
      <c r="HRW40" s="643"/>
      <c r="HRX40" s="643"/>
      <c r="HRY40" s="643"/>
      <c r="HRZ40" s="643"/>
      <c r="HSA40" s="643"/>
      <c r="HSB40" s="643"/>
      <c r="HSC40" s="643"/>
      <c r="HSD40" s="643"/>
      <c r="HSE40" s="643"/>
      <c r="HSF40" s="643"/>
      <c r="HSG40" s="643"/>
      <c r="HSH40" s="643"/>
      <c r="HSI40" s="643"/>
      <c r="HSJ40" s="643"/>
      <c r="HSK40" s="643"/>
      <c r="HSL40" s="643"/>
      <c r="HSM40" s="643"/>
      <c r="HSN40" s="643"/>
      <c r="HSO40" s="643"/>
      <c r="HSP40" s="643"/>
      <c r="HSQ40" s="643"/>
      <c r="HSR40" s="643"/>
      <c r="HSS40" s="643"/>
      <c r="HST40" s="643"/>
      <c r="HSU40" s="643"/>
      <c r="HSV40" s="643"/>
      <c r="HSW40" s="643"/>
      <c r="HSX40" s="643"/>
      <c r="HSY40" s="643"/>
      <c r="HSZ40" s="643"/>
      <c r="HTA40" s="643"/>
      <c r="HTB40" s="643"/>
      <c r="HTC40" s="643"/>
      <c r="HTD40" s="643"/>
      <c r="HTE40" s="643"/>
      <c r="HTF40" s="643"/>
      <c r="HTG40" s="643"/>
      <c r="HTH40" s="643"/>
      <c r="HTI40" s="643"/>
      <c r="HTJ40" s="643"/>
      <c r="HTK40" s="643"/>
      <c r="HTL40" s="643"/>
      <c r="HTM40" s="643"/>
      <c r="HTN40" s="643"/>
      <c r="HTO40" s="643"/>
      <c r="HTP40" s="643"/>
      <c r="HTQ40" s="643"/>
      <c r="HTR40" s="643"/>
      <c r="HTS40" s="643"/>
      <c r="HTT40" s="643"/>
      <c r="HTU40" s="643"/>
      <c r="HTV40" s="643"/>
      <c r="HTW40" s="643"/>
      <c r="HTX40" s="643"/>
      <c r="HTY40" s="643"/>
      <c r="HTZ40" s="643"/>
      <c r="HUA40" s="643"/>
      <c r="HUB40" s="643"/>
      <c r="HUC40" s="643"/>
      <c r="HUD40" s="643"/>
      <c r="HUE40" s="643"/>
      <c r="HUF40" s="643"/>
      <c r="HUG40" s="643"/>
      <c r="HUH40" s="643"/>
      <c r="HUI40" s="643"/>
      <c r="HUJ40" s="643"/>
      <c r="HUK40" s="643"/>
      <c r="HUL40" s="643"/>
      <c r="HUM40" s="643"/>
      <c r="HUN40" s="643"/>
      <c r="HUO40" s="643"/>
      <c r="HUP40" s="643"/>
      <c r="HUQ40" s="643"/>
      <c r="HUR40" s="643"/>
      <c r="HUS40" s="643"/>
      <c r="HUT40" s="643"/>
      <c r="HUU40" s="643"/>
      <c r="HUV40" s="643"/>
      <c r="HUW40" s="643"/>
      <c r="HUX40" s="643"/>
      <c r="HUY40" s="643"/>
      <c r="HUZ40" s="643"/>
      <c r="HVA40" s="643"/>
      <c r="HVB40" s="643"/>
      <c r="HVC40" s="643"/>
      <c r="HVD40" s="643"/>
      <c r="HVE40" s="643"/>
      <c r="HVF40" s="643"/>
      <c r="HVG40" s="643"/>
      <c r="HVH40" s="643"/>
      <c r="HVI40" s="643"/>
      <c r="HVJ40" s="643"/>
      <c r="HVK40" s="643"/>
      <c r="HVL40" s="643"/>
      <c r="HVM40" s="643"/>
      <c r="HVN40" s="643"/>
      <c r="HVO40" s="643"/>
      <c r="HVP40" s="643"/>
      <c r="HVQ40" s="643"/>
      <c r="HVR40" s="643"/>
      <c r="HVS40" s="643"/>
      <c r="HVT40" s="643"/>
      <c r="HVU40" s="643"/>
      <c r="HVV40" s="643"/>
      <c r="HVW40" s="643"/>
      <c r="HVX40" s="643"/>
      <c r="HVY40" s="643"/>
      <c r="HVZ40" s="643"/>
      <c r="HWA40" s="643"/>
      <c r="HWB40" s="643"/>
      <c r="HWC40" s="643"/>
      <c r="HWD40" s="643"/>
      <c r="HWE40" s="643"/>
      <c r="HWF40" s="643"/>
      <c r="HWG40" s="643"/>
      <c r="HWH40" s="643"/>
      <c r="HWI40" s="643"/>
      <c r="HWJ40" s="643"/>
      <c r="HWK40" s="643"/>
      <c r="HWL40" s="643"/>
      <c r="HWM40" s="643"/>
      <c r="HWN40" s="643"/>
      <c r="HWO40" s="643"/>
      <c r="HWP40" s="643"/>
      <c r="HWQ40" s="643"/>
      <c r="HWR40" s="643"/>
      <c r="HWS40" s="643"/>
      <c r="HWT40" s="643"/>
      <c r="HWU40" s="643"/>
      <c r="HWV40" s="643"/>
      <c r="HWW40" s="643"/>
      <c r="HWX40" s="643"/>
      <c r="HWY40" s="643"/>
      <c r="HWZ40" s="643"/>
      <c r="HXA40" s="643"/>
      <c r="HXB40" s="643"/>
      <c r="HXC40" s="643"/>
      <c r="HXD40" s="643"/>
      <c r="HXE40" s="643"/>
      <c r="HXF40" s="643"/>
      <c r="HXG40" s="643"/>
      <c r="HXH40" s="643"/>
      <c r="HXI40" s="643"/>
      <c r="HXJ40" s="643"/>
      <c r="HXK40" s="643"/>
      <c r="HXL40" s="643"/>
      <c r="HXM40" s="643"/>
      <c r="HXN40" s="643"/>
      <c r="HXO40" s="643"/>
      <c r="HXP40" s="643"/>
      <c r="HXQ40" s="643"/>
      <c r="HXR40" s="643"/>
      <c r="HXS40" s="643"/>
      <c r="HXT40" s="643"/>
      <c r="HXU40" s="643"/>
      <c r="HXV40" s="643"/>
      <c r="HXW40" s="643"/>
      <c r="HXX40" s="643"/>
      <c r="HXY40" s="643"/>
      <c r="HXZ40" s="643"/>
      <c r="HYA40" s="643"/>
      <c r="HYB40" s="643"/>
      <c r="HYC40" s="643"/>
      <c r="HYD40" s="643"/>
      <c r="HYE40" s="643"/>
      <c r="HYF40" s="643"/>
      <c r="HYG40" s="643"/>
      <c r="HYH40" s="643"/>
      <c r="HYI40" s="643"/>
      <c r="HYJ40" s="643"/>
      <c r="HYK40" s="643"/>
      <c r="HYL40" s="643"/>
      <c r="HYM40" s="643"/>
      <c r="HYN40" s="643"/>
      <c r="HYO40" s="643"/>
      <c r="HYP40" s="643"/>
      <c r="HYQ40" s="643"/>
      <c r="HYR40" s="643"/>
      <c r="HYS40" s="643"/>
      <c r="HYT40" s="643"/>
      <c r="HYU40" s="643"/>
      <c r="HYV40" s="643"/>
      <c r="HYW40" s="643"/>
      <c r="HYX40" s="643"/>
      <c r="HYY40" s="643"/>
      <c r="HYZ40" s="643"/>
      <c r="HZA40" s="643"/>
      <c r="HZB40" s="643"/>
      <c r="HZC40" s="643"/>
      <c r="HZD40" s="643"/>
      <c r="HZE40" s="643"/>
      <c r="HZF40" s="643"/>
      <c r="HZG40" s="643"/>
      <c r="HZH40" s="643"/>
      <c r="HZI40" s="643"/>
      <c r="HZJ40" s="643"/>
      <c r="HZK40" s="643"/>
      <c r="HZL40" s="643"/>
      <c r="HZM40" s="643"/>
      <c r="HZN40" s="643"/>
      <c r="HZO40" s="643"/>
      <c r="HZP40" s="643"/>
      <c r="HZQ40" s="643"/>
      <c r="HZR40" s="643"/>
      <c r="HZS40" s="643"/>
      <c r="HZT40" s="643"/>
      <c r="HZU40" s="643"/>
      <c r="HZV40" s="643"/>
      <c r="HZW40" s="643"/>
      <c r="HZX40" s="643"/>
      <c r="HZY40" s="643"/>
      <c r="HZZ40" s="643"/>
      <c r="IAA40" s="643"/>
      <c r="IAB40" s="643"/>
      <c r="IAC40" s="643"/>
      <c r="IAD40" s="643"/>
      <c r="IAE40" s="643"/>
      <c r="IAF40" s="643"/>
      <c r="IAG40" s="643"/>
      <c r="IAH40" s="643"/>
      <c r="IAI40" s="643"/>
      <c r="IAJ40" s="643"/>
      <c r="IAK40" s="643"/>
      <c r="IAL40" s="643"/>
      <c r="IAM40" s="643"/>
      <c r="IAN40" s="643"/>
      <c r="IAO40" s="643"/>
      <c r="IAP40" s="643"/>
      <c r="IAQ40" s="643"/>
      <c r="IAR40" s="643"/>
      <c r="IAS40" s="643"/>
      <c r="IAT40" s="643"/>
      <c r="IAU40" s="643"/>
      <c r="IAV40" s="643"/>
      <c r="IAW40" s="643"/>
      <c r="IAX40" s="643"/>
      <c r="IAY40" s="643"/>
      <c r="IAZ40" s="643"/>
      <c r="IBA40" s="643"/>
      <c r="IBB40" s="643"/>
      <c r="IBC40" s="643"/>
      <c r="IBD40" s="643"/>
      <c r="IBE40" s="643"/>
      <c r="IBF40" s="643"/>
      <c r="IBG40" s="643"/>
      <c r="IBH40" s="643"/>
      <c r="IBI40" s="643"/>
      <c r="IBJ40" s="643"/>
      <c r="IBK40" s="643"/>
      <c r="IBL40" s="643"/>
      <c r="IBM40" s="643"/>
      <c r="IBN40" s="643"/>
      <c r="IBO40" s="643"/>
      <c r="IBP40" s="643"/>
      <c r="IBQ40" s="643"/>
      <c r="IBR40" s="643"/>
      <c r="IBS40" s="643"/>
      <c r="IBT40" s="643"/>
      <c r="IBU40" s="643"/>
      <c r="IBV40" s="643"/>
      <c r="IBW40" s="643"/>
      <c r="IBX40" s="643"/>
      <c r="IBY40" s="643"/>
      <c r="IBZ40" s="643"/>
      <c r="ICA40" s="643"/>
      <c r="ICB40" s="643"/>
      <c r="ICC40" s="643"/>
      <c r="ICD40" s="643"/>
      <c r="ICE40" s="643"/>
      <c r="ICF40" s="643"/>
      <c r="ICG40" s="643"/>
      <c r="ICH40" s="643"/>
      <c r="ICI40" s="643"/>
      <c r="ICJ40" s="643"/>
      <c r="ICK40" s="643"/>
      <c r="ICL40" s="643"/>
      <c r="ICM40" s="643"/>
      <c r="ICN40" s="643"/>
      <c r="ICO40" s="643"/>
      <c r="ICP40" s="643"/>
      <c r="ICQ40" s="643"/>
      <c r="ICR40" s="643"/>
      <c r="ICS40" s="643"/>
      <c r="ICT40" s="643"/>
      <c r="ICU40" s="643"/>
      <c r="ICV40" s="643"/>
      <c r="ICW40" s="643"/>
      <c r="ICX40" s="643"/>
      <c r="ICY40" s="643"/>
      <c r="ICZ40" s="643"/>
      <c r="IDA40" s="643"/>
      <c r="IDB40" s="643"/>
      <c r="IDC40" s="643"/>
      <c r="IDD40" s="643"/>
      <c r="IDE40" s="643"/>
      <c r="IDF40" s="643"/>
      <c r="IDG40" s="643"/>
      <c r="IDH40" s="643"/>
      <c r="IDI40" s="643"/>
      <c r="IDJ40" s="643"/>
      <c r="IDK40" s="643"/>
      <c r="IDL40" s="643"/>
      <c r="IDM40" s="643"/>
      <c r="IDN40" s="643"/>
      <c r="IDO40" s="643"/>
      <c r="IDP40" s="643"/>
      <c r="IDQ40" s="643"/>
      <c r="IDR40" s="643"/>
      <c r="IDS40" s="643"/>
      <c r="IDT40" s="643"/>
      <c r="IDU40" s="643"/>
      <c r="IDV40" s="643"/>
      <c r="IDW40" s="643"/>
      <c r="IDX40" s="643"/>
      <c r="IDY40" s="643"/>
      <c r="IDZ40" s="643"/>
      <c r="IEA40" s="643"/>
      <c r="IEB40" s="643"/>
      <c r="IEC40" s="643"/>
      <c r="IED40" s="643"/>
      <c r="IEE40" s="643"/>
      <c r="IEF40" s="643"/>
      <c r="IEG40" s="643"/>
      <c r="IEH40" s="643"/>
      <c r="IEI40" s="643"/>
      <c r="IEJ40" s="643"/>
      <c r="IEK40" s="643"/>
      <c r="IEL40" s="643"/>
      <c r="IEM40" s="643"/>
      <c r="IEN40" s="643"/>
      <c r="IEO40" s="643"/>
      <c r="IEP40" s="643"/>
      <c r="IEQ40" s="643"/>
      <c r="IER40" s="643"/>
      <c r="IES40" s="643"/>
      <c r="IET40" s="643"/>
      <c r="IEU40" s="643"/>
      <c r="IEV40" s="643"/>
      <c r="IEW40" s="643"/>
      <c r="IEX40" s="643"/>
      <c r="IEY40" s="643"/>
      <c r="IEZ40" s="643"/>
      <c r="IFA40" s="643"/>
      <c r="IFB40" s="643"/>
      <c r="IFC40" s="643"/>
      <c r="IFD40" s="643"/>
      <c r="IFE40" s="643"/>
      <c r="IFF40" s="643"/>
      <c r="IFG40" s="643"/>
      <c r="IFH40" s="643"/>
      <c r="IFI40" s="643"/>
      <c r="IFJ40" s="643"/>
      <c r="IFK40" s="643"/>
      <c r="IFL40" s="643"/>
      <c r="IFM40" s="643"/>
      <c r="IFN40" s="643"/>
      <c r="IFO40" s="643"/>
      <c r="IFP40" s="643"/>
      <c r="IFQ40" s="643"/>
      <c r="IFR40" s="643"/>
      <c r="IFS40" s="643"/>
      <c r="IFT40" s="643"/>
      <c r="IFU40" s="643"/>
      <c r="IFV40" s="643"/>
      <c r="IFW40" s="643"/>
      <c r="IFX40" s="643"/>
      <c r="IFY40" s="643"/>
      <c r="IFZ40" s="643"/>
      <c r="IGA40" s="643"/>
      <c r="IGB40" s="643"/>
      <c r="IGC40" s="643"/>
      <c r="IGD40" s="643"/>
      <c r="IGE40" s="643"/>
      <c r="IGF40" s="643"/>
      <c r="IGG40" s="643"/>
      <c r="IGH40" s="643"/>
      <c r="IGI40" s="643"/>
      <c r="IGJ40" s="643"/>
      <c r="IGK40" s="643"/>
      <c r="IGL40" s="643"/>
      <c r="IGM40" s="643"/>
      <c r="IGN40" s="643"/>
      <c r="IGO40" s="643"/>
      <c r="IGP40" s="643"/>
      <c r="IGQ40" s="643"/>
      <c r="IGR40" s="643"/>
      <c r="IGS40" s="643"/>
      <c r="IGT40" s="643"/>
      <c r="IGU40" s="643"/>
      <c r="IGV40" s="643"/>
      <c r="IGW40" s="643"/>
      <c r="IGX40" s="643"/>
      <c r="IGY40" s="643"/>
      <c r="IGZ40" s="643"/>
      <c r="IHA40" s="643"/>
      <c r="IHB40" s="643"/>
      <c r="IHC40" s="643"/>
      <c r="IHD40" s="643"/>
      <c r="IHE40" s="643"/>
      <c r="IHF40" s="643"/>
      <c r="IHG40" s="643"/>
      <c r="IHH40" s="643"/>
      <c r="IHI40" s="643"/>
      <c r="IHJ40" s="643"/>
      <c r="IHK40" s="643"/>
      <c r="IHL40" s="643"/>
      <c r="IHM40" s="643"/>
      <c r="IHN40" s="643"/>
      <c r="IHO40" s="643"/>
      <c r="IHP40" s="643"/>
      <c r="IHQ40" s="643"/>
      <c r="IHR40" s="643"/>
      <c r="IHS40" s="643"/>
      <c r="IHT40" s="643"/>
      <c r="IHU40" s="643"/>
      <c r="IHV40" s="643"/>
      <c r="IHW40" s="643"/>
      <c r="IHX40" s="643"/>
      <c r="IHY40" s="643"/>
      <c r="IHZ40" s="643"/>
      <c r="IIA40" s="643"/>
      <c r="IIB40" s="643"/>
      <c r="IIC40" s="643"/>
      <c r="IID40" s="643"/>
      <c r="IIE40" s="643"/>
      <c r="IIF40" s="643"/>
      <c r="IIG40" s="643"/>
      <c r="IIH40" s="643"/>
      <c r="III40" s="643"/>
      <c r="IIJ40" s="643"/>
      <c r="IIK40" s="643"/>
      <c r="IIL40" s="643"/>
      <c r="IIM40" s="643"/>
      <c r="IIN40" s="643"/>
      <c r="IIO40" s="643"/>
      <c r="IIP40" s="643"/>
      <c r="IIQ40" s="643"/>
      <c r="IIR40" s="643"/>
      <c r="IIS40" s="643"/>
      <c r="IIT40" s="643"/>
      <c r="IIU40" s="643"/>
      <c r="IIV40" s="643"/>
      <c r="IIW40" s="643"/>
      <c r="IIX40" s="643"/>
      <c r="IIY40" s="643"/>
      <c r="IIZ40" s="643"/>
      <c r="IJA40" s="643"/>
      <c r="IJB40" s="643"/>
      <c r="IJC40" s="643"/>
      <c r="IJD40" s="643"/>
      <c r="IJE40" s="643"/>
      <c r="IJF40" s="643"/>
      <c r="IJG40" s="643"/>
      <c r="IJH40" s="643"/>
      <c r="IJI40" s="643"/>
      <c r="IJJ40" s="643"/>
      <c r="IJK40" s="643"/>
      <c r="IJL40" s="643"/>
      <c r="IJM40" s="643"/>
      <c r="IJN40" s="643"/>
      <c r="IJO40" s="643"/>
      <c r="IJP40" s="643"/>
      <c r="IJQ40" s="643"/>
      <c r="IJR40" s="643"/>
      <c r="IJS40" s="643"/>
      <c r="IJT40" s="643"/>
      <c r="IJU40" s="643"/>
      <c r="IJV40" s="643"/>
      <c r="IJW40" s="643"/>
      <c r="IJX40" s="643"/>
      <c r="IJY40" s="643"/>
      <c r="IJZ40" s="643"/>
      <c r="IKA40" s="643"/>
      <c r="IKB40" s="643"/>
      <c r="IKC40" s="643"/>
      <c r="IKD40" s="643"/>
      <c r="IKE40" s="643"/>
      <c r="IKF40" s="643"/>
      <c r="IKG40" s="643"/>
      <c r="IKH40" s="643"/>
      <c r="IKI40" s="643"/>
      <c r="IKJ40" s="643"/>
      <c r="IKK40" s="643"/>
      <c r="IKL40" s="643"/>
      <c r="IKM40" s="643"/>
      <c r="IKN40" s="643"/>
      <c r="IKO40" s="643"/>
      <c r="IKP40" s="643"/>
      <c r="IKQ40" s="643"/>
      <c r="IKR40" s="643"/>
      <c r="IKS40" s="643"/>
      <c r="IKT40" s="643"/>
      <c r="IKU40" s="643"/>
      <c r="IKV40" s="643"/>
      <c r="IKW40" s="643"/>
      <c r="IKX40" s="643"/>
      <c r="IKY40" s="643"/>
      <c r="IKZ40" s="643"/>
      <c r="ILA40" s="643"/>
      <c r="ILB40" s="643"/>
      <c r="ILC40" s="643"/>
      <c r="ILD40" s="643"/>
      <c r="ILE40" s="643"/>
      <c r="ILF40" s="643"/>
      <c r="ILG40" s="643"/>
      <c r="ILH40" s="643"/>
      <c r="ILI40" s="643"/>
      <c r="ILJ40" s="643"/>
      <c r="ILK40" s="643"/>
      <c r="ILL40" s="643"/>
      <c r="ILM40" s="643"/>
      <c r="ILN40" s="643"/>
      <c r="ILO40" s="643"/>
      <c r="ILP40" s="643"/>
      <c r="ILQ40" s="643"/>
      <c r="ILR40" s="643"/>
      <c r="ILS40" s="643"/>
      <c r="ILT40" s="643"/>
      <c r="ILU40" s="643"/>
      <c r="ILV40" s="643"/>
      <c r="ILW40" s="643"/>
      <c r="ILX40" s="643"/>
      <c r="ILY40" s="643"/>
      <c r="ILZ40" s="643"/>
      <c r="IMA40" s="643"/>
      <c r="IMB40" s="643"/>
      <c r="IMC40" s="643"/>
      <c r="IMD40" s="643"/>
      <c r="IME40" s="643"/>
      <c r="IMF40" s="643"/>
      <c r="IMG40" s="643"/>
      <c r="IMH40" s="643"/>
      <c r="IMI40" s="643"/>
      <c r="IMJ40" s="643"/>
      <c r="IMK40" s="643"/>
      <c r="IML40" s="643"/>
      <c r="IMM40" s="643"/>
      <c r="IMN40" s="643"/>
      <c r="IMO40" s="643"/>
      <c r="IMP40" s="643"/>
      <c r="IMQ40" s="643"/>
      <c r="IMR40" s="643"/>
      <c r="IMS40" s="643"/>
      <c r="IMT40" s="643"/>
      <c r="IMU40" s="643"/>
      <c r="IMV40" s="643"/>
      <c r="IMW40" s="643"/>
      <c r="IMX40" s="643"/>
      <c r="IMY40" s="643"/>
      <c r="IMZ40" s="643"/>
      <c r="INA40" s="643"/>
      <c r="INB40" s="643"/>
      <c r="INC40" s="643"/>
      <c r="IND40" s="643"/>
      <c r="INE40" s="643"/>
      <c r="INF40" s="643"/>
      <c r="ING40" s="643"/>
      <c r="INH40" s="643"/>
      <c r="INI40" s="643"/>
      <c r="INJ40" s="643"/>
      <c r="INK40" s="643"/>
      <c r="INL40" s="643"/>
      <c r="INM40" s="643"/>
      <c r="INN40" s="643"/>
      <c r="INO40" s="643"/>
      <c r="INP40" s="643"/>
      <c r="INQ40" s="643"/>
      <c r="INR40" s="643"/>
      <c r="INS40" s="643"/>
      <c r="INT40" s="643"/>
      <c r="INU40" s="643"/>
      <c r="INV40" s="643"/>
      <c r="INW40" s="643"/>
      <c r="INX40" s="643"/>
      <c r="INY40" s="643"/>
      <c r="INZ40" s="643"/>
      <c r="IOA40" s="643"/>
      <c r="IOB40" s="643"/>
      <c r="IOC40" s="643"/>
      <c r="IOD40" s="643"/>
      <c r="IOE40" s="643"/>
      <c r="IOF40" s="643"/>
      <c r="IOG40" s="643"/>
      <c r="IOH40" s="643"/>
      <c r="IOI40" s="643"/>
      <c r="IOJ40" s="643"/>
      <c r="IOK40" s="643"/>
      <c r="IOL40" s="643"/>
      <c r="IOM40" s="643"/>
      <c r="ION40" s="643"/>
      <c r="IOO40" s="643"/>
      <c r="IOP40" s="643"/>
      <c r="IOQ40" s="643"/>
      <c r="IOR40" s="643"/>
      <c r="IOS40" s="643"/>
      <c r="IOT40" s="643"/>
      <c r="IOU40" s="643"/>
      <c r="IOV40" s="643"/>
      <c r="IOW40" s="643"/>
      <c r="IOX40" s="643"/>
      <c r="IOY40" s="643"/>
      <c r="IOZ40" s="643"/>
      <c r="IPA40" s="643"/>
      <c r="IPB40" s="643"/>
      <c r="IPC40" s="643"/>
      <c r="IPD40" s="643"/>
      <c r="IPE40" s="643"/>
      <c r="IPF40" s="643"/>
      <c r="IPG40" s="643"/>
      <c r="IPH40" s="643"/>
      <c r="IPI40" s="643"/>
      <c r="IPJ40" s="643"/>
      <c r="IPK40" s="643"/>
      <c r="IPL40" s="643"/>
      <c r="IPM40" s="643"/>
      <c r="IPN40" s="643"/>
      <c r="IPO40" s="643"/>
      <c r="IPP40" s="643"/>
      <c r="IPQ40" s="643"/>
      <c r="IPR40" s="643"/>
      <c r="IPS40" s="643"/>
      <c r="IPT40" s="643"/>
      <c r="IPU40" s="643"/>
      <c r="IPV40" s="643"/>
      <c r="IPW40" s="643"/>
      <c r="IPX40" s="643"/>
      <c r="IPY40" s="643"/>
      <c r="IPZ40" s="643"/>
      <c r="IQA40" s="643"/>
      <c r="IQB40" s="643"/>
      <c r="IQC40" s="643"/>
      <c r="IQD40" s="643"/>
      <c r="IQE40" s="643"/>
      <c r="IQF40" s="643"/>
      <c r="IQG40" s="643"/>
      <c r="IQH40" s="643"/>
      <c r="IQI40" s="643"/>
      <c r="IQJ40" s="643"/>
      <c r="IQK40" s="643"/>
      <c r="IQL40" s="643"/>
      <c r="IQM40" s="643"/>
      <c r="IQN40" s="643"/>
      <c r="IQO40" s="643"/>
      <c r="IQP40" s="643"/>
      <c r="IQQ40" s="643"/>
      <c r="IQR40" s="643"/>
      <c r="IQS40" s="643"/>
      <c r="IQT40" s="643"/>
      <c r="IQU40" s="643"/>
      <c r="IQV40" s="643"/>
      <c r="IQW40" s="643"/>
      <c r="IQX40" s="643"/>
      <c r="IQY40" s="643"/>
      <c r="IQZ40" s="643"/>
      <c r="IRA40" s="643"/>
      <c r="IRB40" s="643"/>
      <c r="IRC40" s="643"/>
      <c r="IRD40" s="643"/>
      <c r="IRE40" s="643"/>
      <c r="IRF40" s="643"/>
      <c r="IRG40" s="643"/>
      <c r="IRH40" s="643"/>
      <c r="IRI40" s="643"/>
      <c r="IRJ40" s="643"/>
      <c r="IRK40" s="643"/>
      <c r="IRL40" s="643"/>
      <c r="IRM40" s="643"/>
      <c r="IRN40" s="643"/>
      <c r="IRO40" s="643"/>
      <c r="IRP40" s="643"/>
      <c r="IRQ40" s="643"/>
      <c r="IRR40" s="643"/>
      <c r="IRS40" s="643"/>
      <c r="IRT40" s="643"/>
      <c r="IRU40" s="643"/>
      <c r="IRV40" s="643"/>
      <c r="IRW40" s="643"/>
      <c r="IRX40" s="643"/>
      <c r="IRY40" s="643"/>
      <c r="IRZ40" s="643"/>
      <c r="ISA40" s="643"/>
      <c r="ISB40" s="643"/>
      <c r="ISC40" s="643"/>
      <c r="ISD40" s="643"/>
      <c r="ISE40" s="643"/>
      <c r="ISF40" s="643"/>
      <c r="ISG40" s="643"/>
      <c r="ISH40" s="643"/>
      <c r="ISI40" s="643"/>
      <c r="ISJ40" s="643"/>
      <c r="ISK40" s="643"/>
      <c r="ISL40" s="643"/>
      <c r="ISM40" s="643"/>
      <c r="ISN40" s="643"/>
      <c r="ISO40" s="643"/>
      <c r="ISP40" s="643"/>
      <c r="ISQ40" s="643"/>
      <c r="ISR40" s="643"/>
      <c r="ISS40" s="643"/>
      <c r="IST40" s="643"/>
      <c r="ISU40" s="643"/>
      <c r="ISV40" s="643"/>
      <c r="ISW40" s="643"/>
      <c r="ISX40" s="643"/>
      <c r="ISY40" s="643"/>
      <c r="ISZ40" s="643"/>
      <c r="ITA40" s="643"/>
      <c r="ITB40" s="643"/>
      <c r="ITC40" s="643"/>
      <c r="ITD40" s="643"/>
      <c r="ITE40" s="643"/>
      <c r="ITF40" s="643"/>
      <c r="ITG40" s="643"/>
      <c r="ITH40" s="643"/>
      <c r="ITI40" s="643"/>
      <c r="ITJ40" s="643"/>
      <c r="ITK40" s="643"/>
      <c r="ITL40" s="643"/>
      <c r="ITM40" s="643"/>
      <c r="ITN40" s="643"/>
      <c r="ITO40" s="643"/>
      <c r="ITP40" s="643"/>
      <c r="ITQ40" s="643"/>
      <c r="ITR40" s="643"/>
      <c r="ITS40" s="643"/>
      <c r="ITT40" s="643"/>
      <c r="ITU40" s="643"/>
      <c r="ITV40" s="643"/>
      <c r="ITW40" s="643"/>
      <c r="ITX40" s="643"/>
      <c r="ITY40" s="643"/>
      <c r="ITZ40" s="643"/>
      <c r="IUA40" s="643"/>
      <c r="IUB40" s="643"/>
      <c r="IUC40" s="643"/>
      <c r="IUD40" s="643"/>
      <c r="IUE40" s="643"/>
      <c r="IUF40" s="643"/>
      <c r="IUG40" s="643"/>
      <c r="IUH40" s="643"/>
      <c r="IUI40" s="643"/>
      <c r="IUJ40" s="643"/>
      <c r="IUK40" s="643"/>
      <c r="IUL40" s="643"/>
      <c r="IUM40" s="643"/>
      <c r="IUN40" s="643"/>
      <c r="IUO40" s="643"/>
      <c r="IUP40" s="643"/>
      <c r="IUQ40" s="643"/>
      <c r="IUR40" s="643"/>
      <c r="IUS40" s="643"/>
      <c r="IUT40" s="643"/>
      <c r="IUU40" s="643"/>
      <c r="IUV40" s="643"/>
      <c r="IUW40" s="643"/>
      <c r="IUX40" s="643"/>
      <c r="IUY40" s="643"/>
      <c r="IUZ40" s="643"/>
      <c r="IVA40" s="643"/>
      <c r="IVB40" s="643"/>
      <c r="IVC40" s="643"/>
      <c r="IVD40" s="643"/>
      <c r="IVE40" s="643"/>
      <c r="IVF40" s="643"/>
      <c r="IVG40" s="643"/>
      <c r="IVH40" s="643"/>
      <c r="IVI40" s="643"/>
      <c r="IVJ40" s="643"/>
      <c r="IVK40" s="643"/>
      <c r="IVL40" s="643"/>
      <c r="IVM40" s="643"/>
      <c r="IVN40" s="643"/>
      <c r="IVO40" s="643"/>
      <c r="IVP40" s="643"/>
      <c r="IVQ40" s="643"/>
      <c r="IVR40" s="643"/>
      <c r="IVS40" s="643"/>
      <c r="IVT40" s="643"/>
      <c r="IVU40" s="643"/>
      <c r="IVV40" s="643"/>
      <c r="IVW40" s="643"/>
      <c r="IVX40" s="643"/>
      <c r="IVY40" s="643"/>
      <c r="IVZ40" s="643"/>
      <c r="IWA40" s="643"/>
      <c r="IWB40" s="643"/>
      <c r="IWC40" s="643"/>
      <c r="IWD40" s="643"/>
      <c r="IWE40" s="643"/>
      <c r="IWF40" s="643"/>
      <c r="IWG40" s="643"/>
      <c r="IWH40" s="643"/>
      <c r="IWI40" s="643"/>
      <c r="IWJ40" s="643"/>
      <c r="IWK40" s="643"/>
      <c r="IWL40" s="643"/>
      <c r="IWM40" s="643"/>
      <c r="IWN40" s="643"/>
      <c r="IWO40" s="643"/>
      <c r="IWP40" s="643"/>
      <c r="IWQ40" s="643"/>
      <c r="IWR40" s="643"/>
      <c r="IWS40" s="643"/>
      <c r="IWT40" s="643"/>
      <c r="IWU40" s="643"/>
      <c r="IWV40" s="643"/>
      <c r="IWW40" s="643"/>
      <c r="IWX40" s="643"/>
      <c r="IWY40" s="643"/>
      <c r="IWZ40" s="643"/>
      <c r="IXA40" s="643"/>
      <c r="IXB40" s="643"/>
      <c r="IXC40" s="643"/>
      <c r="IXD40" s="643"/>
      <c r="IXE40" s="643"/>
      <c r="IXF40" s="643"/>
      <c r="IXG40" s="643"/>
      <c r="IXH40" s="643"/>
      <c r="IXI40" s="643"/>
      <c r="IXJ40" s="643"/>
      <c r="IXK40" s="643"/>
      <c r="IXL40" s="643"/>
      <c r="IXM40" s="643"/>
      <c r="IXN40" s="643"/>
      <c r="IXO40" s="643"/>
      <c r="IXP40" s="643"/>
      <c r="IXQ40" s="643"/>
      <c r="IXR40" s="643"/>
      <c r="IXS40" s="643"/>
      <c r="IXT40" s="643"/>
      <c r="IXU40" s="643"/>
      <c r="IXV40" s="643"/>
      <c r="IXW40" s="643"/>
      <c r="IXX40" s="643"/>
      <c r="IXY40" s="643"/>
      <c r="IXZ40" s="643"/>
      <c r="IYA40" s="643"/>
      <c r="IYB40" s="643"/>
      <c r="IYC40" s="643"/>
      <c r="IYD40" s="643"/>
      <c r="IYE40" s="643"/>
      <c r="IYF40" s="643"/>
      <c r="IYG40" s="643"/>
      <c r="IYH40" s="643"/>
      <c r="IYI40" s="643"/>
      <c r="IYJ40" s="643"/>
      <c r="IYK40" s="643"/>
      <c r="IYL40" s="643"/>
      <c r="IYM40" s="643"/>
      <c r="IYN40" s="643"/>
      <c r="IYO40" s="643"/>
      <c r="IYP40" s="643"/>
      <c r="IYQ40" s="643"/>
      <c r="IYR40" s="643"/>
      <c r="IYS40" s="643"/>
      <c r="IYT40" s="643"/>
      <c r="IYU40" s="643"/>
      <c r="IYV40" s="643"/>
      <c r="IYW40" s="643"/>
      <c r="IYX40" s="643"/>
      <c r="IYY40" s="643"/>
      <c r="IYZ40" s="643"/>
      <c r="IZA40" s="643"/>
      <c r="IZB40" s="643"/>
      <c r="IZC40" s="643"/>
      <c r="IZD40" s="643"/>
      <c r="IZE40" s="643"/>
      <c r="IZF40" s="643"/>
      <c r="IZG40" s="643"/>
      <c r="IZH40" s="643"/>
      <c r="IZI40" s="643"/>
      <c r="IZJ40" s="643"/>
      <c r="IZK40" s="643"/>
      <c r="IZL40" s="643"/>
      <c r="IZM40" s="643"/>
      <c r="IZN40" s="643"/>
      <c r="IZO40" s="643"/>
      <c r="IZP40" s="643"/>
      <c r="IZQ40" s="643"/>
      <c r="IZR40" s="643"/>
      <c r="IZS40" s="643"/>
      <c r="IZT40" s="643"/>
      <c r="IZU40" s="643"/>
      <c r="IZV40" s="643"/>
      <c r="IZW40" s="643"/>
      <c r="IZX40" s="643"/>
      <c r="IZY40" s="643"/>
      <c r="IZZ40" s="643"/>
      <c r="JAA40" s="643"/>
      <c r="JAB40" s="643"/>
      <c r="JAC40" s="643"/>
      <c r="JAD40" s="643"/>
      <c r="JAE40" s="643"/>
      <c r="JAF40" s="643"/>
      <c r="JAG40" s="643"/>
      <c r="JAH40" s="643"/>
      <c r="JAI40" s="643"/>
      <c r="JAJ40" s="643"/>
      <c r="JAK40" s="643"/>
      <c r="JAL40" s="643"/>
      <c r="JAM40" s="643"/>
      <c r="JAN40" s="643"/>
      <c r="JAO40" s="643"/>
      <c r="JAP40" s="643"/>
      <c r="JAQ40" s="643"/>
      <c r="JAR40" s="643"/>
      <c r="JAS40" s="643"/>
      <c r="JAT40" s="643"/>
      <c r="JAU40" s="643"/>
      <c r="JAV40" s="643"/>
      <c r="JAW40" s="643"/>
      <c r="JAX40" s="643"/>
      <c r="JAY40" s="643"/>
      <c r="JAZ40" s="643"/>
      <c r="JBA40" s="643"/>
      <c r="JBB40" s="643"/>
      <c r="JBC40" s="643"/>
      <c r="JBD40" s="643"/>
      <c r="JBE40" s="643"/>
      <c r="JBF40" s="643"/>
      <c r="JBG40" s="643"/>
      <c r="JBH40" s="643"/>
      <c r="JBI40" s="643"/>
      <c r="JBJ40" s="643"/>
      <c r="JBK40" s="643"/>
      <c r="JBL40" s="643"/>
      <c r="JBM40" s="643"/>
      <c r="JBN40" s="643"/>
      <c r="JBO40" s="643"/>
      <c r="JBP40" s="643"/>
      <c r="JBQ40" s="643"/>
      <c r="JBR40" s="643"/>
      <c r="JBS40" s="643"/>
      <c r="JBT40" s="643"/>
      <c r="JBU40" s="643"/>
      <c r="JBV40" s="643"/>
      <c r="JBW40" s="643"/>
      <c r="JBX40" s="643"/>
      <c r="JBY40" s="643"/>
      <c r="JBZ40" s="643"/>
      <c r="JCA40" s="643"/>
      <c r="JCB40" s="643"/>
      <c r="JCC40" s="643"/>
      <c r="JCD40" s="643"/>
      <c r="JCE40" s="643"/>
      <c r="JCF40" s="643"/>
      <c r="JCG40" s="643"/>
      <c r="JCH40" s="643"/>
      <c r="JCI40" s="643"/>
      <c r="JCJ40" s="643"/>
      <c r="JCK40" s="643"/>
      <c r="JCL40" s="643"/>
      <c r="JCM40" s="643"/>
      <c r="JCN40" s="643"/>
      <c r="JCO40" s="643"/>
      <c r="JCP40" s="643"/>
      <c r="JCQ40" s="643"/>
      <c r="JCR40" s="643"/>
      <c r="JCS40" s="643"/>
      <c r="JCT40" s="643"/>
      <c r="JCU40" s="643"/>
      <c r="JCV40" s="643"/>
      <c r="JCW40" s="643"/>
      <c r="JCX40" s="643"/>
      <c r="JCY40" s="643"/>
      <c r="JCZ40" s="643"/>
      <c r="JDA40" s="643"/>
      <c r="JDB40" s="643"/>
      <c r="JDC40" s="643"/>
      <c r="JDD40" s="643"/>
      <c r="JDE40" s="643"/>
      <c r="JDF40" s="643"/>
      <c r="JDG40" s="643"/>
      <c r="JDH40" s="643"/>
      <c r="JDI40" s="643"/>
      <c r="JDJ40" s="643"/>
      <c r="JDK40" s="643"/>
      <c r="JDL40" s="643"/>
      <c r="JDM40" s="643"/>
      <c r="JDN40" s="643"/>
      <c r="JDO40" s="643"/>
      <c r="JDP40" s="643"/>
      <c r="JDQ40" s="643"/>
      <c r="JDR40" s="643"/>
      <c r="JDS40" s="643"/>
      <c r="JDT40" s="643"/>
      <c r="JDU40" s="643"/>
      <c r="JDV40" s="643"/>
      <c r="JDW40" s="643"/>
      <c r="JDX40" s="643"/>
      <c r="JDY40" s="643"/>
      <c r="JDZ40" s="643"/>
      <c r="JEA40" s="643"/>
      <c r="JEB40" s="643"/>
      <c r="JEC40" s="643"/>
      <c r="JED40" s="643"/>
      <c r="JEE40" s="643"/>
      <c r="JEF40" s="643"/>
      <c r="JEG40" s="643"/>
      <c r="JEH40" s="643"/>
      <c r="JEI40" s="643"/>
      <c r="JEJ40" s="643"/>
      <c r="JEK40" s="643"/>
      <c r="JEL40" s="643"/>
      <c r="JEM40" s="643"/>
      <c r="JEN40" s="643"/>
      <c r="JEO40" s="643"/>
      <c r="JEP40" s="643"/>
      <c r="JEQ40" s="643"/>
      <c r="JER40" s="643"/>
      <c r="JES40" s="643"/>
      <c r="JET40" s="643"/>
      <c r="JEU40" s="643"/>
      <c r="JEV40" s="643"/>
      <c r="JEW40" s="643"/>
      <c r="JEX40" s="643"/>
      <c r="JEY40" s="643"/>
      <c r="JEZ40" s="643"/>
      <c r="JFA40" s="643"/>
      <c r="JFB40" s="643"/>
      <c r="JFC40" s="643"/>
      <c r="JFD40" s="643"/>
      <c r="JFE40" s="643"/>
      <c r="JFF40" s="643"/>
      <c r="JFG40" s="643"/>
      <c r="JFH40" s="643"/>
      <c r="JFI40" s="643"/>
      <c r="JFJ40" s="643"/>
      <c r="JFK40" s="643"/>
      <c r="JFL40" s="643"/>
      <c r="JFM40" s="643"/>
      <c r="JFN40" s="643"/>
      <c r="JFO40" s="643"/>
      <c r="JFP40" s="643"/>
      <c r="JFQ40" s="643"/>
      <c r="JFR40" s="643"/>
      <c r="JFS40" s="643"/>
      <c r="JFT40" s="643"/>
      <c r="JFU40" s="643"/>
      <c r="JFV40" s="643"/>
      <c r="JFW40" s="643"/>
      <c r="JFX40" s="643"/>
      <c r="JFY40" s="643"/>
      <c r="JFZ40" s="643"/>
      <c r="JGA40" s="643"/>
      <c r="JGB40" s="643"/>
      <c r="JGC40" s="643"/>
      <c r="JGD40" s="643"/>
      <c r="JGE40" s="643"/>
      <c r="JGF40" s="643"/>
      <c r="JGG40" s="643"/>
      <c r="JGH40" s="643"/>
      <c r="JGI40" s="643"/>
      <c r="JGJ40" s="643"/>
      <c r="JGK40" s="643"/>
      <c r="JGL40" s="643"/>
      <c r="JGM40" s="643"/>
      <c r="JGN40" s="643"/>
      <c r="JGO40" s="643"/>
      <c r="JGP40" s="643"/>
      <c r="JGQ40" s="643"/>
      <c r="JGR40" s="643"/>
      <c r="JGS40" s="643"/>
      <c r="JGT40" s="643"/>
      <c r="JGU40" s="643"/>
      <c r="JGV40" s="643"/>
      <c r="JGW40" s="643"/>
      <c r="JGX40" s="643"/>
      <c r="JGY40" s="643"/>
      <c r="JGZ40" s="643"/>
      <c r="JHA40" s="643"/>
      <c r="JHB40" s="643"/>
      <c r="JHC40" s="643"/>
      <c r="JHD40" s="643"/>
      <c r="JHE40" s="643"/>
      <c r="JHF40" s="643"/>
      <c r="JHG40" s="643"/>
      <c r="JHH40" s="643"/>
      <c r="JHI40" s="643"/>
      <c r="JHJ40" s="643"/>
      <c r="JHK40" s="643"/>
      <c r="JHL40" s="643"/>
      <c r="JHM40" s="643"/>
      <c r="JHN40" s="643"/>
      <c r="JHO40" s="643"/>
      <c r="JHP40" s="643"/>
      <c r="JHQ40" s="643"/>
      <c r="JHR40" s="643"/>
      <c r="JHS40" s="643"/>
      <c r="JHT40" s="643"/>
      <c r="JHU40" s="643"/>
      <c r="JHV40" s="643"/>
      <c r="JHW40" s="643"/>
      <c r="JHX40" s="643"/>
      <c r="JHY40" s="643"/>
      <c r="JHZ40" s="643"/>
      <c r="JIA40" s="643"/>
      <c r="JIB40" s="643"/>
      <c r="JIC40" s="643"/>
      <c r="JID40" s="643"/>
      <c r="JIE40" s="643"/>
      <c r="JIF40" s="643"/>
      <c r="JIG40" s="643"/>
      <c r="JIH40" s="643"/>
      <c r="JII40" s="643"/>
      <c r="JIJ40" s="643"/>
      <c r="JIK40" s="643"/>
      <c r="JIL40" s="643"/>
      <c r="JIM40" s="643"/>
      <c r="JIN40" s="643"/>
      <c r="JIO40" s="643"/>
      <c r="JIP40" s="643"/>
      <c r="JIQ40" s="643"/>
      <c r="JIR40" s="643"/>
      <c r="JIS40" s="643"/>
      <c r="JIT40" s="643"/>
      <c r="JIU40" s="643"/>
      <c r="JIV40" s="643"/>
      <c r="JIW40" s="643"/>
      <c r="JIX40" s="643"/>
      <c r="JIY40" s="643"/>
      <c r="JIZ40" s="643"/>
      <c r="JJA40" s="643"/>
      <c r="JJB40" s="643"/>
      <c r="JJC40" s="643"/>
      <c r="JJD40" s="643"/>
      <c r="JJE40" s="643"/>
      <c r="JJF40" s="643"/>
      <c r="JJG40" s="643"/>
      <c r="JJH40" s="643"/>
      <c r="JJI40" s="643"/>
      <c r="JJJ40" s="643"/>
      <c r="JJK40" s="643"/>
      <c r="JJL40" s="643"/>
      <c r="JJM40" s="643"/>
      <c r="JJN40" s="643"/>
      <c r="JJO40" s="643"/>
      <c r="JJP40" s="643"/>
      <c r="JJQ40" s="643"/>
      <c r="JJR40" s="643"/>
      <c r="JJS40" s="643"/>
      <c r="JJT40" s="643"/>
      <c r="JJU40" s="643"/>
      <c r="JJV40" s="643"/>
      <c r="JJW40" s="643"/>
      <c r="JJX40" s="643"/>
      <c r="JJY40" s="643"/>
      <c r="JJZ40" s="643"/>
      <c r="JKA40" s="643"/>
      <c r="JKB40" s="643"/>
      <c r="JKC40" s="643"/>
      <c r="JKD40" s="643"/>
      <c r="JKE40" s="643"/>
      <c r="JKF40" s="643"/>
      <c r="JKG40" s="643"/>
      <c r="JKH40" s="643"/>
      <c r="JKI40" s="643"/>
      <c r="JKJ40" s="643"/>
      <c r="JKK40" s="643"/>
      <c r="JKL40" s="643"/>
      <c r="JKM40" s="643"/>
      <c r="JKN40" s="643"/>
      <c r="JKO40" s="643"/>
      <c r="JKP40" s="643"/>
      <c r="JKQ40" s="643"/>
      <c r="JKR40" s="643"/>
      <c r="JKS40" s="643"/>
      <c r="JKT40" s="643"/>
      <c r="JKU40" s="643"/>
      <c r="JKV40" s="643"/>
      <c r="JKW40" s="643"/>
      <c r="JKX40" s="643"/>
      <c r="JKY40" s="643"/>
      <c r="JKZ40" s="643"/>
      <c r="JLA40" s="643"/>
      <c r="JLB40" s="643"/>
      <c r="JLC40" s="643"/>
      <c r="JLD40" s="643"/>
      <c r="JLE40" s="643"/>
      <c r="JLF40" s="643"/>
      <c r="JLG40" s="643"/>
      <c r="JLH40" s="643"/>
      <c r="JLI40" s="643"/>
      <c r="JLJ40" s="643"/>
      <c r="JLK40" s="643"/>
      <c r="JLL40" s="643"/>
      <c r="JLM40" s="643"/>
      <c r="JLN40" s="643"/>
      <c r="JLO40" s="643"/>
      <c r="JLP40" s="643"/>
      <c r="JLQ40" s="643"/>
      <c r="JLR40" s="643"/>
      <c r="JLS40" s="643"/>
      <c r="JLT40" s="643"/>
      <c r="JLU40" s="643"/>
      <c r="JLV40" s="643"/>
      <c r="JLW40" s="643"/>
      <c r="JLX40" s="643"/>
      <c r="JLY40" s="643"/>
      <c r="JLZ40" s="643"/>
      <c r="JMA40" s="643"/>
      <c r="JMB40" s="643"/>
      <c r="JMC40" s="643"/>
      <c r="JMD40" s="643"/>
      <c r="JME40" s="643"/>
      <c r="JMF40" s="643"/>
      <c r="JMG40" s="643"/>
      <c r="JMH40" s="643"/>
      <c r="JMI40" s="643"/>
      <c r="JMJ40" s="643"/>
      <c r="JMK40" s="643"/>
      <c r="JML40" s="643"/>
      <c r="JMM40" s="643"/>
      <c r="JMN40" s="643"/>
      <c r="JMO40" s="643"/>
      <c r="JMP40" s="643"/>
      <c r="JMQ40" s="643"/>
      <c r="JMR40" s="643"/>
      <c r="JMS40" s="643"/>
      <c r="JMT40" s="643"/>
      <c r="JMU40" s="643"/>
      <c r="JMV40" s="643"/>
      <c r="JMW40" s="643"/>
      <c r="JMX40" s="643"/>
      <c r="JMY40" s="643"/>
      <c r="JMZ40" s="643"/>
      <c r="JNA40" s="643"/>
      <c r="JNB40" s="643"/>
      <c r="JNC40" s="643"/>
      <c r="JND40" s="643"/>
      <c r="JNE40" s="643"/>
      <c r="JNF40" s="643"/>
      <c r="JNG40" s="643"/>
      <c r="JNH40" s="643"/>
      <c r="JNI40" s="643"/>
      <c r="JNJ40" s="643"/>
      <c r="JNK40" s="643"/>
      <c r="JNL40" s="643"/>
      <c r="JNM40" s="643"/>
      <c r="JNN40" s="643"/>
      <c r="JNO40" s="643"/>
      <c r="JNP40" s="643"/>
      <c r="JNQ40" s="643"/>
      <c r="JNR40" s="643"/>
      <c r="JNS40" s="643"/>
      <c r="JNT40" s="643"/>
      <c r="JNU40" s="643"/>
      <c r="JNV40" s="643"/>
      <c r="JNW40" s="643"/>
      <c r="JNX40" s="643"/>
      <c r="JNY40" s="643"/>
      <c r="JNZ40" s="643"/>
      <c r="JOA40" s="643"/>
      <c r="JOB40" s="643"/>
      <c r="JOC40" s="643"/>
      <c r="JOD40" s="643"/>
      <c r="JOE40" s="643"/>
      <c r="JOF40" s="643"/>
      <c r="JOG40" s="643"/>
      <c r="JOH40" s="643"/>
      <c r="JOI40" s="643"/>
      <c r="JOJ40" s="643"/>
      <c r="JOK40" s="643"/>
      <c r="JOL40" s="643"/>
      <c r="JOM40" s="643"/>
      <c r="JON40" s="643"/>
      <c r="JOO40" s="643"/>
      <c r="JOP40" s="643"/>
      <c r="JOQ40" s="643"/>
      <c r="JOR40" s="643"/>
      <c r="JOS40" s="643"/>
      <c r="JOT40" s="643"/>
      <c r="JOU40" s="643"/>
      <c r="JOV40" s="643"/>
      <c r="JOW40" s="643"/>
      <c r="JOX40" s="643"/>
      <c r="JOY40" s="643"/>
      <c r="JOZ40" s="643"/>
      <c r="JPA40" s="643"/>
      <c r="JPB40" s="643"/>
      <c r="JPC40" s="643"/>
      <c r="JPD40" s="643"/>
      <c r="JPE40" s="643"/>
      <c r="JPF40" s="643"/>
      <c r="JPG40" s="643"/>
      <c r="JPH40" s="643"/>
      <c r="JPI40" s="643"/>
      <c r="JPJ40" s="643"/>
      <c r="JPK40" s="643"/>
      <c r="JPL40" s="643"/>
      <c r="JPM40" s="643"/>
      <c r="JPN40" s="643"/>
      <c r="JPO40" s="643"/>
      <c r="JPP40" s="643"/>
      <c r="JPQ40" s="643"/>
      <c r="JPR40" s="643"/>
      <c r="JPS40" s="643"/>
      <c r="JPT40" s="643"/>
      <c r="JPU40" s="643"/>
      <c r="JPV40" s="643"/>
      <c r="JPW40" s="643"/>
      <c r="JPX40" s="643"/>
      <c r="JPY40" s="643"/>
      <c r="JPZ40" s="643"/>
      <c r="JQA40" s="643"/>
      <c r="JQB40" s="643"/>
      <c r="JQC40" s="643"/>
      <c r="JQD40" s="643"/>
      <c r="JQE40" s="643"/>
      <c r="JQF40" s="643"/>
      <c r="JQG40" s="643"/>
      <c r="JQH40" s="643"/>
      <c r="JQI40" s="643"/>
      <c r="JQJ40" s="643"/>
      <c r="JQK40" s="643"/>
      <c r="JQL40" s="643"/>
      <c r="JQM40" s="643"/>
      <c r="JQN40" s="643"/>
      <c r="JQO40" s="643"/>
      <c r="JQP40" s="643"/>
      <c r="JQQ40" s="643"/>
      <c r="JQR40" s="643"/>
      <c r="JQS40" s="643"/>
      <c r="JQT40" s="643"/>
      <c r="JQU40" s="643"/>
      <c r="JQV40" s="643"/>
      <c r="JQW40" s="643"/>
      <c r="JQX40" s="643"/>
      <c r="JQY40" s="643"/>
      <c r="JQZ40" s="643"/>
      <c r="JRA40" s="643"/>
      <c r="JRB40" s="643"/>
      <c r="JRC40" s="643"/>
      <c r="JRD40" s="643"/>
      <c r="JRE40" s="643"/>
      <c r="JRF40" s="643"/>
      <c r="JRG40" s="643"/>
      <c r="JRH40" s="643"/>
      <c r="JRI40" s="643"/>
      <c r="JRJ40" s="643"/>
      <c r="JRK40" s="643"/>
      <c r="JRL40" s="643"/>
      <c r="JRM40" s="643"/>
      <c r="JRN40" s="643"/>
      <c r="JRO40" s="643"/>
      <c r="JRP40" s="643"/>
      <c r="JRQ40" s="643"/>
      <c r="JRR40" s="643"/>
      <c r="JRS40" s="643"/>
      <c r="JRT40" s="643"/>
      <c r="JRU40" s="643"/>
      <c r="JRV40" s="643"/>
      <c r="JRW40" s="643"/>
      <c r="JRX40" s="643"/>
      <c r="JRY40" s="643"/>
      <c r="JRZ40" s="643"/>
      <c r="JSA40" s="643"/>
      <c r="JSB40" s="643"/>
      <c r="JSC40" s="643"/>
      <c r="JSD40" s="643"/>
      <c r="JSE40" s="643"/>
      <c r="JSF40" s="643"/>
      <c r="JSG40" s="643"/>
      <c r="JSH40" s="643"/>
      <c r="JSI40" s="643"/>
      <c r="JSJ40" s="643"/>
      <c r="JSK40" s="643"/>
      <c r="JSL40" s="643"/>
      <c r="JSM40" s="643"/>
      <c r="JSN40" s="643"/>
      <c r="JSO40" s="643"/>
      <c r="JSP40" s="643"/>
      <c r="JSQ40" s="643"/>
      <c r="JSR40" s="643"/>
      <c r="JSS40" s="643"/>
      <c r="JST40" s="643"/>
      <c r="JSU40" s="643"/>
      <c r="JSV40" s="643"/>
      <c r="JSW40" s="643"/>
      <c r="JSX40" s="643"/>
      <c r="JSY40" s="643"/>
      <c r="JSZ40" s="643"/>
      <c r="JTA40" s="643"/>
      <c r="JTB40" s="643"/>
      <c r="JTC40" s="643"/>
      <c r="JTD40" s="643"/>
      <c r="JTE40" s="643"/>
      <c r="JTF40" s="643"/>
      <c r="JTG40" s="643"/>
      <c r="JTH40" s="643"/>
      <c r="JTI40" s="643"/>
      <c r="JTJ40" s="643"/>
      <c r="JTK40" s="643"/>
      <c r="JTL40" s="643"/>
      <c r="JTM40" s="643"/>
      <c r="JTN40" s="643"/>
      <c r="JTO40" s="643"/>
      <c r="JTP40" s="643"/>
      <c r="JTQ40" s="643"/>
      <c r="JTR40" s="643"/>
      <c r="JTS40" s="643"/>
      <c r="JTT40" s="643"/>
      <c r="JTU40" s="643"/>
      <c r="JTV40" s="643"/>
      <c r="JTW40" s="643"/>
      <c r="JTX40" s="643"/>
      <c r="JTY40" s="643"/>
      <c r="JTZ40" s="643"/>
      <c r="JUA40" s="643"/>
      <c r="JUB40" s="643"/>
      <c r="JUC40" s="643"/>
      <c r="JUD40" s="643"/>
      <c r="JUE40" s="643"/>
      <c r="JUF40" s="643"/>
      <c r="JUG40" s="643"/>
      <c r="JUH40" s="643"/>
      <c r="JUI40" s="643"/>
      <c r="JUJ40" s="643"/>
      <c r="JUK40" s="643"/>
      <c r="JUL40" s="643"/>
      <c r="JUM40" s="643"/>
      <c r="JUN40" s="643"/>
      <c r="JUO40" s="643"/>
      <c r="JUP40" s="643"/>
      <c r="JUQ40" s="643"/>
      <c r="JUR40" s="643"/>
      <c r="JUS40" s="643"/>
      <c r="JUT40" s="643"/>
      <c r="JUU40" s="643"/>
      <c r="JUV40" s="643"/>
      <c r="JUW40" s="643"/>
      <c r="JUX40" s="643"/>
      <c r="JUY40" s="643"/>
      <c r="JUZ40" s="643"/>
      <c r="JVA40" s="643"/>
      <c r="JVB40" s="643"/>
      <c r="JVC40" s="643"/>
      <c r="JVD40" s="643"/>
      <c r="JVE40" s="643"/>
      <c r="JVF40" s="643"/>
      <c r="JVG40" s="643"/>
      <c r="JVH40" s="643"/>
      <c r="JVI40" s="643"/>
      <c r="JVJ40" s="643"/>
      <c r="JVK40" s="643"/>
      <c r="JVL40" s="643"/>
      <c r="JVM40" s="643"/>
      <c r="JVN40" s="643"/>
      <c r="JVO40" s="643"/>
      <c r="JVP40" s="643"/>
      <c r="JVQ40" s="643"/>
      <c r="JVR40" s="643"/>
      <c r="JVS40" s="643"/>
      <c r="JVT40" s="643"/>
      <c r="JVU40" s="643"/>
      <c r="JVV40" s="643"/>
      <c r="JVW40" s="643"/>
      <c r="JVX40" s="643"/>
      <c r="JVY40" s="643"/>
      <c r="JVZ40" s="643"/>
      <c r="JWA40" s="643"/>
      <c r="JWB40" s="643"/>
      <c r="JWC40" s="643"/>
      <c r="JWD40" s="643"/>
      <c r="JWE40" s="643"/>
      <c r="JWF40" s="643"/>
      <c r="JWG40" s="643"/>
      <c r="JWH40" s="643"/>
      <c r="JWI40" s="643"/>
      <c r="JWJ40" s="643"/>
      <c r="JWK40" s="643"/>
      <c r="JWL40" s="643"/>
      <c r="JWM40" s="643"/>
      <c r="JWN40" s="643"/>
      <c r="JWO40" s="643"/>
      <c r="JWP40" s="643"/>
      <c r="JWQ40" s="643"/>
      <c r="JWR40" s="643"/>
      <c r="JWS40" s="643"/>
      <c r="JWT40" s="643"/>
      <c r="JWU40" s="643"/>
      <c r="JWV40" s="643"/>
      <c r="JWW40" s="643"/>
      <c r="JWX40" s="643"/>
      <c r="JWY40" s="643"/>
      <c r="JWZ40" s="643"/>
      <c r="JXA40" s="643"/>
      <c r="JXB40" s="643"/>
      <c r="JXC40" s="643"/>
      <c r="JXD40" s="643"/>
      <c r="JXE40" s="643"/>
      <c r="JXF40" s="643"/>
      <c r="JXG40" s="643"/>
      <c r="JXH40" s="643"/>
      <c r="JXI40" s="643"/>
      <c r="JXJ40" s="643"/>
      <c r="JXK40" s="643"/>
      <c r="JXL40" s="643"/>
      <c r="JXM40" s="643"/>
      <c r="JXN40" s="643"/>
      <c r="JXO40" s="643"/>
      <c r="JXP40" s="643"/>
      <c r="JXQ40" s="643"/>
      <c r="JXR40" s="643"/>
      <c r="JXS40" s="643"/>
      <c r="JXT40" s="643"/>
      <c r="JXU40" s="643"/>
      <c r="JXV40" s="643"/>
      <c r="JXW40" s="643"/>
      <c r="JXX40" s="643"/>
      <c r="JXY40" s="643"/>
      <c r="JXZ40" s="643"/>
      <c r="JYA40" s="643"/>
      <c r="JYB40" s="643"/>
      <c r="JYC40" s="643"/>
      <c r="JYD40" s="643"/>
      <c r="JYE40" s="643"/>
      <c r="JYF40" s="643"/>
      <c r="JYG40" s="643"/>
      <c r="JYH40" s="643"/>
      <c r="JYI40" s="643"/>
      <c r="JYJ40" s="643"/>
      <c r="JYK40" s="643"/>
      <c r="JYL40" s="643"/>
      <c r="JYM40" s="643"/>
      <c r="JYN40" s="643"/>
      <c r="JYO40" s="643"/>
      <c r="JYP40" s="643"/>
      <c r="JYQ40" s="643"/>
      <c r="JYR40" s="643"/>
      <c r="JYS40" s="643"/>
      <c r="JYT40" s="643"/>
      <c r="JYU40" s="643"/>
      <c r="JYV40" s="643"/>
      <c r="JYW40" s="643"/>
      <c r="JYX40" s="643"/>
      <c r="JYY40" s="643"/>
      <c r="JYZ40" s="643"/>
      <c r="JZA40" s="643"/>
      <c r="JZB40" s="643"/>
      <c r="JZC40" s="643"/>
      <c r="JZD40" s="643"/>
      <c r="JZE40" s="643"/>
      <c r="JZF40" s="643"/>
      <c r="JZG40" s="643"/>
      <c r="JZH40" s="643"/>
      <c r="JZI40" s="643"/>
      <c r="JZJ40" s="643"/>
      <c r="JZK40" s="643"/>
      <c r="JZL40" s="643"/>
      <c r="JZM40" s="643"/>
      <c r="JZN40" s="643"/>
      <c r="JZO40" s="643"/>
      <c r="JZP40" s="643"/>
      <c r="JZQ40" s="643"/>
      <c r="JZR40" s="643"/>
      <c r="JZS40" s="643"/>
      <c r="JZT40" s="643"/>
      <c r="JZU40" s="643"/>
      <c r="JZV40" s="643"/>
      <c r="JZW40" s="643"/>
      <c r="JZX40" s="643"/>
      <c r="JZY40" s="643"/>
      <c r="JZZ40" s="643"/>
      <c r="KAA40" s="643"/>
      <c r="KAB40" s="643"/>
      <c r="KAC40" s="643"/>
      <c r="KAD40" s="643"/>
      <c r="KAE40" s="643"/>
      <c r="KAF40" s="643"/>
      <c r="KAG40" s="643"/>
      <c r="KAH40" s="643"/>
      <c r="KAI40" s="643"/>
      <c r="KAJ40" s="643"/>
      <c r="KAK40" s="643"/>
      <c r="KAL40" s="643"/>
      <c r="KAM40" s="643"/>
      <c r="KAN40" s="643"/>
      <c r="KAO40" s="643"/>
      <c r="KAP40" s="643"/>
      <c r="KAQ40" s="643"/>
      <c r="KAR40" s="643"/>
      <c r="KAS40" s="643"/>
      <c r="KAT40" s="643"/>
      <c r="KAU40" s="643"/>
      <c r="KAV40" s="643"/>
      <c r="KAW40" s="643"/>
      <c r="KAX40" s="643"/>
      <c r="KAY40" s="643"/>
      <c r="KAZ40" s="643"/>
      <c r="KBA40" s="643"/>
      <c r="KBB40" s="643"/>
      <c r="KBC40" s="643"/>
      <c r="KBD40" s="643"/>
      <c r="KBE40" s="643"/>
      <c r="KBF40" s="643"/>
      <c r="KBG40" s="643"/>
      <c r="KBH40" s="643"/>
      <c r="KBI40" s="643"/>
      <c r="KBJ40" s="643"/>
      <c r="KBK40" s="643"/>
      <c r="KBL40" s="643"/>
      <c r="KBM40" s="643"/>
      <c r="KBN40" s="643"/>
      <c r="KBO40" s="643"/>
      <c r="KBP40" s="643"/>
      <c r="KBQ40" s="643"/>
      <c r="KBR40" s="643"/>
      <c r="KBS40" s="643"/>
      <c r="KBT40" s="643"/>
      <c r="KBU40" s="643"/>
      <c r="KBV40" s="643"/>
      <c r="KBW40" s="643"/>
      <c r="KBX40" s="643"/>
      <c r="KBY40" s="643"/>
      <c r="KBZ40" s="643"/>
      <c r="KCA40" s="643"/>
      <c r="KCB40" s="643"/>
      <c r="KCC40" s="643"/>
      <c r="KCD40" s="643"/>
      <c r="KCE40" s="643"/>
      <c r="KCF40" s="643"/>
      <c r="KCG40" s="643"/>
      <c r="KCH40" s="643"/>
      <c r="KCI40" s="643"/>
      <c r="KCJ40" s="643"/>
      <c r="KCK40" s="643"/>
      <c r="KCL40" s="643"/>
      <c r="KCM40" s="643"/>
      <c r="KCN40" s="643"/>
      <c r="KCO40" s="643"/>
      <c r="KCP40" s="643"/>
      <c r="KCQ40" s="643"/>
      <c r="KCR40" s="643"/>
      <c r="KCS40" s="643"/>
      <c r="KCT40" s="643"/>
      <c r="KCU40" s="643"/>
      <c r="KCV40" s="643"/>
      <c r="KCW40" s="643"/>
      <c r="KCX40" s="643"/>
      <c r="KCY40" s="643"/>
      <c r="KCZ40" s="643"/>
      <c r="KDA40" s="643"/>
      <c r="KDB40" s="643"/>
      <c r="KDC40" s="643"/>
      <c r="KDD40" s="643"/>
      <c r="KDE40" s="643"/>
      <c r="KDF40" s="643"/>
      <c r="KDG40" s="643"/>
      <c r="KDH40" s="643"/>
      <c r="KDI40" s="643"/>
      <c r="KDJ40" s="643"/>
      <c r="KDK40" s="643"/>
      <c r="KDL40" s="643"/>
      <c r="KDM40" s="643"/>
      <c r="KDN40" s="643"/>
      <c r="KDO40" s="643"/>
      <c r="KDP40" s="643"/>
      <c r="KDQ40" s="643"/>
      <c r="KDR40" s="643"/>
      <c r="KDS40" s="643"/>
      <c r="KDT40" s="643"/>
      <c r="KDU40" s="643"/>
      <c r="KDV40" s="643"/>
      <c r="KDW40" s="643"/>
      <c r="KDX40" s="643"/>
      <c r="KDY40" s="643"/>
      <c r="KDZ40" s="643"/>
      <c r="KEA40" s="643"/>
      <c r="KEB40" s="643"/>
      <c r="KEC40" s="643"/>
      <c r="KED40" s="643"/>
      <c r="KEE40" s="643"/>
      <c r="KEF40" s="643"/>
      <c r="KEG40" s="643"/>
      <c r="KEH40" s="643"/>
      <c r="KEI40" s="643"/>
      <c r="KEJ40" s="643"/>
      <c r="KEK40" s="643"/>
      <c r="KEL40" s="643"/>
      <c r="KEM40" s="643"/>
      <c r="KEN40" s="643"/>
      <c r="KEO40" s="643"/>
      <c r="KEP40" s="643"/>
      <c r="KEQ40" s="643"/>
      <c r="KER40" s="643"/>
      <c r="KES40" s="643"/>
      <c r="KET40" s="643"/>
      <c r="KEU40" s="643"/>
      <c r="KEV40" s="643"/>
      <c r="KEW40" s="643"/>
      <c r="KEX40" s="643"/>
      <c r="KEY40" s="643"/>
      <c r="KEZ40" s="643"/>
      <c r="KFA40" s="643"/>
      <c r="KFB40" s="643"/>
      <c r="KFC40" s="643"/>
      <c r="KFD40" s="643"/>
      <c r="KFE40" s="643"/>
      <c r="KFF40" s="643"/>
      <c r="KFG40" s="643"/>
      <c r="KFH40" s="643"/>
      <c r="KFI40" s="643"/>
      <c r="KFJ40" s="643"/>
      <c r="KFK40" s="643"/>
      <c r="KFL40" s="643"/>
      <c r="KFM40" s="643"/>
      <c r="KFN40" s="643"/>
      <c r="KFO40" s="643"/>
      <c r="KFP40" s="643"/>
      <c r="KFQ40" s="643"/>
      <c r="KFR40" s="643"/>
      <c r="KFS40" s="643"/>
      <c r="KFT40" s="643"/>
      <c r="KFU40" s="643"/>
      <c r="KFV40" s="643"/>
      <c r="KFW40" s="643"/>
      <c r="KFX40" s="643"/>
      <c r="KFY40" s="643"/>
      <c r="KFZ40" s="643"/>
      <c r="KGA40" s="643"/>
      <c r="KGB40" s="643"/>
      <c r="KGC40" s="643"/>
      <c r="KGD40" s="643"/>
      <c r="KGE40" s="643"/>
      <c r="KGF40" s="643"/>
      <c r="KGG40" s="643"/>
      <c r="KGH40" s="643"/>
      <c r="KGI40" s="643"/>
      <c r="KGJ40" s="643"/>
      <c r="KGK40" s="643"/>
      <c r="KGL40" s="643"/>
      <c r="KGM40" s="643"/>
      <c r="KGN40" s="643"/>
      <c r="KGO40" s="643"/>
      <c r="KGP40" s="643"/>
      <c r="KGQ40" s="643"/>
      <c r="KGR40" s="643"/>
      <c r="KGS40" s="643"/>
      <c r="KGT40" s="643"/>
      <c r="KGU40" s="643"/>
      <c r="KGV40" s="643"/>
      <c r="KGW40" s="643"/>
      <c r="KGX40" s="643"/>
      <c r="KGY40" s="643"/>
      <c r="KGZ40" s="643"/>
      <c r="KHA40" s="643"/>
      <c r="KHB40" s="643"/>
      <c r="KHC40" s="643"/>
      <c r="KHD40" s="643"/>
      <c r="KHE40" s="643"/>
      <c r="KHF40" s="643"/>
      <c r="KHG40" s="643"/>
      <c r="KHH40" s="643"/>
      <c r="KHI40" s="643"/>
      <c r="KHJ40" s="643"/>
      <c r="KHK40" s="643"/>
      <c r="KHL40" s="643"/>
      <c r="KHM40" s="643"/>
      <c r="KHN40" s="643"/>
      <c r="KHO40" s="643"/>
      <c r="KHP40" s="643"/>
      <c r="KHQ40" s="643"/>
      <c r="KHR40" s="643"/>
      <c r="KHS40" s="643"/>
      <c r="KHT40" s="643"/>
      <c r="KHU40" s="643"/>
      <c r="KHV40" s="643"/>
      <c r="KHW40" s="643"/>
      <c r="KHX40" s="643"/>
      <c r="KHY40" s="643"/>
      <c r="KHZ40" s="643"/>
      <c r="KIA40" s="643"/>
      <c r="KIB40" s="643"/>
      <c r="KIC40" s="643"/>
      <c r="KID40" s="643"/>
      <c r="KIE40" s="643"/>
      <c r="KIF40" s="643"/>
      <c r="KIG40" s="643"/>
      <c r="KIH40" s="643"/>
      <c r="KII40" s="643"/>
      <c r="KIJ40" s="643"/>
      <c r="KIK40" s="643"/>
      <c r="KIL40" s="643"/>
      <c r="KIM40" s="643"/>
      <c r="KIN40" s="643"/>
      <c r="KIO40" s="643"/>
      <c r="KIP40" s="643"/>
      <c r="KIQ40" s="643"/>
      <c r="KIR40" s="643"/>
      <c r="KIS40" s="643"/>
      <c r="KIT40" s="643"/>
      <c r="KIU40" s="643"/>
      <c r="KIV40" s="643"/>
      <c r="KIW40" s="643"/>
      <c r="KIX40" s="643"/>
      <c r="KIY40" s="643"/>
      <c r="KIZ40" s="643"/>
      <c r="KJA40" s="643"/>
      <c r="KJB40" s="643"/>
      <c r="KJC40" s="643"/>
      <c r="KJD40" s="643"/>
      <c r="KJE40" s="643"/>
      <c r="KJF40" s="643"/>
      <c r="KJG40" s="643"/>
      <c r="KJH40" s="643"/>
      <c r="KJI40" s="643"/>
      <c r="KJJ40" s="643"/>
      <c r="KJK40" s="643"/>
      <c r="KJL40" s="643"/>
      <c r="KJM40" s="643"/>
      <c r="KJN40" s="643"/>
      <c r="KJO40" s="643"/>
      <c r="KJP40" s="643"/>
      <c r="KJQ40" s="643"/>
      <c r="KJR40" s="643"/>
      <c r="KJS40" s="643"/>
      <c r="KJT40" s="643"/>
      <c r="KJU40" s="643"/>
      <c r="KJV40" s="643"/>
      <c r="KJW40" s="643"/>
      <c r="KJX40" s="643"/>
      <c r="KJY40" s="643"/>
      <c r="KJZ40" s="643"/>
      <c r="KKA40" s="643"/>
      <c r="KKB40" s="643"/>
      <c r="KKC40" s="643"/>
      <c r="KKD40" s="643"/>
      <c r="KKE40" s="643"/>
      <c r="KKF40" s="643"/>
      <c r="KKG40" s="643"/>
      <c r="KKH40" s="643"/>
      <c r="KKI40" s="643"/>
      <c r="KKJ40" s="643"/>
      <c r="KKK40" s="643"/>
      <c r="KKL40" s="643"/>
      <c r="KKM40" s="643"/>
      <c r="KKN40" s="643"/>
      <c r="KKO40" s="643"/>
      <c r="KKP40" s="643"/>
      <c r="KKQ40" s="643"/>
      <c r="KKR40" s="643"/>
      <c r="KKS40" s="643"/>
      <c r="KKT40" s="643"/>
      <c r="KKU40" s="643"/>
      <c r="KKV40" s="643"/>
      <c r="KKW40" s="643"/>
      <c r="KKX40" s="643"/>
      <c r="KKY40" s="643"/>
      <c r="KKZ40" s="643"/>
      <c r="KLA40" s="643"/>
      <c r="KLB40" s="643"/>
      <c r="KLC40" s="643"/>
      <c r="KLD40" s="643"/>
      <c r="KLE40" s="643"/>
      <c r="KLF40" s="643"/>
      <c r="KLG40" s="643"/>
      <c r="KLH40" s="643"/>
      <c r="KLI40" s="643"/>
      <c r="KLJ40" s="643"/>
      <c r="KLK40" s="643"/>
      <c r="KLL40" s="643"/>
      <c r="KLM40" s="643"/>
      <c r="KLN40" s="643"/>
      <c r="KLO40" s="643"/>
      <c r="KLP40" s="643"/>
      <c r="KLQ40" s="643"/>
      <c r="KLR40" s="643"/>
      <c r="KLS40" s="643"/>
      <c r="KLT40" s="643"/>
      <c r="KLU40" s="643"/>
      <c r="KLV40" s="643"/>
      <c r="KLW40" s="643"/>
      <c r="KLX40" s="643"/>
      <c r="KLY40" s="643"/>
      <c r="KLZ40" s="643"/>
      <c r="KMA40" s="643"/>
      <c r="KMB40" s="643"/>
      <c r="KMC40" s="643"/>
      <c r="KMD40" s="643"/>
      <c r="KME40" s="643"/>
      <c r="KMF40" s="643"/>
      <c r="KMG40" s="643"/>
      <c r="KMH40" s="643"/>
      <c r="KMI40" s="643"/>
      <c r="KMJ40" s="643"/>
      <c r="KMK40" s="643"/>
      <c r="KML40" s="643"/>
      <c r="KMM40" s="643"/>
      <c r="KMN40" s="643"/>
      <c r="KMO40" s="643"/>
      <c r="KMP40" s="643"/>
      <c r="KMQ40" s="643"/>
      <c r="KMR40" s="643"/>
      <c r="KMS40" s="643"/>
      <c r="KMT40" s="643"/>
      <c r="KMU40" s="643"/>
      <c r="KMV40" s="643"/>
      <c r="KMW40" s="643"/>
      <c r="KMX40" s="643"/>
      <c r="KMY40" s="643"/>
      <c r="KMZ40" s="643"/>
      <c r="KNA40" s="643"/>
      <c r="KNB40" s="643"/>
      <c r="KNC40" s="643"/>
      <c r="KND40" s="643"/>
      <c r="KNE40" s="643"/>
      <c r="KNF40" s="643"/>
      <c r="KNG40" s="643"/>
      <c r="KNH40" s="643"/>
      <c r="KNI40" s="643"/>
      <c r="KNJ40" s="643"/>
      <c r="KNK40" s="643"/>
      <c r="KNL40" s="643"/>
      <c r="KNM40" s="643"/>
      <c r="KNN40" s="643"/>
      <c r="KNO40" s="643"/>
      <c r="KNP40" s="643"/>
      <c r="KNQ40" s="643"/>
      <c r="KNR40" s="643"/>
      <c r="KNS40" s="643"/>
      <c r="KNT40" s="643"/>
      <c r="KNU40" s="643"/>
      <c r="KNV40" s="643"/>
      <c r="KNW40" s="643"/>
      <c r="KNX40" s="643"/>
      <c r="KNY40" s="643"/>
      <c r="KNZ40" s="643"/>
      <c r="KOA40" s="643"/>
      <c r="KOB40" s="643"/>
      <c r="KOC40" s="643"/>
      <c r="KOD40" s="643"/>
      <c r="KOE40" s="643"/>
      <c r="KOF40" s="643"/>
      <c r="KOG40" s="643"/>
      <c r="KOH40" s="643"/>
      <c r="KOI40" s="643"/>
      <c r="KOJ40" s="643"/>
      <c r="KOK40" s="643"/>
      <c r="KOL40" s="643"/>
      <c r="KOM40" s="643"/>
      <c r="KON40" s="643"/>
      <c r="KOO40" s="643"/>
      <c r="KOP40" s="643"/>
      <c r="KOQ40" s="643"/>
      <c r="KOR40" s="643"/>
      <c r="KOS40" s="643"/>
      <c r="KOT40" s="643"/>
      <c r="KOU40" s="643"/>
      <c r="KOV40" s="643"/>
      <c r="KOW40" s="643"/>
      <c r="KOX40" s="643"/>
      <c r="KOY40" s="643"/>
      <c r="KOZ40" s="643"/>
      <c r="KPA40" s="643"/>
      <c r="KPB40" s="643"/>
      <c r="KPC40" s="643"/>
      <c r="KPD40" s="643"/>
      <c r="KPE40" s="643"/>
      <c r="KPF40" s="643"/>
      <c r="KPG40" s="643"/>
      <c r="KPH40" s="643"/>
      <c r="KPI40" s="643"/>
      <c r="KPJ40" s="643"/>
      <c r="KPK40" s="643"/>
      <c r="KPL40" s="643"/>
      <c r="KPM40" s="643"/>
      <c r="KPN40" s="643"/>
      <c r="KPO40" s="643"/>
      <c r="KPP40" s="643"/>
      <c r="KPQ40" s="643"/>
      <c r="KPR40" s="643"/>
      <c r="KPS40" s="643"/>
      <c r="KPT40" s="643"/>
      <c r="KPU40" s="643"/>
      <c r="KPV40" s="643"/>
      <c r="KPW40" s="643"/>
      <c r="KPX40" s="643"/>
      <c r="KPY40" s="643"/>
      <c r="KPZ40" s="643"/>
      <c r="KQA40" s="643"/>
      <c r="KQB40" s="643"/>
      <c r="KQC40" s="643"/>
      <c r="KQD40" s="643"/>
      <c r="KQE40" s="643"/>
      <c r="KQF40" s="643"/>
      <c r="KQG40" s="643"/>
      <c r="KQH40" s="643"/>
      <c r="KQI40" s="643"/>
      <c r="KQJ40" s="643"/>
      <c r="KQK40" s="643"/>
      <c r="KQL40" s="643"/>
      <c r="KQM40" s="643"/>
      <c r="KQN40" s="643"/>
      <c r="KQO40" s="643"/>
      <c r="KQP40" s="643"/>
      <c r="KQQ40" s="643"/>
      <c r="KQR40" s="643"/>
      <c r="KQS40" s="643"/>
      <c r="KQT40" s="643"/>
      <c r="KQU40" s="643"/>
      <c r="KQV40" s="643"/>
      <c r="KQW40" s="643"/>
      <c r="KQX40" s="643"/>
      <c r="KQY40" s="643"/>
      <c r="KQZ40" s="643"/>
      <c r="KRA40" s="643"/>
      <c r="KRB40" s="643"/>
      <c r="KRC40" s="643"/>
      <c r="KRD40" s="643"/>
      <c r="KRE40" s="643"/>
      <c r="KRF40" s="643"/>
      <c r="KRG40" s="643"/>
      <c r="KRH40" s="643"/>
      <c r="KRI40" s="643"/>
      <c r="KRJ40" s="643"/>
      <c r="KRK40" s="643"/>
      <c r="KRL40" s="643"/>
      <c r="KRM40" s="643"/>
      <c r="KRN40" s="643"/>
      <c r="KRO40" s="643"/>
      <c r="KRP40" s="643"/>
      <c r="KRQ40" s="643"/>
      <c r="KRR40" s="643"/>
      <c r="KRS40" s="643"/>
      <c r="KRT40" s="643"/>
      <c r="KRU40" s="643"/>
      <c r="KRV40" s="643"/>
      <c r="KRW40" s="643"/>
      <c r="KRX40" s="643"/>
      <c r="KRY40" s="643"/>
      <c r="KRZ40" s="643"/>
      <c r="KSA40" s="643"/>
      <c r="KSB40" s="643"/>
      <c r="KSC40" s="643"/>
      <c r="KSD40" s="643"/>
      <c r="KSE40" s="643"/>
      <c r="KSF40" s="643"/>
      <c r="KSG40" s="643"/>
      <c r="KSH40" s="643"/>
      <c r="KSI40" s="643"/>
      <c r="KSJ40" s="643"/>
      <c r="KSK40" s="643"/>
      <c r="KSL40" s="643"/>
      <c r="KSM40" s="643"/>
      <c r="KSN40" s="643"/>
      <c r="KSO40" s="643"/>
      <c r="KSP40" s="643"/>
      <c r="KSQ40" s="643"/>
      <c r="KSR40" s="643"/>
      <c r="KSS40" s="643"/>
      <c r="KST40" s="643"/>
      <c r="KSU40" s="643"/>
      <c r="KSV40" s="643"/>
      <c r="KSW40" s="643"/>
      <c r="KSX40" s="643"/>
      <c r="KSY40" s="643"/>
      <c r="KSZ40" s="643"/>
      <c r="KTA40" s="643"/>
      <c r="KTB40" s="643"/>
      <c r="KTC40" s="643"/>
      <c r="KTD40" s="643"/>
      <c r="KTE40" s="643"/>
      <c r="KTF40" s="643"/>
      <c r="KTG40" s="643"/>
      <c r="KTH40" s="643"/>
      <c r="KTI40" s="643"/>
      <c r="KTJ40" s="643"/>
      <c r="KTK40" s="643"/>
      <c r="KTL40" s="643"/>
      <c r="KTM40" s="643"/>
      <c r="KTN40" s="643"/>
      <c r="KTO40" s="643"/>
      <c r="KTP40" s="643"/>
      <c r="KTQ40" s="643"/>
      <c r="KTR40" s="643"/>
      <c r="KTS40" s="643"/>
      <c r="KTT40" s="643"/>
      <c r="KTU40" s="643"/>
      <c r="KTV40" s="643"/>
      <c r="KTW40" s="643"/>
      <c r="KTX40" s="643"/>
      <c r="KTY40" s="643"/>
      <c r="KTZ40" s="643"/>
      <c r="KUA40" s="643"/>
      <c r="KUB40" s="643"/>
      <c r="KUC40" s="643"/>
      <c r="KUD40" s="643"/>
      <c r="KUE40" s="643"/>
      <c r="KUF40" s="643"/>
      <c r="KUG40" s="643"/>
      <c r="KUH40" s="643"/>
      <c r="KUI40" s="643"/>
      <c r="KUJ40" s="643"/>
      <c r="KUK40" s="643"/>
      <c r="KUL40" s="643"/>
      <c r="KUM40" s="643"/>
      <c r="KUN40" s="643"/>
      <c r="KUO40" s="643"/>
      <c r="KUP40" s="643"/>
      <c r="KUQ40" s="643"/>
      <c r="KUR40" s="643"/>
      <c r="KUS40" s="643"/>
      <c r="KUT40" s="643"/>
      <c r="KUU40" s="643"/>
      <c r="KUV40" s="643"/>
      <c r="KUW40" s="643"/>
      <c r="KUX40" s="643"/>
      <c r="KUY40" s="643"/>
      <c r="KUZ40" s="643"/>
      <c r="KVA40" s="643"/>
      <c r="KVB40" s="643"/>
      <c r="KVC40" s="643"/>
      <c r="KVD40" s="643"/>
      <c r="KVE40" s="643"/>
      <c r="KVF40" s="643"/>
      <c r="KVG40" s="643"/>
      <c r="KVH40" s="643"/>
      <c r="KVI40" s="643"/>
      <c r="KVJ40" s="643"/>
      <c r="KVK40" s="643"/>
      <c r="KVL40" s="643"/>
      <c r="KVM40" s="643"/>
      <c r="KVN40" s="643"/>
      <c r="KVO40" s="643"/>
      <c r="KVP40" s="643"/>
      <c r="KVQ40" s="643"/>
      <c r="KVR40" s="643"/>
      <c r="KVS40" s="643"/>
      <c r="KVT40" s="643"/>
      <c r="KVU40" s="643"/>
      <c r="KVV40" s="643"/>
      <c r="KVW40" s="643"/>
      <c r="KVX40" s="643"/>
      <c r="KVY40" s="643"/>
      <c r="KVZ40" s="643"/>
      <c r="KWA40" s="643"/>
      <c r="KWB40" s="643"/>
      <c r="KWC40" s="643"/>
      <c r="KWD40" s="643"/>
      <c r="KWE40" s="643"/>
      <c r="KWF40" s="643"/>
      <c r="KWG40" s="643"/>
      <c r="KWH40" s="643"/>
      <c r="KWI40" s="643"/>
      <c r="KWJ40" s="643"/>
      <c r="KWK40" s="643"/>
      <c r="KWL40" s="643"/>
      <c r="KWM40" s="643"/>
      <c r="KWN40" s="643"/>
      <c r="KWO40" s="643"/>
      <c r="KWP40" s="643"/>
      <c r="KWQ40" s="643"/>
      <c r="KWR40" s="643"/>
      <c r="KWS40" s="643"/>
      <c r="KWT40" s="643"/>
      <c r="KWU40" s="643"/>
      <c r="KWV40" s="643"/>
      <c r="KWW40" s="643"/>
      <c r="KWX40" s="643"/>
      <c r="KWY40" s="643"/>
      <c r="KWZ40" s="643"/>
      <c r="KXA40" s="643"/>
      <c r="KXB40" s="643"/>
      <c r="KXC40" s="643"/>
      <c r="KXD40" s="643"/>
      <c r="KXE40" s="643"/>
      <c r="KXF40" s="643"/>
      <c r="KXG40" s="643"/>
      <c r="KXH40" s="643"/>
      <c r="KXI40" s="643"/>
      <c r="KXJ40" s="643"/>
      <c r="KXK40" s="643"/>
      <c r="KXL40" s="643"/>
      <c r="KXM40" s="643"/>
      <c r="KXN40" s="643"/>
      <c r="KXO40" s="643"/>
      <c r="KXP40" s="643"/>
      <c r="KXQ40" s="643"/>
      <c r="KXR40" s="643"/>
      <c r="KXS40" s="643"/>
      <c r="KXT40" s="643"/>
      <c r="KXU40" s="643"/>
      <c r="KXV40" s="643"/>
      <c r="KXW40" s="643"/>
      <c r="KXX40" s="643"/>
      <c r="KXY40" s="643"/>
      <c r="KXZ40" s="643"/>
      <c r="KYA40" s="643"/>
      <c r="KYB40" s="643"/>
      <c r="KYC40" s="643"/>
      <c r="KYD40" s="643"/>
      <c r="KYE40" s="643"/>
      <c r="KYF40" s="643"/>
      <c r="KYG40" s="643"/>
      <c r="KYH40" s="643"/>
      <c r="KYI40" s="643"/>
      <c r="KYJ40" s="643"/>
      <c r="KYK40" s="643"/>
      <c r="KYL40" s="643"/>
      <c r="KYM40" s="643"/>
      <c r="KYN40" s="643"/>
      <c r="KYO40" s="643"/>
      <c r="KYP40" s="643"/>
      <c r="KYQ40" s="643"/>
      <c r="KYR40" s="643"/>
      <c r="KYS40" s="643"/>
      <c r="KYT40" s="643"/>
      <c r="KYU40" s="643"/>
      <c r="KYV40" s="643"/>
      <c r="KYW40" s="643"/>
      <c r="KYX40" s="643"/>
      <c r="KYY40" s="643"/>
      <c r="KYZ40" s="643"/>
      <c r="KZA40" s="643"/>
      <c r="KZB40" s="643"/>
      <c r="KZC40" s="643"/>
      <c r="KZD40" s="643"/>
      <c r="KZE40" s="643"/>
      <c r="KZF40" s="643"/>
      <c r="KZG40" s="643"/>
      <c r="KZH40" s="643"/>
      <c r="KZI40" s="643"/>
      <c r="KZJ40" s="643"/>
      <c r="KZK40" s="643"/>
      <c r="KZL40" s="643"/>
      <c r="KZM40" s="643"/>
      <c r="KZN40" s="643"/>
      <c r="KZO40" s="643"/>
      <c r="KZP40" s="643"/>
      <c r="KZQ40" s="643"/>
      <c r="KZR40" s="643"/>
      <c r="KZS40" s="643"/>
      <c r="KZT40" s="643"/>
      <c r="KZU40" s="643"/>
      <c r="KZV40" s="643"/>
      <c r="KZW40" s="643"/>
      <c r="KZX40" s="643"/>
      <c r="KZY40" s="643"/>
      <c r="KZZ40" s="643"/>
      <c r="LAA40" s="643"/>
      <c r="LAB40" s="643"/>
      <c r="LAC40" s="643"/>
      <c r="LAD40" s="643"/>
      <c r="LAE40" s="643"/>
      <c r="LAF40" s="643"/>
      <c r="LAG40" s="643"/>
      <c r="LAH40" s="643"/>
      <c r="LAI40" s="643"/>
      <c r="LAJ40" s="643"/>
      <c r="LAK40" s="643"/>
      <c r="LAL40" s="643"/>
      <c r="LAM40" s="643"/>
      <c r="LAN40" s="643"/>
      <c r="LAO40" s="643"/>
      <c r="LAP40" s="643"/>
      <c r="LAQ40" s="643"/>
      <c r="LAR40" s="643"/>
      <c r="LAS40" s="643"/>
      <c r="LAT40" s="643"/>
      <c r="LAU40" s="643"/>
      <c r="LAV40" s="643"/>
      <c r="LAW40" s="643"/>
      <c r="LAX40" s="643"/>
      <c r="LAY40" s="643"/>
      <c r="LAZ40" s="643"/>
      <c r="LBA40" s="643"/>
      <c r="LBB40" s="643"/>
      <c r="LBC40" s="643"/>
      <c r="LBD40" s="643"/>
      <c r="LBE40" s="643"/>
      <c r="LBF40" s="643"/>
      <c r="LBG40" s="643"/>
      <c r="LBH40" s="643"/>
      <c r="LBI40" s="643"/>
      <c r="LBJ40" s="643"/>
      <c r="LBK40" s="643"/>
      <c r="LBL40" s="643"/>
      <c r="LBM40" s="643"/>
      <c r="LBN40" s="643"/>
      <c r="LBO40" s="643"/>
      <c r="LBP40" s="643"/>
      <c r="LBQ40" s="643"/>
      <c r="LBR40" s="643"/>
      <c r="LBS40" s="643"/>
      <c r="LBT40" s="643"/>
      <c r="LBU40" s="643"/>
      <c r="LBV40" s="643"/>
      <c r="LBW40" s="643"/>
      <c r="LBX40" s="643"/>
      <c r="LBY40" s="643"/>
      <c r="LBZ40" s="643"/>
      <c r="LCA40" s="643"/>
      <c r="LCB40" s="643"/>
      <c r="LCC40" s="643"/>
      <c r="LCD40" s="643"/>
      <c r="LCE40" s="643"/>
      <c r="LCF40" s="643"/>
      <c r="LCG40" s="643"/>
      <c r="LCH40" s="643"/>
      <c r="LCI40" s="643"/>
      <c r="LCJ40" s="643"/>
      <c r="LCK40" s="643"/>
      <c r="LCL40" s="643"/>
      <c r="LCM40" s="643"/>
      <c r="LCN40" s="643"/>
      <c r="LCO40" s="643"/>
      <c r="LCP40" s="643"/>
      <c r="LCQ40" s="643"/>
      <c r="LCR40" s="643"/>
      <c r="LCS40" s="643"/>
      <c r="LCT40" s="643"/>
      <c r="LCU40" s="643"/>
      <c r="LCV40" s="643"/>
      <c r="LCW40" s="643"/>
      <c r="LCX40" s="643"/>
      <c r="LCY40" s="643"/>
      <c r="LCZ40" s="643"/>
      <c r="LDA40" s="643"/>
      <c r="LDB40" s="643"/>
      <c r="LDC40" s="643"/>
      <c r="LDD40" s="643"/>
      <c r="LDE40" s="643"/>
      <c r="LDF40" s="643"/>
      <c r="LDG40" s="643"/>
      <c r="LDH40" s="643"/>
      <c r="LDI40" s="643"/>
      <c r="LDJ40" s="643"/>
      <c r="LDK40" s="643"/>
      <c r="LDL40" s="643"/>
      <c r="LDM40" s="643"/>
      <c r="LDN40" s="643"/>
      <c r="LDO40" s="643"/>
      <c r="LDP40" s="643"/>
      <c r="LDQ40" s="643"/>
      <c r="LDR40" s="643"/>
      <c r="LDS40" s="643"/>
      <c r="LDT40" s="643"/>
      <c r="LDU40" s="643"/>
      <c r="LDV40" s="643"/>
      <c r="LDW40" s="643"/>
      <c r="LDX40" s="643"/>
      <c r="LDY40" s="643"/>
      <c r="LDZ40" s="643"/>
      <c r="LEA40" s="643"/>
      <c r="LEB40" s="643"/>
      <c r="LEC40" s="643"/>
      <c r="LED40" s="643"/>
      <c r="LEE40" s="643"/>
      <c r="LEF40" s="643"/>
      <c r="LEG40" s="643"/>
      <c r="LEH40" s="643"/>
      <c r="LEI40" s="643"/>
      <c r="LEJ40" s="643"/>
      <c r="LEK40" s="643"/>
      <c r="LEL40" s="643"/>
      <c r="LEM40" s="643"/>
      <c r="LEN40" s="643"/>
      <c r="LEO40" s="643"/>
      <c r="LEP40" s="643"/>
      <c r="LEQ40" s="643"/>
      <c r="LER40" s="643"/>
      <c r="LES40" s="643"/>
      <c r="LET40" s="643"/>
      <c r="LEU40" s="643"/>
      <c r="LEV40" s="643"/>
      <c r="LEW40" s="643"/>
      <c r="LEX40" s="643"/>
      <c r="LEY40" s="643"/>
      <c r="LEZ40" s="643"/>
      <c r="LFA40" s="643"/>
      <c r="LFB40" s="643"/>
      <c r="LFC40" s="643"/>
      <c r="LFD40" s="643"/>
      <c r="LFE40" s="643"/>
      <c r="LFF40" s="643"/>
      <c r="LFG40" s="643"/>
      <c r="LFH40" s="643"/>
      <c r="LFI40" s="643"/>
      <c r="LFJ40" s="643"/>
      <c r="LFK40" s="643"/>
      <c r="LFL40" s="643"/>
      <c r="LFM40" s="643"/>
      <c r="LFN40" s="643"/>
      <c r="LFO40" s="643"/>
      <c r="LFP40" s="643"/>
      <c r="LFQ40" s="643"/>
      <c r="LFR40" s="643"/>
      <c r="LFS40" s="643"/>
      <c r="LFT40" s="643"/>
      <c r="LFU40" s="643"/>
      <c r="LFV40" s="643"/>
      <c r="LFW40" s="643"/>
      <c r="LFX40" s="643"/>
      <c r="LFY40" s="643"/>
      <c r="LFZ40" s="643"/>
      <c r="LGA40" s="643"/>
      <c r="LGB40" s="643"/>
      <c r="LGC40" s="643"/>
      <c r="LGD40" s="643"/>
      <c r="LGE40" s="643"/>
      <c r="LGF40" s="643"/>
      <c r="LGG40" s="643"/>
      <c r="LGH40" s="643"/>
      <c r="LGI40" s="643"/>
      <c r="LGJ40" s="643"/>
      <c r="LGK40" s="643"/>
      <c r="LGL40" s="643"/>
      <c r="LGM40" s="643"/>
      <c r="LGN40" s="643"/>
      <c r="LGO40" s="643"/>
      <c r="LGP40" s="643"/>
      <c r="LGQ40" s="643"/>
      <c r="LGR40" s="643"/>
      <c r="LGS40" s="643"/>
      <c r="LGT40" s="643"/>
      <c r="LGU40" s="643"/>
      <c r="LGV40" s="643"/>
      <c r="LGW40" s="643"/>
      <c r="LGX40" s="643"/>
      <c r="LGY40" s="643"/>
      <c r="LGZ40" s="643"/>
      <c r="LHA40" s="643"/>
      <c r="LHB40" s="643"/>
      <c r="LHC40" s="643"/>
      <c r="LHD40" s="643"/>
      <c r="LHE40" s="643"/>
      <c r="LHF40" s="643"/>
      <c r="LHG40" s="643"/>
      <c r="LHH40" s="643"/>
      <c r="LHI40" s="643"/>
      <c r="LHJ40" s="643"/>
      <c r="LHK40" s="643"/>
      <c r="LHL40" s="643"/>
      <c r="LHM40" s="643"/>
      <c r="LHN40" s="643"/>
      <c r="LHO40" s="643"/>
      <c r="LHP40" s="643"/>
      <c r="LHQ40" s="643"/>
      <c r="LHR40" s="643"/>
      <c r="LHS40" s="643"/>
      <c r="LHT40" s="643"/>
      <c r="LHU40" s="643"/>
      <c r="LHV40" s="643"/>
      <c r="LHW40" s="643"/>
      <c r="LHX40" s="643"/>
      <c r="LHY40" s="643"/>
      <c r="LHZ40" s="643"/>
      <c r="LIA40" s="643"/>
      <c r="LIB40" s="643"/>
      <c r="LIC40" s="643"/>
      <c r="LID40" s="643"/>
      <c r="LIE40" s="643"/>
      <c r="LIF40" s="643"/>
      <c r="LIG40" s="643"/>
      <c r="LIH40" s="643"/>
      <c r="LII40" s="643"/>
      <c r="LIJ40" s="643"/>
      <c r="LIK40" s="643"/>
      <c r="LIL40" s="643"/>
      <c r="LIM40" s="643"/>
      <c r="LIN40" s="643"/>
      <c r="LIO40" s="643"/>
      <c r="LIP40" s="643"/>
      <c r="LIQ40" s="643"/>
      <c r="LIR40" s="643"/>
      <c r="LIS40" s="643"/>
      <c r="LIT40" s="643"/>
      <c r="LIU40" s="643"/>
      <c r="LIV40" s="643"/>
      <c r="LIW40" s="643"/>
      <c r="LIX40" s="643"/>
      <c r="LIY40" s="643"/>
      <c r="LIZ40" s="643"/>
      <c r="LJA40" s="643"/>
      <c r="LJB40" s="643"/>
      <c r="LJC40" s="643"/>
      <c r="LJD40" s="643"/>
      <c r="LJE40" s="643"/>
      <c r="LJF40" s="643"/>
      <c r="LJG40" s="643"/>
      <c r="LJH40" s="643"/>
      <c r="LJI40" s="643"/>
      <c r="LJJ40" s="643"/>
      <c r="LJK40" s="643"/>
      <c r="LJL40" s="643"/>
      <c r="LJM40" s="643"/>
      <c r="LJN40" s="643"/>
      <c r="LJO40" s="643"/>
      <c r="LJP40" s="643"/>
      <c r="LJQ40" s="643"/>
      <c r="LJR40" s="643"/>
      <c r="LJS40" s="643"/>
      <c r="LJT40" s="643"/>
      <c r="LJU40" s="643"/>
      <c r="LJV40" s="643"/>
      <c r="LJW40" s="643"/>
      <c r="LJX40" s="643"/>
      <c r="LJY40" s="643"/>
      <c r="LJZ40" s="643"/>
      <c r="LKA40" s="643"/>
      <c r="LKB40" s="643"/>
      <c r="LKC40" s="643"/>
      <c r="LKD40" s="643"/>
      <c r="LKE40" s="643"/>
      <c r="LKF40" s="643"/>
      <c r="LKG40" s="643"/>
      <c r="LKH40" s="643"/>
      <c r="LKI40" s="643"/>
      <c r="LKJ40" s="643"/>
      <c r="LKK40" s="643"/>
      <c r="LKL40" s="643"/>
      <c r="LKM40" s="643"/>
      <c r="LKN40" s="643"/>
      <c r="LKO40" s="643"/>
      <c r="LKP40" s="643"/>
      <c r="LKQ40" s="643"/>
      <c r="LKR40" s="643"/>
      <c r="LKS40" s="643"/>
      <c r="LKT40" s="643"/>
      <c r="LKU40" s="643"/>
      <c r="LKV40" s="643"/>
      <c r="LKW40" s="643"/>
      <c r="LKX40" s="643"/>
      <c r="LKY40" s="643"/>
      <c r="LKZ40" s="643"/>
      <c r="LLA40" s="643"/>
      <c r="LLB40" s="643"/>
      <c r="LLC40" s="643"/>
      <c r="LLD40" s="643"/>
      <c r="LLE40" s="643"/>
      <c r="LLF40" s="643"/>
      <c r="LLG40" s="643"/>
      <c r="LLH40" s="643"/>
      <c r="LLI40" s="643"/>
      <c r="LLJ40" s="643"/>
      <c r="LLK40" s="643"/>
      <c r="LLL40" s="643"/>
      <c r="LLM40" s="643"/>
      <c r="LLN40" s="643"/>
      <c r="LLO40" s="643"/>
      <c r="LLP40" s="643"/>
      <c r="LLQ40" s="643"/>
      <c r="LLR40" s="643"/>
      <c r="LLS40" s="643"/>
      <c r="LLT40" s="643"/>
      <c r="LLU40" s="643"/>
      <c r="LLV40" s="643"/>
      <c r="LLW40" s="643"/>
      <c r="LLX40" s="643"/>
      <c r="LLY40" s="643"/>
      <c r="LLZ40" s="643"/>
      <c r="LMA40" s="643"/>
      <c r="LMB40" s="643"/>
      <c r="LMC40" s="643"/>
      <c r="LMD40" s="643"/>
      <c r="LME40" s="643"/>
      <c r="LMF40" s="643"/>
      <c r="LMG40" s="643"/>
      <c r="LMH40" s="643"/>
      <c r="LMI40" s="643"/>
      <c r="LMJ40" s="643"/>
      <c r="LMK40" s="643"/>
      <c r="LML40" s="643"/>
      <c r="LMM40" s="643"/>
      <c r="LMN40" s="643"/>
      <c r="LMO40" s="643"/>
      <c r="LMP40" s="643"/>
      <c r="LMQ40" s="643"/>
      <c r="LMR40" s="643"/>
      <c r="LMS40" s="643"/>
      <c r="LMT40" s="643"/>
      <c r="LMU40" s="643"/>
      <c r="LMV40" s="643"/>
      <c r="LMW40" s="643"/>
      <c r="LMX40" s="643"/>
      <c r="LMY40" s="643"/>
      <c r="LMZ40" s="643"/>
      <c r="LNA40" s="643"/>
      <c r="LNB40" s="643"/>
      <c r="LNC40" s="643"/>
      <c r="LND40" s="643"/>
      <c r="LNE40" s="643"/>
      <c r="LNF40" s="643"/>
      <c r="LNG40" s="643"/>
      <c r="LNH40" s="643"/>
      <c r="LNI40" s="643"/>
      <c r="LNJ40" s="643"/>
      <c r="LNK40" s="643"/>
      <c r="LNL40" s="643"/>
      <c r="LNM40" s="643"/>
      <c r="LNN40" s="643"/>
      <c r="LNO40" s="643"/>
      <c r="LNP40" s="643"/>
      <c r="LNQ40" s="643"/>
      <c r="LNR40" s="643"/>
      <c r="LNS40" s="643"/>
      <c r="LNT40" s="643"/>
      <c r="LNU40" s="643"/>
      <c r="LNV40" s="643"/>
      <c r="LNW40" s="643"/>
      <c r="LNX40" s="643"/>
      <c r="LNY40" s="643"/>
      <c r="LNZ40" s="643"/>
      <c r="LOA40" s="643"/>
      <c r="LOB40" s="643"/>
      <c r="LOC40" s="643"/>
      <c r="LOD40" s="643"/>
      <c r="LOE40" s="643"/>
      <c r="LOF40" s="643"/>
      <c r="LOG40" s="643"/>
      <c r="LOH40" s="643"/>
      <c r="LOI40" s="643"/>
      <c r="LOJ40" s="643"/>
      <c r="LOK40" s="643"/>
      <c r="LOL40" s="643"/>
      <c r="LOM40" s="643"/>
      <c r="LON40" s="643"/>
      <c r="LOO40" s="643"/>
      <c r="LOP40" s="643"/>
      <c r="LOQ40" s="643"/>
      <c r="LOR40" s="643"/>
      <c r="LOS40" s="643"/>
      <c r="LOT40" s="643"/>
      <c r="LOU40" s="643"/>
      <c r="LOV40" s="643"/>
      <c r="LOW40" s="643"/>
      <c r="LOX40" s="643"/>
      <c r="LOY40" s="643"/>
      <c r="LOZ40" s="643"/>
      <c r="LPA40" s="643"/>
      <c r="LPB40" s="643"/>
      <c r="LPC40" s="643"/>
      <c r="LPD40" s="643"/>
      <c r="LPE40" s="643"/>
      <c r="LPF40" s="643"/>
      <c r="LPG40" s="643"/>
      <c r="LPH40" s="643"/>
      <c r="LPI40" s="643"/>
      <c r="LPJ40" s="643"/>
      <c r="LPK40" s="643"/>
      <c r="LPL40" s="643"/>
      <c r="LPM40" s="643"/>
      <c r="LPN40" s="643"/>
      <c r="LPO40" s="643"/>
      <c r="LPP40" s="643"/>
      <c r="LPQ40" s="643"/>
      <c r="LPR40" s="643"/>
      <c r="LPS40" s="643"/>
      <c r="LPT40" s="643"/>
      <c r="LPU40" s="643"/>
      <c r="LPV40" s="643"/>
      <c r="LPW40" s="643"/>
      <c r="LPX40" s="643"/>
      <c r="LPY40" s="643"/>
      <c r="LPZ40" s="643"/>
      <c r="LQA40" s="643"/>
      <c r="LQB40" s="643"/>
      <c r="LQC40" s="643"/>
      <c r="LQD40" s="643"/>
      <c r="LQE40" s="643"/>
      <c r="LQF40" s="643"/>
      <c r="LQG40" s="643"/>
      <c r="LQH40" s="643"/>
      <c r="LQI40" s="643"/>
      <c r="LQJ40" s="643"/>
      <c r="LQK40" s="643"/>
      <c r="LQL40" s="643"/>
      <c r="LQM40" s="643"/>
      <c r="LQN40" s="643"/>
      <c r="LQO40" s="643"/>
      <c r="LQP40" s="643"/>
      <c r="LQQ40" s="643"/>
      <c r="LQR40" s="643"/>
      <c r="LQS40" s="643"/>
      <c r="LQT40" s="643"/>
      <c r="LQU40" s="643"/>
      <c r="LQV40" s="643"/>
      <c r="LQW40" s="643"/>
      <c r="LQX40" s="643"/>
      <c r="LQY40" s="643"/>
      <c r="LQZ40" s="643"/>
      <c r="LRA40" s="643"/>
      <c r="LRB40" s="643"/>
      <c r="LRC40" s="643"/>
      <c r="LRD40" s="643"/>
      <c r="LRE40" s="643"/>
      <c r="LRF40" s="643"/>
      <c r="LRG40" s="643"/>
      <c r="LRH40" s="643"/>
      <c r="LRI40" s="643"/>
      <c r="LRJ40" s="643"/>
      <c r="LRK40" s="643"/>
      <c r="LRL40" s="643"/>
      <c r="LRM40" s="643"/>
      <c r="LRN40" s="643"/>
      <c r="LRO40" s="643"/>
      <c r="LRP40" s="643"/>
      <c r="LRQ40" s="643"/>
      <c r="LRR40" s="643"/>
      <c r="LRS40" s="643"/>
      <c r="LRT40" s="643"/>
      <c r="LRU40" s="643"/>
      <c r="LRV40" s="643"/>
      <c r="LRW40" s="643"/>
      <c r="LRX40" s="643"/>
      <c r="LRY40" s="643"/>
      <c r="LRZ40" s="643"/>
      <c r="LSA40" s="643"/>
      <c r="LSB40" s="643"/>
      <c r="LSC40" s="643"/>
      <c r="LSD40" s="643"/>
      <c r="LSE40" s="643"/>
      <c r="LSF40" s="643"/>
      <c r="LSG40" s="643"/>
      <c r="LSH40" s="643"/>
      <c r="LSI40" s="643"/>
      <c r="LSJ40" s="643"/>
      <c r="LSK40" s="643"/>
      <c r="LSL40" s="643"/>
      <c r="LSM40" s="643"/>
      <c r="LSN40" s="643"/>
      <c r="LSO40" s="643"/>
      <c r="LSP40" s="643"/>
      <c r="LSQ40" s="643"/>
      <c r="LSR40" s="643"/>
      <c r="LSS40" s="643"/>
      <c r="LST40" s="643"/>
      <c r="LSU40" s="643"/>
      <c r="LSV40" s="643"/>
      <c r="LSW40" s="643"/>
      <c r="LSX40" s="643"/>
      <c r="LSY40" s="643"/>
      <c r="LSZ40" s="643"/>
      <c r="LTA40" s="643"/>
      <c r="LTB40" s="643"/>
      <c r="LTC40" s="643"/>
      <c r="LTD40" s="643"/>
      <c r="LTE40" s="643"/>
      <c r="LTF40" s="643"/>
      <c r="LTG40" s="643"/>
      <c r="LTH40" s="643"/>
      <c r="LTI40" s="643"/>
      <c r="LTJ40" s="643"/>
      <c r="LTK40" s="643"/>
      <c r="LTL40" s="643"/>
      <c r="LTM40" s="643"/>
      <c r="LTN40" s="643"/>
      <c r="LTO40" s="643"/>
      <c r="LTP40" s="643"/>
      <c r="LTQ40" s="643"/>
      <c r="LTR40" s="643"/>
      <c r="LTS40" s="643"/>
      <c r="LTT40" s="643"/>
      <c r="LTU40" s="643"/>
      <c r="LTV40" s="643"/>
      <c r="LTW40" s="643"/>
      <c r="LTX40" s="643"/>
      <c r="LTY40" s="643"/>
      <c r="LTZ40" s="643"/>
      <c r="LUA40" s="643"/>
      <c r="LUB40" s="643"/>
      <c r="LUC40" s="643"/>
      <c r="LUD40" s="643"/>
      <c r="LUE40" s="643"/>
      <c r="LUF40" s="643"/>
      <c r="LUG40" s="643"/>
      <c r="LUH40" s="643"/>
      <c r="LUI40" s="643"/>
      <c r="LUJ40" s="643"/>
      <c r="LUK40" s="643"/>
      <c r="LUL40" s="643"/>
      <c r="LUM40" s="643"/>
      <c r="LUN40" s="643"/>
      <c r="LUO40" s="643"/>
      <c r="LUP40" s="643"/>
      <c r="LUQ40" s="643"/>
      <c r="LUR40" s="643"/>
      <c r="LUS40" s="643"/>
      <c r="LUT40" s="643"/>
      <c r="LUU40" s="643"/>
      <c r="LUV40" s="643"/>
      <c r="LUW40" s="643"/>
      <c r="LUX40" s="643"/>
      <c r="LUY40" s="643"/>
      <c r="LUZ40" s="643"/>
      <c r="LVA40" s="643"/>
      <c r="LVB40" s="643"/>
      <c r="LVC40" s="643"/>
      <c r="LVD40" s="643"/>
      <c r="LVE40" s="643"/>
      <c r="LVF40" s="643"/>
      <c r="LVG40" s="643"/>
      <c r="LVH40" s="643"/>
      <c r="LVI40" s="643"/>
      <c r="LVJ40" s="643"/>
      <c r="LVK40" s="643"/>
      <c r="LVL40" s="643"/>
      <c r="LVM40" s="643"/>
      <c r="LVN40" s="643"/>
      <c r="LVO40" s="643"/>
      <c r="LVP40" s="643"/>
      <c r="LVQ40" s="643"/>
      <c r="LVR40" s="643"/>
      <c r="LVS40" s="643"/>
      <c r="LVT40" s="643"/>
      <c r="LVU40" s="643"/>
      <c r="LVV40" s="643"/>
      <c r="LVW40" s="643"/>
      <c r="LVX40" s="643"/>
      <c r="LVY40" s="643"/>
      <c r="LVZ40" s="643"/>
      <c r="LWA40" s="643"/>
      <c r="LWB40" s="643"/>
      <c r="LWC40" s="643"/>
      <c r="LWD40" s="643"/>
      <c r="LWE40" s="643"/>
      <c r="LWF40" s="643"/>
      <c r="LWG40" s="643"/>
      <c r="LWH40" s="643"/>
      <c r="LWI40" s="643"/>
      <c r="LWJ40" s="643"/>
      <c r="LWK40" s="643"/>
      <c r="LWL40" s="643"/>
      <c r="LWM40" s="643"/>
      <c r="LWN40" s="643"/>
      <c r="LWO40" s="643"/>
      <c r="LWP40" s="643"/>
      <c r="LWQ40" s="643"/>
      <c r="LWR40" s="643"/>
      <c r="LWS40" s="643"/>
      <c r="LWT40" s="643"/>
      <c r="LWU40" s="643"/>
      <c r="LWV40" s="643"/>
      <c r="LWW40" s="643"/>
      <c r="LWX40" s="643"/>
      <c r="LWY40" s="643"/>
      <c r="LWZ40" s="643"/>
      <c r="LXA40" s="643"/>
      <c r="LXB40" s="643"/>
      <c r="LXC40" s="643"/>
      <c r="LXD40" s="643"/>
      <c r="LXE40" s="643"/>
      <c r="LXF40" s="643"/>
      <c r="LXG40" s="643"/>
      <c r="LXH40" s="643"/>
      <c r="LXI40" s="643"/>
      <c r="LXJ40" s="643"/>
      <c r="LXK40" s="643"/>
      <c r="LXL40" s="643"/>
      <c r="LXM40" s="643"/>
      <c r="LXN40" s="643"/>
      <c r="LXO40" s="643"/>
      <c r="LXP40" s="643"/>
      <c r="LXQ40" s="643"/>
      <c r="LXR40" s="643"/>
      <c r="LXS40" s="643"/>
      <c r="LXT40" s="643"/>
      <c r="LXU40" s="643"/>
      <c r="LXV40" s="643"/>
      <c r="LXW40" s="643"/>
      <c r="LXX40" s="643"/>
      <c r="LXY40" s="643"/>
      <c r="LXZ40" s="643"/>
      <c r="LYA40" s="643"/>
      <c r="LYB40" s="643"/>
      <c r="LYC40" s="643"/>
      <c r="LYD40" s="643"/>
      <c r="LYE40" s="643"/>
      <c r="LYF40" s="643"/>
      <c r="LYG40" s="643"/>
      <c r="LYH40" s="643"/>
      <c r="LYI40" s="643"/>
      <c r="LYJ40" s="643"/>
      <c r="LYK40" s="643"/>
      <c r="LYL40" s="643"/>
      <c r="LYM40" s="643"/>
      <c r="LYN40" s="643"/>
      <c r="LYO40" s="643"/>
      <c r="LYP40" s="643"/>
      <c r="LYQ40" s="643"/>
      <c r="LYR40" s="643"/>
      <c r="LYS40" s="643"/>
      <c r="LYT40" s="643"/>
      <c r="LYU40" s="643"/>
      <c r="LYV40" s="643"/>
      <c r="LYW40" s="643"/>
      <c r="LYX40" s="643"/>
      <c r="LYY40" s="643"/>
      <c r="LYZ40" s="643"/>
      <c r="LZA40" s="643"/>
      <c r="LZB40" s="643"/>
      <c r="LZC40" s="643"/>
      <c r="LZD40" s="643"/>
      <c r="LZE40" s="643"/>
      <c r="LZF40" s="643"/>
      <c r="LZG40" s="643"/>
      <c r="LZH40" s="643"/>
      <c r="LZI40" s="643"/>
      <c r="LZJ40" s="643"/>
      <c r="LZK40" s="643"/>
      <c r="LZL40" s="643"/>
      <c r="LZM40" s="643"/>
      <c r="LZN40" s="643"/>
      <c r="LZO40" s="643"/>
      <c r="LZP40" s="643"/>
      <c r="LZQ40" s="643"/>
      <c r="LZR40" s="643"/>
      <c r="LZS40" s="643"/>
      <c r="LZT40" s="643"/>
      <c r="LZU40" s="643"/>
      <c r="LZV40" s="643"/>
      <c r="LZW40" s="643"/>
      <c r="LZX40" s="643"/>
      <c r="LZY40" s="643"/>
      <c r="LZZ40" s="643"/>
      <c r="MAA40" s="643"/>
      <c r="MAB40" s="643"/>
      <c r="MAC40" s="643"/>
      <c r="MAD40" s="643"/>
      <c r="MAE40" s="643"/>
      <c r="MAF40" s="643"/>
      <c r="MAG40" s="643"/>
      <c r="MAH40" s="643"/>
      <c r="MAI40" s="643"/>
      <c r="MAJ40" s="643"/>
      <c r="MAK40" s="643"/>
      <c r="MAL40" s="643"/>
      <c r="MAM40" s="643"/>
      <c r="MAN40" s="643"/>
      <c r="MAO40" s="643"/>
      <c r="MAP40" s="643"/>
      <c r="MAQ40" s="643"/>
      <c r="MAR40" s="643"/>
      <c r="MAS40" s="643"/>
      <c r="MAT40" s="643"/>
      <c r="MAU40" s="643"/>
      <c r="MAV40" s="643"/>
      <c r="MAW40" s="643"/>
      <c r="MAX40" s="643"/>
      <c r="MAY40" s="643"/>
      <c r="MAZ40" s="643"/>
      <c r="MBA40" s="643"/>
      <c r="MBB40" s="643"/>
      <c r="MBC40" s="643"/>
      <c r="MBD40" s="643"/>
      <c r="MBE40" s="643"/>
      <c r="MBF40" s="643"/>
      <c r="MBG40" s="643"/>
      <c r="MBH40" s="643"/>
      <c r="MBI40" s="643"/>
      <c r="MBJ40" s="643"/>
      <c r="MBK40" s="643"/>
      <c r="MBL40" s="643"/>
      <c r="MBM40" s="643"/>
      <c r="MBN40" s="643"/>
      <c r="MBO40" s="643"/>
      <c r="MBP40" s="643"/>
      <c r="MBQ40" s="643"/>
      <c r="MBR40" s="643"/>
      <c r="MBS40" s="643"/>
      <c r="MBT40" s="643"/>
      <c r="MBU40" s="643"/>
      <c r="MBV40" s="643"/>
      <c r="MBW40" s="643"/>
      <c r="MBX40" s="643"/>
      <c r="MBY40" s="643"/>
      <c r="MBZ40" s="643"/>
      <c r="MCA40" s="643"/>
      <c r="MCB40" s="643"/>
      <c r="MCC40" s="643"/>
      <c r="MCD40" s="643"/>
      <c r="MCE40" s="643"/>
      <c r="MCF40" s="643"/>
      <c r="MCG40" s="643"/>
      <c r="MCH40" s="643"/>
      <c r="MCI40" s="643"/>
      <c r="MCJ40" s="643"/>
      <c r="MCK40" s="643"/>
      <c r="MCL40" s="643"/>
      <c r="MCM40" s="643"/>
      <c r="MCN40" s="643"/>
      <c r="MCO40" s="643"/>
      <c r="MCP40" s="643"/>
      <c r="MCQ40" s="643"/>
      <c r="MCR40" s="643"/>
      <c r="MCS40" s="643"/>
      <c r="MCT40" s="643"/>
      <c r="MCU40" s="643"/>
      <c r="MCV40" s="643"/>
      <c r="MCW40" s="643"/>
      <c r="MCX40" s="643"/>
      <c r="MCY40" s="643"/>
      <c r="MCZ40" s="643"/>
      <c r="MDA40" s="643"/>
      <c r="MDB40" s="643"/>
      <c r="MDC40" s="643"/>
      <c r="MDD40" s="643"/>
      <c r="MDE40" s="643"/>
      <c r="MDF40" s="643"/>
      <c r="MDG40" s="643"/>
      <c r="MDH40" s="643"/>
      <c r="MDI40" s="643"/>
      <c r="MDJ40" s="643"/>
      <c r="MDK40" s="643"/>
      <c r="MDL40" s="643"/>
      <c r="MDM40" s="643"/>
      <c r="MDN40" s="643"/>
      <c r="MDO40" s="643"/>
      <c r="MDP40" s="643"/>
      <c r="MDQ40" s="643"/>
      <c r="MDR40" s="643"/>
      <c r="MDS40" s="643"/>
      <c r="MDT40" s="643"/>
      <c r="MDU40" s="643"/>
      <c r="MDV40" s="643"/>
      <c r="MDW40" s="643"/>
      <c r="MDX40" s="643"/>
      <c r="MDY40" s="643"/>
      <c r="MDZ40" s="643"/>
      <c r="MEA40" s="643"/>
      <c r="MEB40" s="643"/>
      <c r="MEC40" s="643"/>
      <c r="MED40" s="643"/>
      <c r="MEE40" s="643"/>
      <c r="MEF40" s="643"/>
      <c r="MEG40" s="643"/>
      <c r="MEH40" s="643"/>
      <c r="MEI40" s="643"/>
      <c r="MEJ40" s="643"/>
      <c r="MEK40" s="643"/>
      <c r="MEL40" s="643"/>
      <c r="MEM40" s="643"/>
      <c r="MEN40" s="643"/>
      <c r="MEO40" s="643"/>
      <c r="MEP40" s="643"/>
      <c r="MEQ40" s="643"/>
      <c r="MER40" s="643"/>
      <c r="MES40" s="643"/>
      <c r="MET40" s="643"/>
      <c r="MEU40" s="643"/>
      <c r="MEV40" s="643"/>
      <c r="MEW40" s="643"/>
      <c r="MEX40" s="643"/>
      <c r="MEY40" s="643"/>
      <c r="MEZ40" s="643"/>
      <c r="MFA40" s="643"/>
      <c r="MFB40" s="643"/>
      <c r="MFC40" s="643"/>
      <c r="MFD40" s="643"/>
      <c r="MFE40" s="643"/>
      <c r="MFF40" s="643"/>
      <c r="MFG40" s="643"/>
      <c r="MFH40" s="643"/>
      <c r="MFI40" s="643"/>
      <c r="MFJ40" s="643"/>
      <c r="MFK40" s="643"/>
      <c r="MFL40" s="643"/>
      <c r="MFM40" s="643"/>
      <c r="MFN40" s="643"/>
      <c r="MFO40" s="643"/>
      <c r="MFP40" s="643"/>
      <c r="MFQ40" s="643"/>
      <c r="MFR40" s="643"/>
      <c r="MFS40" s="643"/>
      <c r="MFT40" s="643"/>
      <c r="MFU40" s="643"/>
      <c r="MFV40" s="643"/>
      <c r="MFW40" s="643"/>
      <c r="MFX40" s="643"/>
      <c r="MFY40" s="643"/>
      <c r="MFZ40" s="643"/>
      <c r="MGA40" s="643"/>
      <c r="MGB40" s="643"/>
      <c r="MGC40" s="643"/>
      <c r="MGD40" s="643"/>
      <c r="MGE40" s="643"/>
      <c r="MGF40" s="643"/>
      <c r="MGG40" s="643"/>
      <c r="MGH40" s="643"/>
      <c r="MGI40" s="643"/>
      <c r="MGJ40" s="643"/>
      <c r="MGK40" s="643"/>
      <c r="MGL40" s="643"/>
      <c r="MGM40" s="643"/>
      <c r="MGN40" s="643"/>
      <c r="MGO40" s="643"/>
      <c r="MGP40" s="643"/>
      <c r="MGQ40" s="643"/>
      <c r="MGR40" s="643"/>
      <c r="MGS40" s="643"/>
      <c r="MGT40" s="643"/>
      <c r="MGU40" s="643"/>
      <c r="MGV40" s="643"/>
      <c r="MGW40" s="643"/>
      <c r="MGX40" s="643"/>
      <c r="MGY40" s="643"/>
      <c r="MGZ40" s="643"/>
      <c r="MHA40" s="643"/>
      <c r="MHB40" s="643"/>
      <c r="MHC40" s="643"/>
      <c r="MHD40" s="643"/>
      <c r="MHE40" s="643"/>
      <c r="MHF40" s="643"/>
      <c r="MHG40" s="643"/>
      <c r="MHH40" s="643"/>
      <c r="MHI40" s="643"/>
      <c r="MHJ40" s="643"/>
      <c r="MHK40" s="643"/>
      <c r="MHL40" s="643"/>
      <c r="MHM40" s="643"/>
      <c r="MHN40" s="643"/>
      <c r="MHO40" s="643"/>
      <c r="MHP40" s="643"/>
      <c r="MHQ40" s="643"/>
      <c r="MHR40" s="643"/>
      <c r="MHS40" s="643"/>
      <c r="MHT40" s="643"/>
      <c r="MHU40" s="643"/>
      <c r="MHV40" s="643"/>
      <c r="MHW40" s="643"/>
      <c r="MHX40" s="643"/>
      <c r="MHY40" s="643"/>
      <c r="MHZ40" s="643"/>
      <c r="MIA40" s="643"/>
      <c r="MIB40" s="643"/>
      <c r="MIC40" s="643"/>
      <c r="MID40" s="643"/>
      <c r="MIE40" s="643"/>
      <c r="MIF40" s="643"/>
      <c r="MIG40" s="643"/>
      <c r="MIH40" s="643"/>
      <c r="MII40" s="643"/>
      <c r="MIJ40" s="643"/>
      <c r="MIK40" s="643"/>
      <c r="MIL40" s="643"/>
      <c r="MIM40" s="643"/>
      <c r="MIN40" s="643"/>
      <c r="MIO40" s="643"/>
      <c r="MIP40" s="643"/>
      <c r="MIQ40" s="643"/>
      <c r="MIR40" s="643"/>
      <c r="MIS40" s="643"/>
      <c r="MIT40" s="643"/>
      <c r="MIU40" s="643"/>
      <c r="MIV40" s="643"/>
      <c r="MIW40" s="643"/>
      <c r="MIX40" s="643"/>
      <c r="MIY40" s="643"/>
      <c r="MIZ40" s="643"/>
      <c r="MJA40" s="643"/>
      <c r="MJB40" s="643"/>
      <c r="MJC40" s="643"/>
      <c r="MJD40" s="643"/>
      <c r="MJE40" s="643"/>
      <c r="MJF40" s="643"/>
      <c r="MJG40" s="643"/>
      <c r="MJH40" s="643"/>
      <c r="MJI40" s="643"/>
      <c r="MJJ40" s="643"/>
      <c r="MJK40" s="643"/>
      <c r="MJL40" s="643"/>
      <c r="MJM40" s="643"/>
      <c r="MJN40" s="643"/>
      <c r="MJO40" s="643"/>
      <c r="MJP40" s="643"/>
      <c r="MJQ40" s="643"/>
      <c r="MJR40" s="643"/>
      <c r="MJS40" s="643"/>
      <c r="MJT40" s="643"/>
      <c r="MJU40" s="643"/>
      <c r="MJV40" s="643"/>
      <c r="MJW40" s="643"/>
      <c r="MJX40" s="643"/>
      <c r="MJY40" s="643"/>
      <c r="MJZ40" s="643"/>
      <c r="MKA40" s="643"/>
      <c r="MKB40" s="643"/>
      <c r="MKC40" s="643"/>
      <c r="MKD40" s="643"/>
      <c r="MKE40" s="643"/>
      <c r="MKF40" s="643"/>
      <c r="MKG40" s="643"/>
      <c r="MKH40" s="643"/>
      <c r="MKI40" s="643"/>
      <c r="MKJ40" s="643"/>
      <c r="MKK40" s="643"/>
      <c r="MKL40" s="643"/>
      <c r="MKM40" s="643"/>
      <c r="MKN40" s="643"/>
      <c r="MKO40" s="643"/>
      <c r="MKP40" s="643"/>
      <c r="MKQ40" s="643"/>
      <c r="MKR40" s="643"/>
      <c r="MKS40" s="643"/>
      <c r="MKT40" s="643"/>
      <c r="MKU40" s="643"/>
      <c r="MKV40" s="643"/>
      <c r="MKW40" s="643"/>
      <c r="MKX40" s="643"/>
      <c r="MKY40" s="643"/>
      <c r="MKZ40" s="643"/>
      <c r="MLA40" s="643"/>
      <c r="MLB40" s="643"/>
      <c r="MLC40" s="643"/>
      <c r="MLD40" s="643"/>
      <c r="MLE40" s="643"/>
      <c r="MLF40" s="643"/>
      <c r="MLG40" s="643"/>
      <c r="MLH40" s="643"/>
      <c r="MLI40" s="643"/>
      <c r="MLJ40" s="643"/>
      <c r="MLK40" s="643"/>
      <c r="MLL40" s="643"/>
      <c r="MLM40" s="643"/>
      <c r="MLN40" s="643"/>
      <c r="MLO40" s="643"/>
      <c r="MLP40" s="643"/>
      <c r="MLQ40" s="643"/>
      <c r="MLR40" s="643"/>
      <c r="MLS40" s="643"/>
      <c r="MLT40" s="643"/>
      <c r="MLU40" s="643"/>
      <c r="MLV40" s="643"/>
      <c r="MLW40" s="643"/>
      <c r="MLX40" s="643"/>
      <c r="MLY40" s="643"/>
      <c r="MLZ40" s="643"/>
      <c r="MMA40" s="643"/>
      <c r="MMB40" s="643"/>
      <c r="MMC40" s="643"/>
      <c r="MMD40" s="643"/>
      <c r="MME40" s="643"/>
      <c r="MMF40" s="643"/>
      <c r="MMG40" s="643"/>
      <c r="MMH40" s="643"/>
      <c r="MMI40" s="643"/>
      <c r="MMJ40" s="643"/>
      <c r="MMK40" s="643"/>
      <c r="MML40" s="643"/>
      <c r="MMM40" s="643"/>
      <c r="MMN40" s="643"/>
      <c r="MMO40" s="643"/>
      <c r="MMP40" s="643"/>
      <c r="MMQ40" s="643"/>
      <c r="MMR40" s="643"/>
      <c r="MMS40" s="643"/>
      <c r="MMT40" s="643"/>
      <c r="MMU40" s="643"/>
      <c r="MMV40" s="643"/>
      <c r="MMW40" s="643"/>
      <c r="MMX40" s="643"/>
      <c r="MMY40" s="643"/>
      <c r="MMZ40" s="643"/>
      <c r="MNA40" s="643"/>
      <c r="MNB40" s="643"/>
      <c r="MNC40" s="643"/>
      <c r="MND40" s="643"/>
      <c r="MNE40" s="643"/>
      <c r="MNF40" s="643"/>
      <c r="MNG40" s="643"/>
      <c r="MNH40" s="643"/>
      <c r="MNI40" s="643"/>
      <c r="MNJ40" s="643"/>
      <c r="MNK40" s="643"/>
      <c r="MNL40" s="643"/>
      <c r="MNM40" s="643"/>
      <c r="MNN40" s="643"/>
      <c r="MNO40" s="643"/>
      <c r="MNP40" s="643"/>
      <c r="MNQ40" s="643"/>
      <c r="MNR40" s="643"/>
      <c r="MNS40" s="643"/>
      <c r="MNT40" s="643"/>
      <c r="MNU40" s="643"/>
      <c r="MNV40" s="643"/>
      <c r="MNW40" s="643"/>
      <c r="MNX40" s="643"/>
      <c r="MNY40" s="643"/>
      <c r="MNZ40" s="643"/>
      <c r="MOA40" s="643"/>
      <c r="MOB40" s="643"/>
      <c r="MOC40" s="643"/>
      <c r="MOD40" s="643"/>
      <c r="MOE40" s="643"/>
      <c r="MOF40" s="643"/>
      <c r="MOG40" s="643"/>
      <c r="MOH40" s="643"/>
      <c r="MOI40" s="643"/>
      <c r="MOJ40" s="643"/>
      <c r="MOK40" s="643"/>
      <c r="MOL40" s="643"/>
      <c r="MOM40" s="643"/>
      <c r="MON40" s="643"/>
      <c r="MOO40" s="643"/>
      <c r="MOP40" s="643"/>
      <c r="MOQ40" s="643"/>
      <c r="MOR40" s="643"/>
      <c r="MOS40" s="643"/>
      <c r="MOT40" s="643"/>
      <c r="MOU40" s="643"/>
      <c r="MOV40" s="643"/>
      <c r="MOW40" s="643"/>
      <c r="MOX40" s="643"/>
      <c r="MOY40" s="643"/>
      <c r="MOZ40" s="643"/>
      <c r="MPA40" s="643"/>
      <c r="MPB40" s="643"/>
      <c r="MPC40" s="643"/>
      <c r="MPD40" s="643"/>
      <c r="MPE40" s="643"/>
      <c r="MPF40" s="643"/>
      <c r="MPG40" s="643"/>
      <c r="MPH40" s="643"/>
      <c r="MPI40" s="643"/>
      <c r="MPJ40" s="643"/>
      <c r="MPK40" s="643"/>
      <c r="MPL40" s="643"/>
      <c r="MPM40" s="643"/>
      <c r="MPN40" s="643"/>
      <c r="MPO40" s="643"/>
      <c r="MPP40" s="643"/>
      <c r="MPQ40" s="643"/>
      <c r="MPR40" s="643"/>
      <c r="MPS40" s="643"/>
      <c r="MPT40" s="643"/>
      <c r="MPU40" s="643"/>
      <c r="MPV40" s="643"/>
      <c r="MPW40" s="643"/>
      <c r="MPX40" s="643"/>
      <c r="MPY40" s="643"/>
      <c r="MPZ40" s="643"/>
      <c r="MQA40" s="643"/>
      <c r="MQB40" s="643"/>
      <c r="MQC40" s="643"/>
      <c r="MQD40" s="643"/>
      <c r="MQE40" s="643"/>
      <c r="MQF40" s="643"/>
      <c r="MQG40" s="643"/>
      <c r="MQH40" s="643"/>
      <c r="MQI40" s="643"/>
      <c r="MQJ40" s="643"/>
      <c r="MQK40" s="643"/>
      <c r="MQL40" s="643"/>
      <c r="MQM40" s="643"/>
      <c r="MQN40" s="643"/>
      <c r="MQO40" s="643"/>
      <c r="MQP40" s="643"/>
      <c r="MQQ40" s="643"/>
      <c r="MQR40" s="643"/>
      <c r="MQS40" s="643"/>
      <c r="MQT40" s="643"/>
      <c r="MQU40" s="643"/>
      <c r="MQV40" s="643"/>
      <c r="MQW40" s="643"/>
      <c r="MQX40" s="643"/>
      <c r="MQY40" s="643"/>
      <c r="MQZ40" s="643"/>
      <c r="MRA40" s="643"/>
      <c r="MRB40" s="643"/>
      <c r="MRC40" s="643"/>
      <c r="MRD40" s="643"/>
      <c r="MRE40" s="643"/>
      <c r="MRF40" s="643"/>
      <c r="MRG40" s="643"/>
      <c r="MRH40" s="643"/>
      <c r="MRI40" s="643"/>
      <c r="MRJ40" s="643"/>
      <c r="MRK40" s="643"/>
      <c r="MRL40" s="643"/>
      <c r="MRM40" s="643"/>
      <c r="MRN40" s="643"/>
      <c r="MRO40" s="643"/>
      <c r="MRP40" s="643"/>
      <c r="MRQ40" s="643"/>
      <c r="MRR40" s="643"/>
      <c r="MRS40" s="643"/>
      <c r="MRT40" s="643"/>
      <c r="MRU40" s="643"/>
      <c r="MRV40" s="643"/>
      <c r="MRW40" s="643"/>
      <c r="MRX40" s="643"/>
      <c r="MRY40" s="643"/>
      <c r="MRZ40" s="643"/>
      <c r="MSA40" s="643"/>
      <c r="MSB40" s="643"/>
      <c r="MSC40" s="643"/>
      <c r="MSD40" s="643"/>
      <c r="MSE40" s="643"/>
      <c r="MSF40" s="643"/>
      <c r="MSG40" s="643"/>
      <c r="MSH40" s="643"/>
      <c r="MSI40" s="643"/>
      <c r="MSJ40" s="643"/>
      <c r="MSK40" s="643"/>
      <c r="MSL40" s="643"/>
      <c r="MSM40" s="643"/>
      <c r="MSN40" s="643"/>
      <c r="MSO40" s="643"/>
      <c r="MSP40" s="643"/>
      <c r="MSQ40" s="643"/>
      <c r="MSR40" s="643"/>
      <c r="MSS40" s="643"/>
      <c r="MST40" s="643"/>
      <c r="MSU40" s="643"/>
      <c r="MSV40" s="643"/>
      <c r="MSW40" s="643"/>
      <c r="MSX40" s="643"/>
      <c r="MSY40" s="643"/>
      <c r="MSZ40" s="643"/>
      <c r="MTA40" s="643"/>
      <c r="MTB40" s="643"/>
      <c r="MTC40" s="643"/>
      <c r="MTD40" s="643"/>
      <c r="MTE40" s="643"/>
      <c r="MTF40" s="643"/>
      <c r="MTG40" s="643"/>
      <c r="MTH40" s="643"/>
      <c r="MTI40" s="643"/>
      <c r="MTJ40" s="643"/>
      <c r="MTK40" s="643"/>
      <c r="MTL40" s="643"/>
      <c r="MTM40" s="643"/>
      <c r="MTN40" s="643"/>
      <c r="MTO40" s="643"/>
      <c r="MTP40" s="643"/>
      <c r="MTQ40" s="643"/>
      <c r="MTR40" s="643"/>
      <c r="MTS40" s="643"/>
      <c r="MTT40" s="643"/>
      <c r="MTU40" s="643"/>
      <c r="MTV40" s="643"/>
      <c r="MTW40" s="643"/>
      <c r="MTX40" s="643"/>
      <c r="MTY40" s="643"/>
      <c r="MTZ40" s="643"/>
      <c r="MUA40" s="643"/>
      <c r="MUB40" s="643"/>
      <c r="MUC40" s="643"/>
      <c r="MUD40" s="643"/>
      <c r="MUE40" s="643"/>
      <c r="MUF40" s="643"/>
      <c r="MUG40" s="643"/>
      <c r="MUH40" s="643"/>
      <c r="MUI40" s="643"/>
      <c r="MUJ40" s="643"/>
      <c r="MUK40" s="643"/>
      <c r="MUL40" s="643"/>
      <c r="MUM40" s="643"/>
      <c r="MUN40" s="643"/>
      <c r="MUO40" s="643"/>
      <c r="MUP40" s="643"/>
      <c r="MUQ40" s="643"/>
      <c r="MUR40" s="643"/>
      <c r="MUS40" s="643"/>
      <c r="MUT40" s="643"/>
      <c r="MUU40" s="643"/>
      <c r="MUV40" s="643"/>
      <c r="MUW40" s="643"/>
      <c r="MUX40" s="643"/>
      <c r="MUY40" s="643"/>
      <c r="MUZ40" s="643"/>
      <c r="MVA40" s="643"/>
      <c r="MVB40" s="643"/>
      <c r="MVC40" s="643"/>
      <c r="MVD40" s="643"/>
      <c r="MVE40" s="643"/>
      <c r="MVF40" s="643"/>
      <c r="MVG40" s="643"/>
      <c r="MVH40" s="643"/>
      <c r="MVI40" s="643"/>
      <c r="MVJ40" s="643"/>
      <c r="MVK40" s="643"/>
      <c r="MVL40" s="643"/>
      <c r="MVM40" s="643"/>
      <c r="MVN40" s="643"/>
      <c r="MVO40" s="643"/>
      <c r="MVP40" s="643"/>
      <c r="MVQ40" s="643"/>
      <c r="MVR40" s="643"/>
      <c r="MVS40" s="643"/>
      <c r="MVT40" s="643"/>
      <c r="MVU40" s="643"/>
      <c r="MVV40" s="643"/>
      <c r="MVW40" s="643"/>
      <c r="MVX40" s="643"/>
      <c r="MVY40" s="643"/>
      <c r="MVZ40" s="643"/>
      <c r="MWA40" s="643"/>
      <c r="MWB40" s="643"/>
      <c r="MWC40" s="643"/>
      <c r="MWD40" s="643"/>
      <c r="MWE40" s="643"/>
      <c r="MWF40" s="643"/>
      <c r="MWG40" s="643"/>
      <c r="MWH40" s="643"/>
      <c r="MWI40" s="643"/>
      <c r="MWJ40" s="643"/>
      <c r="MWK40" s="643"/>
      <c r="MWL40" s="643"/>
      <c r="MWM40" s="643"/>
      <c r="MWN40" s="643"/>
      <c r="MWO40" s="643"/>
      <c r="MWP40" s="643"/>
      <c r="MWQ40" s="643"/>
      <c r="MWR40" s="643"/>
      <c r="MWS40" s="643"/>
      <c r="MWT40" s="643"/>
      <c r="MWU40" s="643"/>
      <c r="MWV40" s="643"/>
      <c r="MWW40" s="643"/>
      <c r="MWX40" s="643"/>
      <c r="MWY40" s="643"/>
      <c r="MWZ40" s="643"/>
      <c r="MXA40" s="643"/>
      <c r="MXB40" s="643"/>
      <c r="MXC40" s="643"/>
      <c r="MXD40" s="643"/>
      <c r="MXE40" s="643"/>
      <c r="MXF40" s="643"/>
      <c r="MXG40" s="643"/>
      <c r="MXH40" s="643"/>
      <c r="MXI40" s="643"/>
      <c r="MXJ40" s="643"/>
      <c r="MXK40" s="643"/>
      <c r="MXL40" s="643"/>
      <c r="MXM40" s="643"/>
      <c r="MXN40" s="643"/>
      <c r="MXO40" s="643"/>
      <c r="MXP40" s="643"/>
      <c r="MXQ40" s="643"/>
      <c r="MXR40" s="643"/>
      <c r="MXS40" s="643"/>
      <c r="MXT40" s="643"/>
      <c r="MXU40" s="643"/>
      <c r="MXV40" s="643"/>
      <c r="MXW40" s="643"/>
      <c r="MXX40" s="643"/>
      <c r="MXY40" s="643"/>
      <c r="MXZ40" s="643"/>
      <c r="MYA40" s="643"/>
      <c r="MYB40" s="643"/>
      <c r="MYC40" s="643"/>
      <c r="MYD40" s="643"/>
      <c r="MYE40" s="643"/>
      <c r="MYF40" s="643"/>
      <c r="MYG40" s="643"/>
      <c r="MYH40" s="643"/>
      <c r="MYI40" s="643"/>
      <c r="MYJ40" s="643"/>
      <c r="MYK40" s="643"/>
      <c r="MYL40" s="643"/>
      <c r="MYM40" s="643"/>
      <c r="MYN40" s="643"/>
      <c r="MYO40" s="643"/>
      <c r="MYP40" s="643"/>
      <c r="MYQ40" s="643"/>
      <c r="MYR40" s="643"/>
      <c r="MYS40" s="643"/>
      <c r="MYT40" s="643"/>
      <c r="MYU40" s="643"/>
      <c r="MYV40" s="643"/>
      <c r="MYW40" s="643"/>
      <c r="MYX40" s="643"/>
      <c r="MYY40" s="643"/>
      <c r="MYZ40" s="643"/>
      <c r="MZA40" s="643"/>
      <c r="MZB40" s="643"/>
      <c r="MZC40" s="643"/>
      <c r="MZD40" s="643"/>
      <c r="MZE40" s="643"/>
      <c r="MZF40" s="643"/>
      <c r="MZG40" s="643"/>
      <c r="MZH40" s="643"/>
      <c r="MZI40" s="643"/>
      <c r="MZJ40" s="643"/>
      <c r="MZK40" s="643"/>
      <c r="MZL40" s="643"/>
      <c r="MZM40" s="643"/>
      <c r="MZN40" s="643"/>
      <c r="MZO40" s="643"/>
      <c r="MZP40" s="643"/>
      <c r="MZQ40" s="643"/>
      <c r="MZR40" s="643"/>
      <c r="MZS40" s="643"/>
      <c r="MZT40" s="643"/>
      <c r="MZU40" s="643"/>
      <c r="MZV40" s="643"/>
      <c r="MZW40" s="643"/>
      <c r="MZX40" s="643"/>
      <c r="MZY40" s="643"/>
      <c r="MZZ40" s="643"/>
      <c r="NAA40" s="643"/>
      <c r="NAB40" s="643"/>
      <c r="NAC40" s="643"/>
      <c r="NAD40" s="643"/>
      <c r="NAE40" s="643"/>
      <c r="NAF40" s="643"/>
      <c r="NAG40" s="643"/>
      <c r="NAH40" s="643"/>
      <c r="NAI40" s="643"/>
      <c r="NAJ40" s="643"/>
      <c r="NAK40" s="643"/>
      <c r="NAL40" s="643"/>
      <c r="NAM40" s="643"/>
      <c r="NAN40" s="643"/>
      <c r="NAO40" s="643"/>
      <c r="NAP40" s="643"/>
      <c r="NAQ40" s="643"/>
      <c r="NAR40" s="643"/>
      <c r="NAS40" s="643"/>
      <c r="NAT40" s="643"/>
      <c r="NAU40" s="643"/>
      <c r="NAV40" s="643"/>
      <c r="NAW40" s="643"/>
      <c r="NAX40" s="643"/>
      <c r="NAY40" s="643"/>
      <c r="NAZ40" s="643"/>
      <c r="NBA40" s="643"/>
      <c r="NBB40" s="643"/>
      <c r="NBC40" s="643"/>
      <c r="NBD40" s="643"/>
      <c r="NBE40" s="643"/>
      <c r="NBF40" s="643"/>
      <c r="NBG40" s="643"/>
      <c r="NBH40" s="643"/>
      <c r="NBI40" s="643"/>
      <c r="NBJ40" s="643"/>
      <c r="NBK40" s="643"/>
      <c r="NBL40" s="643"/>
      <c r="NBM40" s="643"/>
      <c r="NBN40" s="643"/>
      <c r="NBO40" s="643"/>
      <c r="NBP40" s="643"/>
      <c r="NBQ40" s="643"/>
      <c r="NBR40" s="643"/>
      <c r="NBS40" s="643"/>
      <c r="NBT40" s="643"/>
      <c r="NBU40" s="643"/>
      <c r="NBV40" s="643"/>
      <c r="NBW40" s="643"/>
      <c r="NBX40" s="643"/>
      <c r="NBY40" s="643"/>
      <c r="NBZ40" s="643"/>
      <c r="NCA40" s="643"/>
      <c r="NCB40" s="643"/>
      <c r="NCC40" s="643"/>
      <c r="NCD40" s="643"/>
      <c r="NCE40" s="643"/>
      <c r="NCF40" s="643"/>
      <c r="NCG40" s="643"/>
      <c r="NCH40" s="643"/>
      <c r="NCI40" s="643"/>
      <c r="NCJ40" s="643"/>
      <c r="NCK40" s="643"/>
      <c r="NCL40" s="643"/>
      <c r="NCM40" s="643"/>
      <c r="NCN40" s="643"/>
      <c r="NCO40" s="643"/>
      <c r="NCP40" s="643"/>
      <c r="NCQ40" s="643"/>
      <c r="NCR40" s="643"/>
      <c r="NCS40" s="643"/>
      <c r="NCT40" s="643"/>
      <c r="NCU40" s="643"/>
      <c r="NCV40" s="643"/>
      <c r="NCW40" s="643"/>
      <c r="NCX40" s="643"/>
      <c r="NCY40" s="643"/>
      <c r="NCZ40" s="643"/>
      <c r="NDA40" s="643"/>
      <c r="NDB40" s="643"/>
      <c r="NDC40" s="643"/>
      <c r="NDD40" s="643"/>
      <c r="NDE40" s="643"/>
      <c r="NDF40" s="643"/>
      <c r="NDG40" s="643"/>
      <c r="NDH40" s="643"/>
      <c r="NDI40" s="643"/>
      <c r="NDJ40" s="643"/>
      <c r="NDK40" s="643"/>
      <c r="NDL40" s="643"/>
      <c r="NDM40" s="643"/>
      <c r="NDN40" s="643"/>
      <c r="NDO40" s="643"/>
      <c r="NDP40" s="643"/>
      <c r="NDQ40" s="643"/>
      <c r="NDR40" s="643"/>
      <c r="NDS40" s="643"/>
      <c r="NDT40" s="643"/>
      <c r="NDU40" s="643"/>
      <c r="NDV40" s="643"/>
      <c r="NDW40" s="643"/>
      <c r="NDX40" s="643"/>
      <c r="NDY40" s="643"/>
      <c r="NDZ40" s="643"/>
      <c r="NEA40" s="643"/>
      <c r="NEB40" s="643"/>
      <c r="NEC40" s="643"/>
      <c r="NED40" s="643"/>
      <c r="NEE40" s="643"/>
      <c r="NEF40" s="643"/>
      <c r="NEG40" s="643"/>
      <c r="NEH40" s="643"/>
      <c r="NEI40" s="643"/>
      <c r="NEJ40" s="643"/>
      <c r="NEK40" s="643"/>
      <c r="NEL40" s="643"/>
      <c r="NEM40" s="643"/>
      <c r="NEN40" s="643"/>
      <c r="NEO40" s="643"/>
      <c r="NEP40" s="643"/>
      <c r="NEQ40" s="643"/>
      <c r="NER40" s="643"/>
      <c r="NES40" s="643"/>
      <c r="NET40" s="643"/>
      <c r="NEU40" s="643"/>
      <c r="NEV40" s="643"/>
      <c r="NEW40" s="643"/>
      <c r="NEX40" s="643"/>
      <c r="NEY40" s="643"/>
      <c r="NEZ40" s="643"/>
      <c r="NFA40" s="643"/>
      <c r="NFB40" s="643"/>
      <c r="NFC40" s="643"/>
      <c r="NFD40" s="643"/>
      <c r="NFE40" s="643"/>
      <c r="NFF40" s="643"/>
      <c r="NFG40" s="643"/>
      <c r="NFH40" s="643"/>
      <c r="NFI40" s="643"/>
      <c r="NFJ40" s="643"/>
      <c r="NFK40" s="643"/>
      <c r="NFL40" s="643"/>
      <c r="NFM40" s="643"/>
      <c r="NFN40" s="643"/>
      <c r="NFO40" s="643"/>
      <c r="NFP40" s="643"/>
      <c r="NFQ40" s="643"/>
      <c r="NFR40" s="643"/>
      <c r="NFS40" s="643"/>
      <c r="NFT40" s="643"/>
      <c r="NFU40" s="643"/>
      <c r="NFV40" s="643"/>
      <c r="NFW40" s="643"/>
      <c r="NFX40" s="643"/>
      <c r="NFY40" s="643"/>
      <c r="NFZ40" s="643"/>
      <c r="NGA40" s="643"/>
      <c r="NGB40" s="643"/>
      <c r="NGC40" s="643"/>
      <c r="NGD40" s="643"/>
      <c r="NGE40" s="643"/>
      <c r="NGF40" s="643"/>
      <c r="NGG40" s="643"/>
      <c r="NGH40" s="643"/>
      <c r="NGI40" s="643"/>
      <c r="NGJ40" s="643"/>
      <c r="NGK40" s="643"/>
      <c r="NGL40" s="643"/>
      <c r="NGM40" s="643"/>
      <c r="NGN40" s="643"/>
      <c r="NGO40" s="643"/>
      <c r="NGP40" s="643"/>
      <c r="NGQ40" s="643"/>
      <c r="NGR40" s="643"/>
      <c r="NGS40" s="643"/>
      <c r="NGT40" s="643"/>
      <c r="NGU40" s="643"/>
      <c r="NGV40" s="643"/>
      <c r="NGW40" s="643"/>
      <c r="NGX40" s="643"/>
      <c r="NGY40" s="643"/>
      <c r="NGZ40" s="643"/>
      <c r="NHA40" s="643"/>
      <c r="NHB40" s="643"/>
      <c r="NHC40" s="643"/>
      <c r="NHD40" s="643"/>
      <c r="NHE40" s="643"/>
      <c r="NHF40" s="643"/>
      <c r="NHG40" s="643"/>
      <c r="NHH40" s="643"/>
      <c r="NHI40" s="643"/>
      <c r="NHJ40" s="643"/>
      <c r="NHK40" s="643"/>
      <c r="NHL40" s="643"/>
      <c r="NHM40" s="643"/>
      <c r="NHN40" s="643"/>
      <c r="NHO40" s="643"/>
      <c r="NHP40" s="643"/>
      <c r="NHQ40" s="643"/>
      <c r="NHR40" s="643"/>
      <c r="NHS40" s="643"/>
      <c r="NHT40" s="643"/>
      <c r="NHU40" s="643"/>
      <c r="NHV40" s="643"/>
      <c r="NHW40" s="643"/>
      <c r="NHX40" s="643"/>
      <c r="NHY40" s="643"/>
      <c r="NHZ40" s="643"/>
      <c r="NIA40" s="643"/>
      <c r="NIB40" s="643"/>
      <c r="NIC40" s="643"/>
      <c r="NID40" s="643"/>
      <c r="NIE40" s="643"/>
      <c r="NIF40" s="643"/>
      <c r="NIG40" s="643"/>
      <c r="NIH40" s="643"/>
      <c r="NII40" s="643"/>
      <c r="NIJ40" s="643"/>
      <c r="NIK40" s="643"/>
      <c r="NIL40" s="643"/>
      <c r="NIM40" s="643"/>
      <c r="NIN40" s="643"/>
      <c r="NIO40" s="643"/>
      <c r="NIP40" s="643"/>
      <c r="NIQ40" s="643"/>
      <c r="NIR40" s="643"/>
      <c r="NIS40" s="643"/>
      <c r="NIT40" s="643"/>
      <c r="NIU40" s="643"/>
      <c r="NIV40" s="643"/>
      <c r="NIW40" s="643"/>
      <c r="NIX40" s="643"/>
      <c r="NIY40" s="643"/>
      <c r="NIZ40" s="643"/>
      <c r="NJA40" s="643"/>
      <c r="NJB40" s="643"/>
      <c r="NJC40" s="643"/>
      <c r="NJD40" s="643"/>
      <c r="NJE40" s="643"/>
      <c r="NJF40" s="643"/>
      <c r="NJG40" s="643"/>
      <c r="NJH40" s="643"/>
      <c r="NJI40" s="643"/>
      <c r="NJJ40" s="643"/>
      <c r="NJK40" s="643"/>
      <c r="NJL40" s="643"/>
      <c r="NJM40" s="643"/>
      <c r="NJN40" s="643"/>
      <c r="NJO40" s="643"/>
      <c r="NJP40" s="643"/>
      <c r="NJQ40" s="643"/>
      <c r="NJR40" s="643"/>
      <c r="NJS40" s="643"/>
      <c r="NJT40" s="643"/>
      <c r="NJU40" s="643"/>
      <c r="NJV40" s="643"/>
      <c r="NJW40" s="643"/>
      <c r="NJX40" s="643"/>
      <c r="NJY40" s="643"/>
      <c r="NJZ40" s="643"/>
      <c r="NKA40" s="643"/>
      <c r="NKB40" s="643"/>
      <c r="NKC40" s="643"/>
      <c r="NKD40" s="643"/>
      <c r="NKE40" s="643"/>
      <c r="NKF40" s="643"/>
      <c r="NKG40" s="643"/>
      <c r="NKH40" s="643"/>
      <c r="NKI40" s="643"/>
      <c r="NKJ40" s="643"/>
      <c r="NKK40" s="643"/>
      <c r="NKL40" s="643"/>
      <c r="NKM40" s="643"/>
      <c r="NKN40" s="643"/>
      <c r="NKO40" s="643"/>
      <c r="NKP40" s="643"/>
      <c r="NKQ40" s="643"/>
      <c r="NKR40" s="643"/>
      <c r="NKS40" s="643"/>
      <c r="NKT40" s="643"/>
      <c r="NKU40" s="643"/>
      <c r="NKV40" s="643"/>
      <c r="NKW40" s="643"/>
      <c r="NKX40" s="643"/>
      <c r="NKY40" s="643"/>
      <c r="NKZ40" s="643"/>
      <c r="NLA40" s="643"/>
      <c r="NLB40" s="643"/>
      <c r="NLC40" s="643"/>
      <c r="NLD40" s="643"/>
      <c r="NLE40" s="643"/>
      <c r="NLF40" s="643"/>
      <c r="NLG40" s="643"/>
      <c r="NLH40" s="643"/>
      <c r="NLI40" s="643"/>
      <c r="NLJ40" s="643"/>
      <c r="NLK40" s="643"/>
      <c r="NLL40" s="643"/>
      <c r="NLM40" s="643"/>
      <c r="NLN40" s="643"/>
      <c r="NLO40" s="643"/>
      <c r="NLP40" s="643"/>
      <c r="NLQ40" s="643"/>
      <c r="NLR40" s="643"/>
      <c r="NLS40" s="643"/>
      <c r="NLT40" s="643"/>
      <c r="NLU40" s="643"/>
      <c r="NLV40" s="643"/>
      <c r="NLW40" s="643"/>
      <c r="NLX40" s="643"/>
      <c r="NLY40" s="643"/>
      <c r="NLZ40" s="643"/>
      <c r="NMA40" s="643"/>
      <c r="NMB40" s="643"/>
      <c r="NMC40" s="643"/>
      <c r="NMD40" s="643"/>
      <c r="NME40" s="643"/>
      <c r="NMF40" s="643"/>
      <c r="NMG40" s="643"/>
      <c r="NMH40" s="643"/>
      <c r="NMI40" s="643"/>
      <c r="NMJ40" s="643"/>
      <c r="NMK40" s="643"/>
      <c r="NML40" s="643"/>
      <c r="NMM40" s="643"/>
      <c r="NMN40" s="643"/>
      <c r="NMO40" s="643"/>
      <c r="NMP40" s="643"/>
      <c r="NMQ40" s="643"/>
      <c r="NMR40" s="643"/>
      <c r="NMS40" s="643"/>
      <c r="NMT40" s="643"/>
      <c r="NMU40" s="643"/>
      <c r="NMV40" s="643"/>
      <c r="NMW40" s="643"/>
      <c r="NMX40" s="643"/>
      <c r="NMY40" s="643"/>
      <c r="NMZ40" s="643"/>
      <c r="NNA40" s="643"/>
      <c r="NNB40" s="643"/>
      <c r="NNC40" s="643"/>
      <c r="NND40" s="643"/>
      <c r="NNE40" s="643"/>
      <c r="NNF40" s="643"/>
      <c r="NNG40" s="643"/>
      <c r="NNH40" s="643"/>
      <c r="NNI40" s="643"/>
      <c r="NNJ40" s="643"/>
      <c r="NNK40" s="643"/>
      <c r="NNL40" s="643"/>
      <c r="NNM40" s="643"/>
      <c r="NNN40" s="643"/>
      <c r="NNO40" s="643"/>
      <c r="NNP40" s="643"/>
      <c r="NNQ40" s="643"/>
      <c r="NNR40" s="643"/>
      <c r="NNS40" s="643"/>
      <c r="NNT40" s="643"/>
      <c r="NNU40" s="643"/>
      <c r="NNV40" s="643"/>
      <c r="NNW40" s="643"/>
      <c r="NNX40" s="643"/>
      <c r="NNY40" s="643"/>
      <c r="NNZ40" s="643"/>
      <c r="NOA40" s="643"/>
      <c r="NOB40" s="643"/>
      <c r="NOC40" s="643"/>
      <c r="NOD40" s="643"/>
      <c r="NOE40" s="643"/>
      <c r="NOF40" s="643"/>
      <c r="NOG40" s="643"/>
      <c r="NOH40" s="643"/>
      <c r="NOI40" s="643"/>
      <c r="NOJ40" s="643"/>
      <c r="NOK40" s="643"/>
      <c r="NOL40" s="643"/>
      <c r="NOM40" s="643"/>
      <c r="NON40" s="643"/>
      <c r="NOO40" s="643"/>
      <c r="NOP40" s="643"/>
      <c r="NOQ40" s="643"/>
      <c r="NOR40" s="643"/>
      <c r="NOS40" s="643"/>
      <c r="NOT40" s="643"/>
      <c r="NOU40" s="643"/>
      <c r="NOV40" s="643"/>
      <c r="NOW40" s="643"/>
      <c r="NOX40" s="643"/>
      <c r="NOY40" s="643"/>
      <c r="NOZ40" s="643"/>
      <c r="NPA40" s="643"/>
      <c r="NPB40" s="643"/>
      <c r="NPC40" s="643"/>
      <c r="NPD40" s="643"/>
      <c r="NPE40" s="643"/>
      <c r="NPF40" s="643"/>
      <c r="NPG40" s="643"/>
      <c r="NPH40" s="643"/>
      <c r="NPI40" s="643"/>
      <c r="NPJ40" s="643"/>
      <c r="NPK40" s="643"/>
      <c r="NPL40" s="643"/>
      <c r="NPM40" s="643"/>
      <c r="NPN40" s="643"/>
      <c r="NPO40" s="643"/>
      <c r="NPP40" s="643"/>
      <c r="NPQ40" s="643"/>
      <c r="NPR40" s="643"/>
      <c r="NPS40" s="643"/>
      <c r="NPT40" s="643"/>
      <c r="NPU40" s="643"/>
      <c r="NPV40" s="643"/>
      <c r="NPW40" s="643"/>
      <c r="NPX40" s="643"/>
      <c r="NPY40" s="643"/>
      <c r="NPZ40" s="643"/>
      <c r="NQA40" s="643"/>
      <c r="NQB40" s="643"/>
      <c r="NQC40" s="643"/>
      <c r="NQD40" s="643"/>
      <c r="NQE40" s="643"/>
      <c r="NQF40" s="643"/>
      <c r="NQG40" s="643"/>
      <c r="NQH40" s="643"/>
      <c r="NQI40" s="643"/>
      <c r="NQJ40" s="643"/>
      <c r="NQK40" s="643"/>
      <c r="NQL40" s="643"/>
      <c r="NQM40" s="643"/>
      <c r="NQN40" s="643"/>
      <c r="NQO40" s="643"/>
      <c r="NQP40" s="643"/>
      <c r="NQQ40" s="643"/>
      <c r="NQR40" s="643"/>
      <c r="NQS40" s="643"/>
      <c r="NQT40" s="643"/>
      <c r="NQU40" s="643"/>
      <c r="NQV40" s="643"/>
      <c r="NQW40" s="643"/>
      <c r="NQX40" s="643"/>
      <c r="NQY40" s="643"/>
      <c r="NQZ40" s="643"/>
      <c r="NRA40" s="643"/>
      <c r="NRB40" s="643"/>
      <c r="NRC40" s="643"/>
      <c r="NRD40" s="643"/>
      <c r="NRE40" s="643"/>
      <c r="NRF40" s="643"/>
      <c r="NRG40" s="643"/>
      <c r="NRH40" s="643"/>
      <c r="NRI40" s="643"/>
      <c r="NRJ40" s="643"/>
      <c r="NRK40" s="643"/>
      <c r="NRL40" s="643"/>
      <c r="NRM40" s="643"/>
      <c r="NRN40" s="643"/>
      <c r="NRO40" s="643"/>
      <c r="NRP40" s="643"/>
      <c r="NRQ40" s="643"/>
      <c r="NRR40" s="643"/>
      <c r="NRS40" s="643"/>
      <c r="NRT40" s="643"/>
      <c r="NRU40" s="643"/>
      <c r="NRV40" s="643"/>
      <c r="NRW40" s="643"/>
      <c r="NRX40" s="643"/>
      <c r="NRY40" s="643"/>
      <c r="NRZ40" s="643"/>
      <c r="NSA40" s="643"/>
      <c r="NSB40" s="643"/>
      <c r="NSC40" s="643"/>
      <c r="NSD40" s="643"/>
      <c r="NSE40" s="643"/>
      <c r="NSF40" s="643"/>
      <c r="NSG40" s="643"/>
      <c r="NSH40" s="643"/>
      <c r="NSI40" s="643"/>
      <c r="NSJ40" s="643"/>
      <c r="NSK40" s="643"/>
      <c r="NSL40" s="643"/>
      <c r="NSM40" s="643"/>
      <c r="NSN40" s="643"/>
      <c r="NSO40" s="643"/>
      <c r="NSP40" s="643"/>
      <c r="NSQ40" s="643"/>
      <c r="NSR40" s="643"/>
      <c r="NSS40" s="643"/>
      <c r="NST40" s="643"/>
      <c r="NSU40" s="643"/>
      <c r="NSV40" s="643"/>
      <c r="NSW40" s="643"/>
      <c r="NSX40" s="643"/>
      <c r="NSY40" s="643"/>
      <c r="NSZ40" s="643"/>
      <c r="NTA40" s="643"/>
      <c r="NTB40" s="643"/>
      <c r="NTC40" s="643"/>
      <c r="NTD40" s="643"/>
      <c r="NTE40" s="643"/>
      <c r="NTF40" s="643"/>
      <c r="NTG40" s="643"/>
      <c r="NTH40" s="643"/>
      <c r="NTI40" s="643"/>
      <c r="NTJ40" s="643"/>
      <c r="NTK40" s="643"/>
      <c r="NTL40" s="643"/>
      <c r="NTM40" s="643"/>
      <c r="NTN40" s="643"/>
      <c r="NTO40" s="643"/>
      <c r="NTP40" s="643"/>
      <c r="NTQ40" s="643"/>
      <c r="NTR40" s="643"/>
      <c r="NTS40" s="643"/>
      <c r="NTT40" s="643"/>
      <c r="NTU40" s="643"/>
      <c r="NTV40" s="643"/>
      <c r="NTW40" s="643"/>
      <c r="NTX40" s="643"/>
      <c r="NTY40" s="643"/>
      <c r="NTZ40" s="643"/>
      <c r="NUA40" s="643"/>
      <c r="NUB40" s="643"/>
      <c r="NUC40" s="643"/>
      <c r="NUD40" s="643"/>
      <c r="NUE40" s="643"/>
      <c r="NUF40" s="643"/>
      <c r="NUG40" s="643"/>
      <c r="NUH40" s="643"/>
      <c r="NUI40" s="643"/>
      <c r="NUJ40" s="643"/>
      <c r="NUK40" s="643"/>
      <c r="NUL40" s="643"/>
      <c r="NUM40" s="643"/>
      <c r="NUN40" s="643"/>
      <c r="NUO40" s="643"/>
      <c r="NUP40" s="643"/>
      <c r="NUQ40" s="643"/>
      <c r="NUR40" s="643"/>
      <c r="NUS40" s="643"/>
      <c r="NUT40" s="643"/>
      <c r="NUU40" s="643"/>
      <c r="NUV40" s="643"/>
      <c r="NUW40" s="643"/>
      <c r="NUX40" s="643"/>
      <c r="NUY40" s="643"/>
      <c r="NUZ40" s="643"/>
      <c r="NVA40" s="643"/>
      <c r="NVB40" s="643"/>
      <c r="NVC40" s="643"/>
      <c r="NVD40" s="643"/>
      <c r="NVE40" s="643"/>
      <c r="NVF40" s="643"/>
      <c r="NVG40" s="643"/>
      <c r="NVH40" s="643"/>
      <c r="NVI40" s="643"/>
      <c r="NVJ40" s="643"/>
      <c r="NVK40" s="643"/>
      <c r="NVL40" s="643"/>
      <c r="NVM40" s="643"/>
      <c r="NVN40" s="643"/>
      <c r="NVO40" s="643"/>
      <c r="NVP40" s="643"/>
      <c r="NVQ40" s="643"/>
      <c r="NVR40" s="643"/>
      <c r="NVS40" s="643"/>
      <c r="NVT40" s="643"/>
      <c r="NVU40" s="643"/>
      <c r="NVV40" s="643"/>
      <c r="NVW40" s="643"/>
      <c r="NVX40" s="643"/>
      <c r="NVY40" s="643"/>
      <c r="NVZ40" s="643"/>
      <c r="NWA40" s="643"/>
      <c r="NWB40" s="643"/>
      <c r="NWC40" s="643"/>
      <c r="NWD40" s="643"/>
      <c r="NWE40" s="643"/>
      <c r="NWF40" s="643"/>
      <c r="NWG40" s="643"/>
      <c r="NWH40" s="643"/>
      <c r="NWI40" s="643"/>
      <c r="NWJ40" s="643"/>
      <c r="NWK40" s="643"/>
      <c r="NWL40" s="643"/>
      <c r="NWM40" s="643"/>
      <c r="NWN40" s="643"/>
      <c r="NWO40" s="643"/>
      <c r="NWP40" s="643"/>
      <c r="NWQ40" s="643"/>
      <c r="NWR40" s="643"/>
      <c r="NWS40" s="643"/>
      <c r="NWT40" s="643"/>
      <c r="NWU40" s="643"/>
      <c r="NWV40" s="643"/>
      <c r="NWW40" s="643"/>
      <c r="NWX40" s="643"/>
      <c r="NWY40" s="643"/>
      <c r="NWZ40" s="643"/>
      <c r="NXA40" s="643"/>
      <c r="NXB40" s="643"/>
      <c r="NXC40" s="643"/>
      <c r="NXD40" s="643"/>
      <c r="NXE40" s="643"/>
      <c r="NXF40" s="643"/>
      <c r="NXG40" s="643"/>
      <c r="NXH40" s="643"/>
      <c r="NXI40" s="643"/>
      <c r="NXJ40" s="643"/>
      <c r="NXK40" s="643"/>
      <c r="NXL40" s="643"/>
      <c r="NXM40" s="643"/>
      <c r="NXN40" s="643"/>
      <c r="NXO40" s="643"/>
      <c r="NXP40" s="643"/>
      <c r="NXQ40" s="643"/>
      <c r="NXR40" s="643"/>
      <c r="NXS40" s="643"/>
      <c r="NXT40" s="643"/>
      <c r="NXU40" s="643"/>
      <c r="NXV40" s="643"/>
      <c r="NXW40" s="643"/>
      <c r="NXX40" s="643"/>
      <c r="NXY40" s="643"/>
      <c r="NXZ40" s="643"/>
      <c r="NYA40" s="643"/>
      <c r="NYB40" s="643"/>
      <c r="NYC40" s="643"/>
      <c r="NYD40" s="643"/>
      <c r="NYE40" s="643"/>
      <c r="NYF40" s="643"/>
      <c r="NYG40" s="643"/>
      <c r="NYH40" s="643"/>
      <c r="NYI40" s="643"/>
      <c r="NYJ40" s="643"/>
      <c r="NYK40" s="643"/>
      <c r="NYL40" s="643"/>
      <c r="NYM40" s="643"/>
      <c r="NYN40" s="643"/>
      <c r="NYO40" s="643"/>
      <c r="NYP40" s="643"/>
      <c r="NYQ40" s="643"/>
      <c r="NYR40" s="643"/>
      <c r="NYS40" s="643"/>
      <c r="NYT40" s="643"/>
      <c r="NYU40" s="643"/>
      <c r="NYV40" s="643"/>
      <c r="NYW40" s="643"/>
      <c r="NYX40" s="643"/>
      <c r="NYY40" s="643"/>
      <c r="NYZ40" s="643"/>
      <c r="NZA40" s="643"/>
      <c r="NZB40" s="643"/>
      <c r="NZC40" s="643"/>
      <c r="NZD40" s="643"/>
      <c r="NZE40" s="643"/>
      <c r="NZF40" s="643"/>
      <c r="NZG40" s="643"/>
      <c r="NZH40" s="643"/>
      <c r="NZI40" s="643"/>
      <c r="NZJ40" s="643"/>
      <c r="NZK40" s="643"/>
      <c r="NZL40" s="643"/>
      <c r="NZM40" s="643"/>
      <c r="NZN40" s="643"/>
      <c r="NZO40" s="643"/>
      <c r="NZP40" s="643"/>
      <c r="NZQ40" s="643"/>
      <c r="NZR40" s="643"/>
      <c r="NZS40" s="643"/>
      <c r="NZT40" s="643"/>
      <c r="NZU40" s="643"/>
      <c r="NZV40" s="643"/>
      <c r="NZW40" s="643"/>
      <c r="NZX40" s="643"/>
      <c r="NZY40" s="643"/>
      <c r="NZZ40" s="643"/>
      <c r="OAA40" s="643"/>
      <c r="OAB40" s="643"/>
      <c r="OAC40" s="643"/>
      <c r="OAD40" s="643"/>
      <c r="OAE40" s="643"/>
      <c r="OAF40" s="643"/>
      <c r="OAG40" s="643"/>
      <c r="OAH40" s="643"/>
      <c r="OAI40" s="643"/>
      <c r="OAJ40" s="643"/>
      <c r="OAK40" s="643"/>
      <c r="OAL40" s="643"/>
      <c r="OAM40" s="643"/>
      <c r="OAN40" s="643"/>
      <c r="OAO40" s="643"/>
      <c r="OAP40" s="643"/>
      <c r="OAQ40" s="643"/>
      <c r="OAR40" s="643"/>
      <c r="OAS40" s="643"/>
      <c r="OAT40" s="643"/>
      <c r="OAU40" s="643"/>
      <c r="OAV40" s="643"/>
      <c r="OAW40" s="643"/>
      <c r="OAX40" s="643"/>
      <c r="OAY40" s="643"/>
      <c r="OAZ40" s="643"/>
      <c r="OBA40" s="643"/>
      <c r="OBB40" s="643"/>
      <c r="OBC40" s="643"/>
      <c r="OBD40" s="643"/>
      <c r="OBE40" s="643"/>
      <c r="OBF40" s="643"/>
      <c r="OBG40" s="643"/>
      <c r="OBH40" s="643"/>
      <c r="OBI40" s="643"/>
      <c r="OBJ40" s="643"/>
      <c r="OBK40" s="643"/>
      <c r="OBL40" s="643"/>
      <c r="OBM40" s="643"/>
      <c r="OBN40" s="643"/>
      <c r="OBO40" s="643"/>
      <c r="OBP40" s="643"/>
      <c r="OBQ40" s="643"/>
      <c r="OBR40" s="643"/>
      <c r="OBS40" s="643"/>
      <c r="OBT40" s="643"/>
      <c r="OBU40" s="643"/>
      <c r="OBV40" s="643"/>
      <c r="OBW40" s="643"/>
      <c r="OBX40" s="643"/>
      <c r="OBY40" s="643"/>
      <c r="OBZ40" s="643"/>
      <c r="OCA40" s="643"/>
      <c r="OCB40" s="643"/>
      <c r="OCC40" s="643"/>
      <c r="OCD40" s="643"/>
      <c r="OCE40" s="643"/>
      <c r="OCF40" s="643"/>
      <c r="OCG40" s="643"/>
      <c r="OCH40" s="643"/>
      <c r="OCI40" s="643"/>
      <c r="OCJ40" s="643"/>
      <c r="OCK40" s="643"/>
      <c r="OCL40" s="643"/>
      <c r="OCM40" s="643"/>
      <c r="OCN40" s="643"/>
      <c r="OCO40" s="643"/>
      <c r="OCP40" s="643"/>
      <c r="OCQ40" s="643"/>
      <c r="OCR40" s="643"/>
      <c r="OCS40" s="643"/>
      <c r="OCT40" s="643"/>
      <c r="OCU40" s="643"/>
      <c r="OCV40" s="643"/>
      <c r="OCW40" s="643"/>
      <c r="OCX40" s="643"/>
      <c r="OCY40" s="643"/>
      <c r="OCZ40" s="643"/>
      <c r="ODA40" s="643"/>
      <c r="ODB40" s="643"/>
      <c r="ODC40" s="643"/>
      <c r="ODD40" s="643"/>
      <c r="ODE40" s="643"/>
      <c r="ODF40" s="643"/>
      <c r="ODG40" s="643"/>
      <c r="ODH40" s="643"/>
      <c r="ODI40" s="643"/>
      <c r="ODJ40" s="643"/>
      <c r="ODK40" s="643"/>
      <c r="ODL40" s="643"/>
      <c r="ODM40" s="643"/>
      <c r="ODN40" s="643"/>
      <c r="ODO40" s="643"/>
      <c r="ODP40" s="643"/>
      <c r="ODQ40" s="643"/>
      <c r="ODR40" s="643"/>
      <c r="ODS40" s="643"/>
      <c r="ODT40" s="643"/>
      <c r="ODU40" s="643"/>
      <c r="ODV40" s="643"/>
      <c r="ODW40" s="643"/>
      <c r="ODX40" s="643"/>
      <c r="ODY40" s="643"/>
      <c r="ODZ40" s="643"/>
      <c r="OEA40" s="643"/>
      <c r="OEB40" s="643"/>
      <c r="OEC40" s="643"/>
      <c r="OED40" s="643"/>
      <c r="OEE40" s="643"/>
      <c r="OEF40" s="643"/>
      <c r="OEG40" s="643"/>
      <c r="OEH40" s="643"/>
      <c r="OEI40" s="643"/>
      <c r="OEJ40" s="643"/>
      <c r="OEK40" s="643"/>
      <c r="OEL40" s="643"/>
      <c r="OEM40" s="643"/>
      <c r="OEN40" s="643"/>
      <c r="OEO40" s="643"/>
      <c r="OEP40" s="643"/>
      <c r="OEQ40" s="643"/>
      <c r="OER40" s="643"/>
      <c r="OES40" s="643"/>
      <c r="OET40" s="643"/>
      <c r="OEU40" s="643"/>
      <c r="OEV40" s="643"/>
      <c r="OEW40" s="643"/>
      <c r="OEX40" s="643"/>
      <c r="OEY40" s="643"/>
      <c r="OEZ40" s="643"/>
      <c r="OFA40" s="643"/>
      <c r="OFB40" s="643"/>
      <c r="OFC40" s="643"/>
      <c r="OFD40" s="643"/>
      <c r="OFE40" s="643"/>
      <c r="OFF40" s="643"/>
      <c r="OFG40" s="643"/>
      <c r="OFH40" s="643"/>
      <c r="OFI40" s="643"/>
      <c r="OFJ40" s="643"/>
      <c r="OFK40" s="643"/>
      <c r="OFL40" s="643"/>
      <c r="OFM40" s="643"/>
      <c r="OFN40" s="643"/>
      <c r="OFO40" s="643"/>
      <c r="OFP40" s="643"/>
      <c r="OFQ40" s="643"/>
      <c r="OFR40" s="643"/>
      <c r="OFS40" s="643"/>
      <c r="OFT40" s="643"/>
      <c r="OFU40" s="643"/>
      <c r="OFV40" s="643"/>
      <c r="OFW40" s="643"/>
      <c r="OFX40" s="643"/>
      <c r="OFY40" s="643"/>
      <c r="OFZ40" s="643"/>
      <c r="OGA40" s="643"/>
      <c r="OGB40" s="643"/>
      <c r="OGC40" s="643"/>
      <c r="OGD40" s="643"/>
      <c r="OGE40" s="643"/>
      <c r="OGF40" s="643"/>
      <c r="OGG40" s="643"/>
      <c r="OGH40" s="643"/>
      <c r="OGI40" s="643"/>
      <c r="OGJ40" s="643"/>
      <c r="OGK40" s="643"/>
      <c r="OGL40" s="643"/>
      <c r="OGM40" s="643"/>
      <c r="OGN40" s="643"/>
      <c r="OGO40" s="643"/>
      <c r="OGP40" s="643"/>
      <c r="OGQ40" s="643"/>
      <c r="OGR40" s="643"/>
      <c r="OGS40" s="643"/>
      <c r="OGT40" s="643"/>
      <c r="OGU40" s="643"/>
      <c r="OGV40" s="643"/>
      <c r="OGW40" s="643"/>
      <c r="OGX40" s="643"/>
      <c r="OGY40" s="643"/>
      <c r="OGZ40" s="643"/>
      <c r="OHA40" s="643"/>
      <c r="OHB40" s="643"/>
      <c r="OHC40" s="643"/>
      <c r="OHD40" s="643"/>
      <c r="OHE40" s="643"/>
      <c r="OHF40" s="643"/>
      <c r="OHG40" s="643"/>
      <c r="OHH40" s="643"/>
      <c r="OHI40" s="643"/>
      <c r="OHJ40" s="643"/>
      <c r="OHK40" s="643"/>
      <c r="OHL40" s="643"/>
      <c r="OHM40" s="643"/>
      <c r="OHN40" s="643"/>
      <c r="OHO40" s="643"/>
      <c r="OHP40" s="643"/>
      <c r="OHQ40" s="643"/>
      <c r="OHR40" s="643"/>
      <c r="OHS40" s="643"/>
      <c r="OHT40" s="643"/>
      <c r="OHU40" s="643"/>
      <c r="OHV40" s="643"/>
      <c r="OHW40" s="643"/>
      <c r="OHX40" s="643"/>
      <c r="OHY40" s="643"/>
      <c r="OHZ40" s="643"/>
      <c r="OIA40" s="643"/>
      <c r="OIB40" s="643"/>
      <c r="OIC40" s="643"/>
      <c r="OID40" s="643"/>
      <c r="OIE40" s="643"/>
      <c r="OIF40" s="643"/>
      <c r="OIG40" s="643"/>
      <c r="OIH40" s="643"/>
      <c r="OII40" s="643"/>
      <c r="OIJ40" s="643"/>
      <c r="OIK40" s="643"/>
      <c r="OIL40" s="643"/>
      <c r="OIM40" s="643"/>
      <c r="OIN40" s="643"/>
      <c r="OIO40" s="643"/>
      <c r="OIP40" s="643"/>
      <c r="OIQ40" s="643"/>
      <c r="OIR40" s="643"/>
      <c r="OIS40" s="643"/>
      <c r="OIT40" s="643"/>
      <c r="OIU40" s="643"/>
      <c r="OIV40" s="643"/>
      <c r="OIW40" s="643"/>
      <c r="OIX40" s="643"/>
      <c r="OIY40" s="643"/>
      <c r="OIZ40" s="643"/>
      <c r="OJA40" s="643"/>
      <c r="OJB40" s="643"/>
      <c r="OJC40" s="643"/>
      <c r="OJD40" s="643"/>
      <c r="OJE40" s="643"/>
      <c r="OJF40" s="643"/>
      <c r="OJG40" s="643"/>
      <c r="OJH40" s="643"/>
      <c r="OJI40" s="643"/>
      <c r="OJJ40" s="643"/>
      <c r="OJK40" s="643"/>
      <c r="OJL40" s="643"/>
      <c r="OJM40" s="643"/>
      <c r="OJN40" s="643"/>
      <c r="OJO40" s="643"/>
      <c r="OJP40" s="643"/>
      <c r="OJQ40" s="643"/>
      <c r="OJR40" s="643"/>
      <c r="OJS40" s="643"/>
      <c r="OJT40" s="643"/>
      <c r="OJU40" s="643"/>
      <c r="OJV40" s="643"/>
      <c r="OJW40" s="643"/>
      <c r="OJX40" s="643"/>
      <c r="OJY40" s="643"/>
      <c r="OJZ40" s="643"/>
      <c r="OKA40" s="643"/>
      <c r="OKB40" s="643"/>
      <c r="OKC40" s="643"/>
      <c r="OKD40" s="643"/>
      <c r="OKE40" s="643"/>
      <c r="OKF40" s="643"/>
      <c r="OKG40" s="643"/>
      <c r="OKH40" s="643"/>
      <c r="OKI40" s="643"/>
      <c r="OKJ40" s="643"/>
      <c r="OKK40" s="643"/>
      <c r="OKL40" s="643"/>
      <c r="OKM40" s="643"/>
      <c r="OKN40" s="643"/>
      <c r="OKO40" s="643"/>
      <c r="OKP40" s="643"/>
      <c r="OKQ40" s="643"/>
      <c r="OKR40" s="643"/>
      <c r="OKS40" s="643"/>
      <c r="OKT40" s="643"/>
      <c r="OKU40" s="643"/>
      <c r="OKV40" s="643"/>
      <c r="OKW40" s="643"/>
      <c r="OKX40" s="643"/>
      <c r="OKY40" s="643"/>
      <c r="OKZ40" s="643"/>
      <c r="OLA40" s="643"/>
      <c r="OLB40" s="643"/>
      <c r="OLC40" s="643"/>
      <c r="OLD40" s="643"/>
      <c r="OLE40" s="643"/>
      <c r="OLF40" s="643"/>
      <c r="OLG40" s="643"/>
      <c r="OLH40" s="643"/>
      <c r="OLI40" s="643"/>
      <c r="OLJ40" s="643"/>
      <c r="OLK40" s="643"/>
      <c r="OLL40" s="643"/>
      <c r="OLM40" s="643"/>
      <c r="OLN40" s="643"/>
      <c r="OLO40" s="643"/>
      <c r="OLP40" s="643"/>
      <c r="OLQ40" s="643"/>
      <c r="OLR40" s="643"/>
      <c r="OLS40" s="643"/>
      <c r="OLT40" s="643"/>
      <c r="OLU40" s="643"/>
      <c r="OLV40" s="643"/>
      <c r="OLW40" s="643"/>
      <c r="OLX40" s="643"/>
      <c r="OLY40" s="643"/>
      <c r="OLZ40" s="643"/>
      <c r="OMA40" s="643"/>
      <c r="OMB40" s="643"/>
      <c r="OMC40" s="643"/>
      <c r="OMD40" s="643"/>
      <c r="OME40" s="643"/>
      <c r="OMF40" s="643"/>
      <c r="OMG40" s="643"/>
      <c r="OMH40" s="643"/>
      <c r="OMI40" s="643"/>
      <c r="OMJ40" s="643"/>
      <c r="OMK40" s="643"/>
      <c r="OML40" s="643"/>
      <c r="OMM40" s="643"/>
      <c r="OMN40" s="643"/>
      <c r="OMO40" s="643"/>
      <c r="OMP40" s="643"/>
      <c r="OMQ40" s="643"/>
      <c r="OMR40" s="643"/>
      <c r="OMS40" s="643"/>
      <c r="OMT40" s="643"/>
      <c r="OMU40" s="643"/>
      <c r="OMV40" s="643"/>
      <c r="OMW40" s="643"/>
      <c r="OMX40" s="643"/>
      <c r="OMY40" s="643"/>
      <c r="OMZ40" s="643"/>
      <c r="ONA40" s="643"/>
      <c r="ONB40" s="643"/>
      <c r="ONC40" s="643"/>
      <c r="OND40" s="643"/>
      <c r="ONE40" s="643"/>
      <c r="ONF40" s="643"/>
      <c r="ONG40" s="643"/>
      <c r="ONH40" s="643"/>
      <c r="ONI40" s="643"/>
      <c r="ONJ40" s="643"/>
      <c r="ONK40" s="643"/>
      <c r="ONL40" s="643"/>
      <c r="ONM40" s="643"/>
      <c r="ONN40" s="643"/>
      <c r="ONO40" s="643"/>
      <c r="ONP40" s="643"/>
      <c r="ONQ40" s="643"/>
      <c r="ONR40" s="643"/>
      <c r="ONS40" s="643"/>
      <c r="ONT40" s="643"/>
      <c r="ONU40" s="643"/>
      <c r="ONV40" s="643"/>
      <c r="ONW40" s="643"/>
      <c r="ONX40" s="643"/>
      <c r="ONY40" s="643"/>
      <c r="ONZ40" s="643"/>
      <c r="OOA40" s="643"/>
      <c r="OOB40" s="643"/>
      <c r="OOC40" s="643"/>
      <c r="OOD40" s="643"/>
      <c r="OOE40" s="643"/>
      <c r="OOF40" s="643"/>
      <c r="OOG40" s="643"/>
      <c r="OOH40" s="643"/>
      <c r="OOI40" s="643"/>
      <c r="OOJ40" s="643"/>
      <c r="OOK40" s="643"/>
      <c r="OOL40" s="643"/>
      <c r="OOM40" s="643"/>
      <c r="OON40" s="643"/>
      <c r="OOO40" s="643"/>
      <c r="OOP40" s="643"/>
      <c r="OOQ40" s="643"/>
      <c r="OOR40" s="643"/>
      <c r="OOS40" s="643"/>
      <c r="OOT40" s="643"/>
      <c r="OOU40" s="643"/>
      <c r="OOV40" s="643"/>
      <c r="OOW40" s="643"/>
      <c r="OOX40" s="643"/>
      <c r="OOY40" s="643"/>
      <c r="OOZ40" s="643"/>
      <c r="OPA40" s="643"/>
      <c r="OPB40" s="643"/>
      <c r="OPC40" s="643"/>
      <c r="OPD40" s="643"/>
      <c r="OPE40" s="643"/>
      <c r="OPF40" s="643"/>
      <c r="OPG40" s="643"/>
      <c r="OPH40" s="643"/>
      <c r="OPI40" s="643"/>
      <c r="OPJ40" s="643"/>
      <c r="OPK40" s="643"/>
      <c r="OPL40" s="643"/>
      <c r="OPM40" s="643"/>
      <c r="OPN40" s="643"/>
      <c r="OPO40" s="643"/>
      <c r="OPP40" s="643"/>
      <c r="OPQ40" s="643"/>
      <c r="OPR40" s="643"/>
      <c r="OPS40" s="643"/>
      <c r="OPT40" s="643"/>
      <c r="OPU40" s="643"/>
      <c r="OPV40" s="643"/>
      <c r="OPW40" s="643"/>
      <c r="OPX40" s="643"/>
      <c r="OPY40" s="643"/>
      <c r="OPZ40" s="643"/>
      <c r="OQA40" s="643"/>
      <c r="OQB40" s="643"/>
      <c r="OQC40" s="643"/>
      <c r="OQD40" s="643"/>
      <c r="OQE40" s="643"/>
      <c r="OQF40" s="643"/>
      <c r="OQG40" s="643"/>
      <c r="OQH40" s="643"/>
      <c r="OQI40" s="643"/>
      <c r="OQJ40" s="643"/>
      <c r="OQK40" s="643"/>
      <c r="OQL40" s="643"/>
      <c r="OQM40" s="643"/>
      <c r="OQN40" s="643"/>
      <c r="OQO40" s="643"/>
      <c r="OQP40" s="643"/>
      <c r="OQQ40" s="643"/>
      <c r="OQR40" s="643"/>
      <c r="OQS40" s="643"/>
      <c r="OQT40" s="643"/>
      <c r="OQU40" s="643"/>
      <c r="OQV40" s="643"/>
      <c r="OQW40" s="643"/>
      <c r="OQX40" s="643"/>
      <c r="OQY40" s="643"/>
      <c r="OQZ40" s="643"/>
      <c r="ORA40" s="643"/>
      <c r="ORB40" s="643"/>
      <c r="ORC40" s="643"/>
      <c r="ORD40" s="643"/>
      <c r="ORE40" s="643"/>
      <c r="ORF40" s="643"/>
      <c r="ORG40" s="643"/>
      <c r="ORH40" s="643"/>
      <c r="ORI40" s="643"/>
      <c r="ORJ40" s="643"/>
      <c r="ORK40" s="643"/>
      <c r="ORL40" s="643"/>
      <c r="ORM40" s="643"/>
      <c r="ORN40" s="643"/>
      <c r="ORO40" s="643"/>
      <c r="ORP40" s="643"/>
      <c r="ORQ40" s="643"/>
      <c r="ORR40" s="643"/>
      <c r="ORS40" s="643"/>
      <c r="ORT40" s="643"/>
      <c r="ORU40" s="643"/>
      <c r="ORV40" s="643"/>
      <c r="ORW40" s="643"/>
      <c r="ORX40" s="643"/>
      <c r="ORY40" s="643"/>
      <c r="ORZ40" s="643"/>
      <c r="OSA40" s="643"/>
      <c r="OSB40" s="643"/>
      <c r="OSC40" s="643"/>
      <c r="OSD40" s="643"/>
      <c r="OSE40" s="643"/>
      <c r="OSF40" s="643"/>
      <c r="OSG40" s="643"/>
      <c r="OSH40" s="643"/>
      <c r="OSI40" s="643"/>
      <c r="OSJ40" s="643"/>
      <c r="OSK40" s="643"/>
      <c r="OSL40" s="643"/>
      <c r="OSM40" s="643"/>
      <c r="OSN40" s="643"/>
      <c r="OSO40" s="643"/>
      <c r="OSP40" s="643"/>
      <c r="OSQ40" s="643"/>
      <c r="OSR40" s="643"/>
      <c r="OSS40" s="643"/>
      <c r="OST40" s="643"/>
      <c r="OSU40" s="643"/>
      <c r="OSV40" s="643"/>
      <c r="OSW40" s="643"/>
      <c r="OSX40" s="643"/>
      <c r="OSY40" s="643"/>
      <c r="OSZ40" s="643"/>
      <c r="OTA40" s="643"/>
      <c r="OTB40" s="643"/>
      <c r="OTC40" s="643"/>
      <c r="OTD40" s="643"/>
      <c r="OTE40" s="643"/>
      <c r="OTF40" s="643"/>
      <c r="OTG40" s="643"/>
      <c r="OTH40" s="643"/>
      <c r="OTI40" s="643"/>
      <c r="OTJ40" s="643"/>
      <c r="OTK40" s="643"/>
      <c r="OTL40" s="643"/>
      <c r="OTM40" s="643"/>
      <c r="OTN40" s="643"/>
      <c r="OTO40" s="643"/>
      <c r="OTP40" s="643"/>
      <c r="OTQ40" s="643"/>
      <c r="OTR40" s="643"/>
      <c r="OTS40" s="643"/>
      <c r="OTT40" s="643"/>
      <c r="OTU40" s="643"/>
      <c r="OTV40" s="643"/>
      <c r="OTW40" s="643"/>
      <c r="OTX40" s="643"/>
      <c r="OTY40" s="643"/>
      <c r="OTZ40" s="643"/>
      <c r="OUA40" s="643"/>
      <c r="OUB40" s="643"/>
      <c r="OUC40" s="643"/>
      <c r="OUD40" s="643"/>
      <c r="OUE40" s="643"/>
      <c r="OUF40" s="643"/>
      <c r="OUG40" s="643"/>
      <c r="OUH40" s="643"/>
      <c r="OUI40" s="643"/>
      <c r="OUJ40" s="643"/>
      <c r="OUK40" s="643"/>
      <c r="OUL40" s="643"/>
      <c r="OUM40" s="643"/>
      <c r="OUN40" s="643"/>
      <c r="OUO40" s="643"/>
      <c r="OUP40" s="643"/>
      <c r="OUQ40" s="643"/>
      <c r="OUR40" s="643"/>
      <c r="OUS40" s="643"/>
      <c r="OUT40" s="643"/>
      <c r="OUU40" s="643"/>
      <c r="OUV40" s="643"/>
      <c r="OUW40" s="643"/>
      <c r="OUX40" s="643"/>
      <c r="OUY40" s="643"/>
      <c r="OUZ40" s="643"/>
      <c r="OVA40" s="643"/>
      <c r="OVB40" s="643"/>
      <c r="OVC40" s="643"/>
      <c r="OVD40" s="643"/>
      <c r="OVE40" s="643"/>
      <c r="OVF40" s="643"/>
      <c r="OVG40" s="643"/>
      <c r="OVH40" s="643"/>
      <c r="OVI40" s="643"/>
      <c r="OVJ40" s="643"/>
      <c r="OVK40" s="643"/>
      <c r="OVL40" s="643"/>
      <c r="OVM40" s="643"/>
      <c r="OVN40" s="643"/>
      <c r="OVO40" s="643"/>
      <c r="OVP40" s="643"/>
      <c r="OVQ40" s="643"/>
      <c r="OVR40" s="643"/>
      <c r="OVS40" s="643"/>
      <c r="OVT40" s="643"/>
      <c r="OVU40" s="643"/>
      <c r="OVV40" s="643"/>
      <c r="OVW40" s="643"/>
      <c r="OVX40" s="643"/>
      <c r="OVY40" s="643"/>
      <c r="OVZ40" s="643"/>
      <c r="OWA40" s="643"/>
      <c r="OWB40" s="643"/>
      <c r="OWC40" s="643"/>
      <c r="OWD40" s="643"/>
      <c r="OWE40" s="643"/>
      <c r="OWF40" s="643"/>
      <c r="OWG40" s="643"/>
      <c r="OWH40" s="643"/>
      <c r="OWI40" s="643"/>
      <c r="OWJ40" s="643"/>
      <c r="OWK40" s="643"/>
      <c r="OWL40" s="643"/>
      <c r="OWM40" s="643"/>
      <c r="OWN40" s="643"/>
      <c r="OWO40" s="643"/>
      <c r="OWP40" s="643"/>
      <c r="OWQ40" s="643"/>
      <c r="OWR40" s="643"/>
      <c r="OWS40" s="643"/>
      <c r="OWT40" s="643"/>
      <c r="OWU40" s="643"/>
      <c r="OWV40" s="643"/>
      <c r="OWW40" s="643"/>
      <c r="OWX40" s="643"/>
      <c r="OWY40" s="643"/>
      <c r="OWZ40" s="643"/>
      <c r="OXA40" s="643"/>
      <c r="OXB40" s="643"/>
      <c r="OXC40" s="643"/>
      <c r="OXD40" s="643"/>
      <c r="OXE40" s="643"/>
      <c r="OXF40" s="643"/>
      <c r="OXG40" s="643"/>
      <c r="OXH40" s="643"/>
      <c r="OXI40" s="643"/>
      <c r="OXJ40" s="643"/>
      <c r="OXK40" s="643"/>
      <c r="OXL40" s="643"/>
      <c r="OXM40" s="643"/>
      <c r="OXN40" s="643"/>
      <c r="OXO40" s="643"/>
      <c r="OXP40" s="643"/>
      <c r="OXQ40" s="643"/>
      <c r="OXR40" s="643"/>
      <c r="OXS40" s="643"/>
      <c r="OXT40" s="643"/>
      <c r="OXU40" s="643"/>
      <c r="OXV40" s="643"/>
      <c r="OXW40" s="643"/>
      <c r="OXX40" s="643"/>
      <c r="OXY40" s="643"/>
      <c r="OXZ40" s="643"/>
      <c r="OYA40" s="643"/>
      <c r="OYB40" s="643"/>
      <c r="OYC40" s="643"/>
      <c r="OYD40" s="643"/>
      <c r="OYE40" s="643"/>
      <c r="OYF40" s="643"/>
      <c r="OYG40" s="643"/>
      <c r="OYH40" s="643"/>
      <c r="OYI40" s="643"/>
      <c r="OYJ40" s="643"/>
      <c r="OYK40" s="643"/>
      <c r="OYL40" s="643"/>
      <c r="OYM40" s="643"/>
      <c r="OYN40" s="643"/>
      <c r="OYO40" s="643"/>
      <c r="OYP40" s="643"/>
      <c r="OYQ40" s="643"/>
      <c r="OYR40" s="643"/>
      <c r="OYS40" s="643"/>
      <c r="OYT40" s="643"/>
      <c r="OYU40" s="643"/>
      <c r="OYV40" s="643"/>
      <c r="OYW40" s="643"/>
      <c r="OYX40" s="643"/>
      <c r="OYY40" s="643"/>
      <c r="OYZ40" s="643"/>
      <c r="OZA40" s="643"/>
      <c r="OZB40" s="643"/>
      <c r="OZC40" s="643"/>
      <c r="OZD40" s="643"/>
      <c r="OZE40" s="643"/>
      <c r="OZF40" s="643"/>
      <c r="OZG40" s="643"/>
      <c r="OZH40" s="643"/>
      <c r="OZI40" s="643"/>
      <c r="OZJ40" s="643"/>
      <c r="OZK40" s="643"/>
      <c r="OZL40" s="643"/>
      <c r="OZM40" s="643"/>
      <c r="OZN40" s="643"/>
      <c r="OZO40" s="643"/>
      <c r="OZP40" s="643"/>
      <c r="OZQ40" s="643"/>
      <c r="OZR40" s="643"/>
      <c r="OZS40" s="643"/>
      <c r="OZT40" s="643"/>
      <c r="OZU40" s="643"/>
      <c r="OZV40" s="643"/>
      <c r="OZW40" s="643"/>
      <c r="OZX40" s="643"/>
      <c r="OZY40" s="643"/>
      <c r="OZZ40" s="643"/>
      <c r="PAA40" s="643"/>
      <c r="PAB40" s="643"/>
      <c r="PAC40" s="643"/>
      <c r="PAD40" s="643"/>
      <c r="PAE40" s="643"/>
      <c r="PAF40" s="643"/>
      <c r="PAG40" s="643"/>
      <c r="PAH40" s="643"/>
      <c r="PAI40" s="643"/>
      <c r="PAJ40" s="643"/>
      <c r="PAK40" s="643"/>
      <c r="PAL40" s="643"/>
      <c r="PAM40" s="643"/>
      <c r="PAN40" s="643"/>
      <c r="PAO40" s="643"/>
      <c r="PAP40" s="643"/>
      <c r="PAQ40" s="643"/>
      <c r="PAR40" s="643"/>
      <c r="PAS40" s="643"/>
      <c r="PAT40" s="643"/>
      <c r="PAU40" s="643"/>
      <c r="PAV40" s="643"/>
      <c r="PAW40" s="643"/>
      <c r="PAX40" s="643"/>
      <c r="PAY40" s="643"/>
      <c r="PAZ40" s="643"/>
      <c r="PBA40" s="643"/>
      <c r="PBB40" s="643"/>
      <c r="PBC40" s="643"/>
      <c r="PBD40" s="643"/>
      <c r="PBE40" s="643"/>
      <c r="PBF40" s="643"/>
      <c r="PBG40" s="643"/>
      <c r="PBH40" s="643"/>
      <c r="PBI40" s="643"/>
      <c r="PBJ40" s="643"/>
      <c r="PBK40" s="643"/>
      <c r="PBL40" s="643"/>
      <c r="PBM40" s="643"/>
      <c r="PBN40" s="643"/>
      <c r="PBO40" s="643"/>
      <c r="PBP40" s="643"/>
      <c r="PBQ40" s="643"/>
      <c r="PBR40" s="643"/>
      <c r="PBS40" s="643"/>
      <c r="PBT40" s="643"/>
      <c r="PBU40" s="643"/>
      <c r="PBV40" s="643"/>
      <c r="PBW40" s="643"/>
      <c r="PBX40" s="643"/>
      <c r="PBY40" s="643"/>
      <c r="PBZ40" s="643"/>
      <c r="PCA40" s="643"/>
      <c r="PCB40" s="643"/>
      <c r="PCC40" s="643"/>
      <c r="PCD40" s="643"/>
      <c r="PCE40" s="643"/>
      <c r="PCF40" s="643"/>
      <c r="PCG40" s="643"/>
      <c r="PCH40" s="643"/>
      <c r="PCI40" s="643"/>
      <c r="PCJ40" s="643"/>
      <c r="PCK40" s="643"/>
      <c r="PCL40" s="643"/>
      <c r="PCM40" s="643"/>
      <c r="PCN40" s="643"/>
      <c r="PCO40" s="643"/>
      <c r="PCP40" s="643"/>
      <c r="PCQ40" s="643"/>
      <c r="PCR40" s="643"/>
      <c r="PCS40" s="643"/>
      <c r="PCT40" s="643"/>
      <c r="PCU40" s="643"/>
      <c r="PCV40" s="643"/>
      <c r="PCW40" s="643"/>
      <c r="PCX40" s="643"/>
      <c r="PCY40" s="643"/>
      <c r="PCZ40" s="643"/>
      <c r="PDA40" s="643"/>
      <c r="PDB40" s="643"/>
      <c r="PDC40" s="643"/>
      <c r="PDD40" s="643"/>
      <c r="PDE40" s="643"/>
      <c r="PDF40" s="643"/>
      <c r="PDG40" s="643"/>
      <c r="PDH40" s="643"/>
      <c r="PDI40" s="643"/>
      <c r="PDJ40" s="643"/>
      <c r="PDK40" s="643"/>
      <c r="PDL40" s="643"/>
      <c r="PDM40" s="643"/>
      <c r="PDN40" s="643"/>
      <c r="PDO40" s="643"/>
      <c r="PDP40" s="643"/>
      <c r="PDQ40" s="643"/>
      <c r="PDR40" s="643"/>
      <c r="PDS40" s="643"/>
      <c r="PDT40" s="643"/>
      <c r="PDU40" s="643"/>
      <c r="PDV40" s="643"/>
      <c r="PDW40" s="643"/>
      <c r="PDX40" s="643"/>
      <c r="PDY40" s="643"/>
      <c r="PDZ40" s="643"/>
      <c r="PEA40" s="643"/>
      <c r="PEB40" s="643"/>
      <c r="PEC40" s="643"/>
      <c r="PED40" s="643"/>
      <c r="PEE40" s="643"/>
      <c r="PEF40" s="643"/>
      <c r="PEG40" s="643"/>
      <c r="PEH40" s="643"/>
      <c r="PEI40" s="643"/>
      <c r="PEJ40" s="643"/>
      <c r="PEK40" s="643"/>
      <c r="PEL40" s="643"/>
      <c r="PEM40" s="643"/>
      <c r="PEN40" s="643"/>
      <c r="PEO40" s="643"/>
      <c r="PEP40" s="643"/>
      <c r="PEQ40" s="643"/>
      <c r="PER40" s="643"/>
      <c r="PES40" s="643"/>
      <c r="PET40" s="643"/>
      <c r="PEU40" s="643"/>
      <c r="PEV40" s="643"/>
      <c r="PEW40" s="643"/>
      <c r="PEX40" s="643"/>
      <c r="PEY40" s="643"/>
      <c r="PEZ40" s="643"/>
      <c r="PFA40" s="643"/>
      <c r="PFB40" s="643"/>
      <c r="PFC40" s="643"/>
      <c r="PFD40" s="643"/>
      <c r="PFE40" s="643"/>
      <c r="PFF40" s="643"/>
      <c r="PFG40" s="643"/>
      <c r="PFH40" s="643"/>
      <c r="PFI40" s="643"/>
      <c r="PFJ40" s="643"/>
      <c r="PFK40" s="643"/>
      <c r="PFL40" s="643"/>
      <c r="PFM40" s="643"/>
      <c r="PFN40" s="643"/>
      <c r="PFO40" s="643"/>
      <c r="PFP40" s="643"/>
      <c r="PFQ40" s="643"/>
      <c r="PFR40" s="643"/>
      <c r="PFS40" s="643"/>
      <c r="PFT40" s="643"/>
      <c r="PFU40" s="643"/>
      <c r="PFV40" s="643"/>
      <c r="PFW40" s="643"/>
      <c r="PFX40" s="643"/>
      <c r="PFY40" s="643"/>
      <c r="PFZ40" s="643"/>
      <c r="PGA40" s="643"/>
      <c r="PGB40" s="643"/>
      <c r="PGC40" s="643"/>
      <c r="PGD40" s="643"/>
      <c r="PGE40" s="643"/>
      <c r="PGF40" s="643"/>
      <c r="PGG40" s="643"/>
      <c r="PGH40" s="643"/>
      <c r="PGI40" s="643"/>
      <c r="PGJ40" s="643"/>
      <c r="PGK40" s="643"/>
      <c r="PGL40" s="643"/>
      <c r="PGM40" s="643"/>
      <c r="PGN40" s="643"/>
      <c r="PGO40" s="643"/>
      <c r="PGP40" s="643"/>
      <c r="PGQ40" s="643"/>
      <c r="PGR40" s="643"/>
      <c r="PGS40" s="643"/>
      <c r="PGT40" s="643"/>
      <c r="PGU40" s="643"/>
      <c r="PGV40" s="643"/>
      <c r="PGW40" s="643"/>
      <c r="PGX40" s="643"/>
      <c r="PGY40" s="643"/>
      <c r="PGZ40" s="643"/>
      <c r="PHA40" s="643"/>
      <c r="PHB40" s="643"/>
      <c r="PHC40" s="643"/>
      <c r="PHD40" s="643"/>
      <c r="PHE40" s="643"/>
      <c r="PHF40" s="643"/>
      <c r="PHG40" s="643"/>
      <c r="PHH40" s="643"/>
      <c r="PHI40" s="643"/>
      <c r="PHJ40" s="643"/>
      <c r="PHK40" s="643"/>
      <c r="PHL40" s="643"/>
      <c r="PHM40" s="643"/>
      <c r="PHN40" s="643"/>
      <c r="PHO40" s="643"/>
      <c r="PHP40" s="643"/>
      <c r="PHQ40" s="643"/>
      <c r="PHR40" s="643"/>
      <c r="PHS40" s="643"/>
      <c r="PHT40" s="643"/>
      <c r="PHU40" s="643"/>
      <c r="PHV40" s="643"/>
      <c r="PHW40" s="643"/>
      <c r="PHX40" s="643"/>
      <c r="PHY40" s="643"/>
      <c r="PHZ40" s="643"/>
      <c r="PIA40" s="643"/>
      <c r="PIB40" s="643"/>
      <c r="PIC40" s="643"/>
      <c r="PID40" s="643"/>
      <c r="PIE40" s="643"/>
      <c r="PIF40" s="643"/>
      <c r="PIG40" s="643"/>
      <c r="PIH40" s="643"/>
      <c r="PII40" s="643"/>
      <c r="PIJ40" s="643"/>
      <c r="PIK40" s="643"/>
      <c r="PIL40" s="643"/>
      <c r="PIM40" s="643"/>
      <c r="PIN40" s="643"/>
      <c r="PIO40" s="643"/>
      <c r="PIP40" s="643"/>
      <c r="PIQ40" s="643"/>
      <c r="PIR40" s="643"/>
      <c r="PIS40" s="643"/>
      <c r="PIT40" s="643"/>
      <c r="PIU40" s="643"/>
      <c r="PIV40" s="643"/>
      <c r="PIW40" s="643"/>
      <c r="PIX40" s="643"/>
      <c r="PIY40" s="643"/>
      <c r="PIZ40" s="643"/>
      <c r="PJA40" s="643"/>
      <c r="PJB40" s="643"/>
      <c r="PJC40" s="643"/>
      <c r="PJD40" s="643"/>
      <c r="PJE40" s="643"/>
      <c r="PJF40" s="643"/>
      <c r="PJG40" s="643"/>
      <c r="PJH40" s="643"/>
      <c r="PJI40" s="643"/>
      <c r="PJJ40" s="643"/>
      <c r="PJK40" s="643"/>
      <c r="PJL40" s="643"/>
      <c r="PJM40" s="643"/>
      <c r="PJN40" s="643"/>
      <c r="PJO40" s="643"/>
      <c r="PJP40" s="643"/>
      <c r="PJQ40" s="643"/>
      <c r="PJR40" s="643"/>
      <c r="PJS40" s="643"/>
      <c r="PJT40" s="643"/>
      <c r="PJU40" s="643"/>
      <c r="PJV40" s="643"/>
      <c r="PJW40" s="643"/>
      <c r="PJX40" s="643"/>
      <c r="PJY40" s="643"/>
      <c r="PJZ40" s="643"/>
      <c r="PKA40" s="643"/>
      <c r="PKB40" s="643"/>
      <c r="PKC40" s="643"/>
      <c r="PKD40" s="643"/>
      <c r="PKE40" s="643"/>
      <c r="PKF40" s="643"/>
      <c r="PKG40" s="643"/>
      <c r="PKH40" s="643"/>
      <c r="PKI40" s="643"/>
      <c r="PKJ40" s="643"/>
      <c r="PKK40" s="643"/>
      <c r="PKL40" s="643"/>
      <c r="PKM40" s="643"/>
      <c r="PKN40" s="643"/>
      <c r="PKO40" s="643"/>
      <c r="PKP40" s="643"/>
      <c r="PKQ40" s="643"/>
      <c r="PKR40" s="643"/>
      <c r="PKS40" s="643"/>
      <c r="PKT40" s="643"/>
      <c r="PKU40" s="643"/>
      <c r="PKV40" s="643"/>
      <c r="PKW40" s="643"/>
      <c r="PKX40" s="643"/>
      <c r="PKY40" s="643"/>
      <c r="PKZ40" s="643"/>
      <c r="PLA40" s="643"/>
      <c r="PLB40" s="643"/>
      <c r="PLC40" s="643"/>
      <c r="PLD40" s="643"/>
      <c r="PLE40" s="643"/>
      <c r="PLF40" s="643"/>
      <c r="PLG40" s="643"/>
      <c r="PLH40" s="643"/>
      <c r="PLI40" s="643"/>
      <c r="PLJ40" s="643"/>
      <c r="PLK40" s="643"/>
      <c r="PLL40" s="643"/>
      <c r="PLM40" s="643"/>
      <c r="PLN40" s="643"/>
      <c r="PLO40" s="643"/>
      <c r="PLP40" s="643"/>
      <c r="PLQ40" s="643"/>
      <c r="PLR40" s="643"/>
      <c r="PLS40" s="643"/>
      <c r="PLT40" s="643"/>
      <c r="PLU40" s="643"/>
      <c r="PLV40" s="643"/>
      <c r="PLW40" s="643"/>
      <c r="PLX40" s="643"/>
      <c r="PLY40" s="643"/>
      <c r="PLZ40" s="643"/>
      <c r="PMA40" s="643"/>
      <c r="PMB40" s="643"/>
      <c r="PMC40" s="643"/>
      <c r="PMD40" s="643"/>
      <c r="PME40" s="643"/>
      <c r="PMF40" s="643"/>
      <c r="PMG40" s="643"/>
      <c r="PMH40" s="643"/>
      <c r="PMI40" s="643"/>
      <c r="PMJ40" s="643"/>
      <c r="PMK40" s="643"/>
      <c r="PML40" s="643"/>
      <c r="PMM40" s="643"/>
      <c r="PMN40" s="643"/>
      <c r="PMO40" s="643"/>
      <c r="PMP40" s="643"/>
      <c r="PMQ40" s="643"/>
      <c r="PMR40" s="643"/>
      <c r="PMS40" s="643"/>
      <c r="PMT40" s="643"/>
      <c r="PMU40" s="643"/>
      <c r="PMV40" s="643"/>
      <c r="PMW40" s="643"/>
      <c r="PMX40" s="643"/>
      <c r="PMY40" s="643"/>
      <c r="PMZ40" s="643"/>
      <c r="PNA40" s="643"/>
      <c r="PNB40" s="643"/>
      <c r="PNC40" s="643"/>
      <c r="PND40" s="643"/>
      <c r="PNE40" s="643"/>
      <c r="PNF40" s="643"/>
      <c r="PNG40" s="643"/>
      <c r="PNH40" s="643"/>
      <c r="PNI40" s="643"/>
      <c r="PNJ40" s="643"/>
      <c r="PNK40" s="643"/>
      <c r="PNL40" s="643"/>
      <c r="PNM40" s="643"/>
      <c r="PNN40" s="643"/>
      <c r="PNO40" s="643"/>
      <c r="PNP40" s="643"/>
      <c r="PNQ40" s="643"/>
      <c r="PNR40" s="643"/>
      <c r="PNS40" s="643"/>
      <c r="PNT40" s="643"/>
      <c r="PNU40" s="643"/>
      <c r="PNV40" s="643"/>
      <c r="PNW40" s="643"/>
      <c r="PNX40" s="643"/>
      <c r="PNY40" s="643"/>
      <c r="PNZ40" s="643"/>
      <c r="POA40" s="643"/>
      <c r="POB40" s="643"/>
      <c r="POC40" s="643"/>
      <c r="POD40" s="643"/>
      <c r="POE40" s="643"/>
      <c r="POF40" s="643"/>
      <c r="POG40" s="643"/>
      <c r="POH40" s="643"/>
      <c r="POI40" s="643"/>
      <c r="POJ40" s="643"/>
      <c r="POK40" s="643"/>
      <c r="POL40" s="643"/>
      <c r="POM40" s="643"/>
      <c r="PON40" s="643"/>
      <c r="POO40" s="643"/>
      <c r="POP40" s="643"/>
      <c r="POQ40" s="643"/>
      <c r="POR40" s="643"/>
      <c r="POS40" s="643"/>
      <c r="POT40" s="643"/>
      <c r="POU40" s="643"/>
      <c r="POV40" s="643"/>
      <c r="POW40" s="643"/>
      <c r="POX40" s="643"/>
      <c r="POY40" s="643"/>
      <c r="POZ40" s="643"/>
      <c r="PPA40" s="643"/>
      <c r="PPB40" s="643"/>
      <c r="PPC40" s="643"/>
      <c r="PPD40" s="643"/>
      <c r="PPE40" s="643"/>
      <c r="PPF40" s="643"/>
      <c r="PPG40" s="643"/>
      <c r="PPH40" s="643"/>
      <c r="PPI40" s="643"/>
      <c r="PPJ40" s="643"/>
      <c r="PPK40" s="643"/>
      <c r="PPL40" s="643"/>
      <c r="PPM40" s="643"/>
      <c r="PPN40" s="643"/>
      <c r="PPO40" s="643"/>
      <c r="PPP40" s="643"/>
      <c r="PPQ40" s="643"/>
      <c r="PPR40" s="643"/>
      <c r="PPS40" s="643"/>
      <c r="PPT40" s="643"/>
      <c r="PPU40" s="643"/>
      <c r="PPV40" s="643"/>
      <c r="PPW40" s="643"/>
      <c r="PPX40" s="643"/>
      <c r="PPY40" s="643"/>
      <c r="PPZ40" s="643"/>
      <c r="PQA40" s="643"/>
      <c r="PQB40" s="643"/>
      <c r="PQC40" s="643"/>
      <c r="PQD40" s="643"/>
      <c r="PQE40" s="643"/>
      <c r="PQF40" s="643"/>
      <c r="PQG40" s="643"/>
      <c r="PQH40" s="643"/>
      <c r="PQI40" s="643"/>
      <c r="PQJ40" s="643"/>
      <c r="PQK40" s="643"/>
      <c r="PQL40" s="643"/>
      <c r="PQM40" s="643"/>
      <c r="PQN40" s="643"/>
      <c r="PQO40" s="643"/>
      <c r="PQP40" s="643"/>
      <c r="PQQ40" s="643"/>
      <c r="PQR40" s="643"/>
      <c r="PQS40" s="643"/>
      <c r="PQT40" s="643"/>
      <c r="PQU40" s="643"/>
      <c r="PQV40" s="643"/>
      <c r="PQW40" s="643"/>
      <c r="PQX40" s="643"/>
      <c r="PQY40" s="643"/>
      <c r="PQZ40" s="643"/>
      <c r="PRA40" s="643"/>
      <c r="PRB40" s="643"/>
      <c r="PRC40" s="643"/>
      <c r="PRD40" s="643"/>
      <c r="PRE40" s="643"/>
      <c r="PRF40" s="643"/>
      <c r="PRG40" s="643"/>
      <c r="PRH40" s="643"/>
      <c r="PRI40" s="643"/>
      <c r="PRJ40" s="643"/>
      <c r="PRK40" s="643"/>
      <c r="PRL40" s="643"/>
      <c r="PRM40" s="643"/>
      <c r="PRN40" s="643"/>
      <c r="PRO40" s="643"/>
      <c r="PRP40" s="643"/>
      <c r="PRQ40" s="643"/>
      <c r="PRR40" s="643"/>
      <c r="PRS40" s="643"/>
      <c r="PRT40" s="643"/>
      <c r="PRU40" s="643"/>
      <c r="PRV40" s="643"/>
      <c r="PRW40" s="643"/>
      <c r="PRX40" s="643"/>
      <c r="PRY40" s="643"/>
      <c r="PRZ40" s="643"/>
      <c r="PSA40" s="643"/>
      <c r="PSB40" s="643"/>
      <c r="PSC40" s="643"/>
      <c r="PSD40" s="643"/>
      <c r="PSE40" s="643"/>
      <c r="PSF40" s="643"/>
      <c r="PSG40" s="643"/>
      <c r="PSH40" s="643"/>
      <c r="PSI40" s="643"/>
      <c r="PSJ40" s="643"/>
      <c r="PSK40" s="643"/>
      <c r="PSL40" s="643"/>
      <c r="PSM40" s="643"/>
      <c r="PSN40" s="643"/>
      <c r="PSO40" s="643"/>
      <c r="PSP40" s="643"/>
      <c r="PSQ40" s="643"/>
      <c r="PSR40" s="643"/>
      <c r="PSS40" s="643"/>
      <c r="PST40" s="643"/>
      <c r="PSU40" s="643"/>
      <c r="PSV40" s="643"/>
      <c r="PSW40" s="643"/>
      <c r="PSX40" s="643"/>
      <c r="PSY40" s="643"/>
      <c r="PSZ40" s="643"/>
      <c r="PTA40" s="643"/>
      <c r="PTB40" s="643"/>
      <c r="PTC40" s="643"/>
      <c r="PTD40" s="643"/>
      <c r="PTE40" s="643"/>
      <c r="PTF40" s="643"/>
      <c r="PTG40" s="643"/>
      <c r="PTH40" s="643"/>
      <c r="PTI40" s="643"/>
      <c r="PTJ40" s="643"/>
      <c r="PTK40" s="643"/>
      <c r="PTL40" s="643"/>
      <c r="PTM40" s="643"/>
      <c r="PTN40" s="643"/>
      <c r="PTO40" s="643"/>
      <c r="PTP40" s="643"/>
      <c r="PTQ40" s="643"/>
      <c r="PTR40" s="643"/>
      <c r="PTS40" s="643"/>
      <c r="PTT40" s="643"/>
      <c r="PTU40" s="643"/>
      <c r="PTV40" s="643"/>
      <c r="PTW40" s="643"/>
      <c r="PTX40" s="643"/>
      <c r="PTY40" s="643"/>
      <c r="PTZ40" s="643"/>
      <c r="PUA40" s="643"/>
      <c r="PUB40" s="643"/>
      <c r="PUC40" s="643"/>
      <c r="PUD40" s="643"/>
      <c r="PUE40" s="643"/>
      <c r="PUF40" s="643"/>
      <c r="PUG40" s="643"/>
      <c r="PUH40" s="643"/>
      <c r="PUI40" s="643"/>
      <c r="PUJ40" s="643"/>
      <c r="PUK40" s="643"/>
      <c r="PUL40" s="643"/>
      <c r="PUM40" s="643"/>
      <c r="PUN40" s="643"/>
      <c r="PUO40" s="643"/>
      <c r="PUP40" s="643"/>
      <c r="PUQ40" s="643"/>
      <c r="PUR40" s="643"/>
      <c r="PUS40" s="643"/>
      <c r="PUT40" s="643"/>
      <c r="PUU40" s="643"/>
      <c r="PUV40" s="643"/>
      <c r="PUW40" s="643"/>
      <c r="PUX40" s="643"/>
      <c r="PUY40" s="643"/>
      <c r="PUZ40" s="643"/>
      <c r="PVA40" s="643"/>
      <c r="PVB40" s="643"/>
      <c r="PVC40" s="643"/>
      <c r="PVD40" s="643"/>
      <c r="PVE40" s="643"/>
      <c r="PVF40" s="643"/>
      <c r="PVG40" s="643"/>
      <c r="PVH40" s="643"/>
      <c r="PVI40" s="643"/>
      <c r="PVJ40" s="643"/>
      <c r="PVK40" s="643"/>
      <c r="PVL40" s="643"/>
      <c r="PVM40" s="643"/>
      <c r="PVN40" s="643"/>
      <c r="PVO40" s="643"/>
      <c r="PVP40" s="643"/>
      <c r="PVQ40" s="643"/>
      <c r="PVR40" s="643"/>
      <c r="PVS40" s="643"/>
      <c r="PVT40" s="643"/>
      <c r="PVU40" s="643"/>
      <c r="PVV40" s="643"/>
      <c r="PVW40" s="643"/>
      <c r="PVX40" s="643"/>
      <c r="PVY40" s="643"/>
      <c r="PVZ40" s="643"/>
      <c r="PWA40" s="643"/>
      <c r="PWB40" s="643"/>
      <c r="PWC40" s="643"/>
      <c r="PWD40" s="643"/>
      <c r="PWE40" s="643"/>
      <c r="PWF40" s="643"/>
      <c r="PWG40" s="643"/>
      <c r="PWH40" s="643"/>
      <c r="PWI40" s="643"/>
      <c r="PWJ40" s="643"/>
      <c r="PWK40" s="643"/>
      <c r="PWL40" s="643"/>
      <c r="PWM40" s="643"/>
      <c r="PWN40" s="643"/>
      <c r="PWO40" s="643"/>
      <c r="PWP40" s="643"/>
      <c r="PWQ40" s="643"/>
      <c r="PWR40" s="643"/>
      <c r="PWS40" s="643"/>
      <c r="PWT40" s="643"/>
      <c r="PWU40" s="643"/>
      <c r="PWV40" s="643"/>
      <c r="PWW40" s="643"/>
      <c r="PWX40" s="643"/>
      <c r="PWY40" s="643"/>
      <c r="PWZ40" s="643"/>
      <c r="PXA40" s="643"/>
      <c r="PXB40" s="643"/>
      <c r="PXC40" s="643"/>
      <c r="PXD40" s="643"/>
      <c r="PXE40" s="643"/>
      <c r="PXF40" s="643"/>
      <c r="PXG40" s="643"/>
      <c r="PXH40" s="643"/>
      <c r="PXI40" s="643"/>
      <c r="PXJ40" s="643"/>
      <c r="PXK40" s="643"/>
      <c r="PXL40" s="643"/>
      <c r="PXM40" s="643"/>
      <c r="PXN40" s="643"/>
      <c r="PXO40" s="643"/>
      <c r="PXP40" s="643"/>
      <c r="PXQ40" s="643"/>
      <c r="PXR40" s="643"/>
      <c r="PXS40" s="643"/>
      <c r="PXT40" s="643"/>
      <c r="PXU40" s="643"/>
      <c r="PXV40" s="643"/>
      <c r="PXW40" s="643"/>
      <c r="PXX40" s="643"/>
      <c r="PXY40" s="643"/>
      <c r="PXZ40" s="643"/>
      <c r="PYA40" s="643"/>
      <c r="PYB40" s="643"/>
      <c r="PYC40" s="643"/>
      <c r="PYD40" s="643"/>
      <c r="PYE40" s="643"/>
      <c r="PYF40" s="643"/>
      <c r="PYG40" s="643"/>
      <c r="PYH40" s="643"/>
      <c r="PYI40" s="643"/>
      <c r="PYJ40" s="643"/>
      <c r="PYK40" s="643"/>
      <c r="PYL40" s="643"/>
      <c r="PYM40" s="643"/>
      <c r="PYN40" s="643"/>
      <c r="PYO40" s="643"/>
      <c r="PYP40" s="643"/>
      <c r="PYQ40" s="643"/>
      <c r="PYR40" s="643"/>
      <c r="PYS40" s="643"/>
      <c r="PYT40" s="643"/>
      <c r="PYU40" s="643"/>
      <c r="PYV40" s="643"/>
      <c r="PYW40" s="643"/>
      <c r="PYX40" s="643"/>
      <c r="PYY40" s="643"/>
      <c r="PYZ40" s="643"/>
      <c r="PZA40" s="643"/>
      <c r="PZB40" s="643"/>
      <c r="PZC40" s="643"/>
      <c r="PZD40" s="643"/>
      <c r="PZE40" s="643"/>
      <c r="PZF40" s="643"/>
      <c r="PZG40" s="643"/>
      <c r="PZH40" s="643"/>
      <c r="PZI40" s="643"/>
      <c r="PZJ40" s="643"/>
      <c r="PZK40" s="643"/>
      <c r="PZL40" s="643"/>
      <c r="PZM40" s="643"/>
      <c r="PZN40" s="643"/>
      <c r="PZO40" s="643"/>
      <c r="PZP40" s="643"/>
      <c r="PZQ40" s="643"/>
      <c r="PZR40" s="643"/>
      <c r="PZS40" s="643"/>
      <c r="PZT40" s="643"/>
      <c r="PZU40" s="643"/>
      <c r="PZV40" s="643"/>
      <c r="PZW40" s="643"/>
      <c r="PZX40" s="643"/>
      <c r="PZY40" s="643"/>
      <c r="PZZ40" s="643"/>
      <c r="QAA40" s="643"/>
      <c r="QAB40" s="643"/>
      <c r="QAC40" s="643"/>
      <c r="QAD40" s="643"/>
      <c r="QAE40" s="643"/>
      <c r="QAF40" s="643"/>
      <c r="QAG40" s="643"/>
      <c r="QAH40" s="643"/>
      <c r="QAI40" s="643"/>
      <c r="QAJ40" s="643"/>
      <c r="QAK40" s="643"/>
      <c r="QAL40" s="643"/>
      <c r="QAM40" s="643"/>
      <c r="QAN40" s="643"/>
      <c r="QAO40" s="643"/>
      <c r="QAP40" s="643"/>
      <c r="QAQ40" s="643"/>
      <c r="QAR40" s="643"/>
      <c r="QAS40" s="643"/>
      <c r="QAT40" s="643"/>
      <c r="QAU40" s="643"/>
      <c r="QAV40" s="643"/>
      <c r="QAW40" s="643"/>
      <c r="QAX40" s="643"/>
      <c r="QAY40" s="643"/>
      <c r="QAZ40" s="643"/>
      <c r="QBA40" s="643"/>
      <c r="QBB40" s="643"/>
      <c r="QBC40" s="643"/>
      <c r="QBD40" s="643"/>
      <c r="QBE40" s="643"/>
      <c r="QBF40" s="643"/>
      <c r="QBG40" s="643"/>
      <c r="QBH40" s="643"/>
      <c r="QBI40" s="643"/>
      <c r="QBJ40" s="643"/>
      <c r="QBK40" s="643"/>
      <c r="QBL40" s="643"/>
      <c r="QBM40" s="643"/>
      <c r="QBN40" s="643"/>
      <c r="QBO40" s="643"/>
      <c r="QBP40" s="643"/>
      <c r="QBQ40" s="643"/>
      <c r="QBR40" s="643"/>
      <c r="QBS40" s="643"/>
      <c r="QBT40" s="643"/>
      <c r="QBU40" s="643"/>
      <c r="QBV40" s="643"/>
      <c r="QBW40" s="643"/>
      <c r="QBX40" s="643"/>
      <c r="QBY40" s="643"/>
      <c r="QBZ40" s="643"/>
      <c r="QCA40" s="643"/>
      <c r="QCB40" s="643"/>
      <c r="QCC40" s="643"/>
      <c r="QCD40" s="643"/>
      <c r="QCE40" s="643"/>
      <c r="QCF40" s="643"/>
      <c r="QCG40" s="643"/>
      <c r="QCH40" s="643"/>
      <c r="QCI40" s="643"/>
      <c r="QCJ40" s="643"/>
      <c r="QCK40" s="643"/>
      <c r="QCL40" s="643"/>
      <c r="QCM40" s="643"/>
      <c r="QCN40" s="643"/>
      <c r="QCO40" s="643"/>
      <c r="QCP40" s="643"/>
      <c r="QCQ40" s="643"/>
      <c r="QCR40" s="643"/>
      <c r="QCS40" s="643"/>
      <c r="QCT40" s="643"/>
      <c r="QCU40" s="643"/>
      <c r="QCV40" s="643"/>
      <c r="QCW40" s="643"/>
      <c r="QCX40" s="643"/>
      <c r="QCY40" s="643"/>
      <c r="QCZ40" s="643"/>
      <c r="QDA40" s="643"/>
      <c r="QDB40" s="643"/>
      <c r="QDC40" s="643"/>
      <c r="QDD40" s="643"/>
      <c r="QDE40" s="643"/>
      <c r="QDF40" s="643"/>
      <c r="QDG40" s="643"/>
      <c r="QDH40" s="643"/>
      <c r="QDI40" s="643"/>
      <c r="QDJ40" s="643"/>
      <c r="QDK40" s="643"/>
      <c r="QDL40" s="643"/>
      <c r="QDM40" s="643"/>
      <c r="QDN40" s="643"/>
      <c r="QDO40" s="643"/>
      <c r="QDP40" s="643"/>
      <c r="QDQ40" s="643"/>
      <c r="QDR40" s="643"/>
      <c r="QDS40" s="643"/>
      <c r="QDT40" s="643"/>
      <c r="QDU40" s="643"/>
      <c r="QDV40" s="643"/>
      <c r="QDW40" s="643"/>
      <c r="QDX40" s="643"/>
      <c r="QDY40" s="643"/>
      <c r="QDZ40" s="643"/>
      <c r="QEA40" s="643"/>
      <c r="QEB40" s="643"/>
      <c r="QEC40" s="643"/>
      <c r="QED40" s="643"/>
      <c r="QEE40" s="643"/>
      <c r="QEF40" s="643"/>
      <c r="QEG40" s="643"/>
      <c r="QEH40" s="643"/>
      <c r="QEI40" s="643"/>
      <c r="QEJ40" s="643"/>
      <c r="QEK40" s="643"/>
      <c r="QEL40" s="643"/>
      <c r="QEM40" s="643"/>
      <c r="QEN40" s="643"/>
      <c r="QEO40" s="643"/>
      <c r="QEP40" s="643"/>
      <c r="QEQ40" s="643"/>
      <c r="QER40" s="643"/>
      <c r="QES40" s="643"/>
      <c r="QET40" s="643"/>
      <c r="QEU40" s="643"/>
      <c r="QEV40" s="643"/>
      <c r="QEW40" s="643"/>
      <c r="QEX40" s="643"/>
      <c r="QEY40" s="643"/>
      <c r="QEZ40" s="643"/>
      <c r="QFA40" s="643"/>
      <c r="QFB40" s="643"/>
      <c r="QFC40" s="643"/>
      <c r="QFD40" s="643"/>
      <c r="QFE40" s="643"/>
      <c r="QFF40" s="643"/>
      <c r="QFG40" s="643"/>
      <c r="QFH40" s="643"/>
      <c r="QFI40" s="643"/>
      <c r="QFJ40" s="643"/>
      <c r="QFK40" s="643"/>
      <c r="QFL40" s="643"/>
      <c r="QFM40" s="643"/>
      <c r="QFN40" s="643"/>
      <c r="QFO40" s="643"/>
      <c r="QFP40" s="643"/>
      <c r="QFQ40" s="643"/>
      <c r="QFR40" s="643"/>
      <c r="QFS40" s="643"/>
      <c r="QFT40" s="643"/>
      <c r="QFU40" s="643"/>
      <c r="QFV40" s="643"/>
      <c r="QFW40" s="643"/>
      <c r="QFX40" s="643"/>
      <c r="QFY40" s="643"/>
      <c r="QFZ40" s="643"/>
      <c r="QGA40" s="643"/>
      <c r="QGB40" s="643"/>
      <c r="QGC40" s="643"/>
      <c r="QGD40" s="643"/>
      <c r="QGE40" s="643"/>
      <c r="QGF40" s="643"/>
      <c r="QGG40" s="643"/>
      <c r="QGH40" s="643"/>
      <c r="QGI40" s="643"/>
      <c r="QGJ40" s="643"/>
      <c r="QGK40" s="643"/>
      <c r="QGL40" s="643"/>
      <c r="QGM40" s="643"/>
      <c r="QGN40" s="643"/>
      <c r="QGO40" s="643"/>
      <c r="QGP40" s="643"/>
      <c r="QGQ40" s="643"/>
      <c r="QGR40" s="643"/>
      <c r="QGS40" s="643"/>
      <c r="QGT40" s="643"/>
      <c r="QGU40" s="643"/>
      <c r="QGV40" s="643"/>
      <c r="QGW40" s="643"/>
      <c r="QGX40" s="643"/>
      <c r="QGY40" s="643"/>
      <c r="QGZ40" s="643"/>
      <c r="QHA40" s="643"/>
      <c r="QHB40" s="643"/>
      <c r="QHC40" s="643"/>
      <c r="QHD40" s="643"/>
      <c r="QHE40" s="643"/>
      <c r="QHF40" s="643"/>
      <c r="QHG40" s="643"/>
      <c r="QHH40" s="643"/>
      <c r="QHI40" s="643"/>
      <c r="QHJ40" s="643"/>
      <c r="QHK40" s="643"/>
      <c r="QHL40" s="643"/>
      <c r="QHM40" s="643"/>
      <c r="QHN40" s="643"/>
      <c r="QHO40" s="643"/>
      <c r="QHP40" s="643"/>
      <c r="QHQ40" s="643"/>
      <c r="QHR40" s="643"/>
      <c r="QHS40" s="643"/>
      <c r="QHT40" s="643"/>
      <c r="QHU40" s="643"/>
      <c r="QHV40" s="643"/>
      <c r="QHW40" s="643"/>
      <c r="QHX40" s="643"/>
      <c r="QHY40" s="643"/>
      <c r="QHZ40" s="643"/>
      <c r="QIA40" s="643"/>
      <c r="QIB40" s="643"/>
      <c r="QIC40" s="643"/>
      <c r="QID40" s="643"/>
      <c r="QIE40" s="643"/>
      <c r="QIF40" s="643"/>
      <c r="QIG40" s="643"/>
      <c r="QIH40" s="643"/>
      <c r="QII40" s="643"/>
      <c r="QIJ40" s="643"/>
      <c r="QIK40" s="643"/>
      <c r="QIL40" s="643"/>
      <c r="QIM40" s="643"/>
      <c r="QIN40" s="643"/>
      <c r="QIO40" s="643"/>
      <c r="QIP40" s="643"/>
      <c r="QIQ40" s="643"/>
      <c r="QIR40" s="643"/>
      <c r="QIS40" s="643"/>
      <c r="QIT40" s="643"/>
      <c r="QIU40" s="643"/>
      <c r="QIV40" s="643"/>
      <c r="QIW40" s="643"/>
      <c r="QIX40" s="643"/>
      <c r="QIY40" s="643"/>
      <c r="QIZ40" s="643"/>
      <c r="QJA40" s="643"/>
      <c r="QJB40" s="643"/>
      <c r="QJC40" s="643"/>
      <c r="QJD40" s="643"/>
      <c r="QJE40" s="643"/>
      <c r="QJF40" s="643"/>
      <c r="QJG40" s="643"/>
      <c r="QJH40" s="643"/>
      <c r="QJI40" s="643"/>
      <c r="QJJ40" s="643"/>
      <c r="QJK40" s="643"/>
      <c r="QJL40" s="643"/>
      <c r="QJM40" s="643"/>
      <c r="QJN40" s="643"/>
      <c r="QJO40" s="643"/>
      <c r="QJP40" s="643"/>
      <c r="QJQ40" s="643"/>
      <c r="QJR40" s="643"/>
      <c r="QJS40" s="643"/>
      <c r="QJT40" s="643"/>
      <c r="QJU40" s="643"/>
      <c r="QJV40" s="643"/>
      <c r="QJW40" s="643"/>
      <c r="QJX40" s="643"/>
      <c r="QJY40" s="643"/>
      <c r="QJZ40" s="643"/>
      <c r="QKA40" s="643"/>
      <c r="QKB40" s="643"/>
      <c r="QKC40" s="643"/>
      <c r="QKD40" s="643"/>
      <c r="QKE40" s="643"/>
      <c r="QKF40" s="643"/>
      <c r="QKG40" s="643"/>
      <c r="QKH40" s="643"/>
      <c r="QKI40" s="643"/>
      <c r="QKJ40" s="643"/>
      <c r="QKK40" s="643"/>
      <c r="QKL40" s="643"/>
      <c r="QKM40" s="643"/>
      <c r="QKN40" s="643"/>
      <c r="QKO40" s="643"/>
      <c r="QKP40" s="643"/>
      <c r="QKQ40" s="643"/>
      <c r="QKR40" s="643"/>
      <c r="QKS40" s="643"/>
      <c r="QKT40" s="643"/>
      <c r="QKU40" s="643"/>
      <c r="QKV40" s="643"/>
      <c r="QKW40" s="643"/>
      <c r="QKX40" s="643"/>
      <c r="QKY40" s="643"/>
      <c r="QKZ40" s="643"/>
      <c r="QLA40" s="643"/>
      <c r="QLB40" s="643"/>
      <c r="QLC40" s="643"/>
      <c r="QLD40" s="643"/>
      <c r="QLE40" s="643"/>
      <c r="QLF40" s="643"/>
      <c r="QLG40" s="643"/>
      <c r="QLH40" s="643"/>
      <c r="QLI40" s="643"/>
      <c r="QLJ40" s="643"/>
      <c r="QLK40" s="643"/>
      <c r="QLL40" s="643"/>
      <c r="QLM40" s="643"/>
      <c r="QLN40" s="643"/>
      <c r="QLO40" s="643"/>
      <c r="QLP40" s="643"/>
      <c r="QLQ40" s="643"/>
      <c r="QLR40" s="643"/>
      <c r="QLS40" s="643"/>
      <c r="QLT40" s="643"/>
      <c r="QLU40" s="643"/>
      <c r="QLV40" s="643"/>
      <c r="QLW40" s="643"/>
      <c r="QLX40" s="643"/>
      <c r="QLY40" s="643"/>
      <c r="QLZ40" s="643"/>
      <c r="QMA40" s="643"/>
      <c r="QMB40" s="643"/>
      <c r="QMC40" s="643"/>
      <c r="QMD40" s="643"/>
      <c r="QME40" s="643"/>
      <c r="QMF40" s="643"/>
      <c r="QMG40" s="643"/>
      <c r="QMH40" s="643"/>
      <c r="QMI40" s="643"/>
      <c r="QMJ40" s="643"/>
      <c r="QMK40" s="643"/>
      <c r="QML40" s="643"/>
      <c r="QMM40" s="643"/>
      <c r="QMN40" s="643"/>
      <c r="QMO40" s="643"/>
      <c r="QMP40" s="643"/>
      <c r="QMQ40" s="643"/>
      <c r="QMR40" s="643"/>
      <c r="QMS40" s="643"/>
      <c r="QMT40" s="643"/>
      <c r="QMU40" s="643"/>
      <c r="QMV40" s="643"/>
      <c r="QMW40" s="643"/>
      <c r="QMX40" s="643"/>
      <c r="QMY40" s="643"/>
      <c r="QMZ40" s="643"/>
      <c r="QNA40" s="643"/>
      <c r="QNB40" s="643"/>
      <c r="QNC40" s="643"/>
      <c r="QND40" s="643"/>
      <c r="QNE40" s="643"/>
      <c r="QNF40" s="643"/>
      <c r="QNG40" s="643"/>
      <c r="QNH40" s="643"/>
      <c r="QNI40" s="643"/>
      <c r="QNJ40" s="643"/>
      <c r="QNK40" s="643"/>
      <c r="QNL40" s="643"/>
      <c r="QNM40" s="643"/>
      <c r="QNN40" s="643"/>
      <c r="QNO40" s="643"/>
      <c r="QNP40" s="643"/>
      <c r="QNQ40" s="643"/>
      <c r="QNR40" s="643"/>
      <c r="QNS40" s="643"/>
      <c r="QNT40" s="643"/>
      <c r="QNU40" s="643"/>
      <c r="QNV40" s="643"/>
      <c r="QNW40" s="643"/>
      <c r="QNX40" s="643"/>
      <c r="QNY40" s="643"/>
      <c r="QNZ40" s="643"/>
      <c r="QOA40" s="643"/>
      <c r="QOB40" s="643"/>
      <c r="QOC40" s="643"/>
      <c r="QOD40" s="643"/>
      <c r="QOE40" s="643"/>
      <c r="QOF40" s="643"/>
      <c r="QOG40" s="643"/>
      <c r="QOH40" s="643"/>
      <c r="QOI40" s="643"/>
      <c r="QOJ40" s="643"/>
      <c r="QOK40" s="643"/>
      <c r="QOL40" s="643"/>
      <c r="QOM40" s="643"/>
      <c r="QON40" s="643"/>
      <c r="QOO40" s="643"/>
      <c r="QOP40" s="643"/>
      <c r="QOQ40" s="643"/>
      <c r="QOR40" s="643"/>
      <c r="QOS40" s="643"/>
      <c r="QOT40" s="643"/>
      <c r="QOU40" s="643"/>
      <c r="QOV40" s="643"/>
      <c r="QOW40" s="643"/>
      <c r="QOX40" s="643"/>
      <c r="QOY40" s="643"/>
      <c r="QOZ40" s="643"/>
      <c r="QPA40" s="643"/>
      <c r="QPB40" s="643"/>
      <c r="QPC40" s="643"/>
      <c r="QPD40" s="643"/>
      <c r="QPE40" s="643"/>
      <c r="QPF40" s="643"/>
      <c r="QPG40" s="643"/>
      <c r="QPH40" s="643"/>
      <c r="QPI40" s="643"/>
      <c r="QPJ40" s="643"/>
      <c r="QPK40" s="643"/>
      <c r="QPL40" s="643"/>
      <c r="QPM40" s="643"/>
      <c r="QPN40" s="643"/>
      <c r="QPO40" s="643"/>
      <c r="QPP40" s="643"/>
      <c r="QPQ40" s="643"/>
      <c r="QPR40" s="643"/>
      <c r="QPS40" s="643"/>
      <c r="QPT40" s="643"/>
      <c r="QPU40" s="643"/>
      <c r="QPV40" s="643"/>
      <c r="QPW40" s="643"/>
      <c r="QPX40" s="643"/>
      <c r="QPY40" s="643"/>
      <c r="QPZ40" s="643"/>
      <c r="QQA40" s="643"/>
      <c r="QQB40" s="643"/>
      <c r="QQC40" s="643"/>
      <c r="QQD40" s="643"/>
      <c r="QQE40" s="643"/>
      <c r="QQF40" s="643"/>
      <c r="QQG40" s="643"/>
      <c r="QQH40" s="643"/>
      <c r="QQI40" s="643"/>
      <c r="QQJ40" s="643"/>
      <c r="QQK40" s="643"/>
      <c r="QQL40" s="643"/>
      <c r="QQM40" s="643"/>
      <c r="QQN40" s="643"/>
      <c r="QQO40" s="643"/>
      <c r="QQP40" s="643"/>
      <c r="QQQ40" s="643"/>
      <c r="QQR40" s="643"/>
      <c r="QQS40" s="643"/>
      <c r="QQT40" s="643"/>
      <c r="QQU40" s="643"/>
      <c r="QQV40" s="643"/>
      <c r="QQW40" s="643"/>
      <c r="QQX40" s="643"/>
      <c r="QQY40" s="643"/>
      <c r="QQZ40" s="643"/>
      <c r="QRA40" s="643"/>
      <c r="QRB40" s="643"/>
      <c r="QRC40" s="643"/>
      <c r="QRD40" s="643"/>
      <c r="QRE40" s="643"/>
      <c r="QRF40" s="643"/>
      <c r="QRG40" s="643"/>
      <c r="QRH40" s="643"/>
      <c r="QRI40" s="643"/>
      <c r="QRJ40" s="643"/>
      <c r="QRK40" s="643"/>
      <c r="QRL40" s="643"/>
      <c r="QRM40" s="643"/>
      <c r="QRN40" s="643"/>
      <c r="QRO40" s="643"/>
      <c r="QRP40" s="643"/>
      <c r="QRQ40" s="643"/>
      <c r="QRR40" s="643"/>
      <c r="QRS40" s="643"/>
      <c r="QRT40" s="643"/>
      <c r="QRU40" s="643"/>
      <c r="QRV40" s="643"/>
      <c r="QRW40" s="643"/>
      <c r="QRX40" s="643"/>
      <c r="QRY40" s="643"/>
      <c r="QRZ40" s="643"/>
      <c r="QSA40" s="643"/>
      <c r="QSB40" s="643"/>
      <c r="QSC40" s="643"/>
      <c r="QSD40" s="643"/>
      <c r="QSE40" s="643"/>
      <c r="QSF40" s="643"/>
      <c r="QSG40" s="643"/>
      <c r="QSH40" s="643"/>
      <c r="QSI40" s="643"/>
      <c r="QSJ40" s="643"/>
      <c r="QSK40" s="643"/>
      <c r="QSL40" s="643"/>
      <c r="QSM40" s="643"/>
      <c r="QSN40" s="643"/>
      <c r="QSO40" s="643"/>
      <c r="QSP40" s="643"/>
      <c r="QSQ40" s="643"/>
      <c r="QSR40" s="643"/>
      <c r="QSS40" s="643"/>
      <c r="QST40" s="643"/>
      <c r="QSU40" s="643"/>
      <c r="QSV40" s="643"/>
      <c r="QSW40" s="643"/>
      <c r="QSX40" s="643"/>
      <c r="QSY40" s="643"/>
      <c r="QSZ40" s="643"/>
      <c r="QTA40" s="643"/>
      <c r="QTB40" s="643"/>
      <c r="QTC40" s="643"/>
      <c r="QTD40" s="643"/>
      <c r="QTE40" s="643"/>
      <c r="QTF40" s="643"/>
      <c r="QTG40" s="643"/>
      <c r="QTH40" s="643"/>
      <c r="QTI40" s="643"/>
      <c r="QTJ40" s="643"/>
      <c r="QTK40" s="643"/>
      <c r="QTL40" s="643"/>
      <c r="QTM40" s="643"/>
      <c r="QTN40" s="643"/>
      <c r="QTO40" s="643"/>
      <c r="QTP40" s="643"/>
      <c r="QTQ40" s="643"/>
      <c r="QTR40" s="643"/>
      <c r="QTS40" s="643"/>
      <c r="QTT40" s="643"/>
      <c r="QTU40" s="643"/>
      <c r="QTV40" s="643"/>
      <c r="QTW40" s="643"/>
      <c r="QTX40" s="643"/>
      <c r="QTY40" s="643"/>
      <c r="QTZ40" s="643"/>
      <c r="QUA40" s="643"/>
      <c r="QUB40" s="643"/>
      <c r="QUC40" s="643"/>
      <c r="QUD40" s="643"/>
      <c r="QUE40" s="643"/>
      <c r="QUF40" s="643"/>
      <c r="QUG40" s="643"/>
      <c r="QUH40" s="643"/>
      <c r="QUI40" s="643"/>
      <c r="QUJ40" s="643"/>
      <c r="QUK40" s="643"/>
      <c r="QUL40" s="643"/>
      <c r="QUM40" s="643"/>
      <c r="QUN40" s="643"/>
      <c r="QUO40" s="643"/>
      <c r="QUP40" s="643"/>
      <c r="QUQ40" s="643"/>
      <c r="QUR40" s="643"/>
      <c r="QUS40" s="643"/>
      <c r="QUT40" s="643"/>
      <c r="QUU40" s="643"/>
      <c r="QUV40" s="643"/>
      <c r="QUW40" s="643"/>
      <c r="QUX40" s="643"/>
      <c r="QUY40" s="643"/>
      <c r="QUZ40" s="643"/>
      <c r="QVA40" s="643"/>
      <c r="QVB40" s="643"/>
      <c r="QVC40" s="643"/>
      <c r="QVD40" s="643"/>
      <c r="QVE40" s="643"/>
      <c r="QVF40" s="643"/>
      <c r="QVG40" s="643"/>
      <c r="QVH40" s="643"/>
      <c r="QVI40" s="643"/>
      <c r="QVJ40" s="643"/>
      <c r="QVK40" s="643"/>
      <c r="QVL40" s="643"/>
      <c r="QVM40" s="643"/>
      <c r="QVN40" s="643"/>
      <c r="QVO40" s="643"/>
      <c r="QVP40" s="643"/>
      <c r="QVQ40" s="643"/>
      <c r="QVR40" s="643"/>
      <c r="QVS40" s="643"/>
      <c r="QVT40" s="643"/>
      <c r="QVU40" s="643"/>
      <c r="QVV40" s="643"/>
      <c r="QVW40" s="643"/>
      <c r="QVX40" s="643"/>
      <c r="QVY40" s="643"/>
      <c r="QVZ40" s="643"/>
      <c r="QWA40" s="643"/>
      <c r="QWB40" s="643"/>
      <c r="QWC40" s="643"/>
      <c r="QWD40" s="643"/>
      <c r="QWE40" s="643"/>
      <c r="QWF40" s="643"/>
      <c r="QWG40" s="643"/>
      <c r="QWH40" s="643"/>
      <c r="QWI40" s="643"/>
      <c r="QWJ40" s="643"/>
      <c r="QWK40" s="643"/>
      <c r="QWL40" s="643"/>
      <c r="QWM40" s="643"/>
      <c r="QWN40" s="643"/>
      <c r="QWO40" s="643"/>
      <c r="QWP40" s="643"/>
      <c r="QWQ40" s="643"/>
      <c r="QWR40" s="643"/>
      <c r="QWS40" s="643"/>
      <c r="QWT40" s="643"/>
      <c r="QWU40" s="643"/>
      <c r="QWV40" s="643"/>
      <c r="QWW40" s="643"/>
      <c r="QWX40" s="643"/>
      <c r="QWY40" s="643"/>
      <c r="QWZ40" s="643"/>
      <c r="QXA40" s="643"/>
      <c r="QXB40" s="643"/>
      <c r="QXC40" s="643"/>
      <c r="QXD40" s="643"/>
      <c r="QXE40" s="643"/>
      <c r="QXF40" s="643"/>
      <c r="QXG40" s="643"/>
      <c r="QXH40" s="643"/>
      <c r="QXI40" s="643"/>
      <c r="QXJ40" s="643"/>
      <c r="QXK40" s="643"/>
      <c r="QXL40" s="643"/>
      <c r="QXM40" s="643"/>
      <c r="QXN40" s="643"/>
      <c r="QXO40" s="643"/>
      <c r="QXP40" s="643"/>
      <c r="QXQ40" s="643"/>
      <c r="QXR40" s="643"/>
      <c r="QXS40" s="643"/>
      <c r="QXT40" s="643"/>
      <c r="QXU40" s="643"/>
      <c r="QXV40" s="643"/>
      <c r="QXW40" s="643"/>
      <c r="QXX40" s="643"/>
      <c r="QXY40" s="643"/>
      <c r="QXZ40" s="643"/>
      <c r="QYA40" s="643"/>
      <c r="QYB40" s="643"/>
      <c r="QYC40" s="643"/>
      <c r="QYD40" s="643"/>
      <c r="QYE40" s="643"/>
      <c r="QYF40" s="643"/>
      <c r="QYG40" s="643"/>
      <c r="QYH40" s="643"/>
      <c r="QYI40" s="643"/>
      <c r="QYJ40" s="643"/>
      <c r="QYK40" s="643"/>
      <c r="QYL40" s="643"/>
      <c r="QYM40" s="643"/>
      <c r="QYN40" s="643"/>
      <c r="QYO40" s="643"/>
      <c r="QYP40" s="643"/>
      <c r="QYQ40" s="643"/>
      <c r="QYR40" s="643"/>
      <c r="QYS40" s="643"/>
      <c r="QYT40" s="643"/>
      <c r="QYU40" s="643"/>
      <c r="QYV40" s="643"/>
      <c r="QYW40" s="643"/>
      <c r="QYX40" s="643"/>
      <c r="QYY40" s="643"/>
      <c r="QYZ40" s="643"/>
      <c r="QZA40" s="643"/>
      <c r="QZB40" s="643"/>
      <c r="QZC40" s="643"/>
      <c r="QZD40" s="643"/>
      <c r="QZE40" s="643"/>
      <c r="QZF40" s="643"/>
      <c r="QZG40" s="643"/>
      <c r="QZH40" s="643"/>
      <c r="QZI40" s="643"/>
      <c r="QZJ40" s="643"/>
      <c r="QZK40" s="643"/>
      <c r="QZL40" s="643"/>
      <c r="QZM40" s="643"/>
      <c r="QZN40" s="643"/>
      <c r="QZO40" s="643"/>
      <c r="QZP40" s="643"/>
      <c r="QZQ40" s="643"/>
      <c r="QZR40" s="643"/>
      <c r="QZS40" s="643"/>
      <c r="QZT40" s="643"/>
      <c r="QZU40" s="643"/>
      <c r="QZV40" s="643"/>
      <c r="QZW40" s="643"/>
      <c r="QZX40" s="643"/>
      <c r="QZY40" s="643"/>
      <c r="QZZ40" s="643"/>
      <c r="RAA40" s="643"/>
      <c r="RAB40" s="643"/>
      <c r="RAC40" s="643"/>
      <c r="RAD40" s="643"/>
      <c r="RAE40" s="643"/>
      <c r="RAF40" s="643"/>
      <c r="RAG40" s="643"/>
      <c r="RAH40" s="643"/>
      <c r="RAI40" s="643"/>
      <c r="RAJ40" s="643"/>
      <c r="RAK40" s="643"/>
      <c r="RAL40" s="643"/>
      <c r="RAM40" s="643"/>
      <c r="RAN40" s="643"/>
      <c r="RAO40" s="643"/>
      <c r="RAP40" s="643"/>
      <c r="RAQ40" s="643"/>
      <c r="RAR40" s="643"/>
      <c r="RAS40" s="643"/>
      <c r="RAT40" s="643"/>
      <c r="RAU40" s="643"/>
      <c r="RAV40" s="643"/>
      <c r="RAW40" s="643"/>
      <c r="RAX40" s="643"/>
      <c r="RAY40" s="643"/>
      <c r="RAZ40" s="643"/>
      <c r="RBA40" s="643"/>
      <c r="RBB40" s="643"/>
      <c r="RBC40" s="643"/>
      <c r="RBD40" s="643"/>
      <c r="RBE40" s="643"/>
      <c r="RBF40" s="643"/>
      <c r="RBG40" s="643"/>
      <c r="RBH40" s="643"/>
      <c r="RBI40" s="643"/>
      <c r="RBJ40" s="643"/>
      <c r="RBK40" s="643"/>
      <c r="RBL40" s="643"/>
      <c r="RBM40" s="643"/>
      <c r="RBN40" s="643"/>
      <c r="RBO40" s="643"/>
      <c r="RBP40" s="643"/>
      <c r="RBQ40" s="643"/>
      <c r="RBR40" s="643"/>
      <c r="RBS40" s="643"/>
      <c r="RBT40" s="643"/>
      <c r="RBU40" s="643"/>
      <c r="RBV40" s="643"/>
      <c r="RBW40" s="643"/>
      <c r="RBX40" s="643"/>
      <c r="RBY40" s="643"/>
      <c r="RBZ40" s="643"/>
      <c r="RCA40" s="643"/>
      <c r="RCB40" s="643"/>
      <c r="RCC40" s="643"/>
      <c r="RCD40" s="643"/>
      <c r="RCE40" s="643"/>
      <c r="RCF40" s="643"/>
      <c r="RCG40" s="643"/>
      <c r="RCH40" s="643"/>
      <c r="RCI40" s="643"/>
      <c r="RCJ40" s="643"/>
      <c r="RCK40" s="643"/>
      <c r="RCL40" s="643"/>
      <c r="RCM40" s="643"/>
      <c r="RCN40" s="643"/>
      <c r="RCO40" s="643"/>
      <c r="RCP40" s="643"/>
      <c r="RCQ40" s="643"/>
      <c r="RCR40" s="643"/>
      <c r="RCS40" s="643"/>
      <c r="RCT40" s="643"/>
      <c r="RCU40" s="643"/>
      <c r="RCV40" s="643"/>
      <c r="RCW40" s="643"/>
      <c r="RCX40" s="643"/>
      <c r="RCY40" s="643"/>
      <c r="RCZ40" s="643"/>
      <c r="RDA40" s="643"/>
      <c r="RDB40" s="643"/>
      <c r="RDC40" s="643"/>
      <c r="RDD40" s="643"/>
      <c r="RDE40" s="643"/>
      <c r="RDF40" s="643"/>
      <c r="RDG40" s="643"/>
      <c r="RDH40" s="643"/>
      <c r="RDI40" s="643"/>
      <c r="RDJ40" s="643"/>
      <c r="RDK40" s="643"/>
      <c r="RDL40" s="643"/>
      <c r="RDM40" s="643"/>
      <c r="RDN40" s="643"/>
      <c r="RDO40" s="643"/>
      <c r="RDP40" s="643"/>
      <c r="RDQ40" s="643"/>
      <c r="RDR40" s="643"/>
      <c r="RDS40" s="643"/>
      <c r="RDT40" s="643"/>
      <c r="RDU40" s="643"/>
      <c r="RDV40" s="643"/>
      <c r="RDW40" s="643"/>
      <c r="RDX40" s="643"/>
      <c r="RDY40" s="643"/>
      <c r="RDZ40" s="643"/>
      <c r="REA40" s="643"/>
      <c r="REB40" s="643"/>
      <c r="REC40" s="643"/>
      <c r="RED40" s="643"/>
      <c r="REE40" s="643"/>
      <c r="REF40" s="643"/>
      <c r="REG40" s="643"/>
      <c r="REH40" s="643"/>
      <c r="REI40" s="643"/>
      <c r="REJ40" s="643"/>
      <c r="REK40" s="643"/>
      <c r="REL40" s="643"/>
      <c r="REM40" s="643"/>
      <c r="REN40" s="643"/>
      <c r="REO40" s="643"/>
      <c r="REP40" s="643"/>
      <c r="REQ40" s="643"/>
      <c r="RER40" s="643"/>
      <c r="RES40" s="643"/>
      <c r="RET40" s="643"/>
      <c r="REU40" s="643"/>
      <c r="REV40" s="643"/>
      <c r="REW40" s="643"/>
      <c r="REX40" s="643"/>
      <c r="REY40" s="643"/>
      <c r="REZ40" s="643"/>
      <c r="RFA40" s="643"/>
      <c r="RFB40" s="643"/>
      <c r="RFC40" s="643"/>
      <c r="RFD40" s="643"/>
      <c r="RFE40" s="643"/>
      <c r="RFF40" s="643"/>
      <c r="RFG40" s="643"/>
      <c r="RFH40" s="643"/>
      <c r="RFI40" s="643"/>
      <c r="RFJ40" s="643"/>
      <c r="RFK40" s="643"/>
      <c r="RFL40" s="643"/>
      <c r="RFM40" s="643"/>
      <c r="RFN40" s="643"/>
      <c r="RFO40" s="643"/>
      <c r="RFP40" s="643"/>
      <c r="RFQ40" s="643"/>
      <c r="RFR40" s="643"/>
      <c r="RFS40" s="643"/>
      <c r="RFT40" s="643"/>
      <c r="RFU40" s="643"/>
      <c r="RFV40" s="643"/>
      <c r="RFW40" s="643"/>
      <c r="RFX40" s="643"/>
      <c r="RFY40" s="643"/>
      <c r="RFZ40" s="643"/>
      <c r="RGA40" s="643"/>
      <c r="RGB40" s="643"/>
      <c r="RGC40" s="643"/>
      <c r="RGD40" s="643"/>
      <c r="RGE40" s="643"/>
      <c r="RGF40" s="643"/>
      <c r="RGG40" s="643"/>
      <c r="RGH40" s="643"/>
      <c r="RGI40" s="643"/>
      <c r="RGJ40" s="643"/>
      <c r="RGK40" s="643"/>
      <c r="RGL40" s="643"/>
      <c r="RGM40" s="643"/>
      <c r="RGN40" s="643"/>
      <c r="RGO40" s="643"/>
      <c r="RGP40" s="643"/>
      <c r="RGQ40" s="643"/>
      <c r="RGR40" s="643"/>
      <c r="RGS40" s="643"/>
      <c r="RGT40" s="643"/>
      <c r="RGU40" s="643"/>
      <c r="RGV40" s="643"/>
      <c r="RGW40" s="643"/>
      <c r="RGX40" s="643"/>
      <c r="RGY40" s="643"/>
      <c r="RGZ40" s="643"/>
      <c r="RHA40" s="643"/>
      <c r="RHB40" s="643"/>
      <c r="RHC40" s="643"/>
      <c r="RHD40" s="643"/>
      <c r="RHE40" s="643"/>
      <c r="RHF40" s="643"/>
      <c r="RHG40" s="643"/>
      <c r="RHH40" s="643"/>
      <c r="RHI40" s="643"/>
      <c r="RHJ40" s="643"/>
      <c r="RHK40" s="643"/>
      <c r="RHL40" s="643"/>
      <c r="RHM40" s="643"/>
      <c r="RHN40" s="643"/>
      <c r="RHO40" s="643"/>
      <c r="RHP40" s="643"/>
      <c r="RHQ40" s="643"/>
      <c r="RHR40" s="643"/>
      <c r="RHS40" s="643"/>
      <c r="RHT40" s="643"/>
      <c r="RHU40" s="643"/>
      <c r="RHV40" s="643"/>
      <c r="RHW40" s="643"/>
      <c r="RHX40" s="643"/>
      <c r="RHY40" s="643"/>
      <c r="RHZ40" s="643"/>
      <c r="RIA40" s="643"/>
      <c r="RIB40" s="643"/>
      <c r="RIC40" s="643"/>
      <c r="RID40" s="643"/>
      <c r="RIE40" s="643"/>
      <c r="RIF40" s="643"/>
      <c r="RIG40" s="643"/>
      <c r="RIH40" s="643"/>
      <c r="RII40" s="643"/>
      <c r="RIJ40" s="643"/>
      <c r="RIK40" s="643"/>
      <c r="RIL40" s="643"/>
      <c r="RIM40" s="643"/>
      <c r="RIN40" s="643"/>
      <c r="RIO40" s="643"/>
      <c r="RIP40" s="643"/>
      <c r="RIQ40" s="643"/>
      <c r="RIR40" s="643"/>
      <c r="RIS40" s="643"/>
      <c r="RIT40" s="643"/>
      <c r="RIU40" s="643"/>
      <c r="RIV40" s="643"/>
      <c r="RIW40" s="643"/>
      <c r="RIX40" s="643"/>
      <c r="RIY40" s="643"/>
      <c r="RIZ40" s="643"/>
      <c r="RJA40" s="643"/>
      <c r="RJB40" s="643"/>
      <c r="RJC40" s="643"/>
      <c r="RJD40" s="643"/>
      <c r="RJE40" s="643"/>
      <c r="RJF40" s="643"/>
      <c r="RJG40" s="643"/>
      <c r="RJH40" s="643"/>
      <c r="RJI40" s="643"/>
      <c r="RJJ40" s="643"/>
      <c r="RJK40" s="643"/>
      <c r="RJL40" s="643"/>
      <c r="RJM40" s="643"/>
      <c r="RJN40" s="643"/>
      <c r="RJO40" s="643"/>
      <c r="RJP40" s="643"/>
      <c r="RJQ40" s="643"/>
      <c r="RJR40" s="643"/>
      <c r="RJS40" s="643"/>
      <c r="RJT40" s="643"/>
      <c r="RJU40" s="643"/>
      <c r="RJV40" s="643"/>
      <c r="RJW40" s="643"/>
      <c r="RJX40" s="643"/>
      <c r="RJY40" s="643"/>
      <c r="RJZ40" s="643"/>
      <c r="RKA40" s="643"/>
      <c r="RKB40" s="643"/>
      <c r="RKC40" s="643"/>
      <c r="RKD40" s="643"/>
      <c r="RKE40" s="643"/>
      <c r="RKF40" s="643"/>
      <c r="RKG40" s="643"/>
      <c r="RKH40" s="643"/>
      <c r="RKI40" s="643"/>
      <c r="RKJ40" s="643"/>
      <c r="RKK40" s="643"/>
      <c r="RKL40" s="643"/>
      <c r="RKM40" s="643"/>
      <c r="RKN40" s="643"/>
      <c r="RKO40" s="643"/>
      <c r="RKP40" s="643"/>
      <c r="RKQ40" s="643"/>
      <c r="RKR40" s="643"/>
      <c r="RKS40" s="643"/>
      <c r="RKT40" s="643"/>
      <c r="RKU40" s="643"/>
      <c r="RKV40" s="643"/>
      <c r="RKW40" s="643"/>
      <c r="RKX40" s="643"/>
      <c r="RKY40" s="643"/>
      <c r="RKZ40" s="643"/>
      <c r="RLA40" s="643"/>
      <c r="RLB40" s="643"/>
      <c r="RLC40" s="643"/>
      <c r="RLD40" s="643"/>
      <c r="RLE40" s="643"/>
      <c r="RLF40" s="643"/>
      <c r="RLG40" s="643"/>
      <c r="RLH40" s="643"/>
      <c r="RLI40" s="643"/>
      <c r="RLJ40" s="643"/>
      <c r="RLK40" s="643"/>
      <c r="RLL40" s="643"/>
      <c r="RLM40" s="643"/>
      <c r="RLN40" s="643"/>
      <c r="RLO40" s="643"/>
      <c r="RLP40" s="643"/>
      <c r="RLQ40" s="643"/>
      <c r="RLR40" s="643"/>
      <c r="RLS40" s="643"/>
      <c r="RLT40" s="643"/>
      <c r="RLU40" s="643"/>
      <c r="RLV40" s="643"/>
      <c r="RLW40" s="643"/>
      <c r="RLX40" s="643"/>
      <c r="RLY40" s="643"/>
      <c r="RLZ40" s="643"/>
      <c r="RMA40" s="643"/>
      <c r="RMB40" s="643"/>
      <c r="RMC40" s="643"/>
      <c r="RMD40" s="643"/>
      <c r="RME40" s="643"/>
      <c r="RMF40" s="643"/>
      <c r="RMG40" s="643"/>
      <c r="RMH40" s="643"/>
      <c r="RMI40" s="643"/>
      <c r="RMJ40" s="643"/>
      <c r="RMK40" s="643"/>
      <c r="RML40" s="643"/>
      <c r="RMM40" s="643"/>
      <c r="RMN40" s="643"/>
      <c r="RMO40" s="643"/>
      <c r="RMP40" s="643"/>
      <c r="RMQ40" s="643"/>
      <c r="RMR40" s="643"/>
      <c r="RMS40" s="643"/>
      <c r="RMT40" s="643"/>
      <c r="RMU40" s="643"/>
      <c r="RMV40" s="643"/>
      <c r="RMW40" s="643"/>
      <c r="RMX40" s="643"/>
      <c r="RMY40" s="643"/>
      <c r="RMZ40" s="643"/>
      <c r="RNA40" s="643"/>
      <c r="RNB40" s="643"/>
      <c r="RNC40" s="643"/>
      <c r="RND40" s="643"/>
      <c r="RNE40" s="643"/>
      <c r="RNF40" s="643"/>
      <c r="RNG40" s="643"/>
      <c r="RNH40" s="643"/>
      <c r="RNI40" s="643"/>
      <c r="RNJ40" s="643"/>
      <c r="RNK40" s="643"/>
      <c r="RNL40" s="643"/>
      <c r="RNM40" s="643"/>
      <c r="RNN40" s="643"/>
      <c r="RNO40" s="643"/>
      <c r="RNP40" s="643"/>
      <c r="RNQ40" s="643"/>
      <c r="RNR40" s="643"/>
      <c r="RNS40" s="643"/>
      <c r="RNT40" s="643"/>
      <c r="RNU40" s="643"/>
      <c r="RNV40" s="643"/>
      <c r="RNW40" s="643"/>
      <c r="RNX40" s="643"/>
      <c r="RNY40" s="643"/>
      <c r="RNZ40" s="643"/>
      <c r="ROA40" s="643"/>
      <c r="ROB40" s="643"/>
      <c r="ROC40" s="643"/>
      <c r="ROD40" s="643"/>
      <c r="ROE40" s="643"/>
      <c r="ROF40" s="643"/>
      <c r="ROG40" s="643"/>
      <c r="ROH40" s="643"/>
      <c r="ROI40" s="643"/>
      <c r="ROJ40" s="643"/>
      <c r="ROK40" s="643"/>
      <c r="ROL40" s="643"/>
      <c r="ROM40" s="643"/>
      <c r="RON40" s="643"/>
      <c r="ROO40" s="643"/>
      <c r="ROP40" s="643"/>
      <c r="ROQ40" s="643"/>
      <c r="ROR40" s="643"/>
      <c r="ROS40" s="643"/>
      <c r="ROT40" s="643"/>
      <c r="ROU40" s="643"/>
      <c r="ROV40" s="643"/>
      <c r="ROW40" s="643"/>
      <c r="ROX40" s="643"/>
      <c r="ROY40" s="643"/>
      <c r="ROZ40" s="643"/>
      <c r="RPA40" s="643"/>
      <c r="RPB40" s="643"/>
      <c r="RPC40" s="643"/>
      <c r="RPD40" s="643"/>
      <c r="RPE40" s="643"/>
      <c r="RPF40" s="643"/>
      <c r="RPG40" s="643"/>
      <c r="RPH40" s="643"/>
      <c r="RPI40" s="643"/>
      <c r="RPJ40" s="643"/>
      <c r="RPK40" s="643"/>
      <c r="RPL40" s="643"/>
      <c r="RPM40" s="643"/>
      <c r="RPN40" s="643"/>
      <c r="RPO40" s="643"/>
      <c r="RPP40" s="643"/>
      <c r="RPQ40" s="643"/>
      <c r="RPR40" s="643"/>
      <c r="RPS40" s="643"/>
      <c r="RPT40" s="643"/>
      <c r="RPU40" s="643"/>
      <c r="RPV40" s="643"/>
      <c r="RPW40" s="643"/>
      <c r="RPX40" s="643"/>
      <c r="RPY40" s="643"/>
      <c r="RPZ40" s="643"/>
      <c r="RQA40" s="643"/>
      <c r="RQB40" s="643"/>
      <c r="RQC40" s="643"/>
      <c r="RQD40" s="643"/>
      <c r="RQE40" s="643"/>
      <c r="RQF40" s="643"/>
      <c r="RQG40" s="643"/>
      <c r="RQH40" s="643"/>
      <c r="RQI40" s="643"/>
      <c r="RQJ40" s="643"/>
      <c r="RQK40" s="643"/>
      <c r="RQL40" s="643"/>
      <c r="RQM40" s="643"/>
      <c r="RQN40" s="643"/>
      <c r="RQO40" s="643"/>
      <c r="RQP40" s="643"/>
      <c r="RQQ40" s="643"/>
      <c r="RQR40" s="643"/>
      <c r="RQS40" s="643"/>
      <c r="RQT40" s="643"/>
      <c r="RQU40" s="643"/>
      <c r="RQV40" s="643"/>
      <c r="RQW40" s="643"/>
      <c r="RQX40" s="643"/>
      <c r="RQY40" s="643"/>
      <c r="RQZ40" s="643"/>
      <c r="RRA40" s="643"/>
      <c r="RRB40" s="643"/>
      <c r="RRC40" s="643"/>
      <c r="RRD40" s="643"/>
      <c r="RRE40" s="643"/>
      <c r="RRF40" s="643"/>
      <c r="RRG40" s="643"/>
      <c r="RRH40" s="643"/>
      <c r="RRI40" s="643"/>
      <c r="RRJ40" s="643"/>
      <c r="RRK40" s="643"/>
      <c r="RRL40" s="643"/>
      <c r="RRM40" s="643"/>
      <c r="RRN40" s="643"/>
      <c r="RRO40" s="643"/>
      <c r="RRP40" s="643"/>
      <c r="RRQ40" s="643"/>
      <c r="RRR40" s="643"/>
      <c r="RRS40" s="643"/>
      <c r="RRT40" s="643"/>
      <c r="RRU40" s="643"/>
      <c r="RRV40" s="643"/>
      <c r="RRW40" s="643"/>
      <c r="RRX40" s="643"/>
      <c r="RRY40" s="643"/>
      <c r="RRZ40" s="643"/>
      <c r="RSA40" s="643"/>
      <c r="RSB40" s="643"/>
      <c r="RSC40" s="643"/>
      <c r="RSD40" s="643"/>
      <c r="RSE40" s="643"/>
      <c r="RSF40" s="643"/>
      <c r="RSG40" s="643"/>
      <c r="RSH40" s="643"/>
      <c r="RSI40" s="643"/>
      <c r="RSJ40" s="643"/>
      <c r="RSK40" s="643"/>
      <c r="RSL40" s="643"/>
      <c r="RSM40" s="643"/>
      <c r="RSN40" s="643"/>
      <c r="RSO40" s="643"/>
      <c r="RSP40" s="643"/>
      <c r="RSQ40" s="643"/>
      <c r="RSR40" s="643"/>
      <c r="RSS40" s="643"/>
      <c r="RST40" s="643"/>
      <c r="RSU40" s="643"/>
      <c r="RSV40" s="643"/>
      <c r="RSW40" s="643"/>
      <c r="RSX40" s="643"/>
      <c r="RSY40" s="643"/>
      <c r="RSZ40" s="643"/>
      <c r="RTA40" s="643"/>
      <c r="RTB40" s="643"/>
      <c r="RTC40" s="643"/>
      <c r="RTD40" s="643"/>
      <c r="RTE40" s="643"/>
      <c r="RTF40" s="643"/>
      <c r="RTG40" s="643"/>
      <c r="RTH40" s="643"/>
      <c r="RTI40" s="643"/>
      <c r="RTJ40" s="643"/>
      <c r="RTK40" s="643"/>
      <c r="RTL40" s="643"/>
      <c r="RTM40" s="643"/>
      <c r="RTN40" s="643"/>
      <c r="RTO40" s="643"/>
      <c r="RTP40" s="643"/>
      <c r="RTQ40" s="643"/>
      <c r="RTR40" s="643"/>
      <c r="RTS40" s="643"/>
      <c r="RTT40" s="643"/>
      <c r="RTU40" s="643"/>
      <c r="RTV40" s="643"/>
      <c r="RTW40" s="643"/>
      <c r="RTX40" s="643"/>
      <c r="RTY40" s="643"/>
      <c r="RTZ40" s="643"/>
      <c r="RUA40" s="643"/>
      <c r="RUB40" s="643"/>
      <c r="RUC40" s="643"/>
      <c r="RUD40" s="643"/>
      <c r="RUE40" s="643"/>
      <c r="RUF40" s="643"/>
      <c r="RUG40" s="643"/>
      <c r="RUH40" s="643"/>
      <c r="RUI40" s="643"/>
      <c r="RUJ40" s="643"/>
      <c r="RUK40" s="643"/>
      <c r="RUL40" s="643"/>
      <c r="RUM40" s="643"/>
      <c r="RUN40" s="643"/>
      <c r="RUO40" s="643"/>
      <c r="RUP40" s="643"/>
      <c r="RUQ40" s="643"/>
      <c r="RUR40" s="643"/>
      <c r="RUS40" s="643"/>
      <c r="RUT40" s="643"/>
      <c r="RUU40" s="643"/>
      <c r="RUV40" s="643"/>
      <c r="RUW40" s="643"/>
      <c r="RUX40" s="643"/>
      <c r="RUY40" s="643"/>
      <c r="RUZ40" s="643"/>
      <c r="RVA40" s="643"/>
      <c r="RVB40" s="643"/>
      <c r="RVC40" s="643"/>
      <c r="RVD40" s="643"/>
      <c r="RVE40" s="643"/>
      <c r="RVF40" s="643"/>
      <c r="RVG40" s="643"/>
      <c r="RVH40" s="643"/>
      <c r="RVI40" s="643"/>
      <c r="RVJ40" s="643"/>
      <c r="RVK40" s="643"/>
      <c r="RVL40" s="643"/>
      <c r="RVM40" s="643"/>
      <c r="RVN40" s="643"/>
      <c r="RVO40" s="643"/>
      <c r="RVP40" s="643"/>
      <c r="RVQ40" s="643"/>
      <c r="RVR40" s="643"/>
      <c r="RVS40" s="643"/>
      <c r="RVT40" s="643"/>
      <c r="RVU40" s="643"/>
      <c r="RVV40" s="643"/>
      <c r="RVW40" s="643"/>
      <c r="RVX40" s="643"/>
      <c r="RVY40" s="643"/>
      <c r="RVZ40" s="643"/>
      <c r="RWA40" s="643"/>
      <c r="RWB40" s="643"/>
      <c r="RWC40" s="643"/>
      <c r="RWD40" s="643"/>
      <c r="RWE40" s="643"/>
      <c r="RWF40" s="643"/>
      <c r="RWG40" s="643"/>
      <c r="RWH40" s="643"/>
      <c r="RWI40" s="643"/>
      <c r="RWJ40" s="643"/>
      <c r="RWK40" s="643"/>
      <c r="RWL40" s="643"/>
      <c r="RWM40" s="643"/>
      <c r="RWN40" s="643"/>
      <c r="RWO40" s="643"/>
      <c r="RWP40" s="643"/>
      <c r="RWQ40" s="643"/>
      <c r="RWR40" s="643"/>
      <c r="RWS40" s="643"/>
      <c r="RWT40" s="643"/>
      <c r="RWU40" s="643"/>
      <c r="RWV40" s="643"/>
      <c r="RWW40" s="643"/>
      <c r="RWX40" s="643"/>
      <c r="RWY40" s="643"/>
      <c r="RWZ40" s="643"/>
      <c r="RXA40" s="643"/>
      <c r="RXB40" s="643"/>
      <c r="RXC40" s="643"/>
      <c r="RXD40" s="643"/>
      <c r="RXE40" s="643"/>
      <c r="RXF40" s="643"/>
      <c r="RXG40" s="643"/>
      <c r="RXH40" s="643"/>
      <c r="RXI40" s="643"/>
      <c r="RXJ40" s="643"/>
      <c r="RXK40" s="643"/>
      <c r="RXL40" s="643"/>
      <c r="RXM40" s="643"/>
      <c r="RXN40" s="643"/>
      <c r="RXO40" s="643"/>
      <c r="RXP40" s="643"/>
      <c r="RXQ40" s="643"/>
      <c r="RXR40" s="643"/>
      <c r="RXS40" s="643"/>
      <c r="RXT40" s="643"/>
      <c r="RXU40" s="643"/>
      <c r="RXV40" s="643"/>
      <c r="RXW40" s="643"/>
      <c r="RXX40" s="643"/>
      <c r="RXY40" s="643"/>
      <c r="RXZ40" s="643"/>
      <c r="RYA40" s="643"/>
      <c r="RYB40" s="643"/>
      <c r="RYC40" s="643"/>
      <c r="RYD40" s="643"/>
      <c r="RYE40" s="643"/>
      <c r="RYF40" s="643"/>
      <c r="RYG40" s="643"/>
      <c r="RYH40" s="643"/>
      <c r="RYI40" s="643"/>
      <c r="RYJ40" s="643"/>
      <c r="RYK40" s="643"/>
      <c r="RYL40" s="643"/>
      <c r="RYM40" s="643"/>
      <c r="RYN40" s="643"/>
      <c r="RYO40" s="643"/>
      <c r="RYP40" s="643"/>
      <c r="RYQ40" s="643"/>
      <c r="RYR40" s="643"/>
      <c r="RYS40" s="643"/>
      <c r="RYT40" s="643"/>
      <c r="RYU40" s="643"/>
      <c r="RYV40" s="643"/>
      <c r="RYW40" s="643"/>
      <c r="RYX40" s="643"/>
      <c r="RYY40" s="643"/>
      <c r="RYZ40" s="643"/>
      <c r="RZA40" s="643"/>
      <c r="RZB40" s="643"/>
      <c r="RZC40" s="643"/>
      <c r="RZD40" s="643"/>
      <c r="RZE40" s="643"/>
      <c r="RZF40" s="643"/>
      <c r="RZG40" s="643"/>
      <c r="RZH40" s="643"/>
      <c r="RZI40" s="643"/>
      <c r="RZJ40" s="643"/>
      <c r="RZK40" s="643"/>
      <c r="RZL40" s="643"/>
      <c r="RZM40" s="643"/>
      <c r="RZN40" s="643"/>
      <c r="RZO40" s="643"/>
      <c r="RZP40" s="643"/>
      <c r="RZQ40" s="643"/>
      <c r="RZR40" s="643"/>
      <c r="RZS40" s="643"/>
      <c r="RZT40" s="643"/>
      <c r="RZU40" s="643"/>
      <c r="RZV40" s="643"/>
      <c r="RZW40" s="643"/>
      <c r="RZX40" s="643"/>
      <c r="RZY40" s="643"/>
      <c r="RZZ40" s="643"/>
      <c r="SAA40" s="643"/>
      <c r="SAB40" s="643"/>
      <c r="SAC40" s="643"/>
      <c r="SAD40" s="643"/>
      <c r="SAE40" s="643"/>
      <c r="SAF40" s="643"/>
      <c r="SAG40" s="643"/>
      <c r="SAH40" s="643"/>
      <c r="SAI40" s="643"/>
      <c r="SAJ40" s="643"/>
      <c r="SAK40" s="643"/>
      <c r="SAL40" s="643"/>
      <c r="SAM40" s="643"/>
      <c r="SAN40" s="643"/>
      <c r="SAO40" s="643"/>
      <c r="SAP40" s="643"/>
      <c r="SAQ40" s="643"/>
      <c r="SAR40" s="643"/>
      <c r="SAS40" s="643"/>
      <c r="SAT40" s="643"/>
      <c r="SAU40" s="643"/>
      <c r="SAV40" s="643"/>
      <c r="SAW40" s="643"/>
      <c r="SAX40" s="643"/>
      <c r="SAY40" s="643"/>
      <c r="SAZ40" s="643"/>
      <c r="SBA40" s="643"/>
      <c r="SBB40" s="643"/>
      <c r="SBC40" s="643"/>
      <c r="SBD40" s="643"/>
      <c r="SBE40" s="643"/>
      <c r="SBF40" s="643"/>
      <c r="SBG40" s="643"/>
      <c r="SBH40" s="643"/>
      <c r="SBI40" s="643"/>
      <c r="SBJ40" s="643"/>
      <c r="SBK40" s="643"/>
      <c r="SBL40" s="643"/>
      <c r="SBM40" s="643"/>
      <c r="SBN40" s="643"/>
      <c r="SBO40" s="643"/>
      <c r="SBP40" s="643"/>
      <c r="SBQ40" s="643"/>
      <c r="SBR40" s="643"/>
      <c r="SBS40" s="643"/>
      <c r="SBT40" s="643"/>
      <c r="SBU40" s="643"/>
      <c r="SBV40" s="643"/>
      <c r="SBW40" s="643"/>
      <c r="SBX40" s="643"/>
      <c r="SBY40" s="643"/>
      <c r="SBZ40" s="643"/>
      <c r="SCA40" s="643"/>
      <c r="SCB40" s="643"/>
      <c r="SCC40" s="643"/>
      <c r="SCD40" s="643"/>
      <c r="SCE40" s="643"/>
      <c r="SCF40" s="643"/>
      <c r="SCG40" s="643"/>
      <c r="SCH40" s="643"/>
      <c r="SCI40" s="643"/>
      <c r="SCJ40" s="643"/>
      <c r="SCK40" s="643"/>
      <c r="SCL40" s="643"/>
      <c r="SCM40" s="643"/>
      <c r="SCN40" s="643"/>
      <c r="SCO40" s="643"/>
      <c r="SCP40" s="643"/>
      <c r="SCQ40" s="643"/>
      <c r="SCR40" s="643"/>
      <c r="SCS40" s="643"/>
      <c r="SCT40" s="643"/>
      <c r="SCU40" s="643"/>
      <c r="SCV40" s="643"/>
      <c r="SCW40" s="643"/>
      <c r="SCX40" s="643"/>
      <c r="SCY40" s="643"/>
      <c r="SCZ40" s="643"/>
      <c r="SDA40" s="643"/>
      <c r="SDB40" s="643"/>
      <c r="SDC40" s="643"/>
      <c r="SDD40" s="643"/>
      <c r="SDE40" s="643"/>
      <c r="SDF40" s="643"/>
      <c r="SDG40" s="643"/>
      <c r="SDH40" s="643"/>
      <c r="SDI40" s="643"/>
      <c r="SDJ40" s="643"/>
      <c r="SDK40" s="643"/>
      <c r="SDL40" s="643"/>
      <c r="SDM40" s="643"/>
      <c r="SDN40" s="643"/>
      <c r="SDO40" s="643"/>
      <c r="SDP40" s="643"/>
      <c r="SDQ40" s="643"/>
      <c r="SDR40" s="643"/>
      <c r="SDS40" s="643"/>
      <c r="SDT40" s="643"/>
      <c r="SDU40" s="643"/>
      <c r="SDV40" s="643"/>
      <c r="SDW40" s="643"/>
      <c r="SDX40" s="643"/>
      <c r="SDY40" s="643"/>
      <c r="SDZ40" s="643"/>
      <c r="SEA40" s="643"/>
      <c r="SEB40" s="643"/>
      <c r="SEC40" s="643"/>
      <c r="SED40" s="643"/>
      <c r="SEE40" s="643"/>
      <c r="SEF40" s="643"/>
      <c r="SEG40" s="643"/>
      <c r="SEH40" s="643"/>
      <c r="SEI40" s="643"/>
      <c r="SEJ40" s="643"/>
      <c r="SEK40" s="643"/>
      <c r="SEL40" s="643"/>
      <c r="SEM40" s="643"/>
      <c r="SEN40" s="643"/>
      <c r="SEO40" s="643"/>
      <c r="SEP40" s="643"/>
      <c r="SEQ40" s="643"/>
      <c r="SER40" s="643"/>
      <c r="SES40" s="643"/>
      <c r="SET40" s="643"/>
      <c r="SEU40" s="643"/>
      <c r="SEV40" s="643"/>
      <c r="SEW40" s="643"/>
      <c r="SEX40" s="643"/>
      <c r="SEY40" s="643"/>
      <c r="SEZ40" s="643"/>
      <c r="SFA40" s="643"/>
      <c r="SFB40" s="643"/>
      <c r="SFC40" s="643"/>
      <c r="SFD40" s="643"/>
      <c r="SFE40" s="643"/>
      <c r="SFF40" s="643"/>
      <c r="SFG40" s="643"/>
      <c r="SFH40" s="643"/>
      <c r="SFI40" s="643"/>
      <c r="SFJ40" s="643"/>
      <c r="SFK40" s="643"/>
      <c r="SFL40" s="643"/>
      <c r="SFM40" s="643"/>
      <c r="SFN40" s="643"/>
      <c r="SFO40" s="643"/>
      <c r="SFP40" s="643"/>
      <c r="SFQ40" s="643"/>
      <c r="SFR40" s="643"/>
      <c r="SFS40" s="643"/>
      <c r="SFT40" s="643"/>
      <c r="SFU40" s="643"/>
      <c r="SFV40" s="643"/>
      <c r="SFW40" s="643"/>
      <c r="SFX40" s="643"/>
      <c r="SFY40" s="643"/>
      <c r="SFZ40" s="643"/>
      <c r="SGA40" s="643"/>
      <c r="SGB40" s="643"/>
      <c r="SGC40" s="643"/>
      <c r="SGD40" s="643"/>
      <c r="SGE40" s="643"/>
      <c r="SGF40" s="643"/>
      <c r="SGG40" s="643"/>
      <c r="SGH40" s="643"/>
      <c r="SGI40" s="643"/>
      <c r="SGJ40" s="643"/>
      <c r="SGK40" s="643"/>
      <c r="SGL40" s="643"/>
      <c r="SGM40" s="643"/>
      <c r="SGN40" s="643"/>
      <c r="SGO40" s="643"/>
      <c r="SGP40" s="643"/>
      <c r="SGQ40" s="643"/>
      <c r="SGR40" s="643"/>
      <c r="SGS40" s="643"/>
      <c r="SGT40" s="643"/>
      <c r="SGU40" s="643"/>
      <c r="SGV40" s="643"/>
      <c r="SGW40" s="643"/>
      <c r="SGX40" s="643"/>
      <c r="SGY40" s="643"/>
      <c r="SGZ40" s="643"/>
      <c r="SHA40" s="643"/>
      <c r="SHB40" s="643"/>
      <c r="SHC40" s="643"/>
      <c r="SHD40" s="643"/>
      <c r="SHE40" s="643"/>
      <c r="SHF40" s="643"/>
      <c r="SHG40" s="643"/>
      <c r="SHH40" s="643"/>
      <c r="SHI40" s="643"/>
      <c r="SHJ40" s="643"/>
      <c r="SHK40" s="643"/>
      <c r="SHL40" s="643"/>
      <c r="SHM40" s="643"/>
      <c r="SHN40" s="643"/>
      <c r="SHO40" s="643"/>
      <c r="SHP40" s="643"/>
      <c r="SHQ40" s="643"/>
      <c r="SHR40" s="643"/>
      <c r="SHS40" s="643"/>
      <c r="SHT40" s="643"/>
      <c r="SHU40" s="643"/>
      <c r="SHV40" s="643"/>
      <c r="SHW40" s="643"/>
      <c r="SHX40" s="643"/>
      <c r="SHY40" s="643"/>
      <c r="SHZ40" s="643"/>
      <c r="SIA40" s="643"/>
      <c r="SIB40" s="643"/>
      <c r="SIC40" s="643"/>
      <c r="SID40" s="643"/>
      <c r="SIE40" s="643"/>
      <c r="SIF40" s="643"/>
      <c r="SIG40" s="643"/>
      <c r="SIH40" s="643"/>
      <c r="SII40" s="643"/>
      <c r="SIJ40" s="643"/>
      <c r="SIK40" s="643"/>
      <c r="SIL40" s="643"/>
      <c r="SIM40" s="643"/>
      <c r="SIN40" s="643"/>
      <c r="SIO40" s="643"/>
      <c r="SIP40" s="643"/>
      <c r="SIQ40" s="643"/>
      <c r="SIR40" s="643"/>
      <c r="SIS40" s="643"/>
      <c r="SIT40" s="643"/>
      <c r="SIU40" s="643"/>
      <c r="SIV40" s="643"/>
      <c r="SIW40" s="643"/>
      <c r="SIX40" s="643"/>
      <c r="SIY40" s="643"/>
      <c r="SIZ40" s="643"/>
      <c r="SJA40" s="643"/>
      <c r="SJB40" s="643"/>
      <c r="SJC40" s="643"/>
      <c r="SJD40" s="643"/>
      <c r="SJE40" s="643"/>
      <c r="SJF40" s="643"/>
      <c r="SJG40" s="643"/>
      <c r="SJH40" s="643"/>
      <c r="SJI40" s="643"/>
      <c r="SJJ40" s="643"/>
      <c r="SJK40" s="643"/>
      <c r="SJL40" s="643"/>
      <c r="SJM40" s="643"/>
      <c r="SJN40" s="643"/>
      <c r="SJO40" s="643"/>
      <c r="SJP40" s="643"/>
      <c r="SJQ40" s="643"/>
      <c r="SJR40" s="643"/>
      <c r="SJS40" s="643"/>
      <c r="SJT40" s="643"/>
      <c r="SJU40" s="643"/>
      <c r="SJV40" s="643"/>
      <c r="SJW40" s="643"/>
      <c r="SJX40" s="643"/>
      <c r="SJY40" s="643"/>
      <c r="SJZ40" s="643"/>
      <c r="SKA40" s="643"/>
      <c r="SKB40" s="643"/>
      <c r="SKC40" s="643"/>
      <c r="SKD40" s="643"/>
      <c r="SKE40" s="643"/>
      <c r="SKF40" s="643"/>
      <c r="SKG40" s="643"/>
      <c r="SKH40" s="643"/>
      <c r="SKI40" s="643"/>
      <c r="SKJ40" s="643"/>
      <c r="SKK40" s="643"/>
      <c r="SKL40" s="643"/>
      <c r="SKM40" s="643"/>
      <c r="SKN40" s="643"/>
      <c r="SKO40" s="643"/>
      <c r="SKP40" s="643"/>
      <c r="SKQ40" s="643"/>
      <c r="SKR40" s="643"/>
      <c r="SKS40" s="643"/>
      <c r="SKT40" s="643"/>
      <c r="SKU40" s="643"/>
      <c r="SKV40" s="643"/>
      <c r="SKW40" s="643"/>
      <c r="SKX40" s="643"/>
      <c r="SKY40" s="643"/>
      <c r="SKZ40" s="643"/>
      <c r="SLA40" s="643"/>
      <c r="SLB40" s="643"/>
      <c r="SLC40" s="643"/>
      <c r="SLD40" s="643"/>
      <c r="SLE40" s="643"/>
      <c r="SLF40" s="643"/>
      <c r="SLG40" s="643"/>
      <c r="SLH40" s="643"/>
      <c r="SLI40" s="643"/>
      <c r="SLJ40" s="643"/>
      <c r="SLK40" s="643"/>
      <c r="SLL40" s="643"/>
      <c r="SLM40" s="643"/>
      <c r="SLN40" s="643"/>
      <c r="SLO40" s="643"/>
      <c r="SLP40" s="643"/>
      <c r="SLQ40" s="643"/>
      <c r="SLR40" s="643"/>
      <c r="SLS40" s="643"/>
      <c r="SLT40" s="643"/>
      <c r="SLU40" s="643"/>
      <c r="SLV40" s="643"/>
      <c r="SLW40" s="643"/>
      <c r="SLX40" s="643"/>
      <c r="SLY40" s="643"/>
      <c r="SLZ40" s="643"/>
      <c r="SMA40" s="643"/>
      <c r="SMB40" s="643"/>
      <c r="SMC40" s="643"/>
      <c r="SMD40" s="643"/>
      <c r="SME40" s="643"/>
      <c r="SMF40" s="643"/>
      <c r="SMG40" s="643"/>
      <c r="SMH40" s="643"/>
      <c r="SMI40" s="643"/>
      <c r="SMJ40" s="643"/>
      <c r="SMK40" s="643"/>
      <c r="SML40" s="643"/>
      <c r="SMM40" s="643"/>
      <c r="SMN40" s="643"/>
      <c r="SMO40" s="643"/>
      <c r="SMP40" s="643"/>
      <c r="SMQ40" s="643"/>
      <c r="SMR40" s="643"/>
      <c r="SMS40" s="643"/>
      <c r="SMT40" s="643"/>
      <c r="SMU40" s="643"/>
      <c r="SMV40" s="643"/>
      <c r="SMW40" s="643"/>
      <c r="SMX40" s="643"/>
      <c r="SMY40" s="643"/>
      <c r="SMZ40" s="643"/>
      <c r="SNA40" s="643"/>
      <c r="SNB40" s="643"/>
      <c r="SNC40" s="643"/>
      <c r="SND40" s="643"/>
      <c r="SNE40" s="643"/>
      <c r="SNF40" s="643"/>
      <c r="SNG40" s="643"/>
      <c r="SNH40" s="643"/>
      <c r="SNI40" s="643"/>
      <c r="SNJ40" s="643"/>
      <c r="SNK40" s="643"/>
      <c r="SNL40" s="643"/>
      <c r="SNM40" s="643"/>
      <c r="SNN40" s="643"/>
      <c r="SNO40" s="643"/>
      <c r="SNP40" s="643"/>
      <c r="SNQ40" s="643"/>
      <c r="SNR40" s="643"/>
      <c r="SNS40" s="643"/>
      <c r="SNT40" s="643"/>
      <c r="SNU40" s="643"/>
      <c r="SNV40" s="643"/>
      <c r="SNW40" s="643"/>
      <c r="SNX40" s="643"/>
      <c r="SNY40" s="643"/>
      <c r="SNZ40" s="643"/>
      <c r="SOA40" s="643"/>
      <c r="SOB40" s="643"/>
      <c r="SOC40" s="643"/>
      <c r="SOD40" s="643"/>
      <c r="SOE40" s="643"/>
      <c r="SOF40" s="643"/>
      <c r="SOG40" s="643"/>
      <c r="SOH40" s="643"/>
      <c r="SOI40" s="643"/>
      <c r="SOJ40" s="643"/>
      <c r="SOK40" s="643"/>
      <c r="SOL40" s="643"/>
      <c r="SOM40" s="643"/>
      <c r="SON40" s="643"/>
      <c r="SOO40" s="643"/>
      <c r="SOP40" s="643"/>
      <c r="SOQ40" s="643"/>
      <c r="SOR40" s="643"/>
      <c r="SOS40" s="643"/>
      <c r="SOT40" s="643"/>
      <c r="SOU40" s="643"/>
      <c r="SOV40" s="643"/>
      <c r="SOW40" s="643"/>
      <c r="SOX40" s="643"/>
      <c r="SOY40" s="643"/>
      <c r="SOZ40" s="643"/>
      <c r="SPA40" s="643"/>
      <c r="SPB40" s="643"/>
      <c r="SPC40" s="643"/>
      <c r="SPD40" s="643"/>
      <c r="SPE40" s="643"/>
      <c r="SPF40" s="643"/>
      <c r="SPG40" s="643"/>
      <c r="SPH40" s="643"/>
      <c r="SPI40" s="643"/>
      <c r="SPJ40" s="643"/>
      <c r="SPK40" s="643"/>
      <c r="SPL40" s="643"/>
      <c r="SPM40" s="643"/>
      <c r="SPN40" s="643"/>
      <c r="SPO40" s="643"/>
      <c r="SPP40" s="643"/>
      <c r="SPQ40" s="643"/>
      <c r="SPR40" s="643"/>
      <c r="SPS40" s="643"/>
      <c r="SPT40" s="643"/>
      <c r="SPU40" s="643"/>
      <c r="SPV40" s="643"/>
      <c r="SPW40" s="643"/>
      <c r="SPX40" s="643"/>
      <c r="SPY40" s="643"/>
      <c r="SPZ40" s="643"/>
      <c r="SQA40" s="643"/>
      <c r="SQB40" s="643"/>
      <c r="SQC40" s="643"/>
      <c r="SQD40" s="643"/>
      <c r="SQE40" s="643"/>
      <c r="SQF40" s="643"/>
      <c r="SQG40" s="643"/>
      <c r="SQH40" s="643"/>
      <c r="SQI40" s="643"/>
      <c r="SQJ40" s="643"/>
      <c r="SQK40" s="643"/>
      <c r="SQL40" s="643"/>
      <c r="SQM40" s="643"/>
      <c r="SQN40" s="643"/>
      <c r="SQO40" s="643"/>
      <c r="SQP40" s="643"/>
      <c r="SQQ40" s="643"/>
      <c r="SQR40" s="643"/>
      <c r="SQS40" s="643"/>
      <c r="SQT40" s="643"/>
      <c r="SQU40" s="643"/>
      <c r="SQV40" s="643"/>
      <c r="SQW40" s="643"/>
      <c r="SQX40" s="643"/>
      <c r="SQY40" s="643"/>
      <c r="SQZ40" s="643"/>
      <c r="SRA40" s="643"/>
      <c r="SRB40" s="643"/>
      <c r="SRC40" s="643"/>
      <c r="SRD40" s="643"/>
      <c r="SRE40" s="643"/>
      <c r="SRF40" s="643"/>
      <c r="SRG40" s="643"/>
      <c r="SRH40" s="643"/>
      <c r="SRI40" s="643"/>
      <c r="SRJ40" s="643"/>
      <c r="SRK40" s="643"/>
      <c r="SRL40" s="643"/>
      <c r="SRM40" s="643"/>
      <c r="SRN40" s="643"/>
      <c r="SRO40" s="643"/>
      <c r="SRP40" s="643"/>
      <c r="SRQ40" s="643"/>
      <c r="SRR40" s="643"/>
      <c r="SRS40" s="643"/>
      <c r="SRT40" s="643"/>
      <c r="SRU40" s="643"/>
      <c r="SRV40" s="643"/>
      <c r="SRW40" s="643"/>
      <c r="SRX40" s="643"/>
      <c r="SRY40" s="643"/>
      <c r="SRZ40" s="643"/>
      <c r="SSA40" s="643"/>
      <c r="SSB40" s="643"/>
      <c r="SSC40" s="643"/>
      <c r="SSD40" s="643"/>
      <c r="SSE40" s="643"/>
      <c r="SSF40" s="643"/>
      <c r="SSG40" s="643"/>
      <c r="SSH40" s="643"/>
      <c r="SSI40" s="643"/>
      <c r="SSJ40" s="643"/>
      <c r="SSK40" s="643"/>
      <c r="SSL40" s="643"/>
      <c r="SSM40" s="643"/>
      <c r="SSN40" s="643"/>
      <c r="SSO40" s="643"/>
      <c r="SSP40" s="643"/>
      <c r="SSQ40" s="643"/>
      <c r="SSR40" s="643"/>
      <c r="SSS40" s="643"/>
      <c r="SST40" s="643"/>
      <c r="SSU40" s="643"/>
      <c r="SSV40" s="643"/>
      <c r="SSW40" s="643"/>
      <c r="SSX40" s="643"/>
      <c r="SSY40" s="643"/>
      <c r="SSZ40" s="643"/>
      <c r="STA40" s="643"/>
      <c r="STB40" s="643"/>
      <c r="STC40" s="643"/>
      <c r="STD40" s="643"/>
      <c r="STE40" s="643"/>
      <c r="STF40" s="643"/>
      <c r="STG40" s="643"/>
      <c r="STH40" s="643"/>
      <c r="STI40" s="643"/>
      <c r="STJ40" s="643"/>
      <c r="STK40" s="643"/>
      <c r="STL40" s="643"/>
      <c r="STM40" s="643"/>
      <c r="STN40" s="643"/>
      <c r="STO40" s="643"/>
      <c r="STP40" s="643"/>
      <c r="STQ40" s="643"/>
      <c r="STR40" s="643"/>
      <c r="STS40" s="643"/>
      <c r="STT40" s="643"/>
      <c r="STU40" s="643"/>
      <c r="STV40" s="643"/>
      <c r="STW40" s="643"/>
      <c r="STX40" s="643"/>
      <c r="STY40" s="643"/>
      <c r="STZ40" s="643"/>
      <c r="SUA40" s="643"/>
      <c r="SUB40" s="643"/>
      <c r="SUC40" s="643"/>
      <c r="SUD40" s="643"/>
      <c r="SUE40" s="643"/>
      <c r="SUF40" s="643"/>
      <c r="SUG40" s="643"/>
      <c r="SUH40" s="643"/>
      <c r="SUI40" s="643"/>
      <c r="SUJ40" s="643"/>
      <c r="SUK40" s="643"/>
      <c r="SUL40" s="643"/>
      <c r="SUM40" s="643"/>
      <c r="SUN40" s="643"/>
      <c r="SUO40" s="643"/>
      <c r="SUP40" s="643"/>
      <c r="SUQ40" s="643"/>
      <c r="SUR40" s="643"/>
      <c r="SUS40" s="643"/>
      <c r="SUT40" s="643"/>
      <c r="SUU40" s="643"/>
      <c r="SUV40" s="643"/>
      <c r="SUW40" s="643"/>
      <c r="SUX40" s="643"/>
      <c r="SUY40" s="643"/>
      <c r="SUZ40" s="643"/>
      <c r="SVA40" s="643"/>
      <c r="SVB40" s="643"/>
      <c r="SVC40" s="643"/>
      <c r="SVD40" s="643"/>
      <c r="SVE40" s="643"/>
      <c r="SVF40" s="643"/>
      <c r="SVG40" s="643"/>
      <c r="SVH40" s="643"/>
      <c r="SVI40" s="643"/>
      <c r="SVJ40" s="643"/>
      <c r="SVK40" s="643"/>
      <c r="SVL40" s="643"/>
      <c r="SVM40" s="643"/>
      <c r="SVN40" s="643"/>
      <c r="SVO40" s="643"/>
      <c r="SVP40" s="643"/>
      <c r="SVQ40" s="643"/>
      <c r="SVR40" s="643"/>
      <c r="SVS40" s="643"/>
      <c r="SVT40" s="643"/>
      <c r="SVU40" s="643"/>
      <c r="SVV40" s="643"/>
      <c r="SVW40" s="643"/>
      <c r="SVX40" s="643"/>
      <c r="SVY40" s="643"/>
      <c r="SVZ40" s="643"/>
      <c r="SWA40" s="643"/>
      <c r="SWB40" s="643"/>
      <c r="SWC40" s="643"/>
      <c r="SWD40" s="643"/>
      <c r="SWE40" s="643"/>
      <c r="SWF40" s="643"/>
      <c r="SWG40" s="643"/>
      <c r="SWH40" s="643"/>
      <c r="SWI40" s="643"/>
      <c r="SWJ40" s="643"/>
      <c r="SWK40" s="643"/>
      <c r="SWL40" s="643"/>
      <c r="SWM40" s="643"/>
      <c r="SWN40" s="643"/>
      <c r="SWO40" s="643"/>
      <c r="SWP40" s="643"/>
      <c r="SWQ40" s="643"/>
      <c r="SWR40" s="643"/>
      <c r="SWS40" s="643"/>
      <c r="SWT40" s="643"/>
      <c r="SWU40" s="643"/>
      <c r="SWV40" s="643"/>
      <c r="SWW40" s="643"/>
      <c r="SWX40" s="643"/>
      <c r="SWY40" s="643"/>
      <c r="SWZ40" s="643"/>
      <c r="SXA40" s="643"/>
      <c r="SXB40" s="643"/>
      <c r="SXC40" s="643"/>
      <c r="SXD40" s="643"/>
      <c r="SXE40" s="643"/>
      <c r="SXF40" s="643"/>
      <c r="SXG40" s="643"/>
      <c r="SXH40" s="643"/>
      <c r="SXI40" s="643"/>
      <c r="SXJ40" s="643"/>
      <c r="SXK40" s="643"/>
      <c r="SXL40" s="643"/>
      <c r="SXM40" s="643"/>
      <c r="SXN40" s="643"/>
      <c r="SXO40" s="643"/>
      <c r="SXP40" s="643"/>
      <c r="SXQ40" s="643"/>
      <c r="SXR40" s="643"/>
      <c r="SXS40" s="643"/>
      <c r="SXT40" s="643"/>
      <c r="SXU40" s="643"/>
      <c r="SXV40" s="643"/>
      <c r="SXW40" s="643"/>
      <c r="SXX40" s="643"/>
      <c r="SXY40" s="643"/>
      <c r="SXZ40" s="643"/>
      <c r="SYA40" s="643"/>
      <c r="SYB40" s="643"/>
      <c r="SYC40" s="643"/>
      <c r="SYD40" s="643"/>
      <c r="SYE40" s="643"/>
      <c r="SYF40" s="643"/>
      <c r="SYG40" s="643"/>
      <c r="SYH40" s="643"/>
      <c r="SYI40" s="643"/>
      <c r="SYJ40" s="643"/>
      <c r="SYK40" s="643"/>
      <c r="SYL40" s="643"/>
      <c r="SYM40" s="643"/>
      <c r="SYN40" s="643"/>
      <c r="SYO40" s="643"/>
      <c r="SYP40" s="643"/>
      <c r="SYQ40" s="643"/>
      <c r="SYR40" s="643"/>
      <c r="SYS40" s="643"/>
      <c r="SYT40" s="643"/>
      <c r="SYU40" s="643"/>
      <c r="SYV40" s="643"/>
      <c r="SYW40" s="643"/>
      <c r="SYX40" s="643"/>
      <c r="SYY40" s="643"/>
      <c r="SYZ40" s="643"/>
      <c r="SZA40" s="643"/>
      <c r="SZB40" s="643"/>
      <c r="SZC40" s="643"/>
      <c r="SZD40" s="643"/>
      <c r="SZE40" s="643"/>
      <c r="SZF40" s="643"/>
      <c r="SZG40" s="643"/>
      <c r="SZH40" s="643"/>
      <c r="SZI40" s="643"/>
      <c r="SZJ40" s="643"/>
      <c r="SZK40" s="643"/>
      <c r="SZL40" s="643"/>
      <c r="SZM40" s="643"/>
      <c r="SZN40" s="643"/>
      <c r="SZO40" s="643"/>
      <c r="SZP40" s="643"/>
      <c r="SZQ40" s="643"/>
      <c r="SZR40" s="643"/>
      <c r="SZS40" s="643"/>
      <c r="SZT40" s="643"/>
      <c r="SZU40" s="643"/>
      <c r="SZV40" s="643"/>
      <c r="SZW40" s="643"/>
      <c r="SZX40" s="643"/>
      <c r="SZY40" s="643"/>
      <c r="SZZ40" s="643"/>
      <c r="TAA40" s="643"/>
      <c r="TAB40" s="643"/>
      <c r="TAC40" s="643"/>
      <c r="TAD40" s="643"/>
      <c r="TAE40" s="643"/>
      <c r="TAF40" s="643"/>
      <c r="TAG40" s="643"/>
      <c r="TAH40" s="643"/>
      <c r="TAI40" s="643"/>
      <c r="TAJ40" s="643"/>
      <c r="TAK40" s="643"/>
      <c r="TAL40" s="643"/>
      <c r="TAM40" s="643"/>
      <c r="TAN40" s="643"/>
      <c r="TAO40" s="643"/>
      <c r="TAP40" s="643"/>
      <c r="TAQ40" s="643"/>
      <c r="TAR40" s="643"/>
      <c r="TAS40" s="643"/>
      <c r="TAT40" s="643"/>
      <c r="TAU40" s="643"/>
      <c r="TAV40" s="643"/>
      <c r="TAW40" s="643"/>
      <c r="TAX40" s="643"/>
      <c r="TAY40" s="643"/>
      <c r="TAZ40" s="643"/>
      <c r="TBA40" s="643"/>
      <c r="TBB40" s="643"/>
      <c r="TBC40" s="643"/>
      <c r="TBD40" s="643"/>
      <c r="TBE40" s="643"/>
      <c r="TBF40" s="643"/>
      <c r="TBG40" s="643"/>
      <c r="TBH40" s="643"/>
      <c r="TBI40" s="643"/>
      <c r="TBJ40" s="643"/>
      <c r="TBK40" s="643"/>
      <c r="TBL40" s="643"/>
      <c r="TBM40" s="643"/>
      <c r="TBN40" s="643"/>
      <c r="TBO40" s="643"/>
      <c r="TBP40" s="643"/>
      <c r="TBQ40" s="643"/>
      <c r="TBR40" s="643"/>
      <c r="TBS40" s="643"/>
      <c r="TBT40" s="643"/>
      <c r="TBU40" s="643"/>
      <c r="TBV40" s="643"/>
      <c r="TBW40" s="643"/>
      <c r="TBX40" s="643"/>
      <c r="TBY40" s="643"/>
      <c r="TBZ40" s="643"/>
      <c r="TCA40" s="643"/>
      <c r="TCB40" s="643"/>
      <c r="TCC40" s="643"/>
      <c r="TCD40" s="643"/>
      <c r="TCE40" s="643"/>
      <c r="TCF40" s="643"/>
      <c r="TCG40" s="643"/>
      <c r="TCH40" s="643"/>
      <c r="TCI40" s="643"/>
      <c r="TCJ40" s="643"/>
      <c r="TCK40" s="643"/>
      <c r="TCL40" s="643"/>
      <c r="TCM40" s="643"/>
      <c r="TCN40" s="643"/>
      <c r="TCO40" s="643"/>
      <c r="TCP40" s="643"/>
      <c r="TCQ40" s="643"/>
      <c r="TCR40" s="643"/>
      <c r="TCS40" s="643"/>
      <c r="TCT40" s="643"/>
      <c r="TCU40" s="643"/>
      <c r="TCV40" s="643"/>
      <c r="TCW40" s="643"/>
      <c r="TCX40" s="643"/>
      <c r="TCY40" s="643"/>
      <c r="TCZ40" s="643"/>
      <c r="TDA40" s="643"/>
      <c r="TDB40" s="643"/>
      <c r="TDC40" s="643"/>
      <c r="TDD40" s="643"/>
      <c r="TDE40" s="643"/>
      <c r="TDF40" s="643"/>
      <c r="TDG40" s="643"/>
      <c r="TDH40" s="643"/>
      <c r="TDI40" s="643"/>
      <c r="TDJ40" s="643"/>
      <c r="TDK40" s="643"/>
      <c r="TDL40" s="643"/>
      <c r="TDM40" s="643"/>
      <c r="TDN40" s="643"/>
      <c r="TDO40" s="643"/>
      <c r="TDP40" s="643"/>
      <c r="TDQ40" s="643"/>
      <c r="TDR40" s="643"/>
      <c r="TDS40" s="643"/>
      <c r="TDT40" s="643"/>
      <c r="TDU40" s="643"/>
      <c r="TDV40" s="643"/>
      <c r="TDW40" s="643"/>
      <c r="TDX40" s="643"/>
      <c r="TDY40" s="643"/>
      <c r="TDZ40" s="643"/>
      <c r="TEA40" s="643"/>
      <c r="TEB40" s="643"/>
      <c r="TEC40" s="643"/>
      <c r="TED40" s="643"/>
      <c r="TEE40" s="643"/>
      <c r="TEF40" s="643"/>
      <c r="TEG40" s="643"/>
      <c r="TEH40" s="643"/>
      <c r="TEI40" s="643"/>
      <c r="TEJ40" s="643"/>
      <c r="TEK40" s="643"/>
      <c r="TEL40" s="643"/>
      <c r="TEM40" s="643"/>
      <c r="TEN40" s="643"/>
      <c r="TEO40" s="643"/>
      <c r="TEP40" s="643"/>
      <c r="TEQ40" s="643"/>
      <c r="TER40" s="643"/>
      <c r="TES40" s="643"/>
      <c r="TET40" s="643"/>
      <c r="TEU40" s="643"/>
      <c r="TEV40" s="643"/>
      <c r="TEW40" s="643"/>
      <c r="TEX40" s="643"/>
      <c r="TEY40" s="643"/>
      <c r="TEZ40" s="643"/>
      <c r="TFA40" s="643"/>
      <c r="TFB40" s="643"/>
      <c r="TFC40" s="643"/>
      <c r="TFD40" s="643"/>
      <c r="TFE40" s="643"/>
      <c r="TFF40" s="643"/>
      <c r="TFG40" s="643"/>
      <c r="TFH40" s="643"/>
      <c r="TFI40" s="643"/>
      <c r="TFJ40" s="643"/>
      <c r="TFK40" s="643"/>
      <c r="TFL40" s="643"/>
      <c r="TFM40" s="643"/>
      <c r="TFN40" s="643"/>
      <c r="TFO40" s="643"/>
      <c r="TFP40" s="643"/>
      <c r="TFQ40" s="643"/>
      <c r="TFR40" s="643"/>
      <c r="TFS40" s="643"/>
      <c r="TFT40" s="643"/>
      <c r="TFU40" s="643"/>
      <c r="TFV40" s="643"/>
      <c r="TFW40" s="643"/>
      <c r="TFX40" s="643"/>
      <c r="TFY40" s="643"/>
      <c r="TFZ40" s="643"/>
      <c r="TGA40" s="643"/>
      <c r="TGB40" s="643"/>
      <c r="TGC40" s="643"/>
      <c r="TGD40" s="643"/>
      <c r="TGE40" s="643"/>
      <c r="TGF40" s="643"/>
      <c r="TGG40" s="643"/>
      <c r="TGH40" s="643"/>
      <c r="TGI40" s="643"/>
      <c r="TGJ40" s="643"/>
      <c r="TGK40" s="643"/>
      <c r="TGL40" s="643"/>
      <c r="TGM40" s="643"/>
      <c r="TGN40" s="643"/>
      <c r="TGO40" s="643"/>
      <c r="TGP40" s="643"/>
      <c r="TGQ40" s="643"/>
      <c r="TGR40" s="643"/>
      <c r="TGS40" s="643"/>
      <c r="TGT40" s="643"/>
      <c r="TGU40" s="643"/>
      <c r="TGV40" s="643"/>
      <c r="TGW40" s="643"/>
      <c r="TGX40" s="643"/>
      <c r="TGY40" s="643"/>
      <c r="TGZ40" s="643"/>
      <c r="THA40" s="643"/>
      <c r="THB40" s="643"/>
      <c r="THC40" s="643"/>
      <c r="THD40" s="643"/>
      <c r="THE40" s="643"/>
      <c r="THF40" s="643"/>
      <c r="THG40" s="643"/>
      <c r="THH40" s="643"/>
      <c r="THI40" s="643"/>
      <c r="THJ40" s="643"/>
      <c r="THK40" s="643"/>
      <c r="THL40" s="643"/>
      <c r="THM40" s="643"/>
      <c r="THN40" s="643"/>
      <c r="THO40" s="643"/>
      <c r="THP40" s="643"/>
      <c r="THQ40" s="643"/>
      <c r="THR40" s="643"/>
      <c r="THS40" s="643"/>
      <c r="THT40" s="643"/>
      <c r="THU40" s="643"/>
      <c r="THV40" s="643"/>
      <c r="THW40" s="643"/>
      <c r="THX40" s="643"/>
      <c r="THY40" s="643"/>
      <c r="THZ40" s="643"/>
      <c r="TIA40" s="643"/>
      <c r="TIB40" s="643"/>
      <c r="TIC40" s="643"/>
      <c r="TID40" s="643"/>
      <c r="TIE40" s="643"/>
      <c r="TIF40" s="643"/>
      <c r="TIG40" s="643"/>
      <c r="TIH40" s="643"/>
      <c r="TII40" s="643"/>
      <c r="TIJ40" s="643"/>
      <c r="TIK40" s="643"/>
      <c r="TIL40" s="643"/>
      <c r="TIM40" s="643"/>
      <c r="TIN40" s="643"/>
      <c r="TIO40" s="643"/>
      <c r="TIP40" s="643"/>
      <c r="TIQ40" s="643"/>
      <c r="TIR40" s="643"/>
      <c r="TIS40" s="643"/>
      <c r="TIT40" s="643"/>
      <c r="TIU40" s="643"/>
      <c r="TIV40" s="643"/>
      <c r="TIW40" s="643"/>
      <c r="TIX40" s="643"/>
      <c r="TIY40" s="643"/>
      <c r="TIZ40" s="643"/>
      <c r="TJA40" s="643"/>
      <c r="TJB40" s="643"/>
      <c r="TJC40" s="643"/>
      <c r="TJD40" s="643"/>
      <c r="TJE40" s="643"/>
      <c r="TJF40" s="643"/>
      <c r="TJG40" s="643"/>
      <c r="TJH40" s="643"/>
      <c r="TJI40" s="643"/>
      <c r="TJJ40" s="643"/>
      <c r="TJK40" s="643"/>
      <c r="TJL40" s="643"/>
      <c r="TJM40" s="643"/>
      <c r="TJN40" s="643"/>
      <c r="TJO40" s="643"/>
      <c r="TJP40" s="643"/>
      <c r="TJQ40" s="643"/>
      <c r="TJR40" s="643"/>
      <c r="TJS40" s="643"/>
      <c r="TJT40" s="643"/>
      <c r="TJU40" s="643"/>
      <c r="TJV40" s="643"/>
      <c r="TJW40" s="643"/>
      <c r="TJX40" s="643"/>
      <c r="TJY40" s="643"/>
      <c r="TJZ40" s="643"/>
      <c r="TKA40" s="643"/>
      <c r="TKB40" s="643"/>
      <c r="TKC40" s="643"/>
      <c r="TKD40" s="643"/>
      <c r="TKE40" s="643"/>
      <c r="TKF40" s="643"/>
      <c r="TKG40" s="643"/>
      <c r="TKH40" s="643"/>
      <c r="TKI40" s="643"/>
      <c r="TKJ40" s="643"/>
      <c r="TKK40" s="643"/>
      <c r="TKL40" s="643"/>
      <c r="TKM40" s="643"/>
      <c r="TKN40" s="643"/>
      <c r="TKO40" s="643"/>
      <c r="TKP40" s="643"/>
      <c r="TKQ40" s="643"/>
      <c r="TKR40" s="643"/>
      <c r="TKS40" s="643"/>
      <c r="TKT40" s="643"/>
      <c r="TKU40" s="643"/>
      <c r="TKV40" s="643"/>
      <c r="TKW40" s="643"/>
      <c r="TKX40" s="643"/>
      <c r="TKY40" s="643"/>
      <c r="TKZ40" s="643"/>
      <c r="TLA40" s="643"/>
      <c r="TLB40" s="643"/>
      <c r="TLC40" s="643"/>
      <c r="TLD40" s="643"/>
      <c r="TLE40" s="643"/>
      <c r="TLF40" s="643"/>
      <c r="TLG40" s="643"/>
      <c r="TLH40" s="643"/>
      <c r="TLI40" s="643"/>
      <c r="TLJ40" s="643"/>
      <c r="TLK40" s="643"/>
      <c r="TLL40" s="643"/>
      <c r="TLM40" s="643"/>
      <c r="TLN40" s="643"/>
      <c r="TLO40" s="643"/>
      <c r="TLP40" s="643"/>
      <c r="TLQ40" s="643"/>
      <c r="TLR40" s="643"/>
      <c r="TLS40" s="643"/>
      <c r="TLT40" s="643"/>
      <c r="TLU40" s="643"/>
      <c r="TLV40" s="643"/>
      <c r="TLW40" s="643"/>
      <c r="TLX40" s="643"/>
      <c r="TLY40" s="643"/>
      <c r="TLZ40" s="643"/>
      <c r="TMA40" s="643"/>
      <c r="TMB40" s="643"/>
      <c r="TMC40" s="643"/>
      <c r="TMD40" s="643"/>
      <c r="TME40" s="643"/>
      <c r="TMF40" s="643"/>
      <c r="TMG40" s="643"/>
      <c r="TMH40" s="643"/>
      <c r="TMI40" s="643"/>
      <c r="TMJ40" s="643"/>
      <c r="TMK40" s="643"/>
      <c r="TML40" s="643"/>
      <c r="TMM40" s="643"/>
      <c r="TMN40" s="643"/>
      <c r="TMO40" s="643"/>
      <c r="TMP40" s="643"/>
      <c r="TMQ40" s="643"/>
      <c r="TMR40" s="643"/>
      <c r="TMS40" s="643"/>
      <c r="TMT40" s="643"/>
      <c r="TMU40" s="643"/>
      <c r="TMV40" s="643"/>
      <c r="TMW40" s="643"/>
      <c r="TMX40" s="643"/>
      <c r="TMY40" s="643"/>
      <c r="TMZ40" s="643"/>
      <c r="TNA40" s="643"/>
      <c r="TNB40" s="643"/>
      <c r="TNC40" s="643"/>
      <c r="TND40" s="643"/>
      <c r="TNE40" s="643"/>
      <c r="TNF40" s="643"/>
      <c r="TNG40" s="643"/>
      <c r="TNH40" s="643"/>
      <c r="TNI40" s="643"/>
      <c r="TNJ40" s="643"/>
      <c r="TNK40" s="643"/>
      <c r="TNL40" s="643"/>
      <c r="TNM40" s="643"/>
      <c r="TNN40" s="643"/>
      <c r="TNO40" s="643"/>
      <c r="TNP40" s="643"/>
      <c r="TNQ40" s="643"/>
      <c r="TNR40" s="643"/>
      <c r="TNS40" s="643"/>
      <c r="TNT40" s="643"/>
      <c r="TNU40" s="643"/>
      <c r="TNV40" s="643"/>
      <c r="TNW40" s="643"/>
      <c r="TNX40" s="643"/>
      <c r="TNY40" s="643"/>
      <c r="TNZ40" s="643"/>
      <c r="TOA40" s="643"/>
      <c r="TOB40" s="643"/>
      <c r="TOC40" s="643"/>
      <c r="TOD40" s="643"/>
      <c r="TOE40" s="643"/>
      <c r="TOF40" s="643"/>
      <c r="TOG40" s="643"/>
      <c r="TOH40" s="643"/>
      <c r="TOI40" s="643"/>
      <c r="TOJ40" s="643"/>
      <c r="TOK40" s="643"/>
      <c r="TOL40" s="643"/>
      <c r="TOM40" s="643"/>
      <c r="TON40" s="643"/>
      <c r="TOO40" s="643"/>
      <c r="TOP40" s="643"/>
      <c r="TOQ40" s="643"/>
      <c r="TOR40" s="643"/>
      <c r="TOS40" s="643"/>
      <c r="TOT40" s="643"/>
      <c r="TOU40" s="643"/>
      <c r="TOV40" s="643"/>
      <c r="TOW40" s="643"/>
      <c r="TOX40" s="643"/>
      <c r="TOY40" s="643"/>
      <c r="TOZ40" s="643"/>
      <c r="TPA40" s="643"/>
      <c r="TPB40" s="643"/>
      <c r="TPC40" s="643"/>
      <c r="TPD40" s="643"/>
      <c r="TPE40" s="643"/>
      <c r="TPF40" s="643"/>
      <c r="TPG40" s="643"/>
      <c r="TPH40" s="643"/>
      <c r="TPI40" s="643"/>
      <c r="TPJ40" s="643"/>
      <c r="TPK40" s="643"/>
      <c r="TPL40" s="643"/>
      <c r="TPM40" s="643"/>
      <c r="TPN40" s="643"/>
      <c r="TPO40" s="643"/>
      <c r="TPP40" s="643"/>
      <c r="TPQ40" s="643"/>
      <c r="TPR40" s="643"/>
      <c r="TPS40" s="643"/>
      <c r="TPT40" s="643"/>
      <c r="TPU40" s="643"/>
      <c r="TPV40" s="643"/>
      <c r="TPW40" s="643"/>
      <c r="TPX40" s="643"/>
      <c r="TPY40" s="643"/>
      <c r="TPZ40" s="643"/>
      <c r="TQA40" s="643"/>
      <c r="TQB40" s="643"/>
      <c r="TQC40" s="643"/>
      <c r="TQD40" s="643"/>
      <c r="TQE40" s="643"/>
      <c r="TQF40" s="643"/>
      <c r="TQG40" s="643"/>
      <c r="TQH40" s="643"/>
      <c r="TQI40" s="643"/>
      <c r="TQJ40" s="643"/>
      <c r="TQK40" s="643"/>
      <c r="TQL40" s="643"/>
      <c r="TQM40" s="643"/>
      <c r="TQN40" s="643"/>
      <c r="TQO40" s="643"/>
      <c r="TQP40" s="643"/>
      <c r="TQQ40" s="643"/>
      <c r="TQR40" s="643"/>
      <c r="TQS40" s="643"/>
      <c r="TQT40" s="643"/>
      <c r="TQU40" s="643"/>
      <c r="TQV40" s="643"/>
      <c r="TQW40" s="643"/>
      <c r="TQX40" s="643"/>
      <c r="TQY40" s="643"/>
      <c r="TQZ40" s="643"/>
      <c r="TRA40" s="643"/>
      <c r="TRB40" s="643"/>
      <c r="TRC40" s="643"/>
      <c r="TRD40" s="643"/>
      <c r="TRE40" s="643"/>
      <c r="TRF40" s="643"/>
      <c r="TRG40" s="643"/>
      <c r="TRH40" s="643"/>
      <c r="TRI40" s="643"/>
      <c r="TRJ40" s="643"/>
      <c r="TRK40" s="643"/>
      <c r="TRL40" s="643"/>
      <c r="TRM40" s="643"/>
      <c r="TRN40" s="643"/>
      <c r="TRO40" s="643"/>
      <c r="TRP40" s="643"/>
      <c r="TRQ40" s="643"/>
      <c r="TRR40" s="643"/>
      <c r="TRS40" s="643"/>
      <c r="TRT40" s="643"/>
      <c r="TRU40" s="643"/>
      <c r="TRV40" s="643"/>
      <c r="TRW40" s="643"/>
      <c r="TRX40" s="643"/>
      <c r="TRY40" s="643"/>
      <c r="TRZ40" s="643"/>
      <c r="TSA40" s="643"/>
      <c r="TSB40" s="643"/>
      <c r="TSC40" s="643"/>
      <c r="TSD40" s="643"/>
      <c r="TSE40" s="643"/>
      <c r="TSF40" s="643"/>
      <c r="TSG40" s="643"/>
      <c r="TSH40" s="643"/>
      <c r="TSI40" s="643"/>
      <c r="TSJ40" s="643"/>
      <c r="TSK40" s="643"/>
      <c r="TSL40" s="643"/>
      <c r="TSM40" s="643"/>
      <c r="TSN40" s="643"/>
      <c r="TSO40" s="643"/>
      <c r="TSP40" s="643"/>
      <c r="TSQ40" s="643"/>
      <c r="TSR40" s="643"/>
      <c r="TSS40" s="643"/>
      <c r="TST40" s="643"/>
      <c r="TSU40" s="643"/>
      <c r="TSV40" s="643"/>
      <c r="TSW40" s="643"/>
      <c r="TSX40" s="643"/>
      <c r="TSY40" s="643"/>
      <c r="TSZ40" s="643"/>
      <c r="TTA40" s="643"/>
      <c r="TTB40" s="643"/>
      <c r="TTC40" s="643"/>
      <c r="TTD40" s="643"/>
      <c r="TTE40" s="643"/>
      <c r="TTF40" s="643"/>
      <c r="TTG40" s="643"/>
      <c r="TTH40" s="643"/>
      <c r="TTI40" s="643"/>
      <c r="TTJ40" s="643"/>
      <c r="TTK40" s="643"/>
      <c r="TTL40" s="643"/>
      <c r="TTM40" s="643"/>
      <c r="TTN40" s="643"/>
      <c r="TTO40" s="643"/>
      <c r="TTP40" s="643"/>
      <c r="TTQ40" s="643"/>
      <c r="TTR40" s="643"/>
      <c r="TTS40" s="643"/>
      <c r="TTT40" s="643"/>
      <c r="TTU40" s="643"/>
      <c r="TTV40" s="643"/>
      <c r="TTW40" s="643"/>
      <c r="TTX40" s="643"/>
      <c r="TTY40" s="643"/>
      <c r="TTZ40" s="643"/>
      <c r="TUA40" s="643"/>
      <c r="TUB40" s="643"/>
      <c r="TUC40" s="643"/>
      <c r="TUD40" s="643"/>
      <c r="TUE40" s="643"/>
      <c r="TUF40" s="643"/>
      <c r="TUG40" s="643"/>
      <c r="TUH40" s="643"/>
      <c r="TUI40" s="643"/>
      <c r="TUJ40" s="643"/>
      <c r="TUK40" s="643"/>
      <c r="TUL40" s="643"/>
      <c r="TUM40" s="643"/>
      <c r="TUN40" s="643"/>
      <c r="TUO40" s="643"/>
      <c r="TUP40" s="643"/>
      <c r="TUQ40" s="643"/>
      <c r="TUR40" s="643"/>
      <c r="TUS40" s="643"/>
      <c r="TUT40" s="643"/>
      <c r="TUU40" s="643"/>
      <c r="TUV40" s="643"/>
      <c r="TUW40" s="643"/>
      <c r="TUX40" s="643"/>
      <c r="TUY40" s="643"/>
      <c r="TUZ40" s="643"/>
      <c r="TVA40" s="643"/>
      <c r="TVB40" s="643"/>
      <c r="TVC40" s="643"/>
      <c r="TVD40" s="643"/>
      <c r="TVE40" s="643"/>
      <c r="TVF40" s="643"/>
      <c r="TVG40" s="643"/>
      <c r="TVH40" s="643"/>
      <c r="TVI40" s="643"/>
      <c r="TVJ40" s="643"/>
      <c r="TVK40" s="643"/>
      <c r="TVL40" s="643"/>
      <c r="TVM40" s="643"/>
      <c r="TVN40" s="643"/>
      <c r="TVO40" s="643"/>
      <c r="TVP40" s="643"/>
      <c r="TVQ40" s="643"/>
      <c r="TVR40" s="643"/>
      <c r="TVS40" s="643"/>
      <c r="TVT40" s="643"/>
      <c r="TVU40" s="643"/>
      <c r="TVV40" s="643"/>
      <c r="TVW40" s="643"/>
      <c r="TVX40" s="643"/>
      <c r="TVY40" s="643"/>
      <c r="TVZ40" s="643"/>
      <c r="TWA40" s="643"/>
      <c r="TWB40" s="643"/>
      <c r="TWC40" s="643"/>
      <c r="TWD40" s="643"/>
      <c r="TWE40" s="643"/>
      <c r="TWF40" s="643"/>
      <c r="TWG40" s="643"/>
      <c r="TWH40" s="643"/>
      <c r="TWI40" s="643"/>
      <c r="TWJ40" s="643"/>
      <c r="TWK40" s="643"/>
      <c r="TWL40" s="643"/>
      <c r="TWM40" s="643"/>
      <c r="TWN40" s="643"/>
      <c r="TWO40" s="643"/>
      <c r="TWP40" s="643"/>
      <c r="TWQ40" s="643"/>
      <c r="TWR40" s="643"/>
      <c r="TWS40" s="643"/>
      <c r="TWT40" s="643"/>
      <c r="TWU40" s="643"/>
      <c r="TWV40" s="643"/>
      <c r="TWW40" s="643"/>
      <c r="TWX40" s="643"/>
      <c r="TWY40" s="643"/>
      <c r="TWZ40" s="643"/>
      <c r="TXA40" s="643"/>
      <c r="TXB40" s="643"/>
      <c r="TXC40" s="643"/>
      <c r="TXD40" s="643"/>
      <c r="TXE40" s="643"/>
      <c r="TXF40" s="643"/>
      <c r="TXG40" s="643"/>
      <c r="TXH40" s="643"/>
      <c r="TXI40" s="643"/>
      <c r="TXJ40" s="643"/>
      <c r="TXK40" s="643"/>
      <c r="TXL40" s="643"/>
      <c r="TXM40" s="643"/>
      <c r="TXN40" s="643"/>
      <c r="TXO40" s="643"/>
      <c r="TXP40" s="643"/>
      <c r="TXQ40" s="643"/>
      <c r="TXR40" s="643"/>
      <c r="TXS40" s="643"/>
      <c r="TXT40" s="643"/>
      <c r="TXU40" s="643"/>
      <c r="TXV40" s="643"/>
      <c r="TXW40" s="643"/>
      <c r="TXX40" s="643"/>
      <c r="TXY40" s="643"/>
      <c r="TXZ40" s="643"/>
      <c r="TYA40" s="643"/>
      <c r="TYB40" s="643"/>
      <c r="TYC40" s="643"/>
      <c r="TYD40" s="643"/>
      <c r="TYE40" s="643"/>
      <c r="TYF40" s="643"/>
      <c r="TYG40" s="643"/>
      <c r="TYH40" s="643"/>
      <c r="TYI40" s="643"/>
      <c r="TYJ40" s="643"/>
      <c r="TYK40" s="643"/>
      <c r="TYL40" s="643"/>
      <c r="TYM40" s="643"/>
      <c r="TYN40" s="643"/>
      <c r="TYO40" s="643"/>
      <c r="TYP40" s="643"/>
      <c r="TYQ40" s="643"/>
      <c r="TYR40" s="643"/>
      <c r="TYS40" s="643"/>
      <c r="TYT40" s="643"/>
      <c r="TYU40" s="643"/>
      <c r="TYV40" s="643"/>
      <c r="TYW40" s="643"/>
      <c r="TYX40" s="643"/>
      <c r="TYY40" s="643"/>
      <c r="TYZ40" s="643"/>
      <c r="TZA40" s="643"/>
      <c r="TZB40" s="643"/>
      <c r="TZC40" s="643"/>
      <c r="TZD40" s="643"/>
      <c r="TZE40" s="643"/>
      <c r="TZF40" s="643"/>
      <c r="TZG40" s="643"/>
      <c r="TZH40" s="643"/>
      <c r="TZI40" s="643"/>
      <c r="TZJ40" s="643"/>
      <c r="TZK40" s="643"/>
      <c r="TZL40" s="643"/>
      <c r="TZM40" s="643"/>
      <c r="TZN40" s="643"/>
      <c r="TZO40" s="643"/>
      <c r="TZP40" s="643"/>
      <c r="TZQ40" s="643"/>
      <c r="TZR40" s="643"/>
      <c r="TZS40" s="643"/>
      <c r="TZT40" s="643"/>
      <c r="TZU40" s="643"/>
      <c r="TZV40" s="643"/>
      <c r="TZW40" s="643"/>
      <c r="TZX40" s="643"/>
      <c r="TZY40" s="643"/>
      <c r="TZZ40" s="643"/>
      <c r="UAA40" s="643"/>
      <c r="UAB40" s="643"/>
      <c r="UAC40" s="643"/>
      <c r="UAD40" s="643"/>
      <c r="UAE40" s="643"/>
      <c r="UAF40" s="643"/>
      <c r="UAG40" s="643"/>
      <c r="UAH40" s="643"/>
      <c r="UAI40" s="643"/>
      <c r="UAJ40" s="643"/>
      <c r="UAK40" s="643"/>
      <c r="UAL40" s="643"/>
      <c r="UAM40" s="643"/>
      <c r="UAN40" s="643"/>
      <c r="UAO40" s="643"/>
      <c r="UAP40" s="643"/>
      <c r="UAQ40" s="643"/>
      <c r="UAR40" s="643"/>
      <c r="UAS40" s="643"/>
      <c r="UAT40" s="643"/>
      <c r="UAU40" s="643"/>
      <c r="UAV40" s="643"/>
      <c r="UAW40" s="643"/>
      <c r="UAX40" s="643"/>
      <c r="UAY40" s="643"/>
      <c r="UAZ40" s="643"/>
      <c r="UBA40" s="643"/>
      <c r="UBB40" s="643"/>
      <c r="UBC40" s="643"/>
      <c r="UBD40" s="643"/>
      <c r="UBE40" s="643"/>
      <c r="UBF40" s="643"/>
      <c r="UBG40" s="643"/>
      <c r="UBH40" s="643"/>
      <c r="UBI40" s="643"/>
      <c r="UBJ40" s="643"/>
      <c r="UBK40" s="643"/>
      <c r="UBL40" s="643"/>
      <c r="UBM40" s="643"/>
      <c r="UBN40" s="643"/>
      <c r="UBO40" s="643"/>
      <c r="UBP40" s="643"/>
      <c r="UBQ40" s="643"/>
      <c r="UBR40" s="643"/>
      <c r="UBS40" s="643"/>
      <c r="UBT40" s="643"/>
      <c r="UBU40" s="643"/>
      <c r="UBV40" s="643"/>
      <c r="UBW40" s="643"/>
      <c r="UBX40" s="643"/>
      <c r="UBY40" s="643"/>
      <c r="UBZ40" s="643"/>
      <c r="UCA40" s="643"/>
      <c r="UCB40" s="643"/>
      <c r="UCC40" s="643"/>
      <c r="UCD40" s="643"/>
      <c r="UCE40" s="643"/>
      <c r="UCF40" s="643"/>
      <c r="UCG40" s="643"/>
      <c r="UCH40" s="643"/>
      <c r="UCI40" s="643"/>
      <c r="UCJ40" s="643"/>
      <c r="UCK40" s="643"/>
      <c r="UCL40" s="643"/>
      <c r="UCM40" s="643"/>
      <c r="UCN40" s="643"/>
      <c r="UCO40" s="643"/>
      <c r="UCP40" s="643"/>
      <c r="UCQ40" s="643"/>
      <c r="UCR40" s="643"/>
      <c r="UCS40" s="643"/>
      <c r="UCT40" s="643"/>
      <c r="UCU40" s="643"/>
      <c r="UCV40" s="643"/>
      <c r="UCW40" s="643"/>
      <c r="UCX40" s="643"/>
      <c r="UCY40" s="643"/>
      <c r="UCZ40" s="643"/>
      <c r="UDA40" s="643"/>
      <c r="UDB40" s="643"/>
      <c r="UDC40" s="643"/>
      <c r="UDD40" s="643"/>
      <c r="UDE40" s="643"/>
      <c r="UDF40" s="643"/>
      <c r="UDG40" s="643"/>
      <c r="UDH40" s="643"/>
      <c r="UDI40" s="643"/>
      <c r="UDJ40" s="643"/>
      <c r="UDK40" s="643"/>
      <c r="UDL40" s="643"/>
      <c r="UDM40" s="643"/>
      <c r="UDN40" s="643"/>
      <c r="UDO40" s="643"/>
      <c r="UDP40" s="643"/>
      <c r="UDQ40" s="643"/>
      <c r="UDR40" s="643"/>
      <c r="UDS40" s="643"/>
      <c r="UDT40" s="643"/>
      <c r="UDU40" s="643"/>
      <c r="UDV40" s="643"/>
      <c r="UDW40" s="643"/>
      <c r="UDX40" s="643"/>
      <c r="UDY40" s="643"/>
      <c r="UDZ40" s="643"/>
      <c r="UEA40" s="643"/>
      <c r="UEB40" s="643"/>
      <c r="UEC40" s="643"/>
      <c r="UED40" s="643"/>
      <c r="UEE40" s="643"/>
      <c r="UEF40" s="643"/>
      <c r="UEG40" s="643"/>
      <c r="UEH40" s="643"/>
      <c r="UEI40" s="643"/>
      <c r="UEJ40" s="643"/>
      <c r="UEK40" s="643"/>
      <c r="UEL40" s="643"/>
      <c r="UEM40" s="643"/>
      <c r="UEN40" s="643"/>
      <c r="UEO40" s="643"/>
      <c r="UEP40" s="643"/>
      <c r="UEQ40" s="643"/>
      <c r="UER40" s="643"/>
      <c r="UES40" s="643"/>
      <c r="UET40" s="643"/>
      <c r="UEU40" s="643"/>
      <c r="UEV40" s="643"/>
      <c r="UEW40" s="643"/>
      <c r="UEX40" s="643"/>
      <c r="UEY40" s="643"/>
      <c r="UEZ40" s="643"/>
      <c r="UFA40" s="643"/>
      <c r="UFB40" s="643"/>
      <c r="UFC40" s="643"/>
      <c r="UFD40" s="643"/>
      <c r="UFE40" s="643"/>
      <c r="UFF40" s="643"/>
      <c r="UFG40" s="643"/>
      <c r="UFH40" s="643"/>
      <c r="UFI40" s="643"/>
      <c r="UFJ40" s="643"/>
      <c r="UFK40" s="643"/>
      <c r="UFL40" s="643"/>
      <c r="UFM40" s="643"/>
      <c r="UFN40" s="643"/>
      <c r="UFO40" s="643"/>
      <c r="UFP40" s="643"/>
      <c r="UFQ40" s="643"/>
      <c r="UFR40" s="643"/>
      <c r="UFS40" s="643"/>
      <c r="UFT40" s="643"/>
      <c r="UFU40" s="643"/>
      <c r="UFV40" s="643"/>
      <c r="UFW40" s="643"/>
      <c r="UFX40" s="643"/>
      <c r="UFY40" s="643"/>
      <c r="UFZ40" s="643"/>
      <c r="UGA40" s="643"/>
      <c r="UGB40" s="643"/>
      <c r="UGC40" s="643"/>
      <c r="UGD40" s="643"/>
      <c r="UGE40" s="643"/>
      <c r="UGF40" s="643"/>
      <c r="UGG40" s="643"/>
      <c r="UGH40" s="643"/>
      <c r="UGI40" s="643"/>
      <c r="UGJ40" s="643"/>
      <c r="UGK40" s="643"/>
      <c r="UGL40" s="643"/>
      <c r="UGM40" s="643"/>
      <c r="UGN40" s="643"/>
      <c r="UGO40" s="643"/>
      <c r="UGP40" s="643"/>
      <c r="UGQ40" s="643"/>
      <c r="UGR40" s="643"/>
      <c r="UGS40" s="643"/>
      <c r="UGT40" s="643"/>
      <c r="UGU40" s="643"/>
      <c r="UGV40" s="643"/>
      <c r="UGW40" s="643"/>
      <c r="UGX40" s="643"/>
      <c r="UGY40" s="643"/>
      <c r="UGZ40" s="643"/>
      <c r="UHA40" s="643"/>
      <c r="UHB40" s="643"/>
      <c r="UHC40" s="643"/>
      <c r="UHD40" s="643"/>
      <c r="UHE40" s="643"/>
      <c r="UHF40" s="643"/>
      <c r="UHG40" s="643"/>
      <c r="UHH40" s="643"/>
      <c r="UHI40" s="643"/>
      <c r="UHJ40" s="643"/>
      <c r="UHK40" s="643"/>
      <c r="UHL40" s="643"/>
      <c r="UHM40" s="643"/>
      <c r="UHN40" s="643"/>
      <c r="UHO40" s="643"/>
      <c r="UHP40" s="643"/>
      <c r="UHQ40" s="643"/>
      <c r="UHR40" s="643"/>
      <c r="UHS40" s="643"/>
      <c r="UHT40" s="643"/>
      <c r="UHU40" s="643"/>
      <c r="UHV40" s="643"/>
      <c r="UHW40" s="643"/>
      <c r="UHX40" s="643"/>
      <c r="UHY40" s="643"/>
      <c r="UHZ40" s="643"/>
      <c r="UIA40" s="643"/>
      <c r="UIB40" s="643"/>
      <c r="UIC40" s="643"/>
      <c r="UID40" s="643"/>
      <c r="UIE40" s="643"/>
      <c r="UIF40" s="643"/>
      <c r="UIG40" s="643"/>
      <c r="UIH40" s="643"/>
      <c r="UII40" s="643"/>
      <c r="UIJ40" s="643"/>
      <c r="UIK40" s="643"/>
      <c r="UIL40" s="643"/>
      <c r="UIM40" s="643"/>
      <c r="UIN40" s="643"/>
      <c r="UIO40" s="643"/>
      <c r="UIP40" s="643"/>
      <c r="UIQ40" s="643"/>
      <c r="UIR40" s="643"/>
      <c r="UIS40" s="643"/>
      <c r="UIT40" s="643"/>
      <c r="UIU40" s="643"/>
      <c r="UIV40" s="643"/>
      <c r="UIW40" s="643"/>
      <c r="UIX40" s="643"/>
      <c r="UIY40" s="643"/>
      <c r="UIZ40" s="643"/>
      <c r="UJA40" s="643"/>
      <c r="UJB40" s="643"/>
      <c r="UJC40" s="643"/>
      <c r="UJD40" s="643"/>
      <c r="UJE40" s="643"/>
      <c r="UJF40" s="643"/>
      <c r="UJG40" s="643"/>
      <c r="UJH40" s="643"/>
      <c r="UJI40" s="643"/>
      <c r="UJJ40" s="643"/>
      <c r="UJK40" s="643"/>
      <c r="UJL40" s="643"/>
      <c r="UJM40" s="643"/>
      <c r="UJN40" s="643"/>
      <c r="UJO40" s="643"/>
      <c r="UJP40" s="643"/>
      <c r="UJQ40" s="643"/>
      <c r="UJR40" s="643"/>
      <c r="UJS40" s="643"/>
      <c r="UJT40" s="643"/>
      <c r="UJU40" s="643"/>
      <c r="UJV40" s="643"/>
      <c r="UJW40" s="643"/>
      <c r="UJX40" s="643"/>
      <c r="UJY40" s="643"/>
      <c r="UJZ40" s="643"/>
      <c r="UKA40" s="643"/>
      <c r="UKB40" s="643"/>
      <c r="UKC40" s="643"/>
      <c r="UKD40" s="643"/>
      <c r="UKE40" s="643"/>
      <c r="UKF40" s="643"/>
      <c r="UKG40" s="643"/>
      <c r="UKH40" s="643"/>
      <c r="UKI40" s="643"/>
      <c r="UKJ40" s="643"/>
      <c r="UKK40" s="643"/>
      <c r="UKL40" s="643"/>
      <c r="UKM40" s="643"/>
      <c r="UKN40" s="643"/>
      <c r="UKO40" s="643"/>
      <c r="UKP40" s="643"/>
      <c r="UKQ40" s="643"/>
      <c r="UKR40" s="643"/>
      <c r="UKS40" s="643"/>
      <c r="UKT40" s="643"/>
      <c r="UKU40" s="643"/>
      <c r="UKV40" s="643"/>
      <c r="UKW40" s="643"/>
      <c r="UKX40" s="643"/>
      <c r="UKY40" s="643"/>
      <c r="UKZ40" s="643"/>
      <c r="ULA40" s="643"/>
      <c r="ULB40" s="643"/>
      <c r="ULC40" s="643"/>
      <c r="ULD40" s="643"/>
      <c r="ULE40" s="643"/>
      <c r="ULF40" s="643"/>
      <c r="ULG40" s="643"/>
      <c r="ULH40" s="643"/>
      <c r="ULI40" s="643"/>
      <c r="ULJ40" s="643"/>
      <c r="ULK40" s="643"/>
      <c r="ULL40" s="643"/>
      <c r="ULM40" s="643"/>
      <c r="ULN40" s="643"/>
      <c r="ULO40" s="643"/>
      <c r="ULP40" s="643"/>
      <c r="ULQ40" s="643"/>
      <c r="ULR40" s="643"/>
      <c r="ULS40" s="643"/>
      <c r="ULT40" s="643"/>
      <c r="ULU40" s="643"/>
      <c r="ULV40" s="643"/>
      <c r="ULW40" s="643"/>
      <c r="ULX40" s="643"/>
      <c r="ULY40" s="643"/>
      <c r="ULZ40" s="643"/>
      <c r="UMA40" s="643"/>
      <c r="UMB40" s="643"/>
      <c r="UMC40" s="643"/>
      <c r="UMD40" s="643"/>
      <c r="UME40" s="643"/>
      <c r="UMF40" s="643"/>
      <c r="UMG40" s="643"/>
      <c r="UMH40" s="643"/>
      <c r="UMI40" s="643"/>
      <c r="UMJ40" s="643"/>
      <c r="UMK40" s="643"/>
      <c r="UML40" s="643"/>
      <c r="UMM40" s="643"/>
      <c r="UMN40" s="643"/>
      <c r="UMO40" s="643"/>
      <c r="UMP40" s="643"/>
      <c r="UMQ40" s="643"/>
      <c r="UMR40" s="643"/>
      <c r="UMS40" s="643"/>
      <c r="UMT40" s="643"/>
      <c r="UMU40" s="643"/>
      <c r="UMV40" s="643"/>
      <c r="UMW40" s="643"/>
      <c r="UMX40" s="643"/>
      <c r="UMY40" s="643"/>
      <c r="UMZ40" s="643"/>
      <c r="UNA40" s="643"/>
      <c r="UNB40" s="643"/>
      <c r="UNC40" s="643"/>
      <c r="UND40" s="643"/>
      <c r="UNE40" s="643"/>
      <c r="UNF40" s="643"/>
      <c r="UNG40" s="643"/>
      <c r="UNH40" s="643"/>
      <c r="UNI40" s="643"/>
      <c r="UNJ40" s="643"/>
      <c r="UNK40" s="643"/>
      <c r="UNL40" s="643"/>
      <c r="UNM40" s="643"/>
      <c r="UNN40" s="643"/>
      <c r="UNO40" s="643"/>
      <c r="UNP40" s="643"/>
      <c r="UNQ40" s="643"/>
      <c r="UNR40" s="643"/>
      <c r="UNS40" s="643"/>
      <c r="UNT40" s="643"/>
      <c r="UNU40" s="643"/>
      <c r="UNV40" s="643"/>
      <c r="UNW40" s="643"/>
      <c r="UNX40" s="643"/>
      <c r="UNY40" s="643"/>
      <c r="UNZ40" s="643"/>
      <c r="UOA40" s="643"/>
      <c r="UOB40" s="643"/>
      <c r="UOC40" s="643"/>
      <c r="UOD40" s="643"/>
      <c r="UOE40" s="643"/>
      <c r="UOF40" s="643"/>
      <c r="UOG40" s="643"/>
      <c r="UOH40" s="643"/>
      <c r="UOI40" s="643"/>
      <c r="UOJ40" s="643"/>
      <c r="UOK40" s="643"/>
      <c r="UOL40" s="643"/>
      <c r="UOM40" s="643"/>
      <c r="UON40" s="643"/>
      <c r="UOO40" s="643"/>
      <c r="UOP40" s="643"/>
      <c r="UOQ40" s="643"/>
      <c r="UOR40" s="643"/>
      <c r="UOS40" s="643"/>
      <c r="UOT40" s="643"/>
      <c r="UOU40" s="643"/>
      <c r="UOV40" s="643"/>
      <c r="UOW40" s="643"/>
      <c r="UOX40" s="643"/>
      <c r="UOY40" s="643"/>
      <c r="UOZ40" s="643"/>
      <c r="UPA40" s="643"/>
      <c r="UPB40" s="643"/>
      <c r="UPC40" s="643"/>
      <c r="UPD40" s="643"/>
      <c r="UPE40" s="643"/>
      <c r="UPF40" s="643"/>
      <c r="UPG40" s="643"/>
      <c r="UPH40" s="643"/>
      <c r="UPI40" s="643"/>
      <c r="UPJ40" s="643"/>
      <c r="UPK40" s="643"/>
      <c r="UPL40" s="643"/>
      <c r="UPM40" s="643"/>
      <c r="UPN40" s="643"/>
      <c r="UPO40" s="643"/>
      <c r="UPP40" s="643"/>
      <c r="UPQ40" s="643"/>
      <c r="UPR40" s="643"/>
      <c r="UPS40" s="643"/>
      <c r="UPT40" s="643"/>
      <c r="UPU40" s="643"/>
      <c r="UPV40" s="643"/>
      <c r="UPW40" s="643"/>
      <c r="UPX40" s="643"/>
      <c r="UPY40" s="643"/>
      <c r="UPZ40" s="643"/>
      <c r="UQA40" s="643"/>
      <c r="UQB40" s="643"/>
      <c r="UQC40" s="643"/>
      <c r="UQD40" s="643"/>
      <c r="UQE40" s="643"/>
      <c r="UQF40" s="643"/>
      <c r="UQG40" s="643"/>
      <c r="UQH40" s="643"/>
      <c r="UQI40" s="643"/>
      <c r="UQJ40" s="643"/>
      <c r="UQK40" s="643"/>
      <c r="UQL40" s="643"/>
      <c r="UQM40" s="643"/>
      <c r="UQN40" s="643"/>
      <c r="UQO40" s="643"/>
      <c r="UQP40" s="643"/>
      <c r="UQQ40" s="643"/>
      <c r="UQR40" s="643"/>
      <c r="UQS40" s="643"/>
      <c r="UQT40" s="643"/>
      <c r="UQU40" s="643"/>
      <c r="UQV40" s="643"/>
      <c r="UQW40" s="643"/>
      <c r="UQX40" s="643"/>
      <c r="UQY40" s="643"/>
      <c r="UQZ40" s="643"/>
      <c r="URA40" s="643"/>
      <c r="URB40" s="643"/>
      <c r="URC40" s="643"/>
      <c r="URD40" s="643"/>
      <c r="URE40" s="643"/>
      <c r="URF40" s="643"/>
      <c r="URG40" s="643"/>
      <c r="URH40" s="643"/>
      <c r="URI40" s="643"/>
      <c r="URJ40" s="643"/>
      <c r="URK40" s="643"/>
      <c r="URL40" s="643"/>
      <c r="URM40" s="643"/>
      <c r="URN40" s="643"/>
      <c r="URO40" s="643"/>
      <c r="URP40" s="643"/>
      <c r="URQ40" s="643"/>
      <c r="URR40" s="643"/>
      <c r="URS40" s="643"/>
      <c r="URT40" s="643"/>
      <c r="URU40" s="643"/>
      <c r="URV40" s="643"/>
      <c r="URW40" s="643"/>
      <c r="URX40" s="643"/>
      <c r="URY40" s="643"/>
      <c r="URZ40" s="643"/>
      <c r="USA40" s="643"/>
      <c r="USB40" s="643"/>
      <c r="USC40" s="643"/>
      <c r="USD40" s="643"/>
      <c r="USE40" s="643"/>
      <c r="USF40" s="643"/>
      <c r="USG40" s="643"/>
      <c r="USH40" s="643"/>
      <c r="USI40" s="643"/>
      <c r="USJ40" s="643"/>
      <c r="USK40" s="643"/>
      <c r="USL40" s="643"/>
      <c r="USM40" s="643"/>
      <c r="USN40" s="643"/>
      <c r="USO40" s="643"/>
      <c r="USP40" s="643"/>
      <c r="USQ40" s="643"/>
      <c r="USR40" s="643"/>
      <c r="USS40" s="643"/>
      <c r="UST40" s="643"/>
      <c r="USU40" s="643"/>
      <c r="USV40" s="643"/>
      <c r="USW40" s="643"/>
      <c r="USX40" s="643"/>
      <c r="USY40" s="643"/>
      <c r="USZ40" s="643"/>
      <c r="UTA40" s="643"/>
      <c r="UTB40" s="643"/>
      <c r="UTC40" s="643"/>
      <c r="UTD40" s="643"/>
      <c r="UTE40" s="643"/>
      <c r="UTF40" s="643"/>
      <c r="UTG40" s="643"/>
      <c r="UTH40" s="643"/>
      <c r="UTI40" s="643"/>
      <c r="UTJ40" s="643"/>
      <c r="UTK40" s="643"/>
      <c r="UTL40" s="643"/>
      <c r="UTM40" s="643"/>
      <c r="UTN40" s="643"/>
      <c r="UTO40" s="643"/>
      <c r="UTP40" s="643"/>
      <c r="UTQ40" s="643"/>
      <c r="UTR40" s="643"/>
      <c r="UTS40" s="643"/>
      <c r="UTT40" s="643"/>
      <c r="UTU40" s="643"/>
      <c r="UTV40" s="643"/>
      <c r="UTW40" s="643"/>
      <c r="UTX40" s="643"/>
      <c r="UTY40" s="643"/>
      <c r="UTZ40" s="643"/>
      <c r="UUA40" s="643"/>
      <c r="UUB40" s="643"/>
      <c r="UUC40" s="643"/>
      <c r="UUD40" s="643"/>
      <c r="UUE40" s="643"/>
      <c r="UUF40" s="643"/>
      <c r="UUG40" s="643"/>
      <c r="UUH40" s="643"/>
      <c r="UUI40" s="643"/>
      <c r="UUJ40" s="643"/>
      <c r="UUK40" s="643"/>
      <c r="UUL40" s="643"/>
      <c r="UUM40" s="643"/>
      <c r="UUN40" s="643"/>
      <c r="UUO40" s="643"/>
      <c r="UUP40" s="643"/>
      <c r="UUQ40" s="643"/>
      <c r="UUR40" s="643"/>
      <c r="UUS40" s="643"/>
      <c r="UUT40" s="643"/>
      <c r="UUU40" s="643"/>
      <c r="UUV40" s="643"/>
      <c r="UUW40" s="643"/>
      <c r="UUX40" s="643"/>
      <c r="UUY40" s="643"/>
      <c r="UUZ40" s="643"/>
      <c r="UVA40" s="643"/>
      <c r="UVB40" s="643"/>
      <c r="UVC40" s="643"/>
      <c r="UVD40" s="643"/>
      <c r="UVE40" s="643"/>
      <c r="UVF40" s="643"/>
      <c r="UVG40" s="643"/>
      <c r="UVH40" s="643"/>
      <c r="UVI40" s="643"/>
      <c r="UVJ40" s="643"/>
      <c r="UVK40" s="643"/>
      <c r="UVL40" s="643"/>
      <c r="UVM40" s="643"/>
      <c r="UVN40" s="643"/>
      <c r="UVO40" s="643"/>
      <c r="UVP40" s="643"/>
      <c r="UVQ40" s="643"/>
      <c r="UVR40" s="643"/>
      <c r="UVS40" s="643"/>
      <c r="UVT40" s="643"/>
      <c r="UVU40" s="643"/>
      <c r="UVV40" s="643"/>
      <c r="UVW40" s="643"/>
      <c r="UVX40" s="643"/>
      <c r="UVY40" s="643"/>
      <c r="UVZ40" s="643"/>
      <c r="UWA40" s="643"/>
      <c r="UWB40" s="643"/>
      <c r="UWC40" s="643"/>
      <c r="UWD40" s="643"/>
      <c r="UWE40" s="643"/>
      <c r="UWF40" s="643"/>
      <c r="UWG40" s="643"/>
      <c r="UWH40" s="643"/>
      <c r="UWI40" s="643"/>
      <c r="UWJ40" s="643"/>
      <c r="UWK40" s="643"/>
      <c r="UWL40" s="643"/>
      <c r="UWM40" s="643"/>
      <c r="UWN40" s="643"/>
      <c r="UWO40" s="643"/>
      <c r="UWP40" s="643"/>
      <c r="UWQ40" s="643"/>
      <c r="UWR40" s="643"/>
      <c r="UWS40" s="643"/>
      <c r="UWT40" s="643"/>
      <c r="UWU40" s="643"/>
      <c r="UWV40" s="643"/>
      <c r="UWW40" s="643"/>
      <c r="UWX40" s="643"/>
      <c r="UWY40" s="643"/>
      <c r="UWZ40" s="643"/>
      <c r="UXA40" s="643"/>
      <c r="UXB40" s="643"/>
      <c r="UXC40" s="643"/>
      <c r="UXD40" s="643"/>
      <c r="UXE40" s="643"/>
      <c r="UXF40" s="643"/>
      <c r="UXG40" s="643"/>
      <c r="UXH40" s="643"/>
      <c r="UXI40" s="643"/>
      <c r="UXJ40" s="643"/>
      <c r="UXK40" s="643"/>
      <c r="UXL40" s="643"/>
      <c r="UXM40" s="643"/>
      <c r="UXN40" s="643"/>
      <c r="UXO40" s="643"/>
      <c r="UXP40" s="643"/>
      <c r="UXQ40" s="643"/>
      <c r="UXR40" s="643"/>
      <c r="UXS40" s="643"/>
      <c r="UXT40" s="643"/>
      <c r="UXU40" s="643"/>
      <c r="UXV40" s="643"/>
      <c r="UXW40" s="643"/>
      <c r="UXX40" s="643"/>
      <c r="UXY40" s="643"/>
      <c r="UXZ40" s="643"/>
      <c r="UYA40" s="643"/>
      <c r="UYB40" s="643"/>
      <c r="UYC40" s="643"/>
      <c r="UYD40" s="643"/>
      <c r="UYE40" s="643"/>
      <c r="UYF40" s="643"/>
      <c r="UYG40" s="643"/>
      <c r="UYH40" s="643"/>
      <c r="UYI40" s="643"/>
      <c r="UYJ40" s="643"/>
      <c r="UYK40" s="643"/>
      <c r="UYL40" s="643"/>
      <c r="UYM40" s="643"/>
      <c r="UYN40" s="643"/>
      <c r="UYO40" s="643"/>
      <c r="UYP40" s="643"/>
      <c r="UYQ40" s="643"/>
      <c r="UYR40" s="643"/>
      <c r="UYS40" s="643"/>
      <c r="UYT40" s="643"/>
      <c r="UYU40" s="643"/>
      <c r="UYV40" s="643"/>
      <c r="UYW40" s="643"/>
      <c r="UYX40" s="643"/>
      <c r="UYY40" s="643"/>
      <c r="UYZ40" s="643"/>
      <c r="UZA40" s="643"/>
      <c r="UZB40" s="643"/>
      <c r="UZC40" s="643"/>
      <c r="UZD40" s="643"/>
      <c r="UZE40" s="643"/>
      <c r="UZF40" s="643"/>
      <c r="UZG40" s="643"/>
      <c r="UZH40" s="643"/>
      <c r="UZI40" s="643"/>
      <c r="UZJ40" s="643"/>
      <c r="UZK40" s="643"/>
      <c r="UZL40" s="643"/>
      <c r="UZM40" s="643"/>
      <c r="UZN40" s="643"/>
      <c r="UZO40" s="643"/>
      <c r="UZP40" s="643"/>
      <c r="UZQ40" s="643"/>
      <c r="UZR40" s="643"/>
      <c r="UZS40" s="643"/>
      <c r="UZT40" s="643"/>
      <c r="UZU40" s="643"/>
      <c r="UZV40" s="643"/>
      <c r="UZW40" s="643"/>
      <c r="UZX40" s="643"/>
      <c r="UZY40" s="643"/>
      <c r="UZZ40" s="643"/>
      <c r="VAA40" s="643"/>
      <c r="VAB40" s="643"/>
      <c r="VAC40" s="643"/>
      <c r="VAD40" s="643"/>
      <c r="VAE40" s="643"/>
      <c r="VAF40" s="643"/>
      <c r="VAG40" s="643"/>
      <c r="VAH40" s="643"/>
      <c r="VAI40" s="643"/>
      <c r="VAJ40" s="643"/>
      <c r="VAK40" s="643"/>
      <c r="VAL40" s="643"/>
      <c r="VAM40" s="643"/>
      <c r="VAN40" s="643"/>
      <c r="VAO40" s="643"/>
      <c r="VAP40" s="643"/>
      <c r="VAQ40" s="643"/>
      <c r="VAR40" s="643"/>
      <c r="VAS40" s="643"/>
      <c r="VAT40" s="643"/>
      <c r="VAU40" s="643"/>
      <c r="VAV40" s="643"/>
      <c r="VAW40" s="643"/>
      <c r="VAX40" s="643"/>
      <c r="VAY40" s="643"/>
      <c r="VAZ40" s="643"/>
      <c r="VBA40" s="643"/>
      <c r="VBB40" s="643"/>
      <c r="VBC40" s="643"/>
      <c r="VBD40" s="643"/>
      <c r="VBE40" s="643"/>
      <c r="VBF40" s="643"/>
      <c r="VBG40" s="643"/>
      <c r="VBH40" s="643"/>
      <c r="VBI40" s="643"/>
      <c r="VBJ40" s="643"/>
      <c r="VBK40" s="643"/>
      <c r="VBL40" s="643"/>
      <c r="VBM40" s="643"/>
      <c r="VBN40" s="643"/>
      <c r="VBO40" s="643"/>
      <c r="VBP40" s="643"/>
      <c r="VBQ40" s="643"/>
      <c r="VBR40" s="643"/>
      <c r="VBS40" s="643"/>
      <c r="VBT40" s="643"/>
      <c r="VBU40" s="643"/>
      <c r="VBV40" s="643"/>
      <c r="VBW40" s="643"/>
      <c r="VBX40" s="643"/>
      <c r="VBY40" s="643"/>
      <c r="VBZ40" s="643"/>
      <c r="VCA40" s="643"/>
      <c r="VCB40" s="643"/>
      <c r="VCC40" s="643"/>
      <c r="VCD40" s="643"/>
      <c r="VCE40" s="643"/>
      <c r="VCF40" s="643"/>
      <c r="VCG40" s="643"/>
      <c r="VCH40" s="643"/>
      <c r="VCI40" s="643"/>
      <c r="VCJ40" s="643"/>
      <c r="VCK40" s="643"/>
      <c r="VCL40" s="643"/>
      <c r="VCM40" s="643"/>
      <c r="VCN40" s="643"/>
      <c r="VCO40" s="643"/>
      <c r="VCP40" s="643"/>
      <c r="VCQ40" s="643"/>
      <c r="VCR40" s="643"/>
      <c r="VCS40" s="643"/>
      <c r="VCT40" s="643"/>
      <c r="VCU40" s="643"/>
      <c r="VCV40" s="643"/>
      <c r="VCW40" s="643"/>
      <c r="VCX40" s="643"/>
      <c r="VCY40" s="643"/>
      <c r="VCZ40" s="643"/>
      <c r="VDA40" s="643"/>
      <c r="VDB40" s="643"/>
      <c r="VDC40" s="643"/>
      <c r="VDD40" s="643"/>
      <c r="VDE40" s="643"/>
      <c r="VDF40" s="643"/>
      <c r="VDG40" s="643"/>
      <c r="VDH40" s="643"/>
      <c r="VDI40" s="643"/>
      <c r="VDJ40" s="643"/>
      <c r="VDK40" s="643"/>
      <c r="VDL40" s="643"/>
      <c r="VDM40" s="643"/>
      <c r="VDN40" s="643"/>
      <c r="VDO40" s="643"/>
      <c r="VDP40" s="643"/>
      <c r="VDQ40" s="643"/>
      <c r="VDR40" s="643"/>
      <c r="VDS40" s="643"/>
      <c r="VDT40" s="643"/>
      <c r="VDU40" s="643"/>
      <c r="VDV40" s="643"/>
      <c r="VDW40" s="643"/>
      <c r="VDX40" s="643"/>
      <c r="VDY40" s="643"/>
      <c r="VDZ40" s="643"/>
      <c r="VEA40" s="643"/>
      <c r="VEB40" s="643"/>
      <c r="VEC40" s="643"/>
      <c r="VED40" s="643"/>
      <c r="VEE40" s="643"/>
      <c r="VEF40" s="643"/>
      <c r="VEG40" s="643"/>
      <c r="VEH40" s="643"/>
      <c r="VEI40" s="643"/>
      <c r="VEJ40" s="643"/>
      <c r="VEK40" s="643"/>
      <c r="VEL40" s="643"/>
      <c r="VEM40" s="643"/>
      <c r="VEN40" s="643"/>
      <c r="VEO40" s="643"/>
      <c r="VEP40" s="643"/>
      <c r="VEQ40" s="643"/>
      <c r="VER40" s="643"/>
      <c r="VES40" s="643"/>
      <c r="VET40" s="643"/>
      <c r="VEU40" s="643"/>
      <c r="VEV40" s="643"/>
      <c r="VEW40" s="643"/>
      <c r="VEX40" s="643"/>
      <c r="VEY40" s="643"/>
      <c r="VEZ40" s="643"/>
      <c r="VFA40" s="643"/>
      <c r="VFB40" s="643"/>
      <c r="VFC40" s="643"/>
      <c r="VFD40" s="643"/>
      <c r="VFE40" s="643"/>
      <c r="VFF40" s="643"/>
      <c r="VFG40" s="643"/>
      <c r="VFH40" s="643"/>
      <c r="VFI40" s="643"/>
      <c r="VFJ40" s="643"/>
      <c r="VFK40" s="643"/>
      <c r="VFL40" s="643"/>
      <c r="VFM40" s="643"/>
      <c r="VFN40" s="643"/>
      <c r="VFO40" s="643"/>
      <c r="VFP40" s="643"/>
      <c r="VFQ40" s="643"/>
      <c r="VFR40" s="643"/>
      <c r="VFS40" s="643"/>
      <c r="VFT40" s="643"/>
      <c r="VFU40" s="643"/>
      <c r="VFV40" s="643"/>
      <c r="VFW40" s="643"/>
      <c r="VFX40" s="643"/>
      <c r="VFY40" s="643"/>
      <c r="VFZ40" s="643"/>
      <c r="VGA40" s="643"/>
      <c r="VGB40" s="643"/>
      <c r="VGC40" s="643"/>
      <c r="VGD40" s="643"/>
      <c r="VGE40" s="643"/>
      <c r="VGF40" s="643"/>
      <c r="VGG40" s="643"/>
      <c r="VGH40" s="643"/>
      <c r="VGI40" s="643"/>
      <c r="VGJ40" s="643"/>
      <c r="VGK40" s="643"/>
      <c r="VGL40" s="643"/>
      <c r="VGM40" s="643"/>
      <c r="VGN40" s="643"/>
      <c r="VGO40" s="643"/>
      <c r="VGP40" s="643"/>
      <c r="VGQ40" s="643"/>
      <c r="VGR40" s="643"/>
      <c r="VGS40" s="643"/>
      <c r="VGT40" s="643"/>
      <c r="VGU40" s="643"/>
      <c r="VGV40" s="643"/>
      <c r="VGW40" s="643"/>
      <c r="VGX40" s="643"/>
      <c r="VGY40" s="643"/>
      <c r="VGZ40" s="643"/>
      <c r="VHA40" s="643"/>
      <c r="VHB40" s="643"/>
      <c r="VHC40" s="643"/>
      <c r="VHD40" s="643"/>
      <c r="VHE40" s="643"/>
      <c r="VHF40" s="643"/>
      <c r="VHG40" s="643"/>
      <c r="VHH40" s="643"/>
      <c r="VHI40" s="643"/>
      <c r="VHJ40" s="643"/>
      <c r="VHK40" s="643"/>
      <c r="VHL40" s="643"/>
      <c r="VHM40" s="643"/>
      <c r="VHN40" s="643"/>
      <c r="VHO40" s="643"/>
      <c r="VHP40" s="643"/>
      <c r="VHQ40" s="643"/>
      <c r="VHR40" s="643"/>
      <c r="VHS40" s="643"/>
      <c r="VHT40" s="643"/>
      <c r="VHU40" s="643"/>
      <c r="VHV40" s="643"/>
      <c r="VHW40" s="643"/>
      <c r="VHX40" s="643"/>
      <c r="VHY40" s="643"/>
      <c r="VHZ40" s="643"/>
      <c r="VIA40" s="643"/>
      <c r="VIB40" s="643"/>
      <c r="VIC40" s="643"/>
      <c r="VID40" s="643"/>
      <c r="VIE40" s="643"/>
      <c r="VIF40" s="643"/>
      <c r="VIG40" s="643"/>
      <c r="VIH40" s="643"/>
      <c r="VII40" s="643"/>
      <c r="VIJ40" s="643"/>
      <c r="VIK40" s="643"/>
      <c r="VIL40" s="643"/>
      <c r="VIM40" s="643"/>
      <c r="VIN40" s="643"/>
      <c r="VIO40" s="643"/>
      <c r="VIP40" s="643"/>
      <c r="VIQ40" s="643"/>
      <c r="VIR40" s="643"/>
      <c r="VIS40" s="643"/>
      <c r="VIT40" s="643"/>
      <c r="VIU40" s="643"/>
      <c r="VIV40" s="643"/>
      <c r="VIW40" s="643"/>
      <c r="VIX40" s="643"/>
      <c r="VIY40" s="643"/>
      <c r="VIZ40" s="643"/>
      <c r="VJA40" s="643"/>
      <c r="VJB40" s="643"/>
      <c r="VJC40" s="643"/>
      <c r="VJD40" s="643"/>
      <c r="VJE40" s="643"/>
      <c r="VJF40" s="643"/>
      <c r="VJG40" s="643"/>
      <c r="VJH40" s="643"/>
      <c r="VJI40" s="643"/>
      <c r="VJJ40" s="643"/>
      <c r="VJK40" s="643"/>
      <c r="VJL40" s="643"/>
      <c r="VJM40" s="643"/>
      <c r="VJN40" s="643"/>
      <c r="VJO40" s="643"/>
      <c r="VJP40" s="643"/>
      <c r="VJQ40" s="643"/>
      <c r="VJR40" s="643"/>
      <c r="VJS40" s="643"/>
      <c r="VJT40" s="643"/>
      <c r="VJU40" s="643"/>
      <c r="VJV40" s="643"/>
      <c r="VJW40" s="643"/>
      <c r="VJX40" s="643"/>
      <c r="VJY40" s="643"/>
      <c r="VJZ40" s="643"/>
      <c r="VKA40" s="643"/>
      <c r="VKB40" s="643"/>
      <c r="VKC40" s="643"/>
      <c r="VKD40" s="643"/>
      <c r="VKE40" s="643"/>
      <c r="VKF40" s="643"/>
      <c r="VKG40" s="643"/>
      <c r="VKH40" s="643"/>
      <c r="VKI40" s="643"/>
      <c r="VKJ40" s="643"/>
      <c r="VKK40" s="643"/>
      <c r="VKL40" s="643"/>
      <c r="VKM40" s="643"/>
      <c r="VKN40" s="643"/>
      <c r="VKO40" s="643"/>
      <c r="VKP40" s="643"/>
      <c r="VKQ40" s="643"/>
      <c r="VKR40" s="643"/>
      <c r="VKS40" s="643"/>
      <c r="VKT40" s="643"/>
      <c r="VKU40" s="643"/>
      <c r="VKV40" s="643"/>
      <c r="VKW40" s="643"/>
      <c r="VKX40" s="643"/>
      <c r="VKY40" s="643"/>
      <c r="VKZ40" s="643"/>
      <c r="VLA40" s="643"/>
      <c r="VLB40" s="643"/>
      <c r="VLC40" s="643"/>
      <c r="VLD40" s="643"/>
      <c r="VLE40" s="643"/>
      <c r="VLF40" s="643"/>
      <c r="VLG40" s="643"/>
      <c r="VLH40" s="643"/>
      <c r="VLI40" s="643"/>
      <c r="VLJ40" s="643"/>
      <c r="VLK40" s="643"/>
      <c r="VLL40" s="643"/>
      <c r="VLM40" s="643"/>
      <c r="VLN40" s="643"/>
      <c r="VLO40" s="643"/>
      <c r="VLP40" s="643"/>
      <c r="VLQ40" s="643"/>
      <c r="VLR40" s="643"/>
      <c r="VLS40" s="643"/>
      <c r="VLT40" s="643"/>
      <c r="VLU40" s="643"/>
      <c r="VLV40" s="643"/>
      <c r="VLW40" s="643"/>
      <c r="VLX40" s="643"/>
      <c r="VLY40" s="643"/>
      <c r="VLZ40" s="643"/>
      <c r="VMA40" s="643"/>
      <c r="VMB40" s="643"/>
      <c r="VMC40" s="643"/>
      <c r="VMD40" s="643"/>
      <c r="VME40" s="643"/>
      <c r="VMF40" s="643"/>
      <c r="VMG40" s="643"/>
      <c r="VMH40" s="643"/>
      <c r="VMI40" s="643"/>
      <c r="VMJ40" s="643"/>
      <c r="VMK40" s="643"/>
      <c r="VML40" s="643"/>
      <c r="VMM40" s="643"/>
      <c r="VMN40" s="643"/>
      <c r="VMO40" s="643"/>
      <c r="VMP40" s="643"/>
      <c r="VMQ40" s="643"/>
      <c r="VMR40" s="643"/>
      <c r="VMS40" s="643"/>
      <c r="VMT40" s="643"/>
      <c r="VMU40" s="643"/>
      <c r="VMV40" s="643"/>
      <c r="VMW40" s="643"/>
      <c r="VMX40" s="643"/>
      <c r="VMY40" s="643"/>
      <c r="VMZ40" s="643"/>
      <c r="VNA40" s="643"/>
      <c r="VNB40" s="643"/>
      <c r="VNC40" s="643"/>
      <c r="VND40" s="643"/>
      <c r="VNE40" s="643"/>
      <c r="VNF40" s="643"/>
      <c r="VNG40" s="643"/>
      <c r="VNH40" s="643"/>
      <c r="VNI40" s="643"/>
      <c r="VNJ40" s="643"/>
      <c r="VNK40" s="643"/>
      <c r="VNL40" s="643"/>
      <c r="VNM40" s="643"/>
      <c r="VNN40" s="643"/>
      <c r="VNO40" s="643"/>
      <c r="VNP40" s="643"/>
      <c r="VNQ40" s="643"/>
      <c r="VNR40" s="643"/>
      <c r="VNS40" s="643"/>
      <c r="VNT40" s="643"/>
      <c r="VNU40" s="643"/>
      <c r="VNV40" s="643"/>
      <c r="VNW40" s="643"/>
      <c r="VNX40" s="643"/>
      <c r="VNY40" s="643"/>
      <c r="VNZ40" s="643"/>
      <c r="VOA40" s="643"/>
      <c r="VOB40" s="643"/>
      <c r="VOC40" s="643"/>
      <c r="VOD40" s="643"/>
      <c r="VOE40" s="643"/>
      <c r="VOF40" s="643"/>
      <c r="VOG40" s="643"/>
      <c r="VOH40" s="643"/>
      <c r="VOI40" s="643"/>
      <c r="VOJ40" s="643"/>
      <c r="VOK40" s="643"/>
      <c r="VOL40" s="643"/>
      <c r="VOM40" s="643"/>
      <c r="VON40" s="643"/>
      <c r="VOO40" s="643"/>
      <c r="VOP40" s="643"/>
      <c r="VOQ40" s="643"/>
      <c r="VOR40" s="643"/>
      <c r="VOS40" s="643"/>
      <c r="VOT40" s="643"/>
      <c r="VOU40" s="643"/>
      <c r="VOV40" s="643"/>
      <c r="VOW40" s="643"/>
      <c r="VOX40" s="643"/>
      <c r="VOY40" s="643"/>
      <c r="VOZ40" s="643"/>
      <c r="VPA40" s="643"/>
      <c r="VPB40" s="643"/>
      <c r="VPC40" s="643"/>
      <c r="VPD40" s="643"/>
      <c r="VPE40" s="643"/>
      <c r="VPF40" s="643"/>
      <c r="VPG40" s="643"/>
      <c r="VPH40" s="643"/>
      <c r="VPI40" s="643"/>
      <c r="VPJ40" s="643"/>
      <c r="VPK40" s="643"/>
      <c r="VPL40" s="643"/>
      <c r="VPM40" s="643"/>
      <c r="VPN40" s="643"/>
      <c r="VPO40" s="643"/>
      <c r="VPP40" s="643"/>
      <c r="VPQ40" s="643"/>
      <c r="VPR40" s="643"/>
      <c r="VPS40" s="643"/>
      <c r="VPT40" s="643"/>
      <c r="VPU40" s="643"/>
      <c r="VPV40" s="643"/>
      <c r="VPW40" s="643"/>
      <c r="VPX40" s="643"/>
      <c r="VPY40" s="643"/>
      <c r="VPZ40" s="643"/>
      <c r="VQA40" s="643"/>
      <c r="VQB40" s="643"/>
      <c r="VQC40" s="643"/>
      <c r="VQD40" s="643"/>
      <c r="VQE40" s="643"/>
      <c r="VQF40" s="643"/>
      <c r="VQG40" s="643"/>
      <c r="VQH40" s="643"/>
      <c r="VQI40" s="643"/>
      <c r="VQJ40" s="643"/>
      <c r="VQK40" s="643"/>
      <c r="VQL40" s="643"/>
      <c r="VQM40" s="643"/>
      <c r="VQN40" s="643"/>
      <c r="VQO40" s="643"/>
      <c r="VQP40" s="643"/>
      <c r="VQQ40" s="643"/>
      <c r="VQR40" s="643"/>
      <c r="VQS40" s="643"/>
      <c r="VQT40" s="643"/>
      <c r="VQU40" s="643"/>
      <c r="VQV40" s="643"/>
      <c r="VQW40" s="643"/>
      <c r="VQX40" s="643"/>
      <c r="VQY40" s="643"/>
      <c r="VQZ40" s="643"/>
      <c r="VRA40" s="643"/>
      <c r="VRB40" s="643"/>
      <c r="VRC40" s="643"/>
      <c r="VRD40" s="643"/>
      <c r="VRE40" s="643"/>
      <c r="VRF40" s="643"/>
      <c r="VRG40" s="643"/>
      <c r="VRH40" s="643"/>
      <c r="VRI40" s="643"/>
      <c r="VRJ40" s="643"/>
      <c r="VRK40" s="643"/>
      <c r="VRL40" s="643"/>
      <c r="VRM40" s="643"/>
      <c r="VRN40" s="643"/>
      <c r="VRO40" s="643"/>
      <c r="VRP40" s="643"/>
      <c r="VRQ40" s="643"/>
      <c r="VRR40" s="643"/>
      <c r="VRS40" s="643"/>
      <c r="VRT40" s="643"/>
      <c r="VRU40" s="643"/>
      <c r="VRV40" s="643"/>
      <c r="VRW40" s="643"/>
      <c r="VRX40" s="643"/>
      <c r="VRY40" s="643"/>
      <c r="VRZ40" s="643"/>
      <c r="VSA40" s="643"/>
      <c r="VSB40" s="643"/>
      <c r="VSC40" s="643"/>
      <c r="VSD40" s="643"/>
      <c r="VSE40" s="643"/>
      <c r="VSF40" s="643"/>
      <c r="VSG40" s="643"/>
      <c r="VSH40" s="643"/>
      <c r="VSI40" s="643"/>
      <c r="VSJ40" s="643"/>
      <c r="VSK40" s="643"/>
      <c r="VSL40" s="643"/>
      <c r="VSM40" s="643"/>
      <c r="VSN40" s="643"/>
      <c r="VSO40" s="643"/>
      <c r="VSP40" s="643"/>
      <c r="VSQ40" s="643"/>
      <c r="VSR40" s="643"/>
      <c r="VSS40" s="643"/>
      <c r="VST40" s="643"/>
      <c r="VSU40" s="643"/>
      <c r="VSV40" s="643"/>
      <c r="VSW40" s="643"/>
      <c r="VSX40" s="643"/>
      <c r="VSY40" s="643"/>
      <c r="VSZ40" s="643"/>
      <c r="VTA40" s="643"/>
      <c r="VTB40" s="643"/>
      <c r="VTC40" s="643"/>
      <c r="VTD40" s="643"/>
      <c r="VTE40" s="643"/>
      <c r="VTF40" s="643"/>
      <c r="VTG40" s="643"/>
      <c r="VTH40" s="643"/>
      <c r="VTI40" s="643"/>
      <c r="VTJ40" s="643"/>
      <c r="VTK40" s="643"/>
      <c r="VTL40" s="643"/>
      <c r="VTM40" s="643"/>
      <c r="VTN40" s="643"/>
      <c r="VTO40" s="643"/>
      <c r="VTP40" s="643"/>
      <c r="VTQ40" s="643"/>
      <c r="VTR40" s="643"/>
      <c r="VTS40" s="643"/>
      <c r="VTT40" s="643"/>
      <c r="VTU40" s="643"/>
      <c r="VTV40" s="643"/>
      <c r="VTW40" s="643"/>
      <c r="VTX40" s="643"/>
      <c r="VTY40" s="643"/>
      <c r="VTZ40" s="643"/>
      <c r="VUA40" s="643"/>
      <c r="VUB40" s="643"/>
      <c r="VUC40" s="643"/>
      <c r="VUD40" s="643"/>
      <c r="VUE40" s="643"/>
      <c r="VUF40" s="643"/>
      <c r="VUG40" s="643"/>
      <c r="VUH40" s="643"/>
      <c r="VUI40" s="643"/>
      <c r="VUJ40" s="643"/>
      <c r="VUK40" s="643"/>
      <c r="VUL40" s="643"/>
      <c r="VUM40" s="643"/>
      <c r="VUN40" s="643"/>
      <c r="VUO40" s="643"/>
      <c r="VUP40" s="643"/>
      <c r="VUQ40" s="643"/>
      <c r="VUR40" s="643"/>
      <c r="VUS40" s="643"/>
      <c r="VUT40" s="643"/>
      <c r="VUU40" s="643"/>
      <c r="VUV40" s="643"/>
      <c r="VUW40" s="643"/>
      <c r="VUX40" s="643"/>
      <c r="VUY40" s="643"/>
      <c r="VUZ40" s="643"/>
      <c r="VVA40" s="643"/>
      <c r="VVB40" s="643"/>
      <c r="VVC40" s="643"/>
      <c r="VVD40" s="643"/>
      <c r="VVE40" s="643"/>
      <c r="VVF40" s="643"/>
      <c r="VVG40" s="643"/>
      <c r="VVH40" s="643"/>
      <c r="VVI40" s="643"/>
      <c r="VVJ40" s="643"/>
      <c r="VVK40" s="643"/>
      <c r="VVL40" s="643"/>
      <c r="VVM40" s="643"/>
      <c r="VVN40" s="643"/>
      <c r="VVO40" s="643"/>
      <c r="VVP40" s="643"/>
      <c r="VVQ40" s="643"/>
      <c r="VVR40" s="643"/>
      <c r="VVS40" s="643"/>
      <c r="VVT40" s="643"/>
      <c r="VVU40" s="643"/>
      <c r="VVV40" s="643"/>
      <c r="VVW40" s="643"/>
      <c r="VVX40" s="643"/>
      <c r="VVY40" s="643"/>
      <c r="VVZ40" s="643"/>
      <c r="VWA40" s="643"/>
      <c r="VWB40" s="643"/>
      <c r="VWC40" s="643"/>
      <c r="VWD40" s="643"/>
      <c r="VWE40" s="643"/>
      <c r="VWF40" s="643"/>
      <c r="VWG40" s="643"/>
      <c r="VWH40" s="643"/>
      <c r="VWI40" s="643"/>
      <c r="VWJ40" s="643"/>
      <c r="VWK40" s="643"/>
      <c r="VWL40" s="643"/>
      <c r="VWM40" s="643"/>
      <c r="VWN40" s="643"/>
      <c r="VWO40" s="643"/>
      <c r="VWP40" s="643"/>
      <c r="VWQ40" s="643"/>
      <c r="VWR40" s="643"/>
      <c r="VWS40" s="643"/>
      <c r="VWT40" s="643"/>
      <c r="VWU40" s="643"/>
      <c r="VWV40" s="643"/>
      <c r="VWW40" s="643"/>
      <c r="VWX40" s="643"/>
      <c r="VWY40" s="643"/>
      <c r="VWZ40" s="643"/>
      <c r="VXA40" s="643"/>
      <c r="VXB40" s="643"/>
      <c r="VXC40" s="643"/>
      <c r="VXD40" s="643"/>
      <c r="VXE40" s="643"/>
      <c r="VXF40" s="643"/>
      <c r="VXG40" s="643"/>
      <c r="VXH40" s="643"/>
      <c r="VXI40" s="643"/>
      <c r="VXJ40" s="643"/>
      <c r="VXK40" s="643"/>
      <c r="VXL40" s="643"/>
      <c r="VXM40" s="643"/>
      <c r="VXN40" s="643"/>
      <c r="VXO40" s="643"/>
      <c r="VXP40" s="643"/>
      <c r="VXQ40" s="643"/>
      <c r="VXR40" s="643"/>
      <c r="VXS40" s="643"/>
      <c r="VXT40" s="643"/>
      <c r="VXU40" s="643"/>
      <c r="VXV40" s="643"/>
      <c r="VXW40" s="643"/>
      <c r="VXX40" s="643"/>
      <c r="VXY40" s="643"/>
      <c r="VXZ40" s="643"/>
      <c r="VYA40" s="643"/>
      <c r="VYB40" s="643"/>
      <c r="VYC40" s="643"/>
      <c r="VYD40" s="643"/>
      <c r="VYE40" s="643"/>
      <c r="VYF40" s="643"/>
      <c r="VYG40" s="643"/>
      <c r="VYH40" s="643"/>
      <c r="VYI40" s="643"/>
      <c r="VYJ40" s="643"/>
      <c r="VYK40" s="643"/>
      <c r="VYL40" s="643"/>
      <c r="VYM40" s="643"/>
      <c r="VYN40" s="643"/>
      <c r="VYO40" s="643"/>
      <c r="VYP40" s="643"/>
      <c r="VYQ40" s="643"/>
      <c r="VYR40" s="643"/>
      <c r="VYS40" s="643"/>
      <c r="VYT40" s="643"/>
      <c r="VYU40" s="643"/>
      <c r="VYV40" s="643"/>
      <c r="VYW40" s="643"/>
      <c r="VYX40" s="643"/>
      <c r="VYY40" s="643"/>
      <c r="VYZ40" s="643"/>
      <c r="VZA40" s="643"/>
      <c r="VZB40" s="643"/>
      <c r="VZC40" s="643"/>
      <c r="VZD40" s="643"/>
      <c r="VZE40" s="643"/>
      <c r="VZF40" s="643"/>
      <c r="VZG40" s="643"/>
      <c r="VZH40" s="643"/>
      <c r="VZI40" s="643"/>
      <c r="VZJ40" s="643"/>
      <c r="VZK40" s="643"/>
      <c r="VZL40" s="643"/>
      <c r="VZM40" s="643"/>
      <c r="VZN40" s="643"/>
      <c r="VZO40" s="643"/>
      <c r="VZP40" s="643"/>
      <c r="VZQ40" s="643"/>
      <c r="VZR40" s="643"/>
      <c r="VZS40" s="643"/>
      <c r="VZT40" s="643"/>
      <c r="VZU40" s="643"/>
      <c r="VZV40" s="643"/>
      <c r="VZW40" s="643"/>
      <c r="VZX40" s="643"/>
      <c r="VZY40" s="643"/>
      <c r="VZZ40" s="643"/>
      <c r="WAA40" s="643"/>
      <c r="WAB40" s="643"/>
      <c r="WAC40" s="643"/>
      <c r="WAD40" s="643"/>
      <c r="WAE40" s="643"/>
      <c r="WAF40" s="643"/>
      <c r="WAG40" s="643"/>
      <c r="WAH40" s="643"/>
      <c r="WAI40" s="643"/>
      <c r="WAJ40" s="643"/>
      <c r="WAK40" s="643"/>
      <c r="WAL40" s="643"/>
      <c r="WAM40" s="643"/>
      <c r="WAN40" s="643"/>
      <c r="WAO40" s="643"/>
      <c r="WAP40" s="643"/>
      <c r="WAQ40" s="643"/>
      <c r="WAR40" s="643"/>
      <c r="WAS40" s="643"/>
      <c r="WAT40" s="643"/>
      <c r="WAU40" s="643"/>
      <c r="WAV40" s="643"/>
      <c r="WAW40" s="643"/>
      <c r="WAX40" s="643"/>
      <c r="WAY40" s="643"/>
      <c r="WAZ40" s="643"/>
      <c r="WBA40" s="643"/>
      <c r="WBB40" s="643"/>
      <c r="WBC40" s="643"/>
      <c r="WBD40" s="643"/>
      <c r="WBE40" s="643"/>
      <c r="WBF40" s="643"/>
      <c r="WBG40" s="643"/>
      <c r="WBH40" s="643"/>
      <c r="WBI40" s="643"/>
      <c r="WBJ40" s="643"/>
      <c r="WBK40" s="643"/>
      <c r="WBL40" s="643"/>
      <c r="WBM40" s="643"/>
      <c r="WBN40" s="643"/>
      <c r="WBO40" s="643"/>
      <c r="WBP40" s="643"/>
      <c r="WBQ40" s="643"/>
      <c r="WBR40" s="643"/>
      <c r="WBS40" s="643"/>
      <c r="WBT40" s="643"/>
      <c r="WBU40" s="643"/>
      <c r="WBV40" s="643"/>
      <c r="WBW40" s="643"/>
      <c r="WBX40" s="643"/>
      <c r="WBY40" s="643"/>
      <c r="WBZ40" s="643"/>
      <c r="WCA40" s="643"/>
      <c r="WCB40" s="643"/>
      <c r="WCC40" s="643"/>
      <c r="WCD40" s="643"/>
      <c r="WCE40" s="643"/>
      <c r="WCF40" s="643"/>
      <c r="WCG40" s="643"/>
      <c r="WCH40" s="643"/>
      <c r="WCI40" s="643"/>
      <c r="WCJ40" s="643"/>
      <c r="WCK40" s="643"/>
      <c r="WCL40" s="643"/>
      <c r="WCM40" s="643"/>
      <c r="WCN40" s="643"/>
      <c r="WCO40" s="643"/>
      <c r="WCP40" s="643"/>
      <c r="WCQ40" s="643"/>
      <c r="WCR40" s="643"/>
      <c r="WCS40" s="643"/>
      <c r="WCT40" s="643"/>
      <c r="WCU40" s="643"/>
      <c r="WCV40" s="643"/>
      <c r="WCW40" s="643"/>
      <c r="WCX40" s="643"/>
      <c r="WCY40" s="643"/>
      <c r="WCZ40" s="643"/>
      <c r="WDA40" s="643"/>
      <c r="WDB40" s="643"/>
      <c r="WDC40" s="643"/>
      <c r="WDD40" s="643"/>
      <c r="WDE40" s="643"/>
      <c r="WDF40" s="643"/>
      <c r="WDG40" s="643"/>
      <c r="WDH40" s="643"/>
      <c r="WDI40" s="643"/>
      <c r="WDJ40" s="643"/>
      <c r="WDK40" s="643"/>
      <c r="WDL40" s="643"/>
      <c r="WDM40" s="643"/>
      <c r="WDN40" s="643"/>
      <c r="WDO40" s="643"/>
      <c r="WDP40" s="643"/>
      <c r="WDQ40" s="643"/>
      <c r="WDR40" s="643"/>
      <c r="WDS40" s="643"/>
      <c r="WDT40" s="643"/>
      <c r="WDU40" s="643"/>
      <c r="WDV40" s="643"/>
      <c r="WDW40" s="643"/>
      <c r="WDX40" s="643"/>
      <c r="WDY40" s="643"/>
      <c r="WDZ40" s="643"/>
      <c r="WEA40" s="643"/>
      <c r="WEB40" s="643"/>
      <c r="WEC40" s="643"/>
      <c r="WED40" s="643"/>
      <c r="WEE40" s="643"/>
      <c r="WEF40" s="643"/>
      <c r="WEG40" s="643"/>
      <c r="WEH40" s="643"/>
      <c r="WEI40" s="643"/>
      <c r="WEJ40" s="643"/>
      <c r="WEK40" s="643"/>
      <c r="WEL40" s="643"/>
      <c r="WEM40" s="643"/>
      <c r="WEN40" s="643"/>
      <c r="WEO40" s="643"/>
      <c r="WEP40" s="643"/>
      <c r="WEQ40" s="643"/>
      <c r="WER40" s="643"/>
      <c r="WES40" s="643"/>
      <c r="WET40" s="643"/>
      <c r="WEU40" s="643"/>
      <c r="WEV40" s="643"/>
      <c r="WEW40" s="643"/>
      <c r="WEX40" s="643"/>
      <c r="WEY40" s="643"/>
      <c r="WEZ40" s="643"/>
      <c r="WFA40" s="643"/>
      <c r="WFB40" s="643"/>
      <c r="WFC40" s="643"/>
      <c r="WFD40" s="643"/>
      <c r="WFE40" s="643"/>
      <c r="WFF40" s="643"/>
      <c r="WFG40" s="643"/>
      <c r="WFH40" s="643"/>
      <c r="WFI40" s="643"/>
      <c r="WFJ40" s="643"/>
      <c r="WFK40" s="643"/>
      <c r="WFL40" s="643"/>
      <c r="WFM40" s="643"/>
      <c r="WFN40" s="643"/>
      <c r="WFO40" s="643"/>
      <c r="WFP40" s="643"/>
      <c r="WFQ40" s="643"/>
      <c r="WFR40" s="643"/>
      <c r="WFS40" s="643"/>
      <c r="WFT40" s="643"/>
      <c r="WFU40" s="643"/>
      <c r="WFV40" s="643"/>
      <c r="WFW40" s="643"/>
      <c r="WFX40" s="643"/>
      <c r="WFY40" s="643"/>
      <c r="WFZ40" s="643"/>
      <c r="WGA40" s="643"/>
      <c r="WGB40" s="643"/>
      <c r="WGC40" s="643"/>
      <c r="WGD40" s="643"/>
      <c r="WGE40" s="643"/>
      <c r="WGF40" s="643"/>
      <c r="WGG40" s="643"/>
      <c r="WGH40" s="643"/>
      <c r="WGI40" s="643"/>
      <c r="WGJ40" s="643"/>
      <c r="WGK40" s="643"/>
      <c r="WGL40" s="643"/>
      <c r="WGM40" s="643"/>
      <c r="WGN40" s="643"/>
      <c r="WGO40" s="643"/>
      <c r="WGP40" s="643"/>
      <c r="WGQ40" s="643"/>
      <c r="WGR40" s="643"/>
      <c r="WGS40" s="643"/>
      <c r="WGT40" s="643"/>
      <c r="WGU40" s="643"/>
      <c r="WGV40" s="643"/>
      <c r="WGW40" s="643"/>
      <c r="WGX40" s="643"/>
      <c r="WGY40" s="643"/>
      <c r="WGZ40" s="643"/>
      <c r="WHA40" s="643"/>
      <c r="WHB40" s="643"/>
      <c r="WHC40" s="643"/>
      <c r="WHD40" s="643"/>
      <c r="WHE40" s="643"/>
      <c r="WHF40" s="643"/>
      <c r="WHG40" s="643"/>
      <c r="WHH40" s="643"/>
      <c r="WHI40" s="643"/>
      <c r="WHJ40" s="643"/>
      <c r="WHK40" s="643"/>
      <c r="WHL40" s="643"/>
      <c r="WHM40" s="643"/>
      <c r="WHN40" s="643"/>
      <c r="WHO40" s="643"/>
      <c r="WHP40" s="643"/>
      <c r="WHQ40" s="643"/>
      <c r="WHR40" s="643"/>
      <c r="WHS40" s="643"/>
      <c r="WHT40" s="643"/>
      <c r="WHU40" s="643"/>
      <c r="WHV40" s="643"/>
      <c r="WHW40" s="643"/>
      <c r="WHX40" s="643"/>
      <c r="WHY40" s="643"/>
      <c r="WHZ40" s="643"/>
      <c r="WIA40" s="643"/>
      <c r="WIB40" s="643"/>
      <c r="WIC40" s="643"/>
      <c r="WID40" s="643"/>
      <c r="WIE40" s="643"/>
      <c r="WIF40" s="643"/>
      <c r="WIG40" s="643"/>
      <c r="WIH40" s="643"/>
      <c r="WII40" s="643"/>
      <c r="WIJ40" s="643"/>
      <c r="WIK40" s="643"/>
      <c r="WIL40" s="643"/>
      <c r="WIM40" s="643"/>
      <c r="WIN40" s="643"/>
      <c r="WIO40" s="643"/>
      <c r="WIP40" s="643"/>
      <c r="WIQ40" s="643"/>
      <c r="WIR40" s="643"/>
      <c r="WIS40" s="643"/>
      <c r="WIT40" s="643"/>
      <c r="WIU40" s="643"/>
      <c r="WIV40" s="643"/>
      <c r="WIW40" s="643"/>
      <c r="WIX40" s="643"/>
      <c r="WIY40" s="643"/>
      <c r="WIZ40" s="643"/>
      <c r="WJA40" s="643"/>
      <c r="WJB40" s="643"/>
      <c r="WJC40" s="643"/>
      <c r="WJD40" s="643"/>
      <c r="WJE40" s="643"/>
      <c r="WJF40" s="643"/>
      <c r="WJG40" s="643"/>
      <c r="WJH40" s="643"/>
      <c r="WJI40" s="643"/>
      <c r="WJJ40" s="643"/>
      <c r="WJK40" s="643"/>
      <c r="WJL40" s="643"/>
      <c r="WJM40" s="643"/>
      <c r="WJN40" s="643"/>
      <c r="WJO40" s="643"/>
      <c r="WJP40" s="643"/>
      <c r="WJQ40" s="643"/>
      <c r="WJR40" s="643"/>
      <c r="WJS40" s="643"/>
      <c r="WJT40" s="643"/>
      <c r="WJU40" s="643"/>
      <c r="WJV40" s="643"/>
      <c r="WJW40" s="643"/>
      <c r="WJX40" s="643"/>
      <c r="WJY40" s="643"/>
      <c r="WJZ40" s="643"/>
      <c r="WKA40" s="643"/>
      <c r="WKB40" s="643"/>
      <c r="WKC40" s="643"/>
      <c r="WKD40" s="643"/>
      <c r="WKE40" s="643"/>
      <c r="WKF40" s="643"/>
      <c r="WKG40" s="643"/>
      <c r="WKH40" s="643"/>
      <c r="WKI40" s="643"/>
      <c r="WKJ40" s="643"/>
      <c r="WKK40" s="643"/>
      <c r="WKL40" s="643"/>
      <c r="WKM40" s="643"/>
      <c r="WKN40" s="643"/>
      <c r="WKO40" s="643"/>
      <c r="WKP40" s="643"/>
      <c r="WKQ40" s="643"/>
      <c r="WKR40" s="643"/>
      <c r="WKS40" s="643"/>
      <c r="WKT40" s="643"/>
      <c r="WKU40" s="643"/>
      <c r="WKV40" s="643"/>
      <c r="WKW40" s="643"/>
      <c r="WKX40" s="643"/>
      <c r="WKY40" s="643"/>
      <c r="WKZ40" s="643"/>
      <c r="WLA40" s="643"/>
      <c r="WLB40" s="643"/>
      <c r="WLC40" s="643"/>
      <c r="WLD40" s="643"/>
      <c r="WLE40" s="643"/>
      <c r="WLF40" s="643"/>
      <c r="WLG40" s="643"/>
      <c r="WLH40" s="643"/>
      <c r="WLI40" s="643"/>
      <c r="WLJ40" s="643"/>
      <c r="WLK40" s="643"/>
      <c r="WLL40" s="643"/>
      <c r="WLM40" s="643"/>
      <c r="WLN40" s="643"/>
      <c r="WLO40" s="643"/>
      <c r="WLP40" s="643"/>
      <c r="WLQ40" s="643"/>
      <c r="WLR40" s="643"/>
      <c r="WLS40" s="643"/>
      <c r="WLT40" s="643"/>
      <c r="WLU40" s="643"/>
      <c r="WLV40" s="643"/>
      <c r="WLW40" s="643"/>
      <c r="WLX40" s="643"/>
      <c r="WLY40" s="643"/>
      <c r="WLZ40" s="643"/>
      <c r="WMA40" s="643"/>
      <c r="WMB40" s="643"/>
      <c r="WMC40" s="643"/>
      <c r="WMD40" s="643"/>
      <c r="WME40" s="643"/>
      <c r="WMF40" s="643"/>
      <c r="WMG40" s="643"/>
      <c r="WMH40" s="643"/>
      <c r="WMI40" s="643"/>
      <c r="WMJ40" s="643"/>
      <c r="WMK40" s="643"/>
      <c r="WML40" s="643"/>
      <c r="WMM40" s="643"/>
      <c r="WMN40" s="643"/>
      <c r="WMO40" s="643"/>
      <c r="WMP40" s="643"/>
      <c r="WMQ40" s="643"/>
      <c r="WMR40" s="643"/>
      <c r="WMS40" s="643"/>
      <c r="WMT40" s="643"/>
      <c r="WMU40" s="643"/>
      <c r="WMV40" s="643"/>
      <c r="WMW40" s="643"/>
      <c r="WMX40" s="643"/>
      <c r="WMY40" s="643"/>
      <c r="WMZ40" s="643"/>
      <c r="WNA40" s="643"/>
      <c r="WNB40" s="643"/>
      <c r="WNC40" s="643"/>
      <c r="WND40" s="643"/>
      <c r="WNE40" s="643"/>
      <c r="WNF40" s="643"/>
      <c r="WNG40" s="643"/>
      <c r="WNH40" s="643"/>
      <c r="WNI40" s="643"/>
      <c r="WNJ40" s="643"/>
      <c r="WNK40" s="643"/>
      <c r="WNL40" s="643"/>
      <c r="WNM40" s="643"/>
      <c r="WNN40" s="643"/>
      <c r="WNO40" s="643"/>
      <c r="WNP40" s="643"/>
      <c r="WNQ40" s="643"/>
      <c r="WNR40" s="643"/>
      <c r="WNS40" s="643"/>
      <c r="WNT40" s="643"/>
      <c r="WNU40" s="643"/>
      <c r="WNV40" s="643"/>
      <c r="WNW40" s="643"/>
      <c r="WNX40" s="643"/>
      <c r="WNY40" s="643"/>
      <c r="WNZ40" s="643"/>
      <c r="WOA40" s="643"/>
      <c r="WOB40" s="643"/>
      <c r="WOC40" s="643"/>
      <c r="WOD40" s="643"/>
      <c r="WOE40" s="643"/>
      <c r="WOF40" s="643"/>
      <c r="WOG40" s="643"/>
      <c r="WOH40" s="643"/>
      <c r="WOI40" s="643"/>
      <c r="WOJ40" s="643"/>
      <c r="WOK40" s="643"/>
      <c r="WOL40" s="643"/>
      <c r="WOM40" s="643"/>
      <c r="WON40" s="643"/>
      <c r="WOO40" s="643"/>
      <c r="WOP40" s="643"/>
      <c r="WOQ40" s="643"/>
      <c r="WOR40" s="643"/>
      <c r="WOS40" s="643"/>
      <c r="WOT40" s="643"/>
      <c r="WOU40" s="643"/>
      <c r="WOV40" s="643"/>
      <c r="WOW40" s="643"/>
      <c r="WOX40" s="643"/>
      <c r="WOY40" s="643"/>
      <c r="WOZ40" s="643"/>
      <c r="WPA40" s="643"/>
      <c r="WPB40" s="643"/>
      <c r="WPC40" s="643"/>
      <c r="WPD40" s="643"/>
      <c r="WPE40" s="643"/>
      <c r="WPF40" s="643"/>
      <c r="WPG40" s="643"/>
      <c r="WPH40" s="643"/>
      <c r="WPI40" s="643"/>
      <c r="WPJ40" s="643"/>
      <c r="WPK40" s="643"/>
      <c r="WPL40" s="643"/>
      <c r="WPM40" s="643"/>
      <c r="WPN40" s="643"/>
      <c r="WPO40" s="643"/>
      <c r="WPP40" s="643"/>
      <c r="WPQ40" s="643"/>
      <c r="WPR40" s="643"/>
      <c r="WPS40" s="643"/>
      <c r="WPT40" s="643"/>
      <c r="WPU40" s="643"/>
      <c r="WPV40" s="643"/>
      <c r="WPW40" s="643"/>
      <c r="WPX40" s="643"/>
      <c r="WPY40" s="643"/>
      <c r="WPZ40" s="643"/>
      <c r="WQA40" s="643"/>
      <c r="WQB40" s="643"/>
      <c r="WQC40" s="643"/>
      <c r="WQD40" s="643"/>
      <c r="WQE40" s="643"/>
      <c r="WQF40" s="643"/>
      <c r="WQG40" s="643"/>
      <c r="WQH40" s="643"/>
      <c r="WQI40" s="643"/>
      <c r="WQJ40" s="643"/>
      <c r="WQK40" s="643"/>
      <c r="WQL40" s="643"/>
      <c r="WQM40" s="643"/>
      <c r="WQN40" s="643"/>
      <c r="WQO40" s="643"/>
      <c r="WQP40" s="643"/>
      <c r="WQQ40" s="643"/>
      <c r="WQR40" s="643"/>
      <c r="WQS40" s="643"/>
      <c r="WQT40" s="643"/>
      <c r="WQU40" s="643"/>
      <c r="WQV40" s="643"/>
      <c r="WQW40" s="643"/>
      <c r="WQX40" s="643"/>
      <c r="WQY40" s="643"/>
      <c r="WQZ40" s="643"/>
      <c r="WRA40" s="643"/>
      <c r="WRB40" s="643"/>
      <c r="WRC40" s="643"/>
      <c r="WRD40" s="643"/>
      <c r="WRE40" s="643"/>
      <c r="WRF40" s="643"/>
      <c r="WRG40" s="643"/>
      <c r="WRH40" s="643"/>
      <c r="WRI40" s="643"/>
      <c r="WRJ40" s="643"/>
      <c r="WRK40" s="643"/>
      <c r="WRL40" s="643"/>
      <c r="WRM40" s="643"/>
      <c r="WRN40" s="643"/>
      <c r="WRO40" s="643"/>
      <c r="WRP40" s="643"/>
      <c r="WRQ40" s="643"/>
      <c r="WRR40" s="643"/>
      <c r="WRS40" s="643"/>
      <c r="WRT40" s="643"/>
      <c r="WRU40" s="643"/>
      <c r="WRV40" s="643"/>
      <c r="WRW40" s="643"/>
      <c r="WRX40" s="643"/>
      <c r="WRY40" s="643"/>
      <c r="WRZ40" s="643"/>
      <c r="WSA40" s="643"/>
      <c r="WSB40" s="643"/>
      <c r="WSC40" s="643"/>
      <c r="WSD40" s="643"/>
      <c r="WSE40" s="643"/>
      <c r="WSF40" s="643"/>
      <c r="WSG40" s="643"/>
      <c r="WSH40" s="643"/>
      <c r="WSI40" s="643"/>
      <c r="WSJ40" s="643"/>
      <c r="WSK40" s="643"/>
      <c r="WSL40" s="643"/>
      <c r="WSM40" s="643"/>
      <c r="WSN40" s="643"/>
      <c r="WSO40" s="643"/>
      <c r="WSP40" s="643"/>
      <c r="WSQ40" s="643"/>
      <c r="WSR40" s="643"/>
      <c r="WSS40" s="643"/>
      <c r="WST40" s="643"/>
      <c r="WSU40" s="643"/>
      <c r="WSV40" s="643"/>
      <c r="WSW40" s="643"/>
      <c r="WSX40" s="643"/>
      <c r="WSY40" s="643"/>
      <c r="WSZ40" s="643"/>
      <c r="WTA40" s="643"/>
      <c r="WTB40" s="643"/>
      <c r="WTC40" s="643"/>
      <c r="WTD40" s="643"/>
      <c r="WTE40" s="643"/>
      <c r="WTF40" s="643"/>
      <c r="WTG40" s="643"/>
      <c r="WTH40" s="643"/>
      <c r="WTI40" s="643"/>
      <c r="WTJ40" s="643"/>
      <c r="WTK40" s="643"/>
      <c r="WTL40" s="643"/>
      <c r="WTM40" s="643"/>
      <c r="WTN40" s="643"/>
      <c r="WTO40" s="643"/>
      <c r="WTP40" s="643"/>
      <c r="WTQ40" s="643"/>
      <c r="WTR40" s="643"/>
      <c r="WTS40" s="643"/>
      <c r="WTT40" s="643"/>
      <c r="WTU40" s="643"/>
      <c r="WTV40" s="643"/>
      <c r="WTW40" s="643"/>
      <c r="WTX40" s="643"/>
      <c r="WTY40" s="643"/>
      <c r="WTZ40" s="643"/>
      <c r="WUA40" s="643"/>
      <c r="WUB40" s="643"/>
      <c r="WUC40" s="643"/>
      <c r="WUD40" s="643"/>
      <c r="WUE40" s="643"/>
      <c r="WUF40" s="643"/>
      <c r="WUG40" s="643"/>
      <c r="WUH40" s="643"/>
      <c r="WUI40" s="643"/>
      <c r="WUJ40" s="643"/>
      <c r="WUK40" s="643"/>
      <c r="WUL40" s="643"/>
      <c r="WUM40" s="643"/>
      <c r="WUN40" s="643"/>
      <c r="WUO40" s="643"/>
      <c r="WUP40" s="643"/>
      <c r="WUQ40" s="643"/>
      <c r="WUR40" s="643"/>
      <c r="WUS40" s="643"/>
      <c r="WUT40" s="643"/>
      <c r="WUU40" s="643"/>
      <c r="WUV40" s="643"/>
      <c r="WUW40" s="643"/>
      <c r="WUX40" s="643"/>
      <c r="WUY40" s="643"/>
      <c r="WUZ40" s="643"/>
      <c r="WVA40" s="643"/>
      <c r="WVB40" s="643"/>
      <c r="WVC40" s="643"/>
      <c r="WVD40" s="643"/>
      <c r="WVE40" s="643"/>
      <c r="WVF40" s="643"/>
      <c r="WVG40" s="643"/>
      <c r="WVH40" s="643"/>
      <c r="WVI40" s="643"/>
      <c r="WVJ40" s="643"/>
      <c r="WVK40" s="643"/>
      <c r="WVL40" s="643"/>
      <c r="WVM40" s="643"/>
      <c r="WVN40" s="643"/>
      <c r="WVO40" s="643"/>
      <c r="WVP40" s="643"/>
      <c r="WVQ40" s="643"/>
      <c r="WVR40" s="643"/>
      <c r="WVS40" s="643"/>
      <c r="WVT40" s="643"/>
      <c r="WVU40" s="643"/>
      <c r="WVV40" s="643"/>
      <c r="WVW40" s="643"/>
      <c r="WVX40" s="643"/>
      <c r="WVY40" s="643"/>
      <c r="WVZ40" s="643"/>
      <c r="WWA40" s="643"/>
      <c r="WWB40" s="643"/>
      <c r="WWC40" s="643"/>
      <c r="WWD40" s="643"/>
      <c r="WWE40" s="643"/>
      <c r="WWF40" s="643"/>
      <c r="WWG40" s="643"/>
      <c r="WWH40" s="643"/>
      <c r="WWI40" s="643"/>
      <c r="WWJ40" s="643"/>
      <c r="WWK40" s="643"/>
      <c r="WWL40" s="643"/>
      <c r="WWM40" s="643"/>
      <c r="WWN40" s="643"/>
      <c r="WWO40" s="643"/>
      <c r="WWP40" s="643"/>
      <c r="WWQ40" s="643"/>
      <c r="WWR40" s="643"/>
      <c r="WWS40" s="643"/>
      <c r="WWT40" s="643"/>
      <c r="WWU40" s="643"/>
      <c r="WWV40" s="643"/>
      <c r="WWW40" s="643"/>
      <c r="WWX40" s="643"/>
      <c r="WWY40" s="643"/>
      <c r="WWZ40" s="643"/>
      <c r="WXA40" s="643"/>
      <c r="WXB40" s="643"/>
      <c r="WXC40" s="643"/>
      <c r="WXD40" s="643"/>
      <c r="WXE40" s="643"/>
      <c r="WXF40" s="643"/>
      <c r="WXG40" s="643"/>
      <c r="WXH40" s="643"/>
      <c r="WXI40" s="643"/>
      <c r="WXJ40" s="643"/>
      <c r="WXK40" s="643"/>
      <c r="WXL40" s="643"/>
      <c r="WXM40" s="643"/>
      <c r="WXN40" s="643"/>
      <c r="WXO40" s="643"/>
      <c r="WXP40" s="643"/>
      <c r="WXQ40" s="643"/>
      <c r="WXR40" s="643"/>
      <c r="WXS40" s="643"/>
      <c r="WXT40" s="643"/>
      <c r="WXU40" s="643"/>
      <c r="WXV40" s="643"/>
      <c r="WXW40" s="643"/>
      <c r="WXX40" s="643"/>
      <c r="WXY40" s="643"/>
      <c r="WXZ40" s="643"/>
      <c r="WYA40" s="643"/>
      <c r="WYB40" s="643"/>
      <c r="WYC40" s="643"/>
      <c r="WYD40" s="643"/>
      <c r="WYE40" s="643"/>
      <c r="WYF40" s="643"/>
      <c r="WYG40" s="643"/>
      <c r="WYH40" s="643"/>
      <c r="WYI40" s="643"/>
      <c r="WYJ40" s="643"/>
      <c r="WYK40" s="643"/>
      <c r="WYL40" s="643"/>
      <c r="WYM40" s="643"/>
      <c r="WYN40" s="643"/>
      <c r="WYO40" s="643"/>
      <c r="WYP40" s="643"/>
      <c r="WYQ40" s="643"/>
      <c r="WYR40" s="643"/>
      <c r="WYS40" s="643"/>
      <c r="WYT40" s="643"/>
      <c r="WYU40" s="643"/>
      <c r="WYV40" s="643"/>
      <c r="WYW40" s="643"/>
      <c r="WYX40" s="643"/>
      <c r="WYY40" s="643"/>
      <c r="WYZ40" s="643"/>
      <c r="WZA40" s="643"/>
      <c r="WZB40" s="643"/>
      <c r="WZC40" s="643"/>
      <c r="WZD40" s="643"/>
      <c r="WZE40" s="643"/>
      <c r="WZF40" s="643"/>
      <c r="WZG40" s="643"/>
      <c r="WZH40" s="643"/>
      <c r="WZI40" s="643"/>
      <c r="WZJ40" s="643"/>
      <c r="WZK40" s="643"/>
      <c r="WZL40" s="643"/>
      <c r="WZM40" s="643"/>
      <c r="WZN40" s="643"/>
      <c r="WZO40" s="643"/>
      <c r="WZP40" s="643"/>
      <c r="WZQ40" s="643"/>
      <c r="WZR40" s="643"/>
      <c r="WZS40" s="643"/>
      <c r="WZT40" s="643"/>
      <c r="WZU40" s="643"/>
      <c r="WZV40" s="643"/>
      <c r="WZW40" s="643"/>
      <c r="WZX40" s="643"/>
      <c r="WZY40" s="643"/>
      <c r="WZZ40" s="643"/>
      <c r="XAA40" s="643"/>
      <c r="XAB40" s="643"/>
      <c r="XAC40" s="643"/>
      <c r="XAD40" s="643"/>
      <c r="XAE40" s="643"/>
      <c r="XAF40" s="643"/>
      <c r="XAG40" s="643"/>
      <c r="XAH40" s="643"/>
      <c r="XAI40" s="643"/>
      <c r="XAJ40" s="643"/>
      <c r="XAK40" s="643"/>
      <c r="XAL40" s="643"/>
      <c r="XAM40" s="643"/>
      <c r="XAN40" s="643"/>
      <c r="XAO40" s="643"/>
      <c r="XAP40" s="643"/>
      <c r="XAQ40" s="643"/>
      <c r="XAR40" s="643"/>
      <c r="XAS40" s="643"/>
      <c r="XAT40" s="643"/>
      <c r="XAU40" s="643"/>
      <c r="XAV40" s="643"/>
      <c r="XAW40" s="643"/>
      <c r="XAX40" s="643"/>
      <c r="XAY40" s="643"/>
      <c r="XAZ40" s="643"/>
      <c r="XBA40" s="643"/>
      <c r="XBB40" s="643"/>
      <c r="XBC40" s="643"/>
      <c r="XBD40" s="643"/>
      <c r="XBE40" s="643"/>
      <c r="XBF40" s="643"/>
      <c r="XBG40" s="643"/>
      <c r="XBH40" s="643"/>
      <c r="XBI40" s="643"/>
      <c r="XBJ40" s="643"/>
      <c r="XBK40" s="643"/>
      <c r="XBL40" s="643"/>
      <c r="XBM40" s="643"/>
      <c r="XBN40" s="643"/>
      <c r="XBO40" s="643"/>
      <c r="XBP40" s="643"/>
      <c r="XBQ40" s="643"/>
      <c r="XBR40" s="643"/>
      <c r="XBS40" s="643"/>
      <c r="XBT40" s="643"/>
      <c r="XBU40" s="643"/>
      <c r="XBV40" s="643"/>
      <c r="XBW40" s="643"/>
      <c r="XBX40" s="643"/>
      <c r="XBY40" s="643"/>
      <c r="XBZ40" s="643"/>
      <c r="XCA40" s="643"/>
      <c r="XCB40" s="643"/>
      <c r="XCC40" s="643"/>
      <c r="XCD40" s="643"/>
      <c r="XCE40" s="643"/>
      <c r="XCF40" s="643"/>
      <c r="XCG40" s="643"/>
      <c r="XCH40" s="643"/>
      <c r="XCI40" s="643"/>
      <c r="XCJ40" s="643"/>
      <c r="XCK40" s="643"/>
      <c r="XCL40" s="643"/>
      <c r="XCM40" s="643"/>
      <c r="XCN40" s="643"/>
      <c r="XCO40" s="643"/>
      <c r="XCP40" s="643"/>
      <c r="XCQ40" s="643"/>
      <c r="XCR40" s="643"/>
      <c r="XCS40" s="643"/>
      <c r="XCT40" s="643"/>
      <c r="XCU40" s="643"/>
      <c r="XCV40" s="643"/>
      <c r="XCW40" s="643"/>
      <c r="XCX40" s="643"/>
      <c r="XCY40" s="643"/>
      <c r="XCZ40" s="643"/>
      <c r="XDA40" s="643"/>
      <c r="XDB40" s="643"/>
      <c r="XDC40" s="643"/>
      <c r="XDD40" s="643"/>
      <c r="XDE40" s="643"/>
      <c r="XDF40" s="643"/>
      <c r="XDG40" s="643"/>
      <c r="XDH40" s="643"/>
      <c r="XDI40" s="643"/>
      <c r="XDJ40" s="643"/>
      <c r="XDK40" s="643"/>
      <c r="XDL40" s="643"/>
      <c r="XDM40" s="643"/>
      <c r="XDN40" s="643"/>
      <c r="XDO40" s="643"/>
      <c r="XDP40" s="643"/>
      <c r="XDQ40" s="643"/>
      <c r="XDR40" s="643"/>
      <c r="XDS40" s="643"/>
      <c r="XDT40" s="643"/>
      <c r="XDU40" s="643"/>
      <c r="XDV40" s="643"/>
      <c r="XDW40" s="643"/>
      <c r="XDX40" s="643"/>
      <c r="XDY40" s="643"/>
      <c r="XDZ40" s="643"/>
      <c r="XEA40" s="643"/>
      <c r="XEB40" s="643"/>
      <c r="XEC40" s="643"/>
      <c r="XED40" s="643"/>
      <c r="XEE40" s="643"/>
      <c r="XEF40" s="643"/>
      <c r="XEG40" s="643"/>
      <c r="XEH40" s="643"/>
      <c r="XEI40" s="643"/>
      <c r="XEJ40" s="643"/>
      <c r="XEK40" s="643"/>
      <c r="XEL40" s="643"/>
      <c r="XEM40" s="643"/>
      <c r="XEN40" s="643"/>
      <c r="XEO40" s="643"/>
      <c r="XEP40" s="643"/>
      <c r="XEQ40" s="643"/>
      <c r="XER40" s="643"/>
      <c r="XES40" s="643"/>
      <c r="XET40" s="643"/>
      <c r="XEU40" s="643"/>
      <c r="XEV40" s="643"/>
      <c r="XEW40" s="643"/>
      <c r="XEX40" s="643"/>
      <c r="XEY40" s="643"/>
      <c r="XEZ40" s="643"/>
      <c r="XFA40" s="643"/>
      <c r="XFB40" s="643"/>
      <c r="XFC40" s="643"/>
      <c r="XFD40" s="643"/>
    </row>
    <row r="41" spans="1:16384">
      <c r="A41" s="643"/>
      <c r="B41"/>
      <c r="C41" s="643"/>
      <c r="D41" s="643"/>
      <c r="E41" s="802"/>
      <c r="I41" s="643"/>
      <c r="M41" s="803"/>
      <c r="N41" s="643"/>
      <c r="O41"/>
      <c r="Q41" s="643"/>
      <c r="R41" s="740"/>
      <c r="Y41" s="643"/>
      <c r="Z41" s="643"/>
      <c r="AA41" s="643"/>
      <c r="AB41" s="643"/>
      <c r="AC41" s="643"/>
      <c r="AD41" s="643"/>
      <c r="AE41" s="643"/>
      <c r="AF41" s="643"/>
      <c r="AG41" s="643"/>
      <c r="AH41" s="643"/>
      <c r="AI41" s="643"/>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c r="CN41" s="643"/>
      <c r="CO41" s="643"/>
      <c r="CP41" s="643"/>
      <c r="CQ41" s="643"/>
      <c r="CR41" s="643"/>
      <c r="CS41" s="643"/>
      <c r="CT41" s="643"/>
      <c r="CU41" s="643"/>
      <c r="CV41" s="643"/>
      <c r="CW41" s="643"/>
      <c r="CX41" s="643"/>
      <c r="CY41" s="643"/>
      <c r="CZ41" s="643"/>
      <c r="DA41" s="643"/>
      <c r="DB41" s="643"/>
      <c r="DC41" s="643"/>
      <c r="DD41" s="643"/>
      <c r="DE41" s="643"/>
      <c r="DF41" s="643"/>
      <c r="DG41" s="643"/>
      <c r="DH41" s="643"/>
      <c r="DI41" s="643"/>
      <c r="DJ41" s="643"/>
      <c r="DK41" s="643"/>
      <c r="DL41" s="643"/>
      <c r="DM41" s="643"/>
      <c r="DN41" s="643"/>
      <c r="DO41" s="643"/>
      <c r="DP41" s="643"/>
      <c r="DQ41" s="643"/>
      <c r="DR41" s="643"/>
      <c r="DS41" s="643"/>
      <c r="DT41" s="643"/>
      <c r="DU41" s="643"/>
      <c r="DV41" s="643"/>
      <c r="DW41" s="643"/>
      <c r="DX41" s="643"/>
      <c r="DY41" s="643"/>
      <c r="DZ41" s="643"/>
      <c r="EA41" s="643"/>
      <c r="EB41" s="643"/>
      <c r="EC41" s="643"/>
      <c r="ED41" s="643"/>
      <c r="EE41" s="643"/>
      <c r="EF41" s="643"/>
      <c r="EG41" s="643"/>
      <c r="EH41" s="643"/>
      <c r="EI41" s="643"/>
      <c r="EJ41" s="643"/>
      <c r="EK41" s="643"/>
      <c r="EL41" s="643"/>
      <c r="EM41" s="643"/>
      <c r="EN41" s="643"/>
      <c r="EO41" s="643"/>
      <c r="EP41" s="643"/>
      <c r="EQ41" s="643"/>
      <c r="ER41" s="643"/>
      <c r="ES41" s="643"/>
      <c r="ET41" s="643"/>
      <c r="EU41" s="643"/>
      <c r="EV41" s="643"/>
      <c r="EW41" s="643"/>
      <c r="EX41" s="643"/>
      <c r="EY41" s="643"/>
      <c r="EZ41" s="643"/>
      <c r="FA41" s="643"/>
      <c r="FB41" s="643"/>
      <c r="FC41" s="643"/>
      <c r="FD41" s="643"/>
      <c r="FE41" s="643"/>
      <c r="FF41" s="643"/>
      <c r="FG41" s="643"/>
      <c r="FH41" s="643"/>
      <c r="FI41" s="643"/>
      <c r="FJ41" s="643"/>
      <c r="FK41" s="643"/>
      <c r="FL41" s="643"/>
      <c r="FM41" s="643"/>
      <c r="FN41" s="643"/>
      <c r="FO41" s="643"/>
      <c r="FP41" s="643"/>
      <c r="FQ41" s="643"/>
      <c r="FR41" s="643"/>
      <c r="FS41" s="643"/>
      <c r="FT41" s="643"/>
      <c r="FU41" s="643"/>
      <c r="FV41" s="643"/>
      <c r="FW41" s="643"/>
      <c r="FX41" s="643"/>
      <c r="FY41" s="643"/>
      <c r="FZ41" s="643"/>
      <c r="GA41" s="643"/>
      <c r="GB41" s="643"/>
      <c r="GC41" s="643"/>
      <c r="GD41" s="643"/>
      <c r="GE41" s="643"/>
      <c r="GF41" s="643"/>
      <c r="GG41" s="643"/>
      <c r="GH41" s="643"/>
      <c r="GI41" s="643"/>
      <c r="GJ41" s="643"/>
      <c r="GK41" s="643"/>
      <c r="GL41" s="643"/>
      <c r="GM41" s="643"/>
      <c r="GN41" s="643"/>
      <c r="GO41" s="643"/>
      <c r="GP41" s="643"/>
      <c r="GQ41" s="643"/>
      <c r="GR41" s="643"/>
      <c r="GS41" s="643"/>
      <c r="GT41" s="643"/>
      <c r="GU41" s="643"/>
      <c r="GV41" s="643"/>
      <c r="GW41" s="643"/>
      <c r="GX41" s="643"/>
      <c r="GY41" s="643"/>
      <c r="GZ41" s="643"/>
      <c r="HA41" s="643"/>
      <c r="HB41" s="643"/>
      <c r="HC41" s="643"/>
      <c r="HD41" s="643"/>
      <c r="HE41" s="643"/>
      <c r="HF41" s="643"/>
      <c r="HG41" s="643"/>
      <c r="HH41" s="643"/>
      <c r="HI41" s="643"/>
      <c r="HJ41" s="643"/>
      <c r="HK41" s="643"/>
      <c r="HL41" s="643"/>
      <c r="HM41" s="643"/>
      <c r="HN41" s="643"/>
      <c r="HO41" s="643"/>
      <c r="HP41" s="643"/>
      <c r="HQ41" s="643"/>
      <c r="HR41" s="643"/>
      <c r="HS41" s="643"/>
      <c r="HT41" s="643"/>
      <c r="HU41" s="643"/>
      <c r="HV41" s="643"/>
      <c r="HW41" s="643"/>
      <c r="HX41" s="643"/>
      <c r="HY41" s="643"/>
      <c r="HZ41" s="643"/>
      <c r="IA41" s="643"/>
      <c r="IB41" s="643"/>
      <c r="IC41" s="643"/>
      <c r="ID41" s="643"/>
      <c r="IE41" s="643"/>
      <c r="IF41" s="643"/>
      <c r="IG41" s="643"/>
      <c r="IH41" s="643"/>
      <c r="II41" s="643"/>
      <c r="IJ41" s="643"/>
      <c r="IK41" s="643"/>
      <c r="IL41" s="643"/>
      <c r="IM41" s="643"/>
      <c r="IN41" s="643"/>
      <c r="IO41" s="643"/>
      <c r="IP41" s="643"/>
      <c r="IQ41" s="643"/>
      <c r="IR41" s="643"/>
      <c r="IS41" s="643"/>
      <c r="IT41" s="643"/>
      <c r="IU41" s="643"/>
      <c r="IV41" s="643"/>
      <c r="IW41" s="643"/>
      <c r="IX41" s="643"/>
      <c r="IY41" s="643"/>
      <c r="IZ41" s="643"/>
      <c r="JA41" s="643"/>
      <c r="JB41" s="643"/>
      <c r="JC41" s="643"/>
      <c r="JD41" s="643"/>
      <c r="JE41" s="643"/>
      <c r="JF41" s="643"/>
      <c r="JG41" s="643"/>
      <c r="JH41" s="643"/>
      <c r="JI41" s="643"/>
      <c r="JJ41" s="643"/>
      <c r="JK41" s="643"/>
      <c r="JL41" s="643"/>
      <c r="JM41" s="643"/>
      <c r="JN41" s="643"/>
      <c r="JO41" s="643"/>
      <c r="JP41" s="643"/>
      <c r="JQ41" s="643"/>
      <c r="JR41" s="643"/>
      <c r="JS41" s="643"/>
      <c r="JT41" s="643"/>
      <c r="JU41" s="643"/>
      <c r="JV41" s="643"/>
      <c r="JW41" s="643"/>
      <c r="JX41" s="643"/>
      <c r="JY41" s="643"/>
      <c r="JZ41" s="643"/>
      <c r="KA41" s="643"/>
      <c r="KB41" s="643"/>
      <c r="KC41" s="643"/>
      <c r="KD41" s="643"/>
      <c r="KE41" s="643"/>
      <c r="KF41" s="643"/>
      <c r="KG41" s="643"/>
      <c r="KH41" s="643"/>
      <c r="KI41" s="643"/>
      <c r="KJ41" s="643"/>
      <c r="KK41" s="643"/>
      <c r="KL41" s="643"/>
      <c r="KM41" s="643"/>
      <c r="KN41" s="643"/>
      <c r="KO41" s="643"/>
      <c r="KP41" s="643"/>
      <c r="KQ41" s="643"/>
      <c r="KR41" s="643"/>
      <c r="KS41" s="643"/>
      <c r="KT41" s="643"/>
      <c r="KU41" s="643"/>
      <c r="KV41" s="643"/>
      <c r="KW41" s="643"/>
      <c r="KX41" s="643"/>
      <c r="KY41" s="643"/>
      <c r="KZ41" s="643"/>
      <c r="LA41" s="643"/>
      <c r="LB41" s="643"/>
      <c r="LC41" s="643"/>
      <c r="LD41" s="643"/>
      <c r="LE41" s="643"/>
      <c r="LF41" s="643"/>
      <c r="LG41" s="643"/>
      <c r="LH41" s="643"/>
      <c r="LI41" s="643"/>
      <c r="LJ41" s="643"/>
      <c r="LK41" s="643"/>
      <c r="LL41" s="643"/>
      <c r="LM41" s="643"/>
      <c r="LN41" s="643"/>
      <c r="LO41" s="643"/>
      <c r="LP41" s="643"/>
      <c r="LQ41" s="643"/>
      <c r="LR41" s="643"/>
      <c r="LS41" s="643"/>
      <c r="LT41" s="643"/>
      <c r="LU41" s="643"/>
      <c r="LV41" s="643"/>
      <c r="LW41" s="643"/>
      <c r="LX41" s="643"/>
      <c r="LY41" s="643"/>
      <c r="LZ41" s="643"/>
      <c r="MA41" s="643"/>
      <c r="MB41" s="643"/>
      <c r="MC41" s="643"/>
      <c r="MD41" s="643"/>
      <c r="ME41" s="643"/>
      <c r="MF41" s="643"/>
      <c r="MG41" s="643"/>
      <c r="MH41" s="643"/>
      <c r="MI41" s="643"/>
      <c r="MJ41" s="643"/>
      <c r="MK41" s="643"/>
      <c r="ML41" s="643"/>
      <c r="MM41" s="643"/>
      <c r="MN41" s="643"/>
      <c r="MO41" s="643"/>
      <c r="MP41" s="643"/>
      <c r="MQ41" s="643"/>
      <c r="MR41" s="643"/>
      <c r="MS41" s="643"/>
      <c r="MT41" s="643"/>
      <c r="MU41" s="643"/>
      <c r="MV41" s="643"/>
      <c r="MW41" s="643"/>
      <c r="MX41" s="643"/>
      <c r="MY41" s="643"/>
      <c r="MZ41" s="643"/>
      <c r="NA41" s="643"/>
      <c r="NB41" s="643"/>
      <c r="NC41" s="643"/>
      <c r="ND41" s="643"/>
      <c r="NE41" s="643"/>
      <c r="NF41" s="643"/>
      <c r="NG41" s="643"/>
      <c r="NH41" s="643"/>
      <c r="NI41" s="643"/>
      <c r="NJ41" s="643"/>
      <c r="NK41" s="643"/>
      <c r="NL41" s="643"/>
      <c r="NM41" s="643"/>
      <c r="NN41" s="643"/>
      <c r="NO41" s="643"/>
      <c r="NP41" s="643"/>
      <c r="NQ41" s="643"/>
      <c r="NR41" s="643"/>
      <c r="NS41" s="643"/>
      <c r="NT41" s="643"/>
      <c r="NU41" s="643"/>
      <c r="NV41" s="643"/>
      <c r="NW41" s="643"/>
      <c r="NX41" s="643"/>
      <c r="NY41" s="643"/>
      <c r="NZ41" s="643"/>
      <c r="OA41" s="643"/>
      <c r="OB41" s="643"/>
      <c r="OC41" s="643"/>
      <c r="OD41" s="643"/>
      <c r="OE41" s="643"/>
      <c r="OF41" s="643"/>
      <c r="OG41" s="643"/>
      <c r="OH41" s="643"/>
      <c r="OI41" s="643"/>
      <c r="OJ41" s="643"/>
      <c r="OK41" s="643"/>
      <c r="OL41" s="643"/>
      <c r="OM41" s="643"/>
      <c r="ON41" s="643"/>
      <c r="OO41" s="643"/>
      <c r="OP41" s="643"/>
      <c r="OQ41" s="643"/>
      <c r="OR41" s="643"/>
      <c r="OS41" s="643"/>
      <c r="OT41" s="643"/>
      <c r="OU41" s="643"/>
      <c r="OV41" s="643"/>
      <c r="OW41" s="643"/>
      <c r="OX41" s="643"/>
      <c r="OY41" s="643"/>
      <c r="OZ41" s="643"/>
      <c r="PA41" s="643"/>
      <c r="PB41" s="643"/>
      <c r="PC41" s="643"/>
      <c r="PD41" s="643"/>
      <c r="PE41" s="643"/>
      <c r="PF41" s="643"/>
      <c r="PG41" s="643"/>
      <c r="PH41" s="643"/>
      <c r="PI41" s="643"/>
      <c r="PJ41" s="643"/>
      <c r="PK41" s="643"/>
      <c r="PL41" s="643"/>
      <c r="PM41" s="643"/>
      <c r="PN41" s="643"/>
      <c r="PO41" s="643"/>
      <c r="PP41" s="643"/>
      <c r="PQ41" s="643"/>
      <c r="PR41" s="643"/>
      <c r="PS41" s="643"/>
      <c r="PT41" s="643"/>
      <c r="PU41" s="643"/>
      <c r="PV41" s="643"/>
      <c r="PW41" s="643"/>
      <c r="PX41" s="643"/>
      <c r="PY41" s="643"/>
      <c r="PZ41" s="643"/>
      <c r="QA41" s="643"/>
      <c r="QB41" s="643"/>
      <c r="QC41" s="643"/>
      <c r="QD41" s="643"/>
      <c r="QE41" s="643"/>
      <c r="QF41" s="643"/>
      <c r="QG41" s="643"/>
      <c r="QH41" s="643"/>
      <c r="QI41" s="643"/>
      <c r="QJ41" s="643"/>
      <c r="QK41" s="643"/>
      <c r="QL41" s="643"/>
      <c r="QM41" s="643"/>
      <c r="QN41" s="643"/>
      <c r="QO41" s="643"/>
      <c r="QP41" s="643"/>
      <c r="QQ41" s="643"/>
      <c r="QR41" s="643"/>
      <c r="QS41" s="643"/>
      <c r="QT41" s="643"/>
      <c r="QU41" s="643"/>
      <c r="QV41" s="643"/>
      <c r="QW41" s="643"/>
      <c r="QX41" s="643"/>
      <c r="QY41" s="643"/>
      <c r="QZ41" s="643"/>
      <c r="RA41" s="643"/>
      <c r="RB41" s="643"/>
      <c r="RC41" s="643"/>
      <c r="RD41" s="643"/>
      <c r="RE41" s="643"/>
      <c r="RF41" s="643"/>
      <c r="RG41" s="643"/>
      <c r="RH41" s="643"/>
      <c r="RI41" s="643"/>
      <c r="RJ41" s="643"/>
      <c r="RK41" s="643"/>
      <c r="RL41" s="643"/>
      <c r="RM41" s="643"/>
      <c r="RN41" s="643"/>
      <c r="RO41" s="643"/>
      <c r="RP41" s="643"/>
      <c r="RQ41" s="643"/>
      <c r="RR41" s="643"/>
      <c r="RS41" s="643"/>
      <c r="RT41" s="643"/>
      <c r="RU41" s="643"/>
      <c r="RV41" s="643"/>
      <c r="RW41" s="643"/>
      <c r="RX41" s="643"/>
      <c r="RY41" s="643"/>
      <c r="RZ41" s="643"/>
      <c r="SA41" s="643"/>
      <c r="SB41" s="643"/>
      <c r="SC41" s="643"/>
      <c r="SD41" s="643"/>
      <c r="SE41" s="643"/>
      <c r="SF41" s="643"/>
      <c r="SG41" s="643"/>
      <c r="SH41" s="643"/>
      <c r="SI41" s="643"/>
      <c r="SJ41" s="643"/>
      <c r="SK41" s="643"/>
      <c r="SL41" s="643"/>
      <c r="SM41" s="643"/>
      <c r="SN41" s="643"/>
      <c r="SO41" s="643"/>
      <c r="SP41" s="643"/>
      <c r="SQ41" s="643"/>
      <c r="SR41" s="643"/>
      <c r="SS41" s="643"/>
      <c r="ST41" s="643"/>
      <c r="SU41" s="643"/>
      <c r="SV41" s="643"/>
      <c r="SW41" s="643"/>
      <c r="SX41" s="643"/>
      <c r="SY41" s="643"/>
      <c r="SZ41" s="643"/>
      <c r="TA41" s="643"/>
      <c r="TB41" s="643"/>
      <c r="TC41" s="643"/>
      <c r="TD41" s="643"/>
      <c r="TE41" s="643"/>
      <c r="TF41" s="643"/>
      <c r="TG41" s="643"/>
      <c r="TH41" s="643"/>
      <c r="TI41" s="643"/>
      <c r="TJ41" s="643"/>
      <c r="TK41" s="643"/>
      <c r="TL41" s="643"/>
      <c r="TM41" s="643"/>
      <c r="TN41" s="643"/>
      <c r="TO41" s="643"/>
      <c r="TP41" s="643"/>
      <c r="TQ41" s="643"/>
      <c r="TR41" s="643"/>
      <c r="TS41" s="643"/>
      <c r="TT41" s="643"/>
      <c r="TU41" s="643"/>
      <c r="TV41" s="643"/>
      <c r="TW41" s="643"/>
      <c r="TX41" s="643"/>
      <c r="TY41" s="643"/>
      <c r="TZ41" s="643"/>
      <c r="UA41" s="643"/>
      <c r="UB41" s="643"/>
      <c r="UC41" s="643"/>
      <c r="UD41" s="643"/>
      <c r="UE41" s="643"/>
      <c r="UF41" s="643"/>
      <c r="UG41" s="643"/>
      <c r="UH41" s="643"/>
      <c r="UI41" s="643"/>
      <c r="UJ41" s="643"/>
      <c r="UK41" s="643"/>
      <c r="UL41" s="643"/>
      <c r="UM41" s="643"/>
      <c r="UN41" s="643"/>
      <c r="UO41" s="643"/>
      <c r="UP41" s="643"/>
      <c r="UQ41" s="643"/>
      <c r="UR41" s="643"/>
      <c r="US41" s="643"/>
      <c r="UT41" s="643"/>
      <c r="UU41" s="643"/>
      <c r="UV41" s="643"/>
      <c r="UW41" s="643"/>
      <c r="UX41" s="643"/>
      <c r="UY41" s="643"/>
      <c r="UZ41" s="643"/>
      <c r="VA41" s="643"/>
      <c r="VB41" s="643"/>
      <c r="VC41" s="643"/>
      <c r="VD41" s="643"/>
      <c r="VE41" s="643"/>
      <c r="VF41" s="643"/>
      <c r="VG41" s="643"/>
      <c r="VH41" s="643"/>
      <c r="VI41" s="643"/>
      <c r="VJ41" s="643"/>
      <c r="VK41" s="643"/>
      <c r="VL41" s="643"/>
      <c r="VM41" s="643"/>
      <c r="VN41" s="643"/>
      <c r="VO41" s="643"/>
      <c r="VP41" s="643"/>
      <c r="VQ41" s="643"/>
      <c r="VR41" s="643"/>
      <c r="VS41" s="643"/>
      <c r="VT41" s="643"/>
      <c r="VU41" s="643"/>
      <c r="VV41" s="643"/>
      <c r="VW41" s="643"/>
      <c r="VX41" s="643"/>
      <c r="VY41" s="643"/>
      <c r="VZ41" s="643"/>
      <c r="WA41" s="643"/>
      <c r="WB41" s="643"/>
      <c r="WC41" s="643"/>
      <c r="WD41" s="643"/>
      <c r="WE41" s="643"/>
      <c r="WF41" s="643"/>
      <c r="WG41" s="643"/>
      <c r="WH41" s="643"/>
      <c r="WI41" s="643"/>
      <c r="WJ41" s="643"/>
      <c r="WK41" s="643"/>
      <c r="WL41" s="643"/>
      <c r="WM41" s="643"/>
      <c r="WN41" s="643"/>
      <c r="WO41" s="643"/>
      <c r="WP41" s="643"/>
      <c r="WQ41" s="643"/>
      <c r="WR41" s="643"/>
      <c r="WS41" s="643"/>
      <c r="WT41" s="643"/>
      <c r="WU41" s="643"/>
      <c r="WV41" s="643"/>
      <c r="WW41" s="643"/>
      <c r="WX41" s="643"/>
      <c r="WY41" s="643"/>
      <c r="WZ41" s="643"/>
      <c r="XA41" s="643"/>
      <c r="XB41" s="643"/>
      <c r="XC41" s="643"/>
      <c r="XD41" s="643"/>
      <c r="XE41" s="643"/>
      <c r="XF41" s="643"/>
      <c r="XG41" s="643"/>
      <c r="XH41" s="643"/>
      <c r="XI41" s="643"/>
      <c r="XJ41" s="643"/>
      <c r="XK41" s="643"/>
      <c r="XL41" s="643"/>
      <c r="XM41" s="643"/>
      <c r="XN41" s="643"/>
      <c r="XO41" s="643"/>
      <c r="XP41" s="643"/>
      <c r="XQ41" s="643"/>
      <c r="XR41" s="643"/>
      <c r="XS41" s="643"/>
      <c r="XT41" s="643"/>
      <c r="XU41" s="643"/>
      <c r="XV41" s="643"/>
      <c r="XW41" s="643"/>
      <c r="XX41" s="643"/>
      <c r="XY41" s="643"/>
      <c r="XZ41" s="643"/>
      <c r="YA41" s="643"/>
      <c r="YB41" s="643"/>
      <c r="YC41" s="643"/>
      <c r="YD41" s="643"/>
      <c r="YE41" s="643"/>
      <c r="YF41" s="643"/>
      <c r="YG41" s="643"/>
      <c r="YH41" s="643"/>
      <c r="YI41" s="643"/>
      <c r="YJ41" s="643"/>
      <c r="YK41" s="643"/>
      <c r="YL41" s="643"/>
      <c r="YM41" s="643"/>
      <c r="YN41" s="643"/>
      <c r="YO41" s="643"/>
      <c r="YP41" s="643"/>
      <c r="YQ41" s="643"/>
      <c r="YR41" s="643"/>
      <c r="YS41" s="643"/>
      <c r="YT41" s="643"/>
      <c r="YU41" s="643"/>
      <c r="YV41" s="643"/>
      <c r="YW41" s="643"/>
      <c r="YX41" s="643"/>
      <c r="YY41" s="643"/>
      <c r="YZ41" s="643"/>
      <c r="ZA41" s="643"/>
      <c r="ZB41" s="643"/>
      <c r="ZC41" s="643"/>
      <c r="ZD41" s="643"/>
      <c r="ZE41" s="643"/>
      <c r="ZF41" s="643"/>
      <c r="ZG41" s="643"/>
      <c r="ZH41" s="643"/>
      <c r="ZI41" s="643"/>
      <c r="ZJ41" s="643"/>
      <c r="ZK41" s="643"/>
      <c r="ZL41" s="643"/>
      <c r="ZM41" s="643"/>
      <c r="ZN41" s="643"/>
      <c r="ZO41" s="643"/>
      <c r="ZP41" s="643"/>
      <c r="ZQ41" s="643"/>
      <c r="ZR41" s="643"/>
      <c r="ZS41" s="643"/>
      <c r="ZT41" s="643"/>
      <c r="ZU41" s="643"/>
      <c r="ZV41" s="643"/>
      <c r="ZW41" s="643"/>
      <c r="ZX41" s="643"/>
      <c r="ZY41" s="643"/>
      <c r="ZZ41" s="643"/>
      <c r="AAA41" s="643"/>
      <c r="AAB41" s="643"/>
      <c r="AAC41" s="643"/>
      <c r="AAD41" s="643"/>
      <c r="AAE41" s="643"/>
      <c r="AAF41" s="643"/>
      <c r="AAG41" s="643"/>
      <c r="AAH41" s="643"/>
      <c r="AAI41" s="643"/>
      <c r="AAJ41" s="643"/>
      <c r="AAK41" s="643"/>
      <c r="AAL41" s="643"/>
      <c r="AAM41" s="643"/>
      <c r="AAN41" s="643"/>
      <c r="AAO41" s="643"/>
      <c r="AAP41" s="643"/>
      <c r="AAQ41" s="643"/>
      <c r="AAR41" s="643"/>
      <c r="AAS41" s="643"/>
      <c r="AAT41" s="643"/>
      <c r="AAU41" s="643"/>
      <c r="AAV41" s="643"/>
      <c r="AAW41" s="643"/>
      <c r="AAX41" s="643"/>
      <c r="AAY41" s="643"/>
      <c r="AAZ41" s="643"/>
      <c r="ABA41" s="643"/>
      <c r="ABB41" s="643"/>
      <c r="ABC41" s="643"/>
      <c r="ABD41" s="643"/>
      <c r="ABE41" s="643"/>
      <c r="ABF41" s="643"/>
      <c r="ABG41" s="643"/>
      <c r="ABH41" s="643"/>
      <c r="ABI41" s="643"/>
      <c r="ABJ41" s="643"/>
      <c r="ABK41" s="643"/>
      <c r="ABL41" s="643"/>
      <c r="ABM41" s="643"/>
      <c r="ABN41" s="643"/>
      <c r="ABO41" s="643"/>
      <c r="ABP41" s="643"/>
      <c r="ABQ41" s="643"/>
      <c r="ABR41" s="643"/>
      <c r="ABS41" s="643"/>
      <c r="ABT41" s="643"/>
      <c r="ABU41" s="643"/>
      <c r="ABV41" s="643"/>
      <c r="ABW41" s="643"/>
      <c r="ABX41" s="643"/>
      <c r="ABY41" s="643"/>
      <c r="ABZ41" s="643"/>
      <c r="ACA41" s="643"/>
      <c r="ACB41" s="643"/>
      <c r="ACC41" s="643"/>
      <c r="ACD41" s="643"/>
      <c r="ACE41" s="643"/>
      <c r="ACF41" s="643"/>
      <c r="ACG41" s="643"/>
      <c r="ACH41" s="643"/>
      <c r="ACI41" s="643"/>
      <c r="ACJ41" s="643"/>
      <c r="ACK41" s="643"/>
      <c r="ACL41" s="643"/>
      <c r="ACM41" s="643"/>
      <c r="ACN41" s="643"/>
      <c r="ACO41" s="643"/>
      <c r="ACP41" s="643"/>
      <c r="ACQ41" s="643"/>
      <c r="ACR41" s="643"/>
      <c r="ACS41" s="643"/>
      <c r="ACT41" s="643"/>
      <c r="ACU41" s="643"/>
      <c r="ACV41" s="643"/>
      <c r="ACW41" s="643"/>
      <c r="ACX41" s="643"/>
      <c r="ACY41" s="643"/>
      <c r="ACZ41" s="643"/>
      <c r="ADA41" s="643"/>
      <c r="ADB41" s="643"/>
      <c r="ADC41" s="643"/>
      <c r="ADD41" s="643"/>
      <c r="ADE41" s="643"/>
      <c r="ADF41" s="643"/>
      <c r="ADG41" s="643"/>
      <c r="ADH41" s="643"/>
      <c r="ADI41" s="643"/>
      <c r="ADJ41" s="643"/>
      <c r="ADK41" s="643"/>
      <c r="ADL41" s="643"/>
      <c r="ADM41" s="643"/>
      <c r="ADN41" s="643"/>
      <c r="ADO41" s="643"/>
      <c r="ADP41" s="643"/>
      <c r="ADQ41" s="643"/>
      <c r="ADR41" s="643"/>
      <c r="ADS41" s="643"/>
      <c r="ADT41" s="643"/>
      <c r="ADU41" s="643"/>
      <c r="ADV41" s="643"/>
      <c r="ADW41" s="643"/>
      <c r="ADX41" s="643"/>
      <c r="ADY41" s="643"/>
      <c r="ADZ41" s="643"/>
      <c r="AEA41" s="643"/>
      <c r="AEB41" s="643"/>
      <c r="AEC41" s="643"/>
      <c r="AED41" s="643"/>
      <c r="AEE41" s="643"/>
      <c r="AEF41" s="643"/>
      <c r="AEG41" s="643"/>
      <c r="AEH41" s="643"/>
      <c r="AEI41" s="643"/>
      <c r="AEJ41" s="643"/>
      <c r="AEK41" s="643"/>
      <c r="AEL41" s="643"/>
      <c r="AEM41" s="643"/>
      <c r="AEN41" s="643"/>
      <c r="AEO41" s="643"/>
      <c r="AEP41" s="643"/>
      <c r="AEQ41" s="643"/>
      <c r="AER41" s="643"/>
      <c r="AES41" s="643"/>
      <c r="AET41" s="643"/>
      <c r="AEU41" s="643"/>
      <c r="AEV41" s="643"/>
      <c r="AEW41" s="643"/>
      <c r="AEX41" s="643"/>
      <c r="AEY41" s="643"/>
      <c r="AEZ41" s="643"/>
      <c r="AFA41" s="643"/>
      <c r="AFB41" s="643"/>
      <c r="AFC41" s="643"/>
      <c r="AFD41" s="643"/>
      <c r="AFE41" s="643"/>
      <c r="AFF41" s="643"/>
      <c r="AFG41" s="643"/>
      <c r="AFH41" s="643"/>
      <c r="AFI41" s="643"/>
      <c r="AFJ41" s="643"/>
      <c r="AFK41" s="643"/>
      <c r="AFL41" s="643"/>
      <c r="AFM41" s="643"/>
      <c r="AFN41" s="643"/>
      <c r="AFO41" s="643"/>
      <c r="AFP41" s="643"/>
      <c r="AFQ41" s="643"/>
      <c r="AFR41" s="643"/>
      <c r="AFS41" s="643"/>
      <c r="AFT41" s="643"/>
      <c r="AFU41" s="643"/>
      <c r="AFV41" s="643"/>
      <c r="AFW41" s="643"/>
      <c r="AFX41" s="643"/>
      <c r="AFY41" s="643"/>
      <c r="AFZ41" s="643"/>
      <c r="AGA41" s="643"/>
      <c r="AGB41" s="643"/>
      <c r="AGC41" s="643"/>
      <c r="AGD41" s="643"/>
      <c r="AGE41" s="643"/>
      <c r="AGF41" s="643"/>
      <c r="AGG41" s="643"/>
      <c r="AGH41" s="643"/>
      <c r="AGI41" s="643"/>
      <c r="AGJ41" s="643"/>
      <c r="AGK41" s="643"/>
      <c r="AGL41" s="643"/>
      <c r="AGM41" s="643"/>
      <c r="AGN41" s="643"/>
      <c r="AGO41" s="643"/>
      <c r="AGP41" s="643"/>
      <c r="AGQ41" s="643"/>
      <c r="AGR41" s="643"/>
      <c r="AGS41" s="643"/>
      <c r="AGT41" s="643"/>
      <c r="AGU41" s="643"/>
      <c r="AGV41" s="643"/>
      <c r="AGW41" s="643"/>
      <c r="AGX41" s="643"/>
      <c r="AGY41" s="643"/>
      <c r="AGZ41" s="643"/>
      <c r="AHA41" s="643"/>
      <c r="AHB41" s="643"/>
      <c r="AHC41" s="643"/>
      <c r="AHD41" s="643"/>
      <c r="AHE41" s="643"/>
      <c r="AHF41" s="643"/>
      <c r="AHG41" s="643"/>
      <c r="AHH41" s="643"/>
      <c r="AHI41" s="643"/>
      <c r="AHJ41" s="643"/>
      <c r="AHK41" s="643"/>
      <c r="AHL41" s="643"/>
      <c r="AHM41" s="643"/>
      <c r="AHN41" s="643"/>
      <c r="AHO41" s="643"/>
      <c r="AHP41" s="643"/>
      <c r="AHQ41" s="643"/>
      <c r="AHR41" s="643"/>
      <c r="AHS41" s="643"/>
      <c r="AHT41" s="643"/>
      <c r="AHU41" s="643"/>
      <c r="AHV41" s="643"/>
      <c r="AHW41" s="643"/>
      <c r="AHX41" s="643"/>
      <c r="AHY41" s="643"/>
      <c r="AHZ41" s="643"/>
      <c r="AIA41" s="643"/>
      <c r="AIB41" s="643"/>
      <c r="AIC41" s="643"/>
      <c r="AID41" s="643"/>
      <c r="AIE41" s="643"/>
      <c r="AIF41" s="643"/>
      <c r="AIG41" s="643"/>
      <c r="AIH41" s="643"/>
      <c r="AII41" s="643"/>
      <c r="AIJ41" s="643"/>
      <c r="AIK41" s="643"/>
      <c r="AIL41" s="643"/>
      <c r="AIM41" s="643"/>
      <c r="AIN41" s="643"/>
      <c r="AIO41" s="643"/>
      <c r="AIP41" s="643"/>
      <c r="AIQ41" s="643"/>
      <c r="AIR41" s="643"/>
      <c r="AIS41" s="643"/>
      <c r="AIT41" s="643"/>
      <c r="AIU41" s="643"/>
      <c r="AIV41" s="643"/>
      <c r="AIW41" s="643"/>
      <c r="AIX41" s="643"/>
      <c r="AIY41" s="643"/>
      <c r="AIZ41" s="643"/>
      <c r="AJA41" s="643"/>
      <c r="AJB41" s="643"/>
      <c r="AJC41" s="643"/>
      <c r="AJD41" s="643"/>
      <c r="AJE41" s="643"/>
      <c r="AJF41" s="643"/>
      <c r="AJG41" s="643"/>
      <c r="AJH41" s="643"/>
      <c r="AJI41" s="643"/>
      <c r="AJJ41" s="643"/>
      <c r="AJK41" s="643"/>
      <c r="AJL41" s="643"/>
      <c r="AJM41" s="643"/>
      <c r="AJN41" s="643"/>
      <c r="AJO41" s="643"/>
      <c r="AJP41" s="643"/>
      <c r="AJQ41" s="643"/>
      <c r="AJR41" s="643"/>
      <c r="AJS41" s="643"/>
      <c r="AJT41" s="643"/>
      <c r="AJU41" s="643"/>
      <c r="AJV41" s="643"/>
      <c r="AJW41" s="643"/>
      <c r="AJX41" s="643"/>
      <c r="AJY41" s="643"/>
      <c r="AJZ41" s="643"/>
      <c r="AKA41" s="643"/>
      <c r="AKB41" s="643"/>
      <c r="AKC41" s="643"/>
      <c r="AKD41" s="643"/>
      <c r="AKE41" s="643"/>
      <c r="AKF41" s="643"/>
      <c r="AKG41" s="643"/>
      <c r="AKH41" s="643"/>
      <c r="AKI41" s="643"/>
      <c r="AKJ41" s="643"/>
      <c r="AKK41" s="643"/>
      <c r="AKL41" s="643"/>
      <c r="AKM41" s="643"/>
      <c r="AKN41" s="643"/>
      <c r="AKO41" s="643"/>
      <c r="AKP41" s="643"/>
      <c r="AKQ41" s="643"/>
      <c r="AKR41" s="643"/>
      <c r="AKS41" s="643"/>
      <c r="AKT41" s="643"/>
      <c r="AKU41" s="643"/>
      <c r="AKV41" s="643"/>
      <c r="AKW41" s="643"/>
      <c r="AKX41" s="643"/>
      <c r="AKY41" s="643"/>
      <c r="AKZ41" s="643"/>
      <c r="ALA41" s="643"/>
      <c r="ALB41" s="643"/>
      <c r="ALC41" s="643"/>
      <c r="ALD41" s="643"/>
      <c r="ALE41" s="643"/>
      <c r="ALF41" s="643"/>
      <c r="ALG41" s="643"/>
      <c r="ALH41" s="643"/>
      <c r="ALI41" s="643"/>
      <c r="ALJ41" s="643"/>
      <c r="ALK41" s="643"/>
      <c r="ALL41" s="643"/>
      <c r="ALM41" s="643"/>
      <c r="ALN41" s="643"/>
      <c r="ALO41" s="643"/>
      <c r="ALP41" s="643"/>
      <c r="ALQ41" s="643"/>
      <c r="ALR41" s="643"/>
      <c r="ALS41" s="643"/>
      <c r="ALT41" s="643"/>
      <c r="ALU41" s="643"/>
      <c r="ALV41" s="643"/>
      <c r="ALW41" s="643"/>
      <c r="ALX41" s="643"/>
      <c r="ALY41" s="643"/>
      <c r="ALZ41" s="643"/>
      <c r="AMA41" s="643"/>
      <c r="AMB41" s="643"/>
      <c r="AMC41" s="643"/>
      <c r="AMD41" s="643"/>
      <c r="AME41" s="643"/>
      <c r="AMF41" s="643"/>
      <c r="AMG41" s="643"/>
      <c r="AMH41" s="643"/>
      <c r="AMI41" s="643"/>
      <c r="AMJ41" s="643"/>
      <c r="AMK41" s="643"/>
      <c r="AML41" s="643"/>
      <c r="AMM41" s="643"/>
      <c r="AMN41" s="643"/>
      <c r="AMO41" s="643"/>
      <c r="AMP41" s="643"/>
      <c r="AMQ41" s="643"/>
      <c r="AMR41" s="643"/>
      <c r="AMS41" s="643"/>
      <c r="AMT41" s="643"/>
      <c r="AMU41" s="643"/>
      <c r="AMV41" s="643"/>
      <c r="AMW41" s="643"/>
      <c r="AMX41" s="643"/>
      <c r="AMY41" s="643"/>
      <c r="AMZ41" s="643"/>
      <c r="ANA41" s="643"/>
      <c r="ANB41" s="643"/>
      <c r="ANC41" s="643"/>
      <c r="AND41" s="643"/>
      <c r="ANE41" s="643"/>
      <c r="ANF41" s="643"/>
      <c r="ANG41" s="643"/>
      <c r="ANH41" s="643"/>
      <c r="ANI41" s="643"/>
      <c r="ANJ41" s="643"/>
      <c r="ANK41" s="643"/>
      <c r="ANL41" s="643"/>
      <c r="ANM41" s="643"/>
      <c r="ANN41" s="643"/>
      <c r="ANO41" s="643"/>
      <c r="ANP41" s="643"/>
      <c r="ANQ41" s="643"/>
      <c r="ANR41" s="643"/>
      <c r="ANS41" s="643"/>
      <c r="ANT41" s="643"/>
      <c r="ANU41" s="643"/>
      <c r="ANV41" s="643"/>
      <c r="ANW41" s="643"/>
      <c r="ANX41" s="643"/>
      <c r="ANY41" s="643"/>
      <c r="ANZ41" s="643"/>
      <c r="AOA41" s="643"/>
      <c r="AOB41" s="643"/>
      <c r="AOC41" s="643"/>
      <c r="AOD41" s="643"/>
      <c r="AOE41" s="643"/>
      <c r="AOF41" s="643"/>
      <c r="AOG41" s="643"/>
      <c r="AOH41" s="643"/>
      <c r="AOI41" s="643"/>
      <c r="AOJ41" s="643"/>
      <c r="AOK41" s="643"/>
      <c r="AOL41" s="643"/>
      <c r="AOM41" s="643"/>
      <c r="AON41" s="643"/>
      <c r="AOO41" s="643"/>
      <c r="AOP41" s="643"/>
      <c r="AOQ41" s="643"/>
      <c r="AOR41" s="643"/>
      <c r="AOS41" s="643"/>
      <c r="AOT41" s="643"/>
      <c r="AOU41" s="643"/>
      <c r="AOV41" s="643"/>
      <c r="AOW41" s="643"/>
      <c r="AOX41" s="643"/>
      <c r="AOY41" s="643"/>
      <c r="AOZ41" s="643"/>
      <c r="APA41" s="643"/>
      <c r="APB41" s="643"/>
      <c r="APC41" s="643"/>
      <c r="APD41" s="643"/>
      <c r="APE41" s="643"/>
      <c r="APF41" s="643"/>
      <c r="APG41" s="643"/>
      <c r="APH41" s="643"/>
      <c r="API41" s="643"/>
      <c r="APJ41" s="643"/>
      <c r="APK41" s="643"/>
      <c r="APL41" s="643"/>
      <c r="APM41" s="643"/>
      <c r="APN41" s="643"/>
      <c r="APO41" s="643"/>
      <c r="APP41" s="643"/>
      <c r="APQ41" s="643"/>
      <c r="APR41" s="643"/>
      <c r="APS41" s="643"/>
      <c r="APT41" s="643"/>
      <c r="APU41" s="643"/>
      <c r="APV41" s="643"/>
      <c r="APW41" s="643"/>
      <c r="APX41" s="643"/>
      <c r="APY41" s="643"/>
      <c r="APZ41" s="643"/>
      <c r="AQA41" s="643"/>
      <c r="AQB41" s="643"/>
      <c r="AQC41" s="643"/>
      <c r="AQD41" s="643"/>
      <c r="AQE41" s="643"/>
      <c r="AQF41" s="643"/>
      <c r="AQG41" s="643"/>
      <c r="AQH41" s="643"/>
      <c r="AQI41" s="643"/>
      <c r="AQJ41" s="643"/>
      <c r="AQK41" s="643"/>
      <c r="AQL41" s="643"/>
      <c r="AQM41" s="643"/>
      <c r="AQN41" s="643"/>
      <c r="AQO41" s="643"/>
      <c r="AQP41" s="643"/>
      <c r="AQQ41" s="643"/>
      <c r="AQR41" s="643"/>
      <c r="AQS41" s="643"/>
      <c r="AQT41" s="643"/>
      <c r="AQU41" s="643"/>
      <c r="AQV41" s="643"/>
      <c r="AQW41" s="643"/>
      <c r="AQX41" s="643"/>
      <c r="AQY41" s="643"/>
      <c r="AQZ41" s="643"/>
      <c r="ARA41" s="643"/>
      <c r="ARB41" s="643"/>
      <c r="ARC41" s="643"/>
      <c r="ARD41" s="643"/>
      <c r="ARE41" s="643"/>
      <c r="ARF41" s="643"/>
      <c r="ARG41" s="643"/>
      <c r="ARH41" s="643"/>
      <c r="ARI41" s="643"/>
      <c r="ARJ41" s="643"/>
      <c r="ARK41" s="643"/>
      <c r="ARL41" s="643"/>
      <c r="ARM41" s="643"/>
      <c r="ARN41" s="643"/>
      <c r="ARO41" s="643"/>
      <c r="ARP41" s="643"/>
      <c r="ARQ41" s="643"/>
      <c r="ARR41" s="643"/>
      <c r="ARS41" s="643"/>
      <c r="ART41" s="643"/>
      <c r="ARU41" s="643"/>
      <c r="ARV41" s="643"/>
      <c r="ARW41" s="643"/>
      <c r="ARX41" s="643"/>
      <c r="ARY41" s="643"/>
      <c r="ARZ41" s="643"/>
      <c r="ASA41" s="643"/>
      <c r="ASB41" s="643"/>
      <c r="ASC41" s="643"/>
      <c r="ASD41" s="643"/>
      <c r="ASE41" s="643"/>
      <c r="ASF41" s="643"/>
      <c r="ASG41" s="643"/>
      <c r="ASH41" s="643"/>
      <c r="ASI41" s="643"/>
      <c r="ASJ41" s="643"/>
      <c r="ASK41" s="643"/>
      <c r="ASL41" s="643"/>
      <c r="ASM41" s="643"/>
      <c r="ASN41" s="643"/>
      <c r="ASO41" s="643"/>
      <c r="ASP41" s="643"/>
      <c r="ASQ41" s="643"/>
      <c r="ASR41" s="643"/>
      <c r="ASS41" s="643"/>
      <c r="AST41" s="643"/>
      <c r="ASU41" s="643"/>
      <c r="ASV41" s="643"/>
      <c r="ASW41" s="643"/>
      <c r="ASX41" s="643"/>
      <c r="ASY41" s="643"/>
      <c r="ASZ41" s="643"/>
      <c r="ATA41" s="643"/>
      <c r="ATB41" s="643"/>
      <c r="ATC41" s="643"/>
      <c r="ATD41" s="643"/>
      <c r="ATE41" s="643"/>
      <c r="ATF41" s="643"/>
      <c r="ATG41" s="643"/>
      <c r="ATH41" s="643"/>
      <c r="ATI41" s="643"/>
      <c r="ATJ41" s="643"/>
      <c r="ATK41" s="643"/>
      <c r="ATL41" s="643"/>
      <c r="ATM41" s="643"/>
      <c r="ATN41" s="643"/>
      <c r="ATO41" s="643"/>
      <c r="ATP41" s="643"/>
      <c r="ATQ41" s="643"/>
      <c r="ATR41" s="643"/>
      <c r="ATS41" s="643"/>
      <c r="ATT41" s="643"/>
      <c r="ATU41" s="643"/>
      <c r="ATV41" s="643"/>
      <c r="ATW41" s="643"/>
      <c r="ATX41" s="643"/>
      <c r="ATY41" s="643"/>
      <c r="ATZ41" s="643"/>
      <c r="AUA41" s="643"/>
      <c r="AUB41" s="643"/>
      <c r="AUC41" s="643"/>
      <c r="AUD41" s="643"/>
      <c r="AUE41" s="643"/>
      <c r="AUF41" s="643"/>
      <c r="AUG41" s="643"/>
      <c r="AUH41" s="643"/>
      <c r="AUI41" s="643"/>
      <c r="AUJ41" s="643"/>
      <c r="AUK41" s="643"/>
      <c r="AUL41" s="643"/>
      <c r="AUM41" s="643"/>
      <c r="AUN41" s="643"/>
      <c r="AUO41" s="643"/>
      <c r="AUP41" s="643"/>
      <c r="AUQ41" s="643"/>
      <c r="AUR41" s="643"/>
      <c r="AUS41" s="643"/>
      <c r="AUT41" s="643"/>
      <c r="AUU41" s="643"/>
      <c r="AUV41" s="643"/>
      <c r="AUW41" s="643"/>
      <c r="AUX41" s="643"/>
      <c r="AUY41" s="643"/>
      <c r="AUZ41" s="643"/>
      <c r="AVA41" s="643"/>
      <c r="AVB41" s="643"/>
      <c r="AVC41" s="643"/>
      <c r="AVD41" s="643"/>
      <c r="AVE41" s="643"/>
      <c r="AVF41" s="643"/>
      <c r="AVG41" s="643"/>
      <c r="AVH41" s="643"/>
      <c r="AVI41" s="643"/>
      <c r="AVJ41" s="643"/>
      <c r="AVK41" s="643"/>
      <c r="AVL41" s="643"/>
      <c r="AVM41" s="643"/>
      <c r="AVN41" s="643"/>
      <c r="AVO41" s="643"/>
      <c r="AVP41" s="643"/>
      <c r="AVQ41" s="643"/>
      <c r="AVR41" s="643"/>
      <c r="AVS41" s="643"/>
      <c r="AVT41" s="643"/>
      <c r="AVU41" s="643"/>
      <c r="AVV41" s="643"/>
      <c r="AVW41" s="643"/>
      <c r="AVX41" s="643"/>
      <c r="AVY41" s="643"/>
      <c r="AVZ41" s="643"/>
      <c r="AWA41" s="643"/>
      <c r="AWB41" s="643"/>
      <c r="AWC41" s="643"/>
      <c r="AWD41" s="643"/>
      <c r="AWE41" s="643"/>
      <c r="AWF41" s="643"/>
      <c r="AWG41" s="643"/>
      <c r="AWH41" s="643"/>
      <c r="AWI41" s="643"/>
      <c r="AWJ41" s="643"/>
      <c r="AWK41" s="643"/>
      <c r="AWL41" s="643"/>
      <c r="AWM41" s="643"/>
      <c r="AWN41" s="643"/>
      <c r="AWO41" s="643"/>
      <c r="AWP41" s="643"/>
      <c r="AWQ41" s="643"/>
      <c r="AWR41" s="643"/>
      <c r="AWS41" s="643"/>
      <c r="AWT41" s="643"/>
      <c r="AWU41" s="643"/>
      <c r="AWV41" s="643"/>
      <c r="AWW41" s="643"/>
      <c r="AWX41" s="643"/>
      <c r="AWY41" s="643"/>
      <c r="AWZ41" s="643"/>
      <c r="AXA41" s="643"/>
      <c r="AXB41" s="643"/>
      <c r="AXC41" s="643"/>
      <c r="AXD41" s="643"/>
      <c r="AXE41" s="643"/>
      <c r="AXF41" s="643"/>
      <c r="AXG41" s="643"/>
      <c r="AXH41" s="643"/>
      <c r="AXI41" s="643"/>
      <c r="AXJ41" s="643"/>
      <c r="AXK41" s="643"/>
      <c r="AXL41" s="643"/>
      <c r="AXM41" s="643"/>
      <c r="AXN41" s="643"/>
      <c r="AXO41" s="643"/>
      <c r="AXP41" s="643"/>
      <c r="AXQ41" s="643"/>
      <c r="AXR41" s="643"/>
      <c r="AXS41" s="643"/>
      <c r="AXT41" s="643"/>
      <c r="AXU41" s="643"/>
      <c r="AXV41" s="643"/>
      <c r="AXW41" s="643"/>
      <c r="AXX41" s="643"/>
      <c r="AXY41" s="643"/>
      <c r="AXZ41" s="643"/>
      <c r="AYA41" s="643"/>
      <c r="AYB41" s="643"/>
      <c r="AYC41" s="643"/>
      <c r="AYD41" s="643"/>
      <c r="AYE41" s="643"/>
      <c r="AYF41" s="643"/>
      <c r="AYG41" s="643"/>
      <c r="AYH41" s="643"/>
      <c r="AYI41" s="643"/>
      <c r="AYJ41" s="643"/>
      <c r="AYK41" s="643"/>
      <c r="AYL41" s="643"/>
      <c r="AYM41" s="643"/>
      <c r="AYN41" s="643"/>
      <c r="AYO41" s="643"/>
      <c r="AYP41" s="643"/>
      <c r="AYQ41" s="643"/>
      <c r="AYR41" s="643"/>
      <c r="AYS41" s="643"/>
      <c r="AYT41" s="643"/>
      <c r="AYU41" s="643"/>
      <c r="AYV41" s="643"/>
      <c r="AYW41" s="643"/>
      <c r="AYX41" s="643"/>
      <c r="AYY41" s="643"/>
      <c r="AYZ41" s="643"/>
      <c r="AZA41" s="643"/>
      <c r="AZB41" s="643"/>
      <c r="AZC41" s="643"/>
      <c r="AZD41" s="643"/>
      <c r="AZE41" s="643"/>
      <c r="AZF41" s="643"/>
      <c r="AZG41" s="643"/>
      <c r="AZH41" s="643"/>
      <c r="AZI41" s="643"/>
      <c r="AZJ41" s="643"/>
      <c r="AZK41" s="643"/>
      <c r="AZL41" s="643"/>
      <c r="AZM41" s="643"/>
      <c r="AZN41" s="643"/>
      <c r="AZO41" s="643"/>
      <c r="AZP41" s="643"/>
      <c r="AZQ41" s="643"/>
      <c r="AZR41" s="643"/>
      <c r="AZS41" s="643"/>
      <c r="AZT41" s="643"/>
      <c r="AZU41" s="643"/>
      <c r="AZV41" s="643"/>
      <c r="AZW41" s="643"/>
      <c r="AZX41" s="643"/>
      <c r="AZY41" s="643"/>
      <c r="AZZ41" s="643"/>
      <c r="BAA41" s="643"/>
      <c r="BAB41" s="643"/>
      <c r="BAC41" s="643"/>
      <c r="BAD41" s="643"/>
      <c r="BAE41" s="643"/>
      <c r="BAF41" s="643"/>
      <c r="BAG41" s="643"/>
      <c r="BAH41" s="643"/>
      <c r="BAI41" s="643"/>
      <c r="BAJ41" s="643"/>
      <c r="BAK41" s="643"/>
      <c r="BAL41" s="643"/>
      <c r="BAM41" s="643"/>
      <c r="BAN41" s="643"/>
      <c r="BAO41" s="643"/>
      <c r="BAP41" s="643"/>
      <c r="BAQ41" s="643"/>
      <c r="BAR41" s="643"/>
      <c r="BAS41" s="643"/>
      <c r="BAT41" s="643"/>
      <c r="BAU41" s="643"/>
      <c r="BAV41" s="643"/>
      <c r="BAW41" s="643"/>
      <c r="BAX41" s="643"/>
      <c r="BAY41" s="643"/>
      <c r="BAZ41" s="643"/>
      <c r="BBA41" s="643"/>
      <c r="BBB41" s="643"/>
      <c r="BBC41" s="643"/>
      <c r="BBD41" s="643"/>
      <c r="BBE41" s="643"/>
      <c r="BBF41" s="643"/>
      <c r="BBG41" s="643"/>
      <c r="BBH41" s="643"/>
      <c r="BBI41" s="643"/>
      <c r="BBJ41" s="643"/>
      <c r="BBK41" s="643"/>
      <c r="BBL41" s="643"/>
      <c r="BBM41" s="643"/>
      <c r="BBN41" s="643"/>
      <c r="BBO41" s="643"/>
      <c r="BBP41" s="643"/>
      <c r="BBQ41" s="643"/>
      <c r="BBR41" s="643"/>
      <c r="BBS41" s="643"/>
      <c r="BBT41" s="643"/>
      <c r="BBU41" s="643"/>
      <c r="BBV41" s="643"/>
      <c r="BBW41" s="643"/>
      <c r="BBX41" s="643"/>
      <c r="BBY41" s="643"/>
      <c r="BBZ41" s="643"/>
      <c r="BCA41" s="643"/>
      <c r="BCB41" s="643"/>
      <c r="BCC41" s="643"/>
      <c r="BCD41" s="643"/>
      <c r="BCE41" s="643"/>
      <c r="BCF41" s="643"/>
      <c r="BCG41" s="643"/>
      <c r="BCH41" s="643"/>
      <c r="BCI41" s="643"/>
      <c r="BCJ41" s="643"/>
      <c r="BCK41" s="643"/>
      <c r="BCL41" s="643"/>
      <c r="BCM41" s="643"/>
      <c r="BCN41" s="643"/>
      <c r="BCO41" s="643"/>
      <c r="BCP41" s="643"/>
      <c r="BCQ41" s="643"/>
      <c r="BCR41" s="643"/>
      <c r="BCS41" s="643"/>
      <c r="BCT41" s="643"/>
      <c r="BCU41" s="643"/>
      <c r="BCV41" s="643"/>
      <c r="BCW41" s="643"/>
      <c r="BCX41" s="643"/>
      <c r="BCY41" s="643"/>
      <c r="BCZ41" s="643"/>
      <c r="BDA41" s="643"/>
      <c r="BDB41" s="643"/>
      <c r="BDC41" s="643"/>
      <c r="BDD41" s="643"/>
      <c r="BDE41" s="643"/>
      <c r="BDF41" s="643"/>
      <c r="BDG41" s="643"/>
      <c r="BDH41" s="643"/>
      <c r="BDI41" s="643"/>
      <c r="BDJ41" s="643"/>
      <c r="BDK41" s="643"/>
      <c r="BDL41" s="643"/>
      <c r="BDM41" s="643"/>
      <c r="BDN41" s="643"/>
      <c r="BDO41" s="643"/>
      <c r="BDP41" s="643"/>
      <c r="BDQ41" s="643"/>
      <c r="BDR41" s="643"/>
      <c r="BDS41" s="643"/>
      <c r="BDT41" s="643"/>
      <c r="BDU41" s="643"/>
      <c r="BDV41" s="643"/>
      <c r="BDW41" s="643"/>
      <c r="BDX41" s="643"/>
      <c r="BDY41" s="643"/>
      <c r="BDZ41" s="643"/>
      <c r="BEA41" s="643"/>
      <c r="BEB41" s="643"/>
      <c r="BEC41" s="643"/>
      <c r="BED41" s="643"/>
      <c r="BEE41" s="643"/>
      <c r="BEF41" s="643"/>
      <c r="BEG41" s="643"/>
      <c r="BEH41" s="643"/>
      <c r="BEI41" s="643"/>
      <c r="BEJ41" s="643"/>
      <c r="BEK41" s="643"/>
      <c r="BEL41" s="643"/>
      <c r="BEM41" s="643"/>
      <c r="BEN41" s="643"/>
      <c r="BEO41" s="643"/>
      <c r="BEP41" s="643"/>
      <c r="BEQ41" s="643"/>
      <c r="BER41" s="643"/>
      <c r="BES41" s="643"/>
      <c r="BET41" s="643"/>
      <c r="BEU41" s="643"/>
      <c r="BEV41" s="643"/>
      <c r="BEW41" s="643"/>
      <c r="BEX41" s="643"/>
      <c r="BEY41" s="643"/>
      <c r="BEZ41" s="643"/>
      <c r="BFA41" s="643"/>
      <c r="BFB41" s="643"/>
      <c r="BFC41" s="643"/>
      <c r="BFD41" s="643"/>
      <c r="BFE41" s="643"/>
      <c r="BFF41" s="643"/>
      <c r="BFG41" s="643"/>
      <c r="BFH41" s="643"/>
      <c r="BFI41" s="643"/>
      <c r="BFJ41" s="643"/>
      <c r="BFK41" s="643"/>
      <c r="BFL41" s="643"/>
      <c r="BFM41" s="643"/>
      <c r="BFN41" s="643"/>
      <c r="BFO41" s="643"/>
      <c r="BFP41" s="643"/>
      <c r="BFQ41" s="643"/>
      <c r="BFR41" s="643"/>
      <c r="BFS41" s="643"/>
      <c r="BFT41" s="643"/>
      <c r="BFU41" s="643"/>
      <c r="BFV41" s="643"/>
      <c r="BFW41" s="643"/>
      <c r="BFX41" s="643"/>
      <c r="BFY41" s="643"/>
      <c r="BFZ41" s="643"/>
      <c r="BGA41" s="643"/>
      <c r="BGB41" s="643"/>
      <c r="BGC41" s="643"/>
      <c r="BGD41" s="643"/>
      <c r="BGE41" s="643"/>
      <c r="BGF41" s="643"/>
      <c r="BGG41" s="643"/>
      <c r="BGH41" s="643"/>
      <c r="BGI41" s="643"/>
      <c r="BGJ41" s="643"/>
      <c r="BGK41" s="643"/>
      <c r="BGL41" s="643"/>
      <c r="BGM41" s="643"/>
      <c r="BGN41" s="643"/>
      <c r="BGO41" s="643"/>
      <c r="BGP41" s="643"/>
      <c r="BGQ41" s="643"/>
      <c r="BGR41" s="643"/>
      <c r="BGS41" s="643"/>
      <c r="BGT41" s="643"/>
      <c r="BGU41" s="643"/>
      <c r="BGV41" s="643"/>
      <c r="BGW41" s="643"/>
      <c r="BGX41" s="643"/>
      <c r="BGY41" s="643"/>
      <c r="BGZ41" s="643"/>
      <c r="BHA41" s="643"/>
      <c r="BHB41" s="643"/>
      <c r="BHC41" s="643"/>
      <c r="BHD41" s="643"/>
      <c r="BHE41" s="643"/>
      <c r="BHF41" s="643"/>
      <c r="BHG41" s="643"/>
      <c r="BHH41" s="643"/>
      <c r="BHI41" s="643"/>
      <c r="BHJ41" s="643"/>
      <c r="BHK41" s="643"/>
      <c r="BHL41" s="643"/>
      <c r="BHM41" s="643"/>
      <c r="BHN41" s="643"/>
      <c r="BHO41" s="643"/>
      <c r="BHP41" s="643"/>
      <c r="BHQ41" s="643"/>
      <c r="BHR41" s="643"/>
      <c r="BHS41" s="643"/>
      <c r="BHT41" s="643"/>
      <c r="BHU41" s="643"/>
      <c r="BHV41" s="643"/>
      <c r="BHW41" s="643"/>
      <c r="BHX41" s="643"/>
      <c r="BHY41" s="643"/>
      <c r="BHZ41" s="643"/>
      <c r="BIA41" s="643"/>
      <c r="BIB41" s="643"/>
      <c r="BIC41" s="643"/>
      <c r="BID41" s="643"/>
      <c r="BIE41" s="643"/>
      <c r="BIF41" s="643"/>
      <c r="BIG41" s="643"/>
      <c r="BIH41" s="643"/>
      <c r="BII41" s="643"/>
      <c r="BIJ41" s="643"/>
      <c r="BIK41" s="643"/>
      <c r="BIL41" s="643"/>
      <c r="BIM41" s="643"/>
      <c r="BIN41" s="643"/>
      <c r="BIO41" s="643"/>
      <c r="BIP41" s="643"/>
      <c r="BIQ41" s="643"/>
      <c r="BIR41" s="643"/>
      <c r="BIS41" s="643"/>
      <c r="BIT41" s="643"/>
      <c r="BIU41" s="643"/>
      <c r="BIV41" s="643"/>
      <c r="BIW41" s="643"/>
      <c r="BIX41" s="643"/>
      <c r="BIY41" s="643"/>
      <c r="BIZ41" s="643"/>
      <c r="BJA41" s="643"/>
      <c r="BJB41" s="643"/>
      <c r="BJC41" s="643"/>
      <c r="BJD41" s="643"/>
      <c r="BJE41" s="643"/>
      <c r="BJF41" s="643"/>
      <c r="BJG41" s="643"/>
      <c r="BJH41" s="643"/>
      <c r="BJI41" s="643"/>
      <c r="BJJ41" s="643"/>
      <c r="BJK41" s="643"/>
      <c r="BJL41" s="643"/>
      <c r="BJM41" s="643"/>
      <c r="BJN41" s="643"/>
      <c r="BJO41" s="643"/>
      <c r="BJP41" s="643"/>
      <c r="BJQ41" s="643"/>
      <c r="BJR41" s="643"/>
      <c r="BJS41" s="643"/>
      <c r="BJT41" s="643"/>
      <c r="BJU41" s="643"/>
      <c r="BJV41" s="643"/>
      <c r="BJW41" s="643"/>
      <c r="BJX41" s="643"/>
      <c r="BJY41" s="643"/>
      <c r="BJZ41" s="643"/>
      <c r="BKA41" s="643"/>
      <c r="BKB41" s="643"/>
      <c r="BKC41" s="643"/>
      <c r="BKD41" s="643"/>
      <c r="BKE41" s="643"/>
      <c r="BKF41" s="643"/>
      <c r="BKG41" s="643"/>
      <c r="BKH41" s="643"/>
      <c r="BKI41" s="643"/>
      <c r="BKJ41" s="643"/>
      <c r="BKK41" s="643"/>
      <c r="BKL41" s="643"/>
      <c r="BKM41" s="643"/>
      <c r="BKN41" s="643"/>
      <c r="BKO41" s="643"/>
      <c r="BKP41" s="643"/>
      <c r="BKQ41" s="643"/>
      <c r="BKR41" s="643"/>
      <c r="BKS41" s="643"/>
      <c r="BKT41" s="643"/>
      <c r="BKU41" s="643"/>
      <c r="BKV41" s="643"/>
      <c r="BKW41" s="643"/>
      <c r="BKX41" s="643"/>
      <c r="BKY41" s="643"/>
      <c r="BKZ41" s="643"/>
      <c r="BLA41" s="643"/>
      <c r="BLB41" s="643"/>
      <c r="BLC41" s="643"/>
      <c r="BLD41" s="643"/>
      <c r="BLE41" s="643"/>
      <c r="BLF41" s="643"/>
      <c r="BLG41" s="643"/>
      <c r="BLH41" s="643"/>
      <c r="BLI41" s="643"/>
      <c r="BLJ41" s="643"/>
      <c r="BLK41" s="643"/>
      <c r="BLL41" s="643"/>
      <c r="BLM41" s="643"/>
      <c r="BLN41" s="643"/>
      <c r="BLO41" s="643"/>
      <c r="BLP41" s="643"/>
      <c r="BLQ41" s="643"/>
      <c r="BLR41" s="643"/>
      <c r="BLS41" s="643"/>
      <c r="BLT41" s="643"/>
      <c r="BLU41" s="643"/>
      <c r="BLV41" s="643"/>
      <c r="BLW41" s="643"/>
      <c r="BLX41" s="643"/>
      <c r="BLY41" s="643"/>
      <c r="BLZ41" s="643"/>
      <c r="BMA41" s="643"/>
      <c r="BMB41" s="643"/>
      <c r="BMC41" s="643"/>
      <c r="BMD41" s="643"/>
      <c r="BME41" s="643"/>
      <c r="BMF41" s="643"/>
      <c r="BMG41" s="643"/>
      <c r="BMH41" s="643"/>
      <c r="BMI41" s="643"/>
      <c r="BMJ41" s="643"/>
      <c r="BMK41" s="643"/>
      <c r="BML41" s="643"/>
      <c r="BMM41" s="643"/>
      <c r="BMN41" s="643"/>
      <c r="BMO41" s="643"/>
      <c r="BMP41" s="643"/>
      <c r="BMQ41" s="643"/>
      <c r="BMR41" s="643"/>
      <c r="BMS41" s="643"/>
      <c r="BMT41" s="643"/>
      <c r="BMU41" s="643"/>
      <c r="BMV41" s="643"/>
      <c r="BMW41" s="643"/>
      <c r="BMX41" s="643"/>
      <c r="BMY41" s="643"/>
      <c r="BMZ41" s="643"/>
      <c r="BNA41" s="643"/>
      <c r="BNB41" s="643"/>
      <c r="BNC41" s="643"/>
      <c r="BND41" s="643"/>
      <c r="BNE41" s="643"/>
      <c r="BNF41" s="643"/>
      <c r="BNG41" s="643"/>
      <c r="BNH41" s="643"/>
      <c r="BNI41" s="643"/>
      <c r="BNJ41" s="643"/>
      <c r="BNK41" s="643"/>
      <c r="BNL41" s="643"/>
      <c r="BNM41" s="643"/>
      <c r="BNN41" s="643"/>
      <c r="BNO41" s="643"/>
      <c r="BNP41" s="643"/>
      <c r="BNQ41" s="643"/>
      <c r="BNR41" s="643"/>
      <c r="BNS41" s="643"/>
      <c r="BNT41" s="643"/>
      <c r="BNU41" s="643"/>
      <c r="BNV41" s="643"/>
      <c r="BNW41" s="643"/>
      <c r="BNX41" s="643"/>
      <c r="BNY41" s="643"/>
      <c r="BNZ41" s="643"/>
      <c r="BOA41" s="643"/>
      <c r="BOB41" s="643"/>
      <c r="BOC41" s="643"/>
      <c r="BOD41" s="643"/>
      <c r="BOE41" s="643"/>
      <c r="BOF41" s="643"/>
      <c r="BOG41" s="643"/>
      <c r="BOH41" s="643"/>
      <c r="BOI41" s="643"/>
      <c r="BOJ41" s="643"/>
      <c r="BOK41" s="643"/>
      <c r="BOL41" s="643"/>
      <c r="BOM41" s="643"/>
      <c r="BON41" s="643"/>
      <c r="BOO41" s="643"/>
      <c r="BOP41" s="643"/>
      <c r="BOQ41" s="643"/>
      <c r="BOR41" s="643"/>
      <c r="BOS41" s="643"/>
      <c r="BOT41" s="643"/>
      <c r="BOU41" s="643"/>
      <c r="BOV41" s="643"/>
      <c r="BOW41" s="643"/>
      <c r="BOX41" s="643"/>
      <c r="BOY41" s="643"/>
      <c r="BOZ41" s="643"/>
      <c r="BPA41" s="643"/>
      <c r="BPB41" s="643"/>
      <c r="BPC41" s="643"/>
      <c r="BPD41" s="643"/>
      <c r="BPE41" s="643"/>
      <c r="BPF41" s="643"/>
      <c r="BPG41" s="643"/>
      <c r="BPH41" s="643"/>
      <c r="BPI41" s="643"/>
      <c r="BPJ41" s="643"/>
      <c r="BPK41" s="643"/>
      <c r="BPL41" s="643"/>
      <c r="BPM41" s="643"/>
      <c r="BPN41" s="643"/>
      <c r="BPO41" s="643"/>
      <c r="BPP41" s="643"/>
      <c r="BPQ41" s="643"/>
      <c r="BPR41" s="643"/>
      <c r="BPS41" s="643"/>
      <c r="BPT41" s="643"/>
      <c r="BPU41" s="643"/>
      <c r="BPV41" s="643"/>
      <c r="BPW41" s="643"/>
      <c r="BPX41" s="643"/>
      <c r="BPY41" s="643"/>
      <c r="BPZ41" s="643"/>
      <c r="BQA41" s="643"/>
      <c r="BQB41" s="643"/>
      <c r="BQC41" s="643"/>
      <c r="BQD41" s="643"/>
      <c r="BQE41" s="643"/>
      <c r="BQF41" s="643"/>
      <c r="BQG41" s="643"/>
      <c r="BQH41" s="643"/>
      <c r="BQI41" s="643"/>
      <c r="BQJ41" s="643"/>
      <c r="BQK41" s="643"/>
      <c r="BQL41" s="643"/>
      <c r="BQM41" s="643"/>
      <c r="BQN41" s="643"/>
      <c r="BQO41" s="643"/>
      <c r="BQP41" s="643"/>
      <c r="BQQ41" s="643"/>
      <c r="BQR41" s="643"/>
      <c r="BQS41" s="643"/>
      <c r="BQT41" s="643"/>
      <c r="BQU41" s="643"/>
      <c r="BQV41" s="643"/>
      <c r="BQW41" s="643"/>
      <c r="BQX41" s="643"/>
      <c r="BQY41" s="643"/>
      <c r="BQZ41" s="643"/>
      <c r="BRA41" s="643"/>
      <c r="BRB41" s="643"/>
      <c r="BRC41" s="643"/>
      <c r="BRD41" s="643"/>
      <c r="BRE41" s="643"/>
      <c r="BRF41" s="643"/>
      <c r="BRG41" s="643"/>
      <c r="BRH41" s="643"/>
      <c r="BRI41" s="643"/>
      <c r="BRJ41" s="643"/>
      <c r="BRK41" s="643"/>
      <c r="BRL41" s="643"/>
      <c r="BRM41" s="643"/>
      <c r="BRN41" s="643"/>
      <c r="BRO41" s="643"/>
      <c r="BRP41" s="643"/>
      <c r="BRQ41" s="643"/>
      <c r="BRR41" s="643"/>
      <c r="BRS41" s="643"/>
      <c r="BRT41" s="643"/>
      <c r="BRU41" s="643"/>
      <c r="BRV41" s="643"/>
      <c r="BRW41" s="643"/>
      <c r="BRX41" s="643"/>
      <c r="BRY41" s="643"/>
      <c r="BRZ41" s="643"/>
      <c r="BSA41" s="643"/>
      <c r="BSB41" s="643"/>
      <c r="BSC41" s="643"/>
      <c r="BSD41" s="643"/>
      <c r="BSE41" s="643"/>
      <c r="BSF41" s="643"/>
      <c r="BSG41" s="643"/>
      <c r="BSH41" s="643"/>
      <c r="BSI41" s="643"/>
      <c r="BSJ41" s="643"/>
      <c r="BSK41" s="643"/>
      <c r="BSL41" s="643"/>
      <c r="BSM41" s="643"/>
      <c r="BSN41" s="643"/>
      <c r="BSO41" s="643"/>
      <c r="BSP41" s="643"/>
      <c r="BSQ41" s="643"/>
      <c r="BSR41" s="643"/>
      <c r="BSS41" s="643"/>
      <c r="BST41" s="643"/>
      <c r="BSU41" s="643"/>
      <c r="BSV41" s="643"/>
      <c r="BSW41" s="643"/>
      <c r="BSX41" s="643"/>
      <c r="BSY41" s="643"/>
      <c r="BSZ41" s="643"/>
      <c r="BTA41" s="643"/>
      <c r="BTB41" s="643"/>
      <c r="BTC41" s="643"/>
      <c r="BTD41" s="643"/>
      <c r="BTE41" s="643"/>
      <c r="BTF41" s="643"/>
      <c r="BTG41" s="643"/>
      <c r="BTH41" s="643"/>
      <c r="BTI41" s="643"/>
      <c r="BTJ41" s="643"/>
      <c r="BTK41" s="643"/>
      <c r="BTL41" s="643"/>
      <c r="BTM41" s="643"/>
      <c r="BTN41" s="643"/>
      <c r="BTO41" s="643"/>
      <c r="BTP41" s="643"/>
      <c r="BTQ41" s="643"/>
      <c r="BTR41" s="643"/>
      <c r="BTS41" s="643"/>
      <c r="BTT41" s="643"/>
      <c r="BTU41" s="643"/>
      <c r="BTV41" s="643"/>
      <c r="BTW41" s="643"/>
      <c r="BTX41" s="643"/>
      <c r="BTY41" s="643"/>
      <c r="BTZ41" s="643"/>
      <c r="BUA41" s="643"/>
      <c r="BUB41" s="643"/>
      <c r="BUC41" s="643"/>
      <c r="BUD41" s="643"/>
      <c r="BUE41" s="643"/>
      <c r="BUF41" s="643"/>
      <c r="BUG41" s="643"/>
      <c r="BUH41" s="643"/>
      <c r="BUI41" s="643"/>
      <c r="BUJ41" s="643"/>
      <c r="BUK41" s="643"/>
      <c r="BUL41" s="643"/>
      <c r="BUM41" s="643"/>
      <c r="BUN41" s="643"/>
      <c r="BUO41" s="643"/>
      <c r="BUP41" s="643"/>
      <c r="BUQ41" s="643"/>
      <c r="BUR41" s="643"/>
      <c r="BUS41" s="643"/>
      <c r="BUT41" s="643"/>
      <c r="BUU41" s="643"/>
      <c r="BUV41" s="643"/>
      <c r="BUW41" s="643"/>
      <c r="BUX41" s="643"/>
      <c r="BUY41" s="643"/>
      <c r="BUZ41" s="643"/>
      <c r="BVA41" s="643"/>
      <c r="BVB41" s="643"/>
      <c r="BVC41" s="643"/>
      <c r="BVD41" s="643"/>
      <c r="BVE41" s="643"/>
      <c r="BVF41" s="643"/>
      <c r="BVG41" s="643"/>
      <c r="BVH41" s="643"/>
      <c r="BVI41" s="643"/>
      <c r="BVJ41" s="643"/>
      <c r="BVK41" s="643"/>
      <c r="BVL41" s="643"/>
      <c r="BVM41" s="643"/>
      <c r="BVN41" s="643"/>
      <c r="BVO41" s="643"/>
      <c r="BVP41" s="643"/>
      <c r="BVQ41" s="643"/>
      <c r="BVR41" s="643"/>
      <c r="BVS41" s="643"/>
      <c r="BVT41" s="643"/>
      <c r="BVU41" s="643"/>
      <c r="BVV41" s="643"/>
      <c r="BVW41" s="643"/>
      <c r="BVX41" s="643"/>
      <c r="BVY41" s="643"/>
      <c r="BVZ41" s="643"/>
      <c r="BWA41" s="643"/>
      <c r="BWB41" s="643"/>
      <c r="BWC41" s="643"/>
      <c r="BWD41" s="643"/>
      <c r="BWE41" s="643"/>
      <c r="BWF41" s="643"/>
      <c r="BWG41" s="643"/>
      <c r="BWH41" s="643"/>
      <c r="BWI41" s="643"/>
      <c r="BWJ41" s="643"/>
      <c r="BWK41" s="643"/>
      <c r="BWL41" s="643"/>
      <c r="BWM41" s="643"/>
      <c r="BWN41" s="643"/>
      <c r="BWO41" s="643"/>
      <c r="BWP41" s="643"/>
      <c r="BWQ41" s="643"/>
      <c r="BWR41" s="643"/>
      <c r="BWS41" s="643"/>
      <c r="BWT41" s="643"/>
      <c r="BWU41" s="643"/>
      <c r="BWV41" s="643"/>
      <c r="BWW41" s="643"/>
      <c r="BWX41" s="643"/>
      <c r="BWY41" s="643"/>
      <c r="BWZ41" s="643"/>
      <c r="BXA41" s="643"/>
      <c r="BXB41" s="643"/>
      <c r="BXC41" s="643"/>
      <c r="BXD41" s="643"/>
      <c r="BXE41" s="643"/>
      <c r="BXF41" s="643"/>
      <c r="BXG41" s="643"/>
      <c r="BXH41" s="643"/>
      <c r="BXI41" s="643"/>
      <c r="BXJ41" s="643"/>
      <c r="BXK41" s="643"/>
      <c r="BXL41" s="643"/>
      <c r="BXM41" s="643"/>
      <c r="BXN41" s="643"/>
      <c r="BXO41" s="643"/>
      <c r="BXP41" s="643"/>
      <c r="BXQ41" s="643"/>
      <c r="BXR41" s="643"/>
      <c r="BXS41" s="643"/>
      <c r="BXT41" s="643"/>
      <c r="BXU41" s="643"/>
      <c r="BXV41" s="643"/>
      <c r="BXW41" s="643"/>
      <c r="BXX41" s="643"/>
      <c r="BXY41" s="643"/>
      <c r="BXZ41" s="643"/>
      <c r="BYA41" s="643"/>
      <c r="BYB41" s="643"/>
      <c r="BYC41" s="643"/>
      <c r="BYD41" s="643"/>
      <c r="BYE41" s="643"/>
      <c r="BYF41" s="643"/>
      <c r="BYG41" s="643"/>
      <c r="BYH41" s="643"/>
      <c r="BYI41" s="643"/>
      <c r="BYJ41" s="643"/>
      <c r="BYK41" s="643"/>
      <c r="BYL41" s="643"/>
      <c r="BYM41" s="643"/>
      <c r="BYN41" s="643"/>
      <c r="BYO41" s="643"/>
      <c r="BYP41" s="643"/>
      <c r="BYQ41" s="643"/>
      <c r="BYR41" s="643"/>
      <c r="BYS41" s="643"/>
      <c r="BYT41" s="643"/>
      <c r="BYU41" s="643"/>
      <c r="BYV41" s="643"/>
      <c r="BYW41" s="643"/>
      <c r="BYX41" s="643"/>
      <c r="BYY41" s="643"/>
      <c r="BYZ41" s="643"/>
      <c r="BZA41" s="643"/>
      <c r="BZB41" s="643"/>
      <c r="BZC41" s="643"/>
      <c r="BZD41" s="643"/>
      <c r="BZE41" s="643"/>
      <c r="BZF41" s="643"/>
      <c r="BZG41" s="643"/>
      <c r="BZH41" s="643"/>
      <c r="BZI41" s="643"/>
      <c r="BZJ41" s="643"/>
      <c r="BZK41" s="643"/>
      <c r="BZL41" s="643"/>
      <c r="BZM41" s="643"/>
      <c r="BZN41" s="643"/>
      <c r="BZO41" s="643"/>
      <c r="BZP41" s="643"/>
      <c r="BZQ41" s="643"/>
      <c r="BZR41" s="643"/>
      <c r="BZS41" s="643"/>
      <c r="BZT41" s="643"/>
      <c r="BZU41" s="643"/>
      <c r="BZV41" s="643"/>
      <c r="BZW41" s="643"/>
      <c r="BZX41" s="643"/>
      <c r="BZY41" s="643"/>
      <c r="BZZ41" s="643"/>
      <c r="CAA41" s="643"/>
      <c r="CAB41" s="643"/>
      <c r="CAC41" s="643"/>
      <c r="CAD41" s="643"/>
      <c r="CAE41" s="643"/>
      <c r="CAF41" s="643"/>
      <c r="CAG41" s="643"/>
      <c r="CAH41" s="643"/>
      <c r="CAI41" s="643"/>
      <c r="CAJ41" s="643"/>
      <c r="CAK41" s="643"/>
      <c r="CAL41" s="643"/>
      <c r="CAM41" s="643"/>
      <c r="CAN41" s="643"/>
      <c r="CAO41" s="643"/>
      <c r="CAP41" s="643"/>
      <c r="CAQ41" s="643"/>
      <c r="CAR41" s="643"/>
      <c r="CAS41" s="643"/>
      <c r="CAT41" s="643"/>
      <c r="CAU41" s="643"/>
      <c r="CAV41" s="643"/>
      <c r="CAW41" s="643"/>
      <c r="CAX41" s="643"/>
      <c r="CAY41" s="643"/>
      <c r="CAZ41" s="643"/>
      <c r="CBA41" s="643"/>
      <c r="CBB41" s="643"/>
      <c r="CBC41" s="643"/>
      <c r="CBD41" s="643"/>
      <c r="CBE41" s="643"/>
      <c r="CBF41" s="643"/>
      <c r="CBG41" s="643"/>
      <c r="CBH41" s="643"/>
      <c r="CBI41" s="643"/>
      <c r="CBJ41" s="643"/>
      <c r="CBK41" s="643"/>
      <c r="CBL41" s="643"/>
      <c r="CBM41" s="643"/>
      <c r="CBN41" s="643"/>
      <c r="CBO41" s="643"/>
      <c r="CBP41" s="643"/>
      <c r="CBQ41" s="643"/>
      <c r="CBR41" s="643"/>
      <c r="CBS41" s="643"/>
      <c r="CBT41" s="643"/>
      <c r="CBU41" s="643"/>
      <c r="CBV41" s="643"/>
      <c r="CBW41" s="643"/>
      <c r="CBX41" s="643"/>
      <c r="CBY41" s="643"/>
      <c r="CBZ41" s="643"/>
      <c r="CCA41" s="643"/>
      <c r="CCB41" s="643"/>
      <c r="CCC41" s="643"/>
      <c r="CCD41" s="643"/>
      <c r="CCE41" s="643"/>
      <c r="CCF41" s="643"/>
      <c r="CCG41" s="643"/>
      <c r="CCH41" s="643"/>
      <c r="CCI41" s="643"/>
      <c r="CCJ41" s="643"/>
      <c r="CCK41" s="643"/>
      <c r="CCL41" s="643"/>
      <c r="CCM41" s="643"/>
      <c r="CCN41" s="643"/>
      <c r="CCO41" s="643"/>
      <c r="CCP41" s="643"/>
      <c r="CCQ41" s="643"/>
      <c r="CCR41" s="643"/>
      <c r="CCS41" s="643"/>
      <c r="CCT41" s="643"/>
      <c r="CCU41" s="643"/>
      <c r="CCV41" s="643"/>
      <c r="CCW41" s="643"/>
      <c r="CCX41" s="643"/>
      <c r="CCY41" s="643"/>
      <c r="CCZ41" s="643"/>
      <c r="CDA41" s="643"/>
      <c r="CDB41" s="643"/>
      <c r="CDC41" s="643"/>
      <c r="CDD41" s="643"/>
      <c r="CDE41" s="643"/>
      <c r="CDF41" s="643"/>
      <c r="CDG41" s="643"/>
      <c r="CDH41" s="643"/>
      <c r="CDI41" s="643"/>
      <c r="CDJ41" s="643"/>
      <c r="CDK41" s="643"/>
      <c r="CDL41" s="643"/>
      <c r="CDM41" s="643"/>
      <c r="CDN41" s="643"/>
      <c r="CDO41" s="643"/>
      <c r="CDP41" s="643"/>
      <c r="CDQ41" s="643"/>
      <c r="CDR41" s="643"/>
      <c r="CDS41" s="643"/>
      <c r="CDT41" s="643"/>
      <c r="CDU41" s="643"/>
      <c r="CDV41" s="643"/>
      <c r="CDW41" s="643"/>
      <c r="CDX41" s="643"/>
      <c r="CDY41" s="643"/>
      <c r="CDZ41" s="643"/>
      <c r="CEA41" s="643"/>
      <c r="CEB41" s="643"/>
      <c r="CEC41" s="643"/>
      <c r="CED41" s="643"/>
      <c r="CEE41" s="643"/>
      <c r="CEF41" s="643"/>
      <c r="CEG41" s="643"/>
      <c r="CEH41" s="643"/>
      <c r="CEI41" s="643"/>
      <c r="CEJ41" s="643"/>
      <c r="CEK41" s="643"/>
      <c r="CEL41" s="643"/>
      <c r="CEM41" s="643"/>
      <c r="CEN41" s="643"/>
      <c r="CEO41" s="643"/>
      <c r="CEP41" s="643"/>
      <c r="CEQ41" s="643"/>
      <c r="CER41" s="643"/>
      <c r="CES41" s="643"/>
      <c r="CET41" s="643"/>
      <c r="CEU41" s="643"/>
      <c r="CEV41" s="643"/>
      <c r="CEW41" s="643"/>
      <c r="CEX41" s="643"/>
      <c r="CEY41" s="643"/>
      <c r="CEZ41" s="643"/>
      <c r="CFA41" s="643"/>
      <c r="CFB41" s="643"/>
      <c r="CFC41" s="643"/>
      <c r="CFD41" s="643"/>
      <c r="CFE41" s="643"/>
      <c r="CFF41" s="643"/>
      <c r="CFG41" s="643"/>
      <c r="CFH41" s="643"/>
      <c r="CFI41" s="643"/>
      <c r="CFJ41" s="643"/>
      <c r="CFK41" s="643"/>
      <c r="CFL41" s="643"/>
      <c r="CFM41" s="643"/>
      <c r="CFN41" s="643"/>
      <c r="CFO41" s="643"/>
      <c r="CFP41" s="643"/>
      <c r="CFQ41" s="643"/>
      <c r="CFR41" s="643"/>
      <c r="CFS41" s="643"/>
      <c r="CFT41" s="643"/>
      <c r="CFU41" s="643"/>
      <c r="CFV41" s="643"/>
      <c r="CFW41" s="643"/>
      <c r="CFX41" s="643"/>
      <c r="CFY41" s="643"/>
      <c r="CFZ41" s="643"/>
      <c r="CGA41" s="643"/>
      <c r="CGB41" s="643"/>
      <c r="CGC41" s="643"/>
      <c r="CGD41" s="643"/>
      <c r="CGE41" s="643"/>
      <c r="CGF41" s="643"/>
      <c r="CGG41" s="643"/>
      <c r="CGH41" s="643"/>
      <c r="CGI41" s="643"/>
      <c r="CGJ41" s="643"/>
      <c r="CGK41" s="643"/>
      <c r="CGL41" s="643"/>
      <c r="CGM41" s="643"/>
      <c r="CGN41" s="643"/>
      <c r="CGO41" s="643"/>
      <c r="CGP41" s="643"/>
      <c r="CGQ41" s="643"/>
      <c r="CGR41" s="643"/>
      <c r="CGS41" s="643"/>
      <c r="CGT41" s="643"/>
      <c r="CGU41" s="643"/>
      <c r="CGV41" s="643"/>
      <c r="CGW41" s="643"/>
      <c r="CGX41" s="643"/>
      <c r="CGY41" s="643"/>
      <c r="CGZ41" s="643"/>
      <c r="CHA41" s="643"/>
      <c r="CHB41" s="643"/>
      <c r="CHC41" s="643"/>
      <c r="CHD41" s="643"/>
      <c r="CHE41" s="643"/>
      <c r="CHF41" s="643"/>
      <c r="CHG41" s="643"/>
      <c r="CHH41" s="643"/>
      <c r="CHI41" s="643"/>
      <c r="CHJ41" s="643"/>
      <c r="CHK41" s="643"/>
      <c r="CHL41" s="643"/>
      <c r="CHM41" s="643"/>
      <c r="CHN41" s="643"/>
      <c r="CHO41" s="643"/>
      <c r="CHP41" s="643"/>
      <c r="CHQ41" s="643"/>
      <c r="CHR41" s="643"/>
      <c r="CHS41" s="643"/>
      <c r="CHT41" s="643"/>
      <c r="CHU41" s="643"/>
      <c r="CHV41" s="643"/>
      <c r="CHW41" s="643"/>
      <c r="CHX41" s="643"/>
      <c r="CHY41" s="643"/>
      <c r="CHZ41" s="643"/>
      <c r="CIA41" s="643"/>
      <c r="CIB41" s="643"/>
      <c r="CIC41" s="643"/>
      <c r="CID41" s="643"/>
      <c r="CIE41" s="643"/>
      <c r="CIF41" s="643"/>
      <c r="CIG41" s="643"/>
      <c r="CIH41" s="643"/>
      <c r="CII41" s="643"/>
      <c r="CIJ41" s="643"/>
      <c r="CIK41" s="643"/>
      <c r="CIL41" s="643"/>
      <c r="CIM41" s="643"/>
      <c r="CIN41" s="643"/>
      <c r="CIO41" s="643"/>
      <c r="CIP41" s="643"/>
      <c r="CIQ41" s="643"/>
      <c r="CIR41" s="643"/>
      <c r="CIS41" s="643"/>
      <c r="CIT41" s="643"/>
      <c r="CIU41" s="643"/>
      <c r="CIV41" s="643"/>
      <c r="CIW41" s="643"/>
      <c r="CIX41" s="643"/>
      <c r="CIY41" s="643"/>
      <c r="CIZ41" s="643"/>
      <c r="CJA41" s="643"/>
      <c r="CJB41" s="643"/>
      <c r="CJC41" s="643"/>
      <c r="CJD41" s="643"/>
      <c r="CJE41" s="643"/>
      <c r="CJF41" s="643"/>
      <c r="CJG41" s="643"/>
      <c r="CJH41" s="643"/>
      <c r="CJI41" s="643"/>
      <c r="CJJ41" s="643"/>
      <c r="CJK41" s="643"/>
      <c r="CJL41" s="643"/>
      <c r="CJM41" s="643"/>
      <c r="CJN41" s="643"/>
      <c r="CJO41" s="643"/>
      <c r="CJP41" s="643"/>
      <c r="CJQ41" s="643"/>
      <c r="CJR41" s="643"/>
      <c r="CJS41" s="643"/>
      <c r="CJT41" s="643"/>
      <c r="CJU41" s="643"/>
      <c r="CJV41" s="643"/>
      <c r="CJW41" s="643"/>
      <c r="CJX41" s="643"/>
      <c r="CJY41" s="643"/>
      <c r="CJZ41" s="643"/>
      <c r="CKA41" s="643"/>
      <c r="CKB41" s="643"/>
      <c r="CKC41" s="643"/>
      <c r="CKD41" s="643"/>
      <c r="CKE41" s="643"/>
      <c r="CKF41" s="643"/>
      <c r="CKG41" s="643"/>
      <c r="CKH41" s="643"/>
      <c r="CKI41" s="643"/>
      <c r="CKJ41" s="643"/>
      <c r="CKK41" s="643"/>
      <c r="CKL41" s="643"/>
      <c r="CKM41" s="643"/>
      <c r="CKN41" s="643"/>
      <c r="CKO41" s="643"/>
      <c r="CKP41" s="643"/>
      <c r="CKQ41" s="643"/>
      <c r="CKR41" s="643"/>
      <c r="CKS41" s="643"/>
      <c r="CKT41" s="643"/>
      <c r="CKU41" s="643"/>
      <c r="CKV41" s="643"/>
      <c r="CKW41" s="643"/>
      <c r="CKX41" s="643"/>
      <c r="CKY41" s="643"/>
      <c r="CKZ41" s="643"/>
      <c r="CLA41" s="643"/>
      <c r="CLB41" s="643"/>
      <c r="CLC41" s="643"/>
      <c r="CLD41" s="643"/>
      <c r="CLE41" s="643"/>
      <c r="CLF41" s="643"/>
      <c r="CLG41" s="643"/>
      <c r="CLH41" s="643"/>
      <c r="CLI41" s="643"/>
      <c r="CLJ41" s="643"/>
      <c r="CLK41" s="643"/>
      <c r="CLL41" s="643"/>
      <c r="CLM41" s="643"/>
      <c r="CLN41" s="643"/>
      <c r="CLO41" s="643"/>
      <c r="CLP41" s="643"/>
      <c r="CLQ41" s="643"/>
      <c r="CLR41" s="643"/>
      <c r="CLS41" s="643"/>
      <c r="CLT41" s="643"/>
      <c r="CLU41" s="643"/>
      <c r="CLV41" s="643"/>
      <c r="CLW41" s="643"/>
      <c r="CLX41" s="643"/>
      <c r="CLY41" s="643"/>
      <c r="CLZ41" s="643"/>
      <c r="CMA41" s="643"/>
      <c r="CMB41" s="643"/>
      <c r="CMC41" s="643"/>
      <c r="CMD41" s="643"/>
      <c r="CME41" s="643"/>
      <c r="CMF41" s="643"/>
      <c r="CMG41" s="643"/>
      <c r="CMH41" s="643"/>
      <c r="CMI41" s="643"/>
      <c r="CMJ41" s="643"/>
      <c r="CMK41" s="643"/>
      <c r="CML41" s="643"/>
      <c r="CMM41" s="643"/>
      <c r="CMN41" s="643"/>
      <c r="CMO41" s="643"/>
      <c r="CMP41" s="643"/>
      <c r="CMQ41" s="643"/>
      <c r="CMR41" s="643"/>
      <c r="CMS41" s="643"/>
      <c r="CMT41" s="643"/>
      <c r="CMU41" s="643"/>
      <c r="CMV41" s="643"/>
      <c r="CMW41" s="643"/>
      <c r="CMX41" s="643"/>
      <c r="CMY41" s="643"/>
      <c r="CMZ41" s="643"/>
      <c r="CNA41" s="643"/>
      <c r="CNB41" s="643"/>
      <c r="CNC41" s="643"/>
      <c r="CND41" s="643"/>
      <c r="CNE41" s="643"/>
      <c r="CNF41" s="643"/>
      <c r="CNG41" s="643"/>
      <c r="CNH41" s="643"/>
      <c r="CNI41" s="643"/>
      <c r="CNJ41" s="643"/>
      <c r="CNK41" s="643"/>
      <c r="CNL41" s="643"/>
      <c r="CNM41" s="643"/>
      <c r="CNN41" s="643"/>
      <c r="CNO41" s="643"/>
      <c r="CNP41" s="643"/>
      <c r="CNQ41" s="643"/>
      <c r="CNR41" s="643"/>
      <c r="CNS41" s="643"/>
      <c r="CNT41" s="643"/>
      <c r="CNU41" s="643"/>
      <c r="CNV41" s="643"/>
      <c r="CNW41" s="643"/>
      <c r="CNX41" s="643"/>
      <c r="CNY41" s="643"/>
      <c r="CNZ41" s="643"/>
      <c r="COA41" s="643"/>
      <c r="COB41" s="643"/>
      <c r="COC41" s="643"/>
      <c r="COD41" s="643"/>
      <c r="COE41" s="643"/>
      <c r="COF41" s="643"/>
      <c r="COG41" s="643"/>
      <c r="COH41" s="643"/>
      <c r="COI41" s="643"/>
      <c r="COJ41" s="643"/>
      <c r="COK41" s="643"/>
      <c r="COL41" s="643"/>
      <c r="COM41" s="643"/>
      <c r="CON41" s="643"/>
      <c r="COO41" s="643"/>
      <c r="COP41" s="643"/>
      <c r="COQ41" s="643"/>
      <c r="COR41" s="643"/>
      <c r="COS41" s="643"/>
      <c r="COT41" s="643"/>
      <c r="COU41" s="643"/>
      <c r="COV41" s="643"/>
      <c r="COW41" s="643"/>
      <c r="COX41" s="643"/>
      <c r="COY41" s="643"/>
      <c r="COZ41" s="643"/>
      <c r="CPA41" s="643"/>
      <c r="CPB41" s="643"/>
      <c r="CPC41" s="643"/>
      <c r="CPD41" s="643"/>
      <c r="CPE41" s="643"/>
      <c r="CPF41" s="643"/>
      <c r="CPG41" s="643"/>
      <c r="CPH41" s="643"/>
      <c r="CPI41" s="643"/>
      <c r="CPJ41" s="643"/>
      <c r="CPK41" s="643"/>
      <c r="CPL41" s="643"/>
      <c r="CPM41" s="643"/>
      <c r="CPN41" s="643"/>
      <c r="CPO41" s="643"/>
      <c r="CPP41" s="643"/>
      <c r="CPQ41" s="643"/>
      <c r="CPR41" s="643"/>
      <c r="CPS41" s="643"/>
      <c r="CPT41" s="643"/>
      <c r="CPU41" s="643"/>
      <c r="CPV41" s="643"/>
      <c r="CPW41" s="643"/>
      <c r="CPX41" s="643"/>
      <c r="CPY41" s="643"/>
      <c r="CPZ41" s="643"/>
      <c r="CQA41" s="643"/>
      <c r="CQB41" s="643"/>
      <c r="CQC41" s="643"/>
      <c r="CQD41" s="643"/>
      <c r="CQE41" s="643"/>
      <c r="CQF41" s="643"/>
      <c r="CQG41" s="643"/>
      <c r="CQH41" s="643"/>
      <c r="CQI41" s="643"/>
      <c r="CQJ41" s="643"/>
      <c r="CQK41" s="643"/>
      <c r="CQL41" s="643"/>
      <c r="CQM41" s="643"/>
      <c r="CQN41" s="643"/>
      <c r="CQO41" s="643"/>
      <c r="CQP41" s="643"/>
      <c r="CQQ41" s="643"/>
      <c r="CQR41" s="643"/>
      <c r="CQS41" s="643"/>
      <c r="CQT41" s="643"/>
      <c r="CQU41" s="643"/>
      <c r="CQV41" s="643"/>
      <c r="CQW41" s="643"/>
      <c r="CQX41" s="643"/>
      <c r="CQY41" s="643"/>
      <c r="CQZ41" s="643"/>
      <c r="CRA41" s="643"/>
      <c r="CRB41" s="643"/>
      <c r="CRC41" s="643"/>
      <c r="CRD41" s="643"/>
      <c r="CRE41" s="643"/>
      <c r="CRF41" s="643"/>
      <c r="CRG41" s="643"/>
      <c r="CRH41" s="643"/>
      <c r="CRI41" s="643"/>
      <c r="CRJ41" s="643"/>
      <c r="CRK41" s="643"/>
      <c r="CRL41" s="643"/>
      <c r="CRM41" s="643"/>
      <c r="CRN41" s="643"/>
      <c r="CRO41" s="643"/>
      <c r="CRP41" s="643"/>
      <c r="CRQ41" s="643"/>
      <c r="CRR41" s="643"/>
      <c r="CRS41" s="643"/>
      <c r="CRT41" s="643"/>
      <c r="CRU41" s="643"/>
      <c r="CRV41" s="643"/>
      <c r="CRW41" s="643"/>
      <c r="CRX41" s="643"/>
      <c r="CRY41" s="643"/>
      <c r="CRZ41" s="643"/>
      <c r="CSA41" s="643"/>
      <c r="CSB41" s="643"/>
      <c r="CSC41" s="643"/>
      <c r="CSD41" s="643"/>
      <c r="CSE41" s="643"/>
      <c r="CSF41" s="643"/>
      <c r="CSG41" s="643"/>
      <c r="CSH41" s="643"/>
      <c r="CSI41" s="643"/>
      <c r="CSJ41" s="643"/>
      <c r="CSK41" s="643"/>
      <c r="CSL41" s="643"/>
      <c r="CSM41" s="643"/>
      <c r="CSN41" s="643"/>
      <c r="CSO41" s="643"/>
      <c r="CSP41" s="643"/>
      <c r="CSQ41" s="643"/>
      <c r="CSR41" s="643"/>
      <c r="CSS41" s="643"/>
      <c r="CST41" s="643"/>
      <c r="CSU41" s="643"/>
      <c r="CSV41" s="643"/>
      <c r="CSW41" s="643"/>
      <c r="CSX41" s="643"/>
      <c r="CSY41" s="643"/>
      <c r="CSZ41" s="643"/>
      <c r="CTA41" s="643"/>
      <c r="CTB41" s="643"/>
      <c r="CTC41" s="643"/>
      <c r="CTD41" s="643"/>
      <c r="CTE41" s="643"/>
      <c r="CTF41" s="643"/>
      <c r="CTG41" s="643"/>
      <c r="CTH41" s="643"/>
      <c r="CTI41" s="643"/>
      <c r="CTJ41" s="643"/>
      <c r="CTK41" s="643"/>
      <c r="CTL41" s="643"/>
      <c r="CTM41" s="643"/>
      <c r="CTN41" s="643"/>
      <c r="CTO41" s="643"/>
      <c r="CTP41" s="643"/>
      <c r="CTQ41" s="643"/>
      <c r="CTR41" s="643"/>
      <c r="CTS41" s="643"/>
      <c r="CTT41" s="643"/>
      <c r="CTU41" s="643"/>
      <c r="CTV41" s="643"/>
      <c r="CTW41" s="643"/>
      <c r="CTX41" s="643"/>
      <c r="CTY41" s="643"/>
      <c r="CTZ41" s="643"/>
      <c r="CUA41" s="643"/>
      <c r="CUB41" s="643"/>
      <c r="CUC41" s="643"/>
      <c r="CUD41" s="643"/>
      <c r="CUE41" s="643"/>
      <c r="CUF41" s="643"/>
      <c r="CUG41" s="643"/>
      <c r="CUH41" s="643"/>
      <c r="CUI41" s="643"/>
      <c r="CUJ41" s="643"/>
      <c r="CUK41" s="643"/>
      <c r="CUL41" s="643"/>
      <c r="CUM41" s="643"/>
      <c r="CUN41" s="643"/>
      <c r="CUO41" s="643"/>
      <c r="CUP41" s="643"/>
      <c r="CUQ41" s="643"/>
      <c r="CUR41" s="643"/>
      <c r="CUS41" s="643"/>
      <c r="CUT41" s="643"/>
      <c r="CUU41" s="643"/>
      <c r="CUV41" s="643"/>
      <c r="CUW41" s="643"/>
      <c r="CUX41" s="643"/>
      <c r="CUY41" s="643"/>
      <c r="CUZ41" s="643"/>
      <c r="CVA41" s="643"/>
      <c r="CVB41" s="643"/>
      <c r="CVC41" s="643"/>
      <c r="CVD41" s="643"/>
      <c r="CVE41" s="643"/>
      <c r="CVF41" s="643"/>
      <c r="CVG41" s="643"/>
      <c r="CVH41" s="643"/>
      <c r="CVI41" s="643"/>
      <c r="CVJ41" s="643"/>
      <c r="CVK41" s="643"/>
      <c r="CVL41" s="643"/>
      <c r="CVM41" s="643"/>
      <c r="CVN41" s="643"/>
      <c r="CVO41" s="643"/>
      <c r="CVP41" s="643"/>
      <c r="CVQ41" s="643"/>
      <c r="CVR41" s="643"/>
      <c r="CVS41" s="643"/>
      <c r="CVT41" s="643"/>
      <c r="CVU41" s="643"/>
      <c r="CVV41" s="643"/>
      <c r="CVW41" s="643"/>
      <c r="CVX41" s="643"/>
      <c r="CVY41" s="643"/>
      <c r="CVZ41" s="643"/>
      <c r="CWA41" s="643"/>
      <c r="CWB41" s="643"/>
      <c r="CWC41" s="643"/>
      <c r="CWD41" s="643"/>
      <c r="CWE41" s="643"/>
      <c r="CWF41" s="643"/>
      <c r="CWG41" s="643"/>
      <c r="CWH41" s="643"/>
      <c r="CWI41" s="643"/>
      <c r="CWJ41" s="643"/>
      <c r="CWK41" s="643"/>
      <c r="CWL41" s="643"/>
      <c r="CWM41" s="643"/>
      <c r="CWN41" s="643"/>
      <c r="CWO41" s="643"/>
      <c r="CWP41" s="643"/>
      <c r="CWQ41" s="643"/>
      <c r="CWR41" s="643"/>
      <c r="CWS41" s="643"/>
      <c r="CWT41" s="643"/>
      <c r="CWU41" s="643"/>
      <c r="CWV41" s="643"/>
      <c r="CWW41" s="643"/>
      <c r="CWX41" s="643"/>
      <c r="CWY41" s="643"/>
      <c r="CWZ41" s="643"/>
      <c r="CXA41" s="643"/>
      <c r="CXB41" s="643"/>
      <c r="CXC41" s="643"/>
      <c r="CXD41" s="643"/>
      <c r="CXE41" s="643"/>
      <c r="CXF41" s="643"/>
      <c r="CXG41" s="643"/>
      <c r="CXH41" s="643"/>
      <c r="CXI41" s="643"/>
      <c r="CXJ41" s="643"/>
      <c r="CXK41" s="643"/>
      <c r="CXL41" s="643"/>
      <c r="CXM41" s="643"/>
      <c r="CXN41" s="643"/>
      <c r="CXO41" s="643"/>
      <c r="CXP41" s="643"/>
      <c r="CXQ41" s="643"/>
      <c r="CXR41" s="643"/>
      <c r="CXS41" s="643"/>
      <c r="CXT41" s="643"/>
      <c r="CXU41" s="643"/>
      <c r="CXV41" s="643"/>
      <c r="CXW41" s="643"/>
      <c r="CXX41" s="643"/>
      <c r="CXY41" s="643"/>
      <c r="CXZ41" s="643"/>
      <c r="CYA41" s="643"/>
      <c r="CYB41" s="643"/>
      <c r="CYC41" s="643"/>
      <c r="CYD41" s="643"/>
      <c r="CYE41" s="643"/>
      <c r="CYF41" s="643"/>
      <c r="CYG41" s="643"/>
      <c r="CYH41" s="643"/>
      <c r="CYI41" s="643"/>
      <c r="CYJ41" s="643"/>
      <c r="CYK41" s="643"/>
      <c r="CYL41" s="643"/>
      <c r="CYM41" s="643"/>
      <c r="CYN41" s="643"/>
      <c r="CYO41" s="643"/>
      <c r="CYP41" s="643"/>
      <c r="CYQ41" s="643"/>
      <c r="CYR41" s="643"/>
      <c r="CYS41" s="643"/>
      <c r="CYT41" s="643"/>
      <c r="CYU41" s="643"/>
      <c r="CYV41" s="643"/>
      <c r="CYW41" s="643"/>
      <c r="CYX41" s="643"/>
      <c r="CYY41" s="643"/>
      <c r="CYZ41" s="643"/>
      <c r="CZA41" s="643"/>
      <c r="CZB41" s="643"/>
      <c r="CZC41" s="643"/>
      <c r="CZD41" s="643"/>
      <c r="CZE41" s="643"/>
      <c r="CZF41" s="643"/>
      <c r="CZG41" s="643"/>
      <c r="CZH41" s="643"/>
      <c r="CZI41" s="643"/>
      <c r="CZJ41" s="643"/>
      <c r="CZK41" s="643"/>
      <c r="CZL41" s="643"/>
      <c r="CZM41" s="643"/>
      <c r="CZN41" s="643"/>
      <c r="CZO41" s="643"/>
      <c r="CZP41" s="643"/>
      <c r="CZQ41" s="643"/>
      <c r="CZR41" s="643"/>
      <c r="CZS41" s="643"/>
      <c r="CZT41" s="643"/>
      <c r="CZU41" s="643"/>
      <c r="CZV41" s="643"/>
      <c r="CZW41" s="643"/>
      <c r="CZX41" s="643"/>
      <c r="CZY41" s="643"/>
      <c r="CZZ41" s="643"/>
      <c r="DAA41" s="643"/>
      <c r="DAB41" s="643"/>
      <c r="DAC41" s="643"/>
      <c r="DAD41" s="643"/>
      <c r="DAE41" s="643"/>
      <c r="DAF41" s="643"/>
      <c r="DAG41" s="643"/>
      <c r="DAH41" s="643"/>
      <c r="DAI41" s="643"/>
      <c r="DAJ41" s="643"/>
      <c r="DAK41" s="643"/>
      <c r="DAL41" s="643"/>
      <c r="DAM41" s="643"/>
      <c r="DAN41" s="643"/>
      <c r="DAO41" s="643"/>
      <c r="DAP41" s="643"/>
      <c r="DAQ41" s="643"/>
      <c r="DAR41" s="643"/>
      <c r="DAS41" s="643"/>
      <c r="DAT41" s="643"/>
      <c r="DAU41" s="643"/>
      <c r="DAV41" s="643"/>
      <c r="DAW41" s="643"/>
      <c r="DAX41" s="643"/>
      <c r="DAY41" s="643"/>
      <c r="DAZ41" s="643"/>
      <c r="DBA41" s="643"/>
      <c r="DBB41" s="643"/>
      <c r="DBC41" s="643"/>
      <c r="DBD41" s="643"/>
      <c r="DBE41" s="643"/>
      <c r="DBF41" s="643"/>
      <c r="DBG41" s="643"/>
      <c r="DBH41" s="643"/>
      <c r="DBI41" s="643"/>
      <c r="DBJ41" s="643"/>
      <c r="DBK41" s="643"/>
      <c r="DBL41" s="643"/>
      <c r="DBM41" s="643"/>
      <c r="DBN41" s="643"/>
      <c r="DBO41" s="643"/>
      <c r="DBP41" s="643"/>
      <c r="DBQ41" s="643"/>
      <c r="DBR41" s="643"/>
      <c r="DBS41" s="643"/>
      <c r="DBT41" s="643"/>
      <c r="DBU41" s="643"/>
      <c r="DBV41" s="643"/>
      <c r="DBW41" s="643"/>
      <c r="DBX41" s="643"/>
      <c r="DBY41" s="643"/>
      <c r="DBZ41" s="643"/>
      <c r="DCA41" s="643"/>
      <c r="DCB41" s="643"/>
      <c r="DCC41" s="643"/>
      <c r="DCD41" s="643"/>
      <c r="DCE41" s="643"/>
      <c r="DCF41" s="643"/>
      <c r="DCG41" s="643"/>
      <c r="DCH41" s="643"/>
      <c r="DCI41" s="643"/>
      <c r="DCJ41" s="643"/>
      <c r="DCK41" s="643"/>
      <c r="DCL41" s="643"/>
      <c r="DCM41" s="643"/>
      <c r="DCN41" s="643"/>
      <c r="DCO41" s="643"/>
      <c r="DCP41" s="643"/>
      <c r="DCQ41" s="643"/>
      <c r="DCR41" s="643"/>
      <c r="DCS41" s="643"/>
      <c r="DCT41" s="643"/>
      <c r="DCU41" s="643"/>
      <c r="DCV41" s="643"/>
      <c r="DCW41" s="643"/>
      <c r="DCX41" s="643"/>
      <c r="DCY41" s="643"/>
      <c r="DCZ41" s="643"/>
      <c r="DDA41" s="643"/>
      <c r="DDB41" s="643"/>
      <c r="DDC41" s="643"/>
      <c r="DDD41" s="643"/>
      <c r="DDE41" s="643"/>
      <c r="DDF41" s="643"/>
      <c r="DDG41" s="643"/>
      <c r="DDH41" s="643"/>
      <c r="DDI41" s="643"/>
      <c r="DDJ41" s="643"/>
      <c r="DDK41" s="643"/>
      <c r="DDL41" s="643"/>
      <c r="DDM41" s="643"/>
      <c r="DDN41" s="643"/>
      <c r="DDO41" s="643"/>
      <c r="DDP41" s="643"/>
      <c r="DDQ41" s="643"/>
      <c r="DDR41" s="643"/>
      <c r="DDS41" s="643"/>
      <c r="DDT41" s="643"/>
      <c r="DDU41" s="643"/>
      <c r="DDV41" s="643"/>
      <c r="DDW41" s="643"/>
      <c r="DDX41" s="643"/>
      <c r="DDY41" s="643"/>
      <c r="DDZ41" s="643"/>
      <c r="DEA41" s="643"/>
      <c r="DEB41" s="643"/>
      <c r="DEC41" s="643"/>
      <c r="DED41" s="643"/>
      <c r="DEE41" s="643"/>
      <c r="DEF41" s="643"/>
      <c r="DEG41" s="643"/>
      <c r="DEH41" s="643"/>
      <c r="DEI41" s="643"/>
      <c r="DEJ41" s="643"/>
      <c r="DEK41" s="643"/>
      <c r="DEL41" s="643"/>
      <c r="DEM41" s="643"/>
      <c r="DEN41" s="643"/>
      <c r="DEO41" s="643"/>
      <c r="DEP41" s="643"/>
      <c r="DEQ41" s="643"/>
      <c r="DER41" s="643"/>
      <c r="DES41" s="643"/>
      <c r="DET41" s="643"/>
      <c r="DEU41" s="643"/>
      <c r="DEV41" s="643"/>
      <c r="DEW41" s="643"/>
      <c r="DEX41" s="643"/>
      <c r="DEY41" s="643"/>
      <c r="DEZ41" s="643"/>
      <c r="DFA41" s="643"/>
      <c r="DFB41" s="643"/>
      <c r="DFC41" s="643"/>
      <c r="DFD41" s="643"/>
      <c r="DFE41" s="643"/>
      <c r="DFF41" s="643"/>
      <c r="DFG41" s="643"/>
      <c r="DFH41" s="643"/>
      <c r="DFI41" s="643"/>
      <c r="DFJ41" s="643"/>
      <c r="DFK41" s="643"/>
      <c r="DFL41" s="643"/>
      <c r="DFM41" s="643"/>
      <c r="DFN41" s="643"/>
      <c r="DFO41" s="643"/>
      <c r="DFP41" s="643"/>
      <c r="DFQ41" s="643"/>
      <c r="DFR41" s="643"/>
      <c r="DFS41" s="643"/>
      <c r="DFT41" s="643"/>
      <c r="DFU41" s="643"/>
      <c r="DFV41" s="643"/>
      <c r="DFW41" s="643"/>
      <c r="DFX41" s="643"/>
      <c r="DFY41" s="643"/>
      <c r="DFZ41" s="643"/>
      <c r="DGA41" s="643"/>
      <c r="DGB41" s="643"/>
      <c r="DGC41" s="643"/>
      <c r="DGD41" s="643"/>
      <c r="DGE41" s="643"/>
      <c r="DGF41" s="643"/>
      <c r="DGG41" s="643"/>
      <c r="DGH41" s="643"/>
      <c r="DGI41" s="643"/>
      <c r="DGJ41" s="643"/>
      <c r="DGK41" s="643"/>
      <c r="DGL41" s="643"/>
      <c r="DGM41" s="643"/>
      <c r="DGN41" s="643"/>
      <c r="DGO41" s="643"/>
      <c r="DGP41" s="643"/>
      <c r="DGQ41" s="643"/>
      <c r="DGR41" s="643"/>
      <c r="DGS41" s="643"/>
      <c r="DGT41" s="643"/>
      <c r="DGU41" s="643"/>
      <c r="DGV41" s="643"/>
      <c r="DGW41" s="643"/>
      <c r="DGX41" s="643"/>
      <c r="DGY41" s="643"/>
      <c r="DGZ41" s="643"/>
      <c r="DHA41" s="643"/>
      <c r="DHB41" s="643"/>
      <c r="DHC41" s="643"/>
      <c r="DHD41" s="643"/>
      <c r="DHE41" s="643"/>
      <c r="DHF41" s="643"/>
      <c r="DHG41" s="643"/>
      <c r="DHH41" s="643"/>
      <c r="DHI41" s="643"/>
      <c r="DHJ41" s="643"/>
      <c r="DHK41" s="643"/>
      <c r="DHL41" s="643"/>
      <c r="DHM41" s="643"/>
      <c r="DHN41" s="643"/>
      <c r="DHO41" s="643"/>
      <c r="DHP41" s="643"/>
      <c r="DHQ41" s="643"/>
      <c r="DHR41" s="643"/>
      <c r="DHS41" s="643"/>
      <c r="DHT41" s="643"/>
      <c r="DHU41" s="643"/>
      <c r="DHV41" s="643"/>
      <c r="DHW41" s="643"/>
      <c r="DHX41" s="643"/>
      <c r="DHY41" s="643"/>
      <c r="DHZ41" s="643"/>
      <c r="DIA41" s="643"/>
      <c r="DIB41" s="643"/>
      <c r="DIC41" s="643"/>
      <c r="DID41" s="643"/>
      <c r="DIE41" s="643"/>
      <c r="DIF41" s="643"/>
      <c r="DIG41" s="643"/>
      <c r="DIH41" s="643"/>
      <c r="DII41" s="643"/>
      <c r="DIJ41" s="643"/>
      <c r="DIK41" s="643"/>
      <c r="DIL41" s="643"/>
      <c r="DIM41" s="643"/>
      <c r="DIN41" s="643"/>
      <c r="DIO41" s="643"/>
      <c r="DIP41" s="643"/>
      <c r="DIQ41" s="643"/>
      <c r="DIR41" s="643"/>
      <c r="DIS41" s="643"/>
      <c r="DIT41" s="643"/>
      <c r="DIU41" s="643"/>
      <c r="DIV41" s="643"/>
      <c r="DIW41" s="643"/>
      <c r="DIX41" s="643"/>
      <c r="DIY41" s="643"/>
      <c r="DIZ41" s="643"/>
      <c r="DJA41" s="643"/>
      <c r="DJB41" s="643"/>
      <c r="DJC41" s="643"/>
      <c r="DJD41" s="643"/>
      <c r="DJE41" s="643"/>
      <c r="DJF41" s="643"/>
      <c r="DJG41" s="643"/>
      <c r="DJH41" s="643"/>
      <c r="DJI41" s="643"/>
      <c r="DJJ41" s="643"/>
      <c r="DJK41" s="643"/>
      <c r="DJL41" s="643"/>
      <c r="DJM41" s="643"/>
      <c r="DJN41" s="643"/>
      <c r="DJO41" s="643"/>
      <c r="DJP41" s="643"/>
      <c r="DJQ41" s="643"/>
      <c r="DJR41" s="643"/>
      <c r="DJS41" s="643"/>
      <c r="DJT41" s="643"/>
      <c r="DJU41" s="643"/>
      <c r="DJV41" s="643"/>
      <c r="DJW41" s="643"/>
      <c r="DJX41" s="643"/>
      <c r="DJY41" s="643"/>
      <c r="DJZ41" s="643"/>
      <c r="DKA41" s="643"/>
      <c r="DKB41" s="643"/>
      <c r="DKC41" s="643"/>
      <c r="DKD41" s="643"/>
      <c r="DKE41" s="643"/>
      <c r="DKF41" s="643"/>
      <c r="DKG41" s="643"/>
      <c r="DKH41" s="643"/>
      <c r="DKI41" s="643"/>
      <c r="DKJ41" s="643"/>
      <c r="DKK41" s="643"/>
      <c r="DKL41" s="643"/>
      <c r="DKM41" s="643"/>
      <c r="DKN41" s="643"/>
      <c r="DKO41" s="643"/>
      <c r="DKP41" s="643"/>
      <c r="DKQ41" s="643"/>
      <c r="DKR41" s="643"/>
      <c r="DKS41" s="643"/>
      <c r="DKT41" s="643"/>
      <c r="DKU41" s="643"/>
      <c r="DKV41" s="643"/>
      <c r="DKW41" s="643"/>
      <c r="DKX41" s="643"/>
      <c r="DKY41" s="643"/>
      <c r="DKZ41" s="643"/>
      <c r="DLA41" s="643"/>
      <c r="DLB41" s="643"/>
      <c r="DLC41" s="643"/>
      <c r="DLD41" s="643"/>
      <c r="DLE41" s="643"/>
      <c r="DLF41" s="643"/>
      <c r="DLG41" s="643"/>
      <c r="DLH41" s="643"/>
      <c r="DLI41" s="643"/>
      <c r="DLJ41" s="643"/>
      <c r="DLK41" s="643"/>
      <c r="DLL41" s="643"/>
      <c r="DLM41" s="643"/>
      <c r="DLN41" s="643"/>
      <c r="DLO41" s="643"/>
      <c r="DLP41" s="643"/>
      <c r="DLQ41" s="643"/>
      <c r="DLR41" s="643"/>
      <c r="DLS41" s="643"/>
      <c r="DLT41" s="643"/>
      <c r="DLU41" s="643"/>
      <c r="DLV41" s="643"/>
      <c r="DLW41" s="643"/>
      <c r="DLX41" s="643"/>
      <c r="DLY41" s="643"/>
      <c r="DLZ41" s="643"/>
      <c r="DMA41" s="643"/>
      <c r="DMB41" s="643"/>
      <c r="DMC41" s="643"/>
      <c r="DMD41" s="643"/>
      <c r="DME41" s="643"/>
      <c r="DMF41" s="643"/>
      <c r="DMG41" s="643"/>
      <c r="DMH41" s="643"/>
      <c r="DMI41" s="643"/>
      <c r="DMJ41" s="643"/>
      <c r="DMK41" s="643"/>
      <c r="DML41" s="643"/>
      <c r="DMM41" s="643"/>
      <c r="DMN41" s="643"/>
      <c r="DMO41" s="643"/>
      <c r="DMP41" s="643"/>
      <c r="DMQ41" s="643"/>
      <c r="DMR41" s="643"/>
      <c r="DMS41" s="643"/>
      <c r="DMT41" s="643"/>
      <c r="DMU41" s="643"/>
      <c r="DMV41" s="643"/>
      <c r="DMW41" s="643"/>
      <c r="DMX41" s="643"/>
      <c r="DMY41" s="643"/>
      <c r="DMZ41" s="643"/>
      <c r="DNA41" s="643"/>
      <c r="DNB41" s="643"/>
      <c r="DNC41" s="643"/>
      <c r="DND41" s="643"/>
      <c r="DNE41" s="643"/>
      <c r="DNF41" s="643"/>
      <c r="DNG41" s="643"/>
      <c r="DNH41" s="643"/>
      <c r="DNI41" s="643"/>
      <c r="DNJ41" s="643"/>
      <c r="DNK41" s="643"/>
      <c r="DNL41" s="643"/>
      <c r="DNM41" s="643"/>
      <c r="DNN41" s="643"/>
      <c r="DNO41" s="643"/>
      <c r="DNP41" s="643"/>
      <c r="DNQ41" s="643"/>
      <c r="DNR41" s="643"/>
      <c r="DNS41" s="643"/>
      <c r="DNT41" s="643"/>
      <c r="DNU41" s="643"/>
      <c r="DNV41" s="643"/>
      <c r="DNW41" s="643"/>
      <c r="DNX41" s="643"/>
      <c r="DNY41" s="643"/>
      <c r="DNZ41" s="643"/>
      <c r="DOA41" s="643"/>
      <c r="DOB41" s="643"/>
      <c r="DOC41" s="643"/>
      <c r="DOD41" s="643"/>
      <c r="DOE41" s="643"/>
      <c r="DOF41" s="643"/>
      <c r="DOG41" s="643"/>
      <c r="DOH41" s="643"/>
      <c r="DOI41" s="643"/>
      <c r="DOJ41" s="643"/>
      <c r="DOK41" s="643"/>
      <c r="DOL41" s="643"/>
      <c r="DOM41" s="643"/>
      <c r="DON41" s="643"/>
      <c r="DOO41" s="643"/>
      <c r="DOP41" s="643"/>
      <c r="DOQ41" s="643"/>
      <c r="DOR41" s="643"/>
      <c r="DOS41" s="643"/>
      <c r="DOT41" s="643"/>
      <c r="DOU41" s="643"/>
      <c r="DOV41" s="643"/>
      <c r="DOW41" s="643"/>
      <c r="DOX41" s="643"/>
      <c r="DOY41" s="643"/>
      <c r="DOZ41" s="643"/>
      <c r="DPA41" s="643"/>
      <c r="DPB41" s="643"/>
      <c r="DPC41" s="643"/>
      <c r="DPD41" s="643"/>
      <c r="DPE41" s="643"/>
      <c r="DPF41" s="643"/>
      <c r="DPG41" s="643"/>
      <c r="DPH41" s="643"/>
      <c r="DPI41" s="643"/>
      <c r="DPJ41" s="643"/>
      <c r="DPK41" s="643"/>
      <c r="DPL41" s="643"/>
      <c r="DPM41" s="643"/>
      <c r="DPN41" s="643"/>
      <c r="DPO41" s="643"/>
      <c r="DPP41" s="643"/>
      <c r="DPQ41" s="643"/>
      <c r="DPR41" s="643"/>
      <c r="DPS41" s="643"/>
      <c r="DPT41" s="643"/>
      <c r="DPU41" s="643"/>
      <c r="DPV41" s="643"/>
      <c r="DPW41" s="643"/>
      <c r="DPX41" s="643"/>
      <c r="DPY41" s="643"/>
      <c r="DPZ41" s="643"/>
      <c r="DQA41" s="643"/>
      <c r="DQB41" s="643"/>
      <c r="DQC41" s="643"/>
      <c r="DQD41" s="643"/>
      <c r="DQE41" s="643"/>
      <c r="DQF41" s="643"/>
      <c r="DQG41" s="643"/>
      <c r="DQH41" s="643"/>
      <c r="DQI41" s="643"/>
      <c r="DQJ41" s="643"/>
      <c r="DQK41" s="643"/>
      <c r="DQL41" s="643"/>
      <c r="DQM41" s="643"/>
      <c r="DQN41" s="643"/>
      <c r="DQO41" s="643"/>
      <c r="DQP41" s="643"/>
      <c r="DQQ41" s="643"/>
      <c r="DQR41" s="643"/>
      <c r="DQS41" s="643"/>
      <c r="DQT41" s="643"/>
      <c r="DQU41" s="643"/>
      <c r="DQV41" s="643"/>
      <c r="DQW41" s="643"/>
      <c r="DQX41" s="643"/>
      <c r="DQY41" s="643"/>
      <c r="DQZ41" s="643"/>
      <c r="DRA41" s="643"/>
      <c r="DRB41" s="643"/>
      <c r="DRC41" s="643"/>
      <c r="DRD41" s="643"/>
      <c r="DRE41" s="643"/>
      <c r="DRF41" s="643"/>
      <c r="DRG41" s="643"/>
      <c r="DRH41" s="643"/>
      <c r="DRI41" s="643"/>
      <c r="DRJ41" s="643"/>
      <c r="DRK41" s="643"/>
      <c r="DRL41" s="643"/>
      <c r="DRM41" s="643"/>
      <c r="DRN41" s="643"/>
      <c r="DRO41" s="643"/>
      <c r="DRP41" s="643"/>
      <c r="DRQ41" s="643"/>
      <c r="DRR41" s="643"/>
      <c r="DRS41" s="643"/>
      <c r="DRT41" s="643"/>
      <c r="DRU41" s="643"/>
      <c r="DRV41" s="643"/>
      <c r="DRW41" s="643"/>
      <c r="DRX41" s="643"/>
      <c r="DRY41" s="643"/>
      <c r="DRZ41" s="643"/>
      <c r="DSA41" s="643"/>
      <c r="DSB41" s="643"/>
      <c r="DSC41" s="643"/>
      <c r="DSD41" s="643"/>
      <c r="DSE41" s="643"/>
      <c r="DSF41" s="643"/>
      <c r="DSG41" s="643"/>
      <c r="DSH41" s="643"/>
      <c r="DSI41" s="643"/>
      <c r="DSJ41" s="643"/>
      <c r="DSK41" s="643"/>
      <c r="DSL41" s="643"/>
      <c r="DSM41" s="643"/>
      <c r="DSN41" s="643"/>
      <c r="DSO41" s="643"/>
      <c r="DSP41" s="643"/>
      <c r="DSQ41" s="643"/>
      <c r="DSR41" s="643"/>
      <c r="DSS41" s="643"/>
      <c r="DST41" s="643"/>
      <c r="DSU41" s="643"/>
      <c r="DSV41" s="643"/>
      <c r="DSW41" s="643"/>
      <c r="DSX41" s="643"/>
      <c r="DSY41" s="643"/>
      <c r="DSZ41" s="643"/>
      <c r="DTA41" s="643"/>
      <c r="DTB41" s="643"/>
      <c r="DTC41" s="643"/>
      <c r="DTD41" s="643"/>
      <c r="DTE41" s="643"/>
      <c r="DTF41" s="643"/>
      <c r="DTG41" s="643"/>
      <c r="DTH41" s="643"/>
      <c r="DTI41" s="643"/>
      <c r="DTJ41" s="643"/>
      <c r="DTK41" s="643"/>
      <c r="DTL41" s="643"/>
      <c r="DTM41" s="643"/>
      <c r="DTN41" s="643"/>
      <c r="DTO41" s="643"/>
      <c r="DTP41" s="643"/>
      <c r="DTQ41" s="643"/>
      <c r="DTR41" s="643"/>
      <c r="DTS41" s="643"/>
      <c r="DTT41" s="643"/>
      <c r="DTU41" s="643"/>
      <c r="DTV41" s="643"/>
      <c r="DTW41" s="643"/>
      <c r="DTX41" s="643"/>
      <c r="DTY41" s="643"/>
      <c r="DTZ41" s="643"/>
      <c r="DUA41" s="643"/>
      <c r="DUB41" s="643"/>
      <c r="DUC41" s="643"/>
      <c r="DUD41" s="643"/>
      <c r="DUE41" s="643"/>
      <c r="DUF41" s="643"/>
      <c r="DUG41" s="643"/>
      <c r="DUH41" s="643"/>
      <c r="DUI41" s="643"/>
      <c r="DUJ41" s="643"/>
      <c r="DUK41" s="643"/>
      <c r="DUL41" s="643"/>
      <c r="DUM41" s="643"/>
      <c r="DUN41" s="643"/>
      <c r="DUO41" s="643"/>
      <c r="DUP41" s="643"/>
      <c r="DUQ41" s="643"/>
      <c r="DUR41" s="643"/>
      <c r="DUS41" s="643"/>
      <c r="DUT41" s="643"/>
      <c r="DUU41" s="643"/>
      <c r="DUV41" s="643"/>
      <c r="DUW41" s="643"/>
      <c r="DUX41" s="643"/>
      <c r="DUY41" s="643"/>
      <c r="DUZ41" s="643"/>
      <c r="DVA41" s="643"/>
      <c r="DVB41" s="643"/>
      <c r="DVC41" s="643"/>
      <c r="DVD41" s="643"/>
      <c r="DVE41" s="643"/>
      <c r="DVF41" s="643"/>
      <c r="DVG41" s="643"/>
      <c r="DVH41" s="643"/>
      <c r="DVI41" s="643"/>
      <c r="DVJ41" s="643"/>
      <c r="DVK41" s="643"/>
      <c r="DVL41" s="643"/>
      <c r="DVM41" s="643"/>
      <c r="DVN41" s="643"/>
      <c r="DVO41" s="643"/>
      <c r="DVP41" s="643"/>
      <c r="DVQ41" s="643"/>
      <c r="DVR41" s="643"/>
      <c r="DVS41" s="643"/>
      <c r="DVT41" s="643"/>
      <c r="DVU41" s="643"/>
      <c r="DVV41" s="643"/>
      <c r="DVW41" s="643"/>
      <c r="DVX41" s="643"/>
      <c r="DVY41" s="643"/>
      <c r="DVZ41" s="643"/>
      <c r="DWA41" s="643"/>
      <c r="DWB41" s="643"/>
      <c r="DWC41" s="643"/>
      <c r="DWD41" s="643"/>
      <c r="DWE41" s="643"/>
      <c r="DWF41" s="643"/>
      <c r="DWG41" s="643"/>
      <c r="DWH41" s="643"/>
      <c r="DWI41" s="643"/>
      <c r="DWJ41" s="643"/>
      <c r="DWK41" s="643"/>
      <c r="DWL41" s="643"/>
      <c r="DWM41" s="643"/>
      <c r="DWN41" s="643"/>
      <c r="DWO41" s="643"/>
      <c r="DWP41" s="643"/>
      <c r="DWQ41" s="643"/>
      <c r="DWR41" s="643"/>
      <c r="DWS41" s="643"/>
      <c r="DWT41" s="643"/>
      <c r="DWU41" s="643"/>
      <c r="DWV41" s="643"/>
      <c r="DWW41" s="643"/>
      <c r="DWX41" s="643"/>
      <c r="DWY41" s="643"/>
      <c r="DWZ41" s="643"/>
      <c r="DXA41" s="643"/>
      <c r="DXB41" s="643"/>
      <c r="DXC41" s="643"/>
      <c r="DXD41" s="643"/>
      <c r="DXE41" s="643"/>
      <c r="DXF41" s="643"/>
      <c r="DXG41" s="643"/>
      <c r="DXH41" s="643"/>
      <c r="DXI41" s="643"/>
      <c r="DXJ41" s="643"/>
      <c r="DXK41" s="643"/>
      <c r="DXL41" s="643"/>
      <c r="DXM41" s="643"/>
      <c r="DXN41" s="643"/>
      <c r="DXO41" s="643"/>
      <c r="DXP41" s="643"/>
      <c r="DXQ41" s="643"/>
      <c r="DXR41" s="643"/>
      <c r="DXS41" s="643"/>
      <c r="DXT41" s="643"/>
      <c r="DXU41" s="643"/>
      <c r="DXV41" s="643"/>
      <c r="DXW41" s="643"/>
      <c r="DXX41" s="643"/>
      <c r="DXY41" s="643"/>
      <c r="DXZ41" s="643"/>
      <c r="DYA41" s="643"/>
      <c r="DYB41" s="643"/>
      <c r="DYC41" s="643"/>
      <c r="DYD41" s="643"/>
      <c r="DYE41" s="643"/>
      <c r="DYF41" s="643"/>
      <c r="DYG41" s="643"/>
      <c r="DYH41" s="643"/>
      <c r="DYI41" s="643"/>
      <c r="DYJ41" s="643"/>
      <c r="DYK41" s="643"/>
      <c r="DYL41" s="643"/>
      <c r="DYM41" s="643"/>
      <c r="DYN41" s="643"/>
      <c r="DYO41" s="643"/>
      <c r="DYP41" s="643"/>
      <c r="DYQ41" s="643"/>
      <c r="DYR41" s="643"/>
      <c r="DYS41" s="643"/>
      <c r="DYT41" s="643"/>
      <c r="DYU41" s="643"/>
      <c r="DYV41" s="643"/>
      <c r="DYW41" s="643"/>
      <c r="DYX41" s="643"/>
      <c r="DYY41" s="643"/>
      <c r="DYZ41" s="643"/>
      <c r="DZA41" s="643"/>
      <c r="DZB41" s="643"/>
      <c r="DZC41" s="643"/>
      <c r="DZD41" s="643"/>
      <c r="DZE41" s="643"/>
      <c r="DZF41" s="643"/>
      <c r="DZG41" s="643"/>
      <c r="DZH41" s="643"/>
      <c r="DZI41" s="643"/>
      <c r="DZJ41" s="643"/>
      <c r="DZK41" s="643"/>
      <c r="DZL41" s="643"/>
      <c r="DZM41" s="643"/>
      <c r="DZN41" s="643"/>
      <c r="DZO41" s="643"/>
      <c r="DZP41" s="643"/>
      <c r="DZQ41" s="643"/>
      <c r="DZR41" s="643"/>
      <c r="DZS41" s="643"/>
      <c r="DZT41" s="643"/>
      <c r="DZU41" s="643"/>
      <c r="DZV41" s="643"/>
      <c r="DZW41" s="643"/>
      <c r="DZX41" s="643"/>
      <c r="DZY41" s="643"/>
      <c r="DZZ41" s="643"/>
      <c r="EAA41" s="643"/>
      <c r="EAB41" s="643"/>
      <c r="EAC41" s="643"/>
      <c r="EAD41" s="643"/>
      <c r="EAE41" s="643"/>
      <c r="EAF41" s="643"/>
      <c r="EAG41" s="643"/>
      <c r="EAH41" s="643"/>
      <c r="EAI41" s="643"/>
      <c r="EAJ41" s="643"/>
      <c r="EAK41" s="643"/>
      <c r="EAL41" s="643"/>
      <c r="EAM41" s="643"/>
      <c r="EAN41" s="643"/>
      <c r="EAO41" s="643"/>
      <c r="EAP41" s="643"/>
      <c r="EAQ41" s="643"/>
      <c r="EAR41" s="643"/>
      <c r="EAS41" s="643"/>
      <c r="EAT41" s="643"/>
      <c r="EAU41" s="643"/>
      <c r="EAV41" s="643"/>
      <c r="EAW41" s="643"/>
      <c r="EAX41" s="643"/>
      <c r="EAY41" s="643"/>
      <c r="EAZ41" s="643"/>
      <c r="EBA41" s="643"/>
      <c r="EBB41" s="643"/>
      <c r="EBC41" s="643"/>
      <c r="EBD41" s="643"/>
      <c r="EBE41" s="643"/>
      <c r="EBF41" s="643"/>
      <c r="EBG41" s="643"/>
      <c r="EBH41" s="643"/>
      <c r="EBI41" s="643"/>
      <c r="EBJ41" s="643"/>
      <c r="EBK41" s="643"/>
      <c r="EBL41" s="643"/>
      <c r="EBM41" s="643"/>
      <c r="EBN41" s="643"/>
      <c r="EBO41" s="643"/>
      <c r="EBP41" s="643"/>
      <c r="EBQ41" s="643"/>
      <c r="EBR41" s="643"/>
      <c r="EBS41" s="643"/>
      <c r="EBT41" s="643"/>
      <c r="EBU41" s="643"/>
      <c r="EBV41" s="643"/>
      <c r="EBW41" s="643"/>
      <c r="EBX41" s="643"/>
      <c r="EBY41" s="643"/>
      <c r="EBZ41" s="643"/>
      <c r="ECA41" s="643"/>
      <c r="ECB41" s="643"/>
      <c r="ECC41" s="643"/>
      <c r="ECD41" s="643"/>
      <c r="ECE41" s="643"/>
      <c r="ECF41" s="643"/>
      <c r="ECG41" s="643"/>
      <c r="ECH41" s="643"/>
      <c r="ECI41" s="643"/>
      <c r="ECJ41" s="643"/>
      <c r="ECK41" s="643"/>
      <c r="ECL41" s="643"/>
      <c r="ECM41" s="643"/>
      <c r="ECN41" s="643"/>
      <c r="ECO41" s="643"/>
      <c r="ECP41" s="643"/>
      <c r="ECQ41" s="643"/>
      <c r="ECR41" s="643"/>
      <c r="ECS41" s="643"/>
      <c r="ECT41" s="643"/>
      <c r="ECU41" s="643"/>
      <c r="ECV41" s="643"/>
      <c r="ECW41" s="643"/>
      <c r="ECX41" s="643"/>
      <c r="ECY41" s="643"/>
      <c r="ECZ41" s="643"/>
      <c r="EDA41" s="643"/>
      <c r="EDB41" s="643"/>
      <c r="EDC41" s="643"/>
      <c r="EDD41" s="643"/>
      <c r="EDE41" s="643"/>
      <c r="EDF41" s="643"/>
      <c r="EDG41" s="643"/>
      <c r="EDH41" s="643"/>
      <c r="EDI41" s="643"/>
      <c r="EDJ41" s="643"/>
      <c r="EDK41" s="643"/>
      <c r="EDL41" s="643"/>
      <c r="EDM41" s="643"/>
      <c r="EDN41" s="643"/>
      <c r="EDO41" s="643"/>
      <c r="EDP41" s="643"/>
      <c r="EDQ41" s="643"/>
      <c r="EDR41" s="643"/>
      <c r="EDS41" s="643"/>
      <c r="EDT41" s="643"/>
      <c r="EDU41" s="643"/>
      <c r="EDV41" s="643"/>
      <c r="EDW41" s="643"/>
      <c r="EDX41" s="643"/>
      <c r="EDY41" s="643"/>
      <c r="EDZ41" s="643"/>
      <c r="EEA41" s="643"/>
      <c r="EEB41" s="643"/>
      <c r="EEC41" s="643"/>
      <c r="EED41" s="643"/>
      <c r="EEE41" s="643"/>
      <c r="EEF41" s="643"/>
      <c r="EEG41" s="643"/>
      <c r="EEH41" s="643"/>
      <c r="EEI41" s="643"/>
      <c r="EEJ41" s="643"/>
      <c r="EEK41" s="643"/>
      <c r="EEL41" s="643"/>
      <c r="EEM41" s="643"/>
      <c r="EEN41" s="643"/>
      <c r="EEO41" s="643"/>
      <c r="EEP41" s="643"/>
      <c r="EEQ41" s="643"/>
      <c r="EER41" s="643"/>
      <c r="EES41" s="643"/>
      <c r="EET41" s="643"/>
      <c r="EEU41" s="643"/>
      <c r="EEV41" s="643"/>
      <c r="EEW41" s="643"/>
      <c r="EEX41" s="643"/>
      <c r="EEY41" s="643"/>
      <c r="EEZ41" s="643"/>
      <c r="EFA41" s="643"/>
      <c r="EFB41" s="643"/>
      <c r="EFC41" s="643"/>
      <c r="EFD41" s="643"/>
      <c r="EFE41" s="643"/>
      <c r="EFF41" s="643"/>
      <c r="EFG41" s="643"/>
      <c r="EFH41" s="643"/>
      <c r="EFI41" s="643"/>
      <c r="EFJ41" s="643"/>
      <c r="EFK41" s="643"/>
      <c r="EFL41" s="643"/>
      <c r="EFM41" s="643"/>
      <c r="EFN41" s="643"/>
      <c r="EFO41" s="643"/>
      <c r="EFP41" s="643"/>
      <c r="EFQ41" s="643"/>
      <c r="EFR41" s="643"/>
      <c r="EFS41" s="643"/>
      <c r="EFT41" s="643"/>
      <c r="EFU41" s="643"/>
      <c r="EFV41" s="643"/>
      <c r="EFW41" s="643"/>
      <c r="EFX41" s="643"/>
      <c r="EFY41" s="643"/>
      <c r="EFZ41" s="643"/>
      <c r="EGA41" s="643"/>
      <c r="EGB41" s="643"/>
      <c r="EGC41" s="643"/>
      <c r="EGD41" s="643"/>
      <c r="EGE41" s="643"/>
      <c r="EGF41" s="643"/>
      <c r="EGG41" s="643"/>
      <c r="EGH41" s="643"/>
      <c r="EGI41" s="643"/>
      <c r="EGJ41" s="643"/>
      <c r="EGK41" s="643"/>
      <c r="EGL41" s="643"/>
      <c r="EGM41" s="643"/>
      <c r="EGN41" s="643"/>
      <c r="EGO41" s="643"/>
      <c r="EGP41" s="643"/>
      <c r="EGQ41" s="643"/>
      <c r="EGR41" s="643"/>
      <c r="EGS41" s="643"/>
      <c r="EGT41" s="643"/>
      <c r="EGU41" s="643"/>
      <c r="EGV41" s="643"/>
      <c r="EGW41" s="643"/>
      <c r="EGX41" s="643"/>
      <c r="EGY41" s="643"/>
      <c r="EGZ41" s="643"/>
      <c r="EHA41" s="643"/>
      <c r="EHB41" s="643"/>
      <c r="EHC41" s="643"/>
      <c r="EHD41" s="643"/>
      <c r="EHE41" s="643"/>
      <c r="EHF41" s="643"/>
      <c r="EHG41" s="643"/>
      <c r="EHH41" s="643"/>
      <c r="EHI41" s="643"/>
      <c r="EHJ41" s="643"/>
      <c r="EHK41" s="643"/>
      <c r="EHL41" s="643"/>
      <c r="EHM41" s="643"/>
      <c r="EHN41" s="643"/>
      <c r="EHO41" s="643"/>
      <c r="EHP41" s="643"/>
      <c r="EHQ41" s="643"/>
      <c r="EHR41" s="643"/>
      <c r="EHS41" s="643"/>
      <c r="EHT41" s="643"/>
      <c r="EHU41" s="643"/>
      <c r="EHV41" s="643"/>
      <c r="EHW41" s="643"/>
      <c r="EHX41" s="643"/>
      <c r="EHY41" s="643"/>
      <c r="EHZ41" s="643"/>
      <c r="EIA41" s="643"/>
      <c r="EIB41" s="643"/>
      <c r="EIC41" s="643"/>
      <c r="EID41" s="643"/>
      <c r="EIE41" s="643"/>
      <c r="EIF41" s="643"/>
      <c r="EIG41" s="643"/>
      <c r="EIH41" s="643"/>
      <c r="EII41" s="643"/>
      <c r="EIJ41" s="643"/>
      <c r="EIK41" s="643"/>
      <c r="EIL41" s="643"/>
      <c r="EIM41" s="643"/>
      <c r="EIN41" s="643"/>
      <c r="EIO41" s="643"/>
      <c r="EIP41" s="643"/>
      <c r="EIQ41" s="643"/>
      <c r="EIR41" s="643"/>
      <c r="EIS41" s="643"/>
      <c r="EIT41" s="643"/>
      <c r="EIU41" s="643"/>
      <c r="EIV41" s="643"/>
      <c r="EIW41" s="643"/>
      <c r="EIX41" s="643"/>
      <c r="EIY41" s="643"/>
      <c r="EIZ41" s="643"/>
      <c r="EJA41" s="643"/>
      <c r="EJB41" s="643"/>
      <c r="EJC41" s="643"/>
      <c r="EJD41" s="643"/>
      <c r="EJE41" s="643"/>
      <c r="EJF41" s="643"/>
      <c r="EJG41" s="643"/>
      <c r="EJH41" s="643"/>
      <c r="EJI41" s="643"/>
      <c r="EJJ41" s="643"/>
      <c r="EJK41" s="643"/>
      <c r="EJL41" s="643"/>
      <c r="EJM41" s="643"/>
      <c r="EJN41" s="643"/>
      <c r="EJO41" s="643"/>
      <c r="EJP41" s="643"/>
      <c r="EJQ41" s="643"/>
      <c r="EJR41" s="643"/>
      <c r="EJS41" s="643"/>
      <c r="EJT41" s="643"/>
      <c r="EJU41" s="643"/>
      <c r="EJV41" s="643"/>
      <c r="EJW41" s="643"/>
      <c r="EJX41" s="643"/>
      <c r="EJY41" s="643"/>
      <c r="EJZ41" s="643"/>
      <c r="EKA41" s="643"/>
      <c r="EKB41" s="643"/>
      <c r="EKC41" s="643"/>
      <c r="EKD41" s="643"/>
      <c r="EKE41" s="643"/>
      <c r="EKF41" s="643"/>
      <c r="EKG41" s="643"/>
      <c r="EKH41" s="643"/>
      <c r="EKI41" s="643"/>
      <c r="EKJ41" s="643"/>
      <c r="EKK41" s="643"/>
      <c r="EKL41" s="643"/>
      <c r="EKM41" s="643"/>
      <c r="EKN41" s="643"/>
      <c r="EKO41" s="643"/>
      <c r="EKP41" s="643"/>
      <c r="EKQ41" s="643"/>
      <c r="EKR41" s="643"/>
      <c r="EKS41" s="643"/>
      <c r="EKT41" s="643"/>
      <c r="EKU41" s="643"/>
      <c r="EKV41" s="643"/>
      <c r="EKW41" s="643"/>
      <c r="EKX41" s="643"/>
      <c r="EKY41" s="643"/>
      <c r="EKZ41" s="643"/>
      <c r="ELA41" s="643"/>
      <c r="ELB41" s="643"/>
      <c r="ELC41" s="643"/>
      <c r="ELD41" s="643"/>
      <c r="ELE41" s="643"/>
      <c r="ELF41" s="643"/>
      <c r="ELG41" s="643"/>
      <c r="ELH41" s="643"/>
      <c r="ELI41" s="643"/>
      <c r="ELJ41" s="643"/>
      <c r="ELK41" s="643"/>
      <c r="ELL41" s="643"/>
      <c r="ELM41" s="643"/>
      <c r="ELN41" s="643"/>
      <c r="ELO41" s="643"/>
      <c r="ELP41" s="643"/>
      <c r="ELQ41" s="643"/>
      <c r="ELR41" s="643"/>
      <c r="ELS41" s="643"/>
      <c r="ELT41" s="643"/>
      <c r="ELU41" s="643"/>
      <c r="ELV41" s="643"/>
      <c r="ELW41" s="643"/>
      <c r="ELX41" s="643"/>
      <c r="ELY41" s="643"/>
      <c r="ELZ41" s="643"/>
      <c r="EMA41" s="643"/>
      <c r="EMB41" s="643"/>
      <c r="EMC41" s="643"/>
      <c r="EMD41" s="643"/>
      <c r="EME41" s="643"/>
      <c r="EMF41" s="643"/>
      <c r="EMG41" s="643"/>
      <c r="EMH41" s="643"/>
      <c r="EMI41" s="643"/>
      <c r="EMJ41" s="643"/>
      <c r="EMK41" s="643"/>
      <c r="EML41" s="643"/>
      <c r="EMM41" s="643"/>
      <c r="EMN41" s="643"/>
      <c r="EMO41" s="643"/>
      <c r="EMP41" s="643"/>
      <c r="EMQ41" s="643"/>
      <c r="EMR41" s="643"/>
      <c r="EMS41" s="643"/>
      <c r="EMT41" s="643"/>
      <c r="EMU41" s="643"/>
      <c r="EMV41" s="643"/>
      <c r="EMW41" s="643"/>
      <c r="EMX41" s="643"/>
      <c r="EMY41" s="643"/>
      <c r="EMZ41" s="643"/>
      <c r="ENA41" s="643"/>
      <c r="ENB41" s="643"/>
      <c r="ENC41" s="643"/>
      <c r="END41" s="643"/>
      <c r="ENE41" s="643"/>
      <c r="ENF41" s="643"/>
      <c r="ENG41" s="643"/>
      <c r="ENH41" s="643"/>
      <c r="ENI41" s="643"/>
      <c r="ENJ41" s="643"/>
      <c r="ENK41" s="643"/>
      <c r="ENL41" s="643"/>
      <c r="ENM41" s="643"/>
      <c r="ENN41" s="643"/>
      <c r="ENO41" s="643"/>
      <c r="ENP41" s="643"/>
      <c r="ENQ41" s="643"/>
      <c r="ENR41" s="643"/>
      <c r="ENS41" s="643"/>
      <c r="ENT41" s="643"/>
      <c r="ENU41" s="643"/>
      <c r="ENV41" s="643"/>
      <c r="ENW41" s="643"/>
      <c r="ENX41" s="643"/>
      <c r="ENY41" s="643"/>
      <c r="ENZ41" s="643"/>
      <c r="EOA41" s="643"/>
      <c r="EOB41" s="643"/>
      <c r="EOC41" s="643"/>
      <c r="EOD41" s="643"/>
      <c r="EOE41" s="643"/>
      <c r="EOF41" s="643"/>
      <c r="EOG41" s="643"/>
      <c r="EOH41" s="643"/>
      <c r="EOI41" s="643"/>
      <c r="EOJ41" s="643"/>
      <c r="EOK41" s="643"/>
      <c r="EOL41" s="643"/>
      <c r="EOM41" s="643"/>
      <c r="EON41" s="643"/>
      <c r="EOO41" s="643"/>
      <c r="EOP41" s="643"/>
      <c r="EOQ41" s="643"/>
      <c r="EOR41" s="643"/>
      <c r="EOS41" s="643"/>
      <c r="EOT41" s="643"/>
      <c r="EOU41" s="643"/>
      <c r="EOV41" s="643"/>
      <c r="EOW41" s="643"/>
      <c r="EOX41" s="643"/>
      <c r="EOY41" s="643"/>
      <c r="EOZ41" s="643"/>
      <c r="EPA41" s="643"/>
      <c r="EPB41" s="643"/>
      <c r="EPC41" s="643"/>
      <c r="EPD41" s="643"/>
      <c r="EPE41" s="643"/>
      <c r="EPF41" s="643"/>
      <c r="EPG41" s="643"/>
      <c r="EPH41" s="643"/>
      <c r="EPI41" s="643"/>
      <c r="EPJ41" s="643"/>
      <c r="EPK41" s="643"/>
      <c r="EPL41" s="643"/>
      <c r="EPM41" s="643"/>
      <c r="EPN41" s="643"/>
      <c r="EPO41" s="643"/>
      <c r="EPP41" s="643"/>
      <c r="EPQ41" s="643"/>
      <c r="EPR41" s="643"/>
      <c r="EPS41" s="643"/>
      <c r="EPT41" s="643"/>
      <c r="EPU41" s="643"/>
      <c r="EPV41" s="643"/>
      <c r="EPW41" s="643"/>
      <c r="EPX41" s="643"/>
      <c r="EPY41" s="643"/>
      <c r="EPZ41" s="643"/>
      <c r="EQA41" s="643"/>
      <c r="EQB41" s="643"/>
      <c r="EQC41" s="643"/>
      <c r="EQD41" s="643"/>
      <c r="EQE41" s="643"/>
      <c r="EQF41" s="643"/>
      <c r="EQG41" s="643"/>
      <c r="EQH41" s="643"/>
      <c r="EQI41" s="643"/>
      <c r="EQJ41" s="643"/>
      <c r="EQK41" s="643"/>
      <c r="EQL41" s="643"/>
      <c r="EQM41" s="643"/>
      <c r="EQN41" s="643"/>
      <c r="EQO41" s="643"/>
      <c r="EQP41" s="643"/>
      <c r="EQQ41" s="643"/>
      <c r="EQR41" s="643"/>
      <c r="EQS41" s="643"/>
      <c r="EQT41" s="643"/>
      <c r="EQU41" s="643"/>
      <c r="EQV41" s="643"/>
      <c r="EQW41" s="643"/>
      <c r="EQX41" s="643"/>
      <c r="EQY41" s="643"/>
      <c r="EQZ41" s="643"/>
      <c r="ERA41" s="643"/>
      <c r="ERB41" s="643"/>
      <c r="ERC41" s="643"/>
      <c r="ERD41" s="643"/>
      <c r="ERE41" s="643"/>
      <c r="ERF41" s="643"/>
      <c r="ERG41" s="643"/>
      <c r="ERH41" s="643"/>
      <c r="ERI41" s="643"/>
      <c r="ERJ41" s="643"/>
      <c r="ERK41" s="643"/>
      <c r="ERL41" s="643"/>
      <c r="ERM41" s="643"/>
      <c r="ERN41" s="643"/>
      <c r="ERO41" s="643"/>
      <c r="ERP41" s="643"/>
      <c r="ERQ41" s="643"/>
      <c r="ERR41" s="643"/>
      <c r="ERS41" s="643"/>
      <c r="ERT41" s="643"/>
      <c r="ERU41" s="643"/>
      <c r="ERV41" s="643"/>
      <c r="ERW41" s="643"/>
      <c r="ERX41" s="643"/>
      <c r="ERY41" s="643"/>
      <c r="ERZ41" s="643"/>
      <c r="ESA41" s="643"/>
      <c r="ESB41" s="643"/>
      <c r="ESC41" s="643"/>
      <c r="ESD41" s="643"/>
      <c r="ESE41" s="643"/>
      <c r="ESF41" s="643"/>
      <c r="ESG41" s="643"/>
      <c r="ESH41" s="643"/>
      <c r="ESI41" s="643"/>
      <c r="ESJ41" s="643"/>
      <c r="ESK41" s="643"/>
      <c r="ESL41" s="643"/>
      <c r="ESM41" s="643"/>
      <c r="ESN41" s="643"/>
      <c r="ESO41" s="643"/>
      <c r="ESP41" s="643"/>
      <c r="ESQ41" s="643"/>
      <c r="ESR41" s="643"/>
      <c r="ESS41" s="643"/>
      <c r="EST41" s="643"/>
      <c r="ESU41" s="643"/>
      <c r="ESV41" s="643"/>
      <c r="ESW41" s="643"/>
      <c r="ESX41" s="643"/>
      <c r="ESY41" s="643"/>
      <c r="ESZ41" s="643"/>
      <c r="ETA41" s="643"/>
      <c r="ETB41" s="643"/>
      <c r="ETC41" s="643"/>
      <c r="ETD41" s="643"/>
      <c r="ETE41" s="643"/>
      <c r="ETF41" s="643"/>
      <c r="ETG41" s="643"/>
      <c r="ETH41" s="643"/>
      <c r="ETI41" s="643"/>
      <c r="ETJ41" s="643"/>
      <c r="ETK41" s="643"/>
      <c r="ETL41" s="643"/>
      <c r="ETM41" s="643"/>
      <c r="ETN41" s="643"/>
      <c r="ETO41" s="643"/>
      <c r="ETP41" s="643"/>
      <c r="ETQ41" s="643"/>
      <c r="ETR41" s="643"/>
      <c r="ETS41" s="643"/>
      <c r="ETT41" s="643"/>
      <c r="ETU41" s="643"/>
      <c r="ETV41" s="643"/>
      <c r="ETW41" s="643"/>
      <c r="ETX41" s="643"/>
      <c r="ETY41" s="643"/>
      <c r="ETZ41" s="643"/>
      <c r="EUA41" s="643"/>
      <c r="EUB41" s="643"/>
      <c r="EUC41" s="643"/>
      <c r="EUD41" s="643"/>
      <c r="EUE41" s="643"/>
      <c r="EUF41" s="643"/>
      <c r="EUG41" s="643"/>
      <c r="EUH41" s="643"/>
      <c r="EUI41" s="643"/>
      <c r="EUJ41" s="643"/>
      <c r="EUK41" s="643"/>
      <c r="EUL41" s="643"/>
      <c r="EUM41" s="643"/>
      <c r="EUN41" s="643"/>
      <c r="EUO41" s="643"/>
      <c r="EUP41" s="643"/>
      <c r="EUQ41" s="643"/>
      <c r="EUR41" s="643"/>
      <c r="EUS41" s="643"/>
      <c r="EUT41" s="643"/>
      <c r="EUU41" s="643"/>
      <c r="EUV41" s="643"/>
      <c r="EUW41" s="643"/>
      <c r="EUX41" s="643"/>
      <c r="EUY41" s="643"/>
      <c r="EUZ41" s="643"/>
      <c r="EVA41" s="643"/>
      <c r="EVB41" s="643"/>
      <c r="EVC41" s="643"/>
      <c r="EVD41" s="643"/>
      <c r="EVE41" s="643"/>
      <c r="EVF41" s="643"/>
      <c r="EVG41" s="643"/>
      <c r="EVH41" s="643"/>
      <c r="EVI41" s="643"/>
      <c r="EVJ41" s="643"/>
      <c r="EVK41" s="643"/>
      <c r="EVL41" s="643"/>
      <c r="EVM41" s="643"/>
      <c r="EVN41" s="643"/>
      <c r="EVO41" s="643"/>
      <c r="EVP41" s="643"/>
      <c r="EVQ41" s="643"/>
      <c r="EVR41" s="643"/>
      <c r="EVS41" s="643"/>
      <c r="EVT41" s="643"/>
      <c r="EVU41" s="643"/>
      <c r="EVV41" s="643"/>
      <c r="EVW41" s="643"/>
      <c r="EVX41" s="643"/>
      <c r="EVY41" s="643"/>
      <c r="EVZ41" s="643"/>
      <c r="EWA41" s="643"/>
      <c r="EWB41" s="643"/>
      <c r="EWC41" s="643"/>
      <c r="EWD41" s="643"/>
      <c r="EWE41" s="643"/>
      <c r="EWF41" s="643"/>
      <c r="EWG41" s="643"/>
      <c r="EWH41" s="643"/>
      <c r="EWI41" s="643"/>
      <c r="EWJ41" s="643"/>
      <c r="EWK41" s="643"/>
      <c r="EWL41" s="643"/>
      <c r="EWM41" s="643"/>
      <c r="EWN41" s="643"/>
      <c r="EWO41" s="643"/>
      <c r="EWP41" s="643"/>
      <c r="EWQ41" s="643"/>
      <c r="EWR41" s="643"/>
      <c r="EWS41" s="643"/>
      <c r="EWT41" s="643"/>
      <c r="EWU41" s="643"/>
      <c r="EWV41" s="643"/>
      <c r="EWW41" s="643"/>
      <c r="EWX41" s="643"/>
      <c r="EWY41" s="643"/>
      <c r="EWZ41" s="643"/>
      <c r="EXA41" s="643"/>
      <c r="EXB41" s="643"/>
      <c r="EXC41" s="643"/>
      <c r="EXD41" s="643"/>
      <c r="EXE41" s="643"/>
      <c r="EXF41" s="643"/>
      <c r="EXG41" s="643"/>
      <c r="EXH41" s="643"/>
      <c r="EXI41" s="643"/>
      <c r="EXJ41" s="643"/>
      <c r="EXK41" s="643"/>
      <c r="EXL41" s="643"/>
      <c r="EXM41" s="643"/>
      <c r="EXN41" s="643"/>
      <c r="EXO41" s="643"/>
      <c r="EXP41" s="643"/>
      <c r="EXQ41" s="643"/>
      <c r="EXR41" s="643"/>
      <c r="EXS41" s="643"/>
      <c r="EXT41" s="643"/>
      <c r="EXU41" s="643"/>
      <c r="EXV41" s="643"/>
      <c r="EXW41" s="643"/>
      <c r="EXX41" s="643"/>
      <c r="EXY41" s="643"/>
      <c r="EXZ41" s="643"/>
      <c r="EYA41" s="643"/>
      <c r="EYB41" s="643"/>
      <c r="EYC41" s="643"/>
      <c r="EYD41" s="643"/>
      <c r="EYE41" s="643"/>
      <c r="EYF41" s="643"/>
      <c r="EYG41" s="643"/>
      <c r="EYH41" s="643"/>
      <c r="EYI41" s="643"/>
      <c r="EYJ41" s="643"/>
      <c r="EYK41" s="643"/>
      <c r="EYL41" s="643"/>
      <c r="EYM41" s="643"/>
      <c r="EYN41" s="643"/>
      <c r="EYO41" s="643"/>
      <c r="EYP41" s="643"/>
      <c r="EYQ41" s="643"/>
      <c r="EYR41" s="643"/>
      <c r="EYS41" s="643"/>
      <c r="EYT41" s="643"/>
      <c r="EYU41" s="643"/>
      <c r="EYV41" s="643"/>
      <c r="EYW41" s="643"/>
      <c r="EYX41" s="643"/>
      <c r="EYY41" s="643"/>
      <c r="EYZ41" s="643"/>
      <c r="EZA41" s="643"/>
      <c r="EZB41" s="643"/>
      <c r="EZC41" s="643"/>
      <c r="EZD41" s="643"/>
      <c r="EZE41" s="643"/>
      <c r="EZF41" s="643"/>
      <c r="EZG41" s="643"/>
      <c r="EZH41" s="643"/>
      <c r="EZI41" s="643"/>
      <c r="EZJ41" s="643"/>
      <c r="EZK41" s="643"/>
      <c r="EZL41" s="643"/>
      <c r="EZM41" s="643"/>
      <c r="EZN41" s="643"/>
      <c r="EZO41" s="643"/>
      <c r="EZP41" s="643"/>
      <c r="EZQ41" s="643"/>
      <c r="EZR41" s="643"/>
      <c r="EZS41" s="643"/>
      <c r="EZT41" s="643"/>
      <c r="EZU41" s="643"/>
      <c r="EZV41" s="643"/>
      <c r="EZW41" s="643"/>
      <c r="EZX41" s="643"/>
      <c r="EZY41" s="643"/>
      <c r="EZZ41" s="643"/>
      <c r="FAA41" s="643"/>
      <c r="FAB41" s="643"/>
      <c r="FAC41" s="643"/>
      <c r="FAD41" s="643"/>
      <c r="FAE41" s="643"/>
      <c r="FAF41" s="643"/>
      <c r="FAG41" s="643"/>
      <c r="FAH41" s="643"/>
      <c r="FAI41" s="643"/>
      <c r="FAJ41" s="643"/>
      <c r="FAK41" s="643"/>
      <c r="FAL41" s="643"/>
      <c r="FAM41" s="643"/>
      <c r="FAN41" s="643"/>
      <c r="FAO41" s="643"/>
      <c r="FAP41" s="643"/>
      <c r="FAQ41" s="643"/>
      <c r="FAR41" s="643"/>
      <c r="FAS41" s="643"/>
      <c r="FAT41" s="643"/>
      <c r="FAU41" s="643"/>
      <c r="FAV41" s="643"/>
      <c r="FAW41" s="643"/>
      <c r="FAX41" s="643"/>
      <c r="FAY41" s="643"/>
      <c r="FAZ41" s="643"/>
      <c r="FBA41" s="643"/>
      <c r="FBB41" s="643"/>
      <c r="FBC41" s="643"/>
      <c r="FBD41" s="643"/>
      <c r="FBE41" s="643"/>
      <c r="FBF41" s="643"/>
      <c r="FBG41" s="643"/>
      <c r="FBH41" s="643"/>
      <c r="FBI41" s="643"/>
      <c r="FBJ41" s="643"/>
      <c r="FBK41" s="643"/>
      <c r="FBL41" s="643"/>
      <c r="FBM41" s="643"/>
      <c r="FBN41" s="643"/>
      <c r="FBO41" s="643"/>
      <c r="FBP41" s="643"/>
      <c r="FBQ41" s="643"/>
      <c r="FBR41" s="643"/>
      <c r="FBS41" s="643"/>
      <c r="FBT41" s="643"/>
      <c r="FBU41" s="643"/>
      <c r="FBV41" s="643"/>
      <c r="FBW41" s="643"/>
      <c r="FBX41" s="643"/>
      <c r="FBY41" s="643"/>
      <c r="FBZ41" s="643"/>
      <c r="FCA41" s="643"/>
      <c r="FCB41" s="643"/>
      <c r="FCC41" s="643"/>
      <c r="FCD41" s="643"/>
      <c r="FCE41" s="643"/>
      <c r="FCF41" s="643"/>
      <c r="FCG41" s="643"/>
      <c r="FCH41" s="643"/>
      <c r="FCI41" s="643"/>
      <c r="FCJ41" s="643"/>
      <c r="FCK41" s="643"/>
      <c r="FCL41" s="643"/>
      <c r="FCM41" s="643"/>
      <c r="FCN41" s="643"/>
      <c r="FCO41" s="643"/>
      <c r="FCP41" s="643"/>
      <c r="FCQ41" s="643"/>
      <c r="FCR41" s="643"/>
      <c r="FCS41" s="643"/>
      <c r="FCT41" s="643"/>
      <c r="FCU41" s="643"/>
      <c r="FCV41" s="643"/>
      <c r="FCW41" s="643"/>
      <c r="FCX41" s="643"/>
      <c r="FCY41" s="643"/>
      <c r="FCZ41" s="643"/>
      <c r="FDA41" s="643"/>
      <c r="FDB41" s="643"/>
      <c r="FDC41" s="643"/>
      <c r="FDD41" s="643"/>
      <c r="FDE41" s="643"/>
      <c r="FDF41" s="643"/>
      <c r="FDG41" s="643"/>
      <c r="FDH41" s="643"/>
      <c r="FDI41" s="643"/>
      <c r="FDJ41" s="643"/>
      <c r="FDK41" s="643"/>
      <c r="FDL41" s="643"/>
      <c r="FDM41" s="643"/>
      <c r="FDN41" s="643"/>
      <c r="FDO41" s="643"/>
      <c r="FDP41" s="643"/>
      <c r="FDQ41" s="643"/>
      <c r="FDR41" s="643"/>
      <c r="FDS41" s="643"/>
      <c r="FDT41" s="643"/>
      <c r="FDU41" s="643"/>
      <c r="FDV41" s="643"/>
      <c r="FDW41" s="643"/>
      <c r="FDX41" s="643"/>
      <c r="FDY41" s="643"/>
      <c r="FDZ41" s="643"/>
      <c r="FEA41" s="643"/>
      <c r="FEB41" s="643"/>
      <c r="FEC41" s="643"/>
      <c r="FED41" s="643"/>
      <c r="FEE41" s="643"/>
      <c r="FEF41" s="643"/>
      <c r="FEG41" s="643"/>
      <c r="FEH41" s="643"/>
      <c r="FEI41" s="643"/>
      <c r="FEJ41" s="643"/>
      <c r="FEK41" s="643"/>
      <c r="FEL41" s="643"/>
      <c r="FEM41" s="643"/>
      <c r="FEN41" s="643"/>
      <c r="FEO41" s="643"/>
      <c r="FEP41" s="643"/>
      <c r="FEQ41" s="643"/>
      <c r="FER41" s="643"/>
      <c r="FES41" s="643"/>
      <c r="FET41" s="643"/>
      <c r="FEU41" s="643"/>
      <c r="FEV41" s="643"/>
      <c r="FEW41" s="643"/>
      <c r="FEX41" s="643"/>
      <c r="FEY41" s="643"/>
      <c r="FEZ41" s="643"/>
      <c r="FFA41" s="643"/>
      <c r="FFB41" s="643"/>
      <c r="FFC41" s="643"/>
      <c r="FFD41" s="643"/>
      <c r="FFE41" s="643"/>
      <c r="FFF41" s="643"/>
      <c r="FFG41" s="643"/>
      <c r="FFH41" s="643"/>
      <c r="FFI41" s="643"/>
      <c r="FFJ41" s="643"/>
      <c r="FFK41" s="643"/>
      <c r="FFL41" s="643"/>
      <c r="FFM41" s="643"/>
      <c r="FFN41" s="643"/>
      <c r="FFO41" s="643"/>
      <c r="FFP41" s="643"/>
      <c r="FFQ41" s="643"/>
      <c r="FFR41" s="643"/>
      <c r="FFS41" s="643"/>
      <c r="FFT41" s="643"/>
      <c r="FFU41" s="643"/>
      <c r="FFV41" s="643"/>
      <c r="FFW41" s="643"/>
      <c r="FFX41" s="643"/>
      <c r="FFY41" s="643"/>
      <c r="FFZ41" s="643"/>
      <c r="FGA41" s="643"/>
      <c r="FGB41" s="643"/>
      <c r="FGC41" s="643"/>
      <c r="FGD41" s="643"/>
      <c r="FGE41" s="643"/>
      <c r="FGF41" s="643"/>
      <c r="FGG41" s="643"/>
      <c r="FGH41" s="643"/>
      <c r="FGI41" s="643"/>
      <c r="FGJ41" s="643"/>
      <c r="FGK41" s="643"/>
      <c r="FGL41" s="643"/>
      <c r="FGM41" s="643"/>
      <c r="FGN41" s="643"/>
      <c r="FGO41" s="643"/>
      <c r="FGP41" s="643"/>
      <c r="FGQ41" s="643"/>
      <c r="FGR41" s="643"/>
      <c r="FGS41" s="643"/>
      <c r="FGT41" s="643"/>
      <c r="FGU41" s="643"/>
      <c r="FGV41" s="643"/>
      <c r="FGW41" s="643"/>
      <c r="FGX41" s="643"/>
      <c r="FGY41" s="643"/>
      <c r="FGZ41" s="643"/>
      <c r="FHA41" s="643"/>
      <c r="FHB41" s="643"/>
      <c r="FHC41" s="643"/>
      <c r="FHD41" s="643"/>
      <c r="FHE41" s="643"/>
      <c r="FHF41" s="643"/>
      <c r="FHG41" s="643"/>
      <c r="FHH41" s="643"/>
      <c r="FHI41" s="643"/>
      <c r="FHJ41" s="643"/>
      <c r="FHK41" s="643"/>
      <c r="FHL41" s="643"/>
      <c r="FHM41" s="643"/>
      <c r="FHN41" s="643"/>
      <c r="FHO41" s="643"/>
      <c r="FHP41" s="643"/>
      <c r="FHQ41" s="643"/>
      <c r="FHR41" s="643"/>
      <c r="FHS41" s="643"/>
      <c r="FHT41" s="643"/>
      <c r="FHU41" s="643"/>
      <c r="FHV41" s="643"/>
      <c r="FHW41" s="643"/>
      <c r="FHX41" s="643"/>
      <c r="FHY41" s="643"/>
      <c r="FHZ41" s="643"/>
      <c r="FIA41" s="643"/>
      <c r="FIB41" s="643"/>
      <c r="FIC41" s="643"/>
      <c r="FID41" s="643"/>
      <c r="FIE41" s="643"/>
      <c r="FIF41" s="643"/>
      <c r="FIG41" s="643"/>
      <c r="FIH41" s="643"/>
      <c r="FII41" s="643"/>
      <c r="FIJ41" s="643"/>
      <c r="FIK41" s="643"/>
      <c r="FIL41" s="643"/>
      <c r="FIM41" s="643"/>
      <c r="FIN41" s="643"/>
      <c r="FIO41" s="643"/>
      <c r="FIP41" s="643"/>
      <c r="FIQ41" s="643"/>
      <c r="FIR41" s="643"/>
      <c r="FIS41" s="643"/>
      <c r="FIT41" s="643"/>
      <c r="FIU41" s="643"/>
      <c r="FIV41" s="643"/>
      <c r="FIW41" s="643"/>
      <c r="FIX41" s="643"/>
      <c r="FIY41" s="643"/>
      <c r="FIZ41" s="643"/>
      <c r="FJA41" s="643"/>
      <c r="FJB41" s="643"/>
      <c r="FJC41" s="643"/>
      <c r="FJD41" s="643"/>
      <c r="FJE41" s="643"/>
      <c r="FJF41" s="643"/>
      <c r="FJG41" s="643"/>
      <c r="FJH41" s="643"/>
      <c r="FJI41" s="643"/>
      <c r="FJJ41" s="643"/>
      <c r="FJK41" s="643"/>
      <c r="FJL41" s="643"/>
      <c r="FJM41" s="643"/>
      <c r="FJN41" s="643"/>
      <c r="FJO41" s="643"/>
      <c r="FJP41" s="643"/>
      <c r="FJQ41" s="643"/>
      <c r="FJR41" s="643"/>
      <c r="FJS41" s="643"/>
      <c r="FJT41" s="643"/>
      <c r="FJU41" s="643"/>
      <c r="FJV41" s="643"/>
      <c r="FJW41" s="643"/>
      <c r="FJX41" s="643"/>
      <c r="FJY41" s="643"/>
      <c r="FJZ41" s="643"/>
      <c r="FKA41" s="643"/>
      <c r="FKB41" s="643"/>
      <c r="FKC41" s="643"/>
      <c r="FKD41" s="643"/>
      <c r="FKE41" s="643"/>
      <c r="FKF41" s="643"/>
      <c r="FKG41" s="643"/>
      <c r="FKH41" s="643"/>
      <c r="FKI41" s="643"/>
      <c r="FKJ41" s="643"/>
      <c r="FKK41" s="643"/>
      <c r="FKL41" s="643"/>
      <c r="FKM41" s="643"/>
      <c r="FKN41" s="643"/>
      <c r="FKO41" s="643"/>
      <c r="FKP41" s="643"/>
      <c r="FKQ41" s="643"/>
      <c r="FKR41" s="643"/>
      <c r="FKS41" s="643"/>
      <c r="FKT41" s="643"/>
      <c r="FKU41" s="643"/>
      <c r="FKV41" s="643"/>
      <c r="FKW41" s="643"/>
      <c r="FKX41" s="643"/>
      <c r="FKY41" s="643"/>
      <c r="FKZ41" s="643"/>
      <c r="FLA41" s="643"/>
      <c r="FLB41" s="643"/>
      <c r="FLC41" s="643"/>
      <c r="FLD41" s="643"/>
      <c r="FLE41" s="643"/>
      <c r="FLF41" s="643"/>
      <c r="FLG41" s="643"/>
      <c r="FLH41" s="643"/>
      <c r="FLI41" s="643"/>
      <c r="FLJ41" s="643"/>
      <c r="FLK41" s="643"/>
      <c r="FLL41" s="643"/>
      <c r="FLM41" s="643"/>
      <c r="FLN41" s="643"/>
      <c r="FLO41" s="643"/>
      <c r="FLP41" s="643"/>
      <c r="FLQ41" s="643"/>
      <c r="FLR41" s="643"/>
      <c r="FLS41" s="643"/>
      <c r="FLT41" s="643"/>
      <c r="FLU41" s="643"/>
      <c r="FLV41" s="643"/>
      <c r="FLW41" s="643"/>
      <c r="FLX41" s="643"/>
      <c r="FLY41" s="643"/>
      <c r="FLZ41" s="643"/>
      <c r="FMA41" s="643"/>
      <c r="FMB41" s="643"/>
      <c r="FMC41" s="643"/>
      <c r="FMD41" s="643"/>
      <c r="FME41" s="643"/>
      <c r="FMF41" s="643"/>
      <c r="FMG41" s="643"/>
      <c r="FMH41" s="643"/>
      <c r="FMI41" s="643"/>
      <c r="FMJ41" s="643"/>
      <c r="FMK41" s="643"/>
      <c r="FML41" s="643"/>
      <c r="FMM41" s="643"/>
      <c r="FMN41" s="643"/>
      <c r="FMO41" s="643"/>
      <c r="FMP41" s="643"/>
      <c r="FMQ41" s="643"/>
      <c r="FMR41" s="643"/>
      <c r="FMS41" s="643"/>
      <c r="FMT41" s="643"/>
      <c r="FMU41" s="643"/>
      <c r="FMV41" s="643"/>
      <c r="FMW41" s="643"/>
      <c r="FMX41" s="643"/>
      <c r="FMY41" s="643"/>
      <c r="FMZ41" s="643"/>
      <c r="FNA41" s="643"/>
      <c r="FNB41" s="643"/>
      <c r="FNC41" s="643"/>
      <c r="FND41" s="643"/>
      <c r="FNE41" s="643"/>
      <c r="FNF41" s="643"/>
      <c r="FNG41" s="643"/>
      <c r="FNH41" s="643"/>
      <c r="FNI41" s="643"/>
      <c r="FNJ41" s="643"/>
      <c r="FNK41" s="643"/>
      <c r="FNL41" s="643"/>
      <c r="FNM41" s="643"/>
      <c r="FNN41" s="643"/>
      <c r="FNO41" s="643"/>
      <c r="FNP41" s="643"/>
      <c r="FNQ41" s="643"/>
      <c r="FNR41" s="643"/>
      <c r="FNS41" s="643"/>
      <c r="FNT41" s="643"/>
      <c r="FNU41" s="643"/>
      <c r="FNV41" s="643"/>
      <c r="FNW41" s="643"/>
      <c r="FNX41" s="643"/>
      <c r="FNY41" s="643"/>
      <c r="FNZ41" s="643"/>
      <c r="FOA41" s="643"/>
      <c r="FOB41" s="643"/>
      <c r="FOC41" s="643"/>
      <c r="FOD41" s="643"/>
      <c r="FOE41" s="643"/>
      <c r="FOF41" s="643"/>
      <c r="FOG41" s="643"/>
      <c r="FOH41" s="643"/>
      <c r="FOI41" s="643"/>
      <c r="FOJ41" s="643"/>
      <c r="FOK41" s="643"/>
      <c r="FOL41" s="643"/>
      <c r="FOM41" s="643"/>
      <c r="FON41" s="643"/>
      <c r="FOO41" s="643"/>
      <c r="FOP41" s="643"/>
      <c r="FOQ41" s="643"/>
      <c r="FOR41" s="643"/>
      <c r="FOS41" s="643"/>
      <c r="FOT41" s="643"/>
      <c r="FOU41" s="643"/>
      <c r="FOV41" s="643"/>
      <c r="FOW41" s="643"/>
      <c r="FOX41" s="643"/>
      <c r="FOY41" s="643"/>
      <c r="FOZ41" s="643"/>
      <c r="FPA41" s="643"/>
      <c r="FPB41" s="643"/>
      <c r="FPC41" s="643"/>
      <c r="FPD41" s="643"/>
      <c r="FPE41" s="643"/>
      <c r="FPF41" s="643"/>
      <c r="FPG41" s="643"/>
      <c r="FPH41" s="643"/>
      <c r="FPI41" s="643"/>
      <c r="FPJ41" s="643"/>
      <c r="FPK41" s="643"/>
      <c r="FPL41" s="643"/>
      <c r="FPM41" s="643"/>
      <c r="FPN41" s="643"/>
      <c r="FPO41" s="643"/>
      <c r="FPP41" s="643"/>
      <c r="FPQ41" s="643"/>
      <c r="FPR41" s="643"/>
      <c r="FPS41" s="643"/>
      <c r="FPT41" s="643"/>
      <c r="FPU41" s="643"/>
      <c r="FPV41" s="643"/>
      <c r="FPW41" s="643"/>
      <c r="FPX41" s="643"/>
      <c r="FPY41" s="643"/>
      <c r="FPZ41" s="643"/>
      <c r="FQA41" s="643"/>
      <c r="FQB41" s="643"/>
      <c r="FQC41" s="643"/>
      <c r="FQD41" s="643"/>
      <c r="FQE41" s="643"/>
      <c r="FQF41" s="643"/>
      <c r="FQG41" s="643"/>
      <c r="FQH41" s="643"/>
      <c r="FQI41" s="643"/>
      <c r="FQJ41" s="643"/>
      <c r="FQK41" s="643"/>
      <c r="FQL41" s="643"/>
      <c r="FQM41" s="643"/>
      <c r="FQN41" s="643"/>
      <c r="FQO41" s="643"/>
      <c r="FQP41" s="643"/>
      <c r="FQQ41" s="643"/>
      <c r="FQR41" s="643"/>
      <c r="FQS41" s="643"/>
      <c r="FQT41" s="643"/>
      <c r="FQU41" s="643"/>
      <c r="FQV41" s="643"/>
      <c r="FQW41" s="643"/>
      <c r="FQX41" s="643"/>
      <c r="FQY41" s="643"/>
      <c r="FQZ41" s="643"/>
      <c r="FRA41" s="643"/>
      <c r="FRB41" s="643"/>
      <c r="FRC41" s="643"/>
      <c r="FRD41" s="643"/>
      <c r="FRE41" s="643"/>
      <c r="FRF41" s="643"/>
      <c r="FRG41" s="643"/>
      <c r="FRH41" s="643"/>
      <c r="FRI41" s="643"/>
      <c r="FRJ41" s="643"/>
      <c r="FRK41" s="643"/>
      <c r="FRL41" s="643"/>
      <c r="FRM41" s="643"/>
      <c r="FRN41" s="643"/>
      <c r="FRO41" s="643"/>
      <c r="FRP41" s="643"/>
      <c r="FRQ41" s="643"/>
      <c r="FRR41" s="643"/>
      <c r="FRS41" s="643"/>
      <c r="FRT41" s="643"/>
      <c r="FRU41" s="643"/>
      <c r="FRV41" s="643"/>
      <c r="FRW41" s="643"/>
      <c r="FRX41" s="643"/>
      <c r="FRY41" s="643"/>
      <c r="FRZ41" s="643"/>
      <c r="FSA41" s="643"/>
      <c r="FSB41" s="643"/>
      <c r="FSC41" s="643"/>
      <c r="FSD41" s="643"/>
      <c r="FSE41" s="643"/>
      <c r="FSF41" s="643"/>
      <c r="FSG41" s="643"/>
      <c r="FSH41" s="643"/>
      <c r="FSI41" s="643"/>
      <c r="FSJ41" s="643"/>
      <c r="FSK41" s="643"/>
      <c r="FSL41" s="643"/>
      <c r="FSM41" s="643"/>
      <c r="FSN41" s="643"/>
      <c r="FSO41" s="643"/>
      <c r="FSP41" s="643"/>
      <c r="FSQ41" s="643"/>
      <c r="FSR41" s="643"/>
      <c r="FSS41" s="643"/>
      <c r="FST41" s="643"/>
      <c r="FSU41" s="643"/>
      <c r="FSV41" s="643"/>
      <c r="FSW41" s="643"/>
      <c r="FSX41" s="643"/>
      <c r="FSY41" s="643"/>
      <c r="FSZ41" s="643"/>
      <c r="FTA41" s="643"/>
      <c r="FTB41" s="643"/>
      <c r="FTC41" s="643"/>
      <c r="FTD41" s="643"/>
      <c r="FTE41" s="643"/>
      <c r="FTF41" s="643"/>
      <c r="FTG41" s="643"/>
      <c r="FTH41" s="643"/>
      <c r="FTI41" s="643"/>
      <c r="FTJ41" s="643"/>
      <c r="FTK41" s="643"/>
      <c r="FTL41" s="643"/>
      <c r="FTM41" s="643"/>
      <c r="FTN41" s="643"/>
      <c r="FTO41" s="643"/>
      <c r="FTP41" s="643"/>
      <c r="FTQ41" s="643"/>
      <c r="FTR41" s="643"/>
      <c r="FTS41" s="643"/>
      <c r="FTT41" s="643"/>
      <c r="FTU41" s="643"/>
      <c r="FTV41" s="643"/>
      <c r="FTW41" s="643"/>
      <c r="FTX41" s="643"/>
      <c r="FTY41" s="643"/>
      <c r="FTZ41" s="643"/>
      <c r="FUA41" s="643"/>
      <c r="FUB41" s="643"/>
      <c r="FUC41" s="643"/>
      <c r="FUD41" s="643"/>
      <c r="FUE41" s="643"/>
      <c r="FUF41" s="643"/>
      <c r="FUG41" s="643"/>
      <c r="FUH41" s="643"/>
      <c r="FUI41" s="643"/>
      <c r="FUJ41" s="643"/>
      <c r="FUK41" s="643"/>
      <c r="FUL41" s="643"/>
      <c r="FUM41" s="643"/>
      <c r="FUN41" s="643"/>
      <c r="FUO41" s="643"/>
      <c r="FUP41" s="643"/>
      <c r="FUQ41" s="643"/>
      <c r="FUR41" s="643"/>
      <c r="FUS41" s="643"/>
      <c r="FUT41" s="643"/>
      <c r="FUU41" s="643"/>
      <c r="FUV41" s="643"/>
      <c r="FUW41" s="643"/>
      <c r="FUX41" s="643"/>
      <c r="FUY41" s="643"/>
      <c r="FUZ41" s="643"/>
      <c r="FVA41" s="643"/>
      <c r="FVB41" s="643"/>
      <c r="FVC41" s="643"/>
      <c r="FVD41" s="643"/>
      <c r="FVE41" s="643"/>
      <c r="FVF41" s="643"/>
      <c r="FVG41" s="643"/>
      <c r="FVH41" s="643"/>
      <c r="FVI41" s="643"/>
      <c r="FVJ41" s="643"/>
      <c r="FVK41" s="643"/>
      <c r="FVL41" s="643"/>
      <c r="FVM41" s="643"/>
      <c r="FVN41" s="643"/>
      <c r="FVO41" s="643"/>
      <c r="FVP41" s="643"/>
      <c r="FVQ41" s="643"/>
      <c r="FVR41" s="643"/>
      <c r="FVS41" s="643"/>
      <c r="FVT41" s="643"/>
      <c r="FVU41" s="643"/>
      <c r="FVV41" s="643"/>
      <c r="FVW41" s="643"/>
      <c r="FVX41" s="643"/>
      <c r="FVY41" s="643"/>
      <c r="FVZ41" s="643"/>
      <c r="FWA41" s="643"/>
      <c r="FWB41" s="643"/>
      <c r="FWC41" s="643"/>
      <c r="FWD41" s="643"/>
      <c r="FWE41" s="643"/>
      <c r="FWF41" s="643"/>
      <c r="FWG41" s="643"/>
      <c r="FWH41" s="643"/>
      <c r="FWI41" s="643"/>
      <c r="FWJ41" s="643"/>
      <c r="FWK41" s="643"/>
      <c r="FWL41" s="643"/>
      <c r="FWM41" s="643"/>
      <c r="FWN41" s="643"/>
      <c r="FWO41" s="643"/>
      <c r="FWP41" s="643"/>
      <c r="FWQ41" s="643"/>
      <c r="FWR41" s="643"/>
      <c r="FWS41" s="643"/>
      <c r="FWT41" s="643"/>
      <c r="FWU41" s="643"/>
      <c r="FWV41" s="643"/>
      <c r="FWW41" s="643"/>
      <c r="FWX41" s="643"/>
      <c r="FWY41" s="643"/>
      <c r="FWZ41" s="643"/>
      <c r="FXA41" s="643"/>
      <c r="FXB41" s="643"/>
      <c r="FXC41" s="643"/>
      <c r="FXD41" s="643"/>
      <c r="FXE41" s="643"/>
      <c r="FXF41" s="643"/>
      <c r="FXG41" s="643"/>
      <c r="FXH41" s="643"/>
      <c r="FXI41" s="643"/>
      <c r="FXJ41" s="643"/>
      <c r="FXK41" s="643"/>
      <c r="FXL41" s="643"/>
      <c r="FXM41" s="643"/>
      <c r="FXN41" s="643"/>
      <c r="FXO41" s="643"/>
      <c r="FXP41" s="643"/>
      <c r="FXQ41" s="643"/>
      <c r="FXR41" s="643"/>
      <c r="FXS41" s="643"/>
      <c r="FXT41" s="643"/>
      <c r="FXU41" s="643"/>
      <c r="FXV41" s="643"/>
      <c r="FXW41" s="643"/>
      <c r="FXX41" s="643"/>
      <c r="FXY41" s="643"/>
      <c r="FXZ41" s="643"/>
      <c r="FYA41" s="643"/>
      <c r="FYB41" s="643"/>
      <c r="FYC41" s="643"/>
      <c r="FYD41" s="643"/>
      <c r="FYE41" s="643"/>
      <c r="FYF41" s="643"/>
      <c r="FYG41" s="643"/>
      <c r="FYH41" s="643"/>
      <c r="FYI41" s="643"/>
      <c r="FYJ41" s="643"/>
      <c r="FYK41" s="643"/>
      <c r="FYL41" s="643"/>
      <c r="FYM41" s="643"/>
      <c r="FYN41" s="643"/>
      <c r="FYO41" s="643"/>
      <c r="FYP41" s="643"/>
      <c r="FYQ41" s="643"/>
      <c r="FYR41" s="643"/>
      <c r="FYS41" s="643"/>
      <c r="FYT41" s="643"/>
      <c r="FYU41" s="643"/>
      <c r="FYV41" s="643"/>
      <c r="FYW41" s="643"/>
      <c r="FYX41" s="643"/>
      <c r="FYY41" s="643"/>
      <c r="FYZ41" s="643"/>
      <c r="FZA41" s="643"/>
      <c r="FZB41" s="643"/>
      <c r="FZC41" s="643"/>
      <c r="FZD41" s="643"/>
      <c r="FZE41" s="643"/>
      <c r="FZF41" s="643"/>
      <c r="FZG41" s="643"/>
      <c r="FZH41" s="643"/>
      <c r="FZI41" s="643"/>
      <c r="FZJ41" s="643"/>
      <c r="FZK41" s="643"/>
      <c r="FZL41" s="643"/>
      <c r="FZM41" s="643"/>
      <c r="FZN41" s="643"/>
      <c r="FZO41" s="643"/>
      <c r="FZP41" s="643"/>
      <c r="FZQ41" s="643"/>
      <c r="FZR41" s="643"/>
      <c r="FZS41" s="643"/>
      <c r="FZT41" s="643"/>
      <c r="FZU41" s="643"/>
      <c r="FZV41" s="643"/>
      <c r="FZW41" s="643"/>
      <c r="FZX41" s="643"/>
      <c r="FZY41" s="643"/>
      <c r="FZZ41" s="643"/>
      <c r="GAA41" s="643"/>
      <c r="GAB41" s="643"/>
      <c r="GAC41" s="643"/>
      <c r="GAD41" s="643"/>
      <c r="GAE41" s="643"/>
      <c r="GAF41" s="643"/>
      <c r="GAG41" s="643"/>
      <c r="GAH41" s="643"/>
      <c r="GAI41" s="643"/>
      <c r="GAJ41" s="643"/>
      <c r="GAK41" s="643"/>
      <c r="GAL41" s="643"/>
      <c r="GAM41" s="643"/>
      <c r="GAN41" s="643"/>
      <c r="GAO41" s="643"/>
      <c r="GAP41" s="643"/>
      <c r="GAQ41" s="643"/>
      <c r="GAR41" s="643"/>
      <c r="GAS41" s="643"/>
      <c r="GAT41" s="643"/>
      <c r="GAU41" s="643"/>
      <c r="GAV41" s="643"/>
      <c r="GAW41" s="643"/>
      <c r="GAX41" s="643"/>
      <c r="GAY41" s="643"/>
      <c r="GAZ41" s="643"/>
      <c r="GBA41" s="643"/>
      <c r="GBB41" s="643"/>
      <c r="GBC41" s="643"/>
      <c r="GBD41" s="643"/>
      <c r="GBE41" s="643"/>
      <c r="GBF41" s="643"/>
      <c r="GBG41" s="643"/>
      <c r="GBH41" s="643"/>
      <c r="GBI41" s="643"/>
      <c r="GBJ41" s="643"/>
      <c r="GBK41" s="643"/>
      <c r="GBL41" s="643"/>
      <c r="GBM41" s="643"/>
      <c r="GBN41" s="643"/>
      <c r="GBO41" s="643"/>
      <c r="GBP41" s="643"/>
      <c r="GBQ41" s="643"/>
      <c r="GBR41" s="643"/>
      <c r="GBS41" s="643"/>
      <c r="GBT41" s="643"/>
      <c r="GBU41" s="643"/>
      <c r="GBV41" s="643"/>
      <c r="GBW41" s="643"/>
      <c r="GBX41" s="643"/>
      <c r="GBY41" s="643"/>
      <c r="GBZ41" s="643"/>
      <c r="GCA41" s="643"/>
      <c r="GCB41" s="643"/>
      <c r="GCC41" s="643"/>
      <c r="GCD41" s="643"/>
      <c r="GCE41" s="643"/>
      <c r="GCF41" s="643"/>
      <c r="GCG41" s="643"/>
      <c r="GCH41" s="643"/>
      <c r="GCI41" s="643"/>
      <c r="GCJ41" s="643"/>
      <c r="GCK41" s="643"/>
      <c r="GCL41" s="643"/>
      <c r="GCM41" s="643"/>
      <c r="GCN41" s="643"/>
      <c r="GCO41" s="643"/>
      <c r="GCP41" s="643"/>
      <c r="GCQ41" s="643"/>
      <c r="GCR41" s="643"/>
      <c r="GCS41" s="643"/>
      <c r="GCT41" s="643"/>
      <c r="GCU41" s="643"/>
      <c r="GCV41" s="643"/>
      <c r="GCW41" s="643"/>
      <c r="GCX41" s="643"/>
      <c r="GCY41" s="643"/>
      <c r="GCZ41" s="643"/>
      <c r="GDA41" s="643"/>
      <c r="GDB41" s="643"/>
      <c r="GDC41" s="643"/>
      <c r="GDD41" s="643"/>
      <c r="GDE41" s="643"/>
      <c r="GDF41" s="643"/>
      <c r="GDG41" s="643"/>
      <c r="GDH41" s="643"/>
      <c r="GDI41" s="643"/>
      <c r="GDJ41" s="643"/>
      <c r="GDK41" s="643"/>
      <c r="GDL41" s="643"/>
      <c r="GDM41" s="643"/>
      <c r="GDN41" s="643"/>
      <c r="GDO41" s="643"/>
      <c r="GDP41" s="643"/>
      <c r="GDQ41" s="643"/>
      <c r="GDR41" s="643"/>
      <c r="GDS41" s="643"/>
      <c r="GDT41" s="643"/>
      <c r="GDU41" s="643"/>
      <c r="GDV41" s="643"/>
      <c r="GDW41" s="643"/>
      <c r="GDX41" s="643"/>
      <c r="GDY41" s="643"/>
      <c r="GDZ41" s="643"/>
      <c r="GEA41" s="643"/>
      <c r="GEB41" s="643"/>
      <c r="GEC41" s="643"/>
      <c r="GED41" s="643"/>
      <c r="GEE41" s="643"/>
      <c r="GEF41" s="643"/>
      <c r="GEG41" s="643"/>
      <c r="GEH41" s="643"/>
      <c r="GEI41" s="643"/>
      <c r="GEJ41" s="643"/>
      <c r="GEK41" s="643"/>
      <c r="GEL41" s="643"/>
      <c r="GEM41" s="643"/>
      <c r="GEN41" s="643"/>
      <c r="GEO41" s="643"/>
      <c r="GEP41" s="643"/>
      <c r="GEQ41" s="643"/>
      <c r="GER41" s="643"/>
      <c r="GES41" s="643"/>
      <c r="GET41" s="643"/>
      <c r="GEU41" s="643"/>
      <c r="GEV41" s="643"/>
      <c r="GEW41" s="643"/>
      <c r="GEX41" s="643"/>
      <c r="GEY41" s="643"/>
      <c r="GEZ41" s="643"/>
      <c r="GFA41" s="643"/>
      <c r="GFB41" s="643"/>
      <c r="GFC41" s="643"/>
      <c r="GFD41" s="643"/>
      <c r="GFE41" s="643"/>
      <c r="GFF41" s="643"/>
      <c r="GFG41" s="643"/>
      <c r="GFH41" s="643"/>
      <c r="GFI41" s="643"/>
      <c r="GFJ41" s="643"/>
      <c r="GFK41" s="643"/>
      <c r="GFL41" s="643"/>
      <c r="GFM41" s="643"/>
      <c r="GFN41" s="643"/>
      <c r="GFO41" s="643"/>
      <c r="GFP41" s="643"/>
      <c r="GFQ41" s="643"/>
      <c r="GFR41" s="643"/>
      <c r="GFS41" s="643"/>
      <c r="GFT41" s="643"/>
      <c r="GFU41" s="643"/>
      <c r="GFV41" s="643"/>
      <c r="GFW41" s="643"/>
      <c r="GFX41" s="643"/>
      <c r="GFY41" s="643"/>
      <c r="GFZ41" s="643"/>
      <c r="GGA41" s="643"/>
      <c r="GGB41" s="643"/>
      <c r="GGC41" s="643"/>
      <c r="GGD41" s="643"/>
      <c r="GGE41" s="643"/>
      <c r="GGF41" s="643"/>
      <c r="GGG41" s="643"/>
      <c r="GGH41" s="643"/>
      <c r="GGI41" s="643"/>
      <c r="GGJ41" s="643"/>
      <c r="GGK41" s="643"/>
      <c r="GGL41" s="643"/>
      <c r="GGM41" s="643"/>
      <c r="GGN41" s="643"/>
      <c r="GGO41" s="643"/>
      <c r="GGP41" s="643"/>
      <c r="GGQ41" s="643"/>
      <c r="GGR41" s="643"/>
      <c r="GGS41" s="643"/>
      <c r="GGT41" s="643"/>
      <c r="GGU41" s="643"/>
      <c r="GGV41" s="643"/>
      <c r="GGW41" s="643"/>
      <c r="GGX41" s="643"/>
      <c r="GGY41" s="643"/>
      <c r="GGZ41" s="643"/>
      <c r="GHA41" s="643"/>
      <c r="GHB41" s="643"/>
      <c r="GHC41" s="643"/>
      <c r="GHD41" s="643"/>
      <c r="GHE41" s="643"/>
      <c r="GHF41" s="643"/>
      <c r="GHG41" s="643"/>
      <c r="GHH41" s="643"/>
      <c r="GHI41" s="643"/>
      <c r="GHJ41" s="643"/>
      <c r="GHK41" s="643"/>
      <c r="GHL41" s="643"/>
      <c r="GHM41" s="643"/>
      <c r="GHN41" s="643"/>
      <c r="GHO41" s="643"/>
      <c r="GHP41" s="643"/>
      <c r="GHQ41" s="643"/>
      <c r="GHR41" s="643"/>
      <c r="GHS41" s="643"/>
      <c r="GHT41" s="643"/>
      <c r="GHU41" s="643"/>
      <c r="GHV41" s="643"/>
      <c r="GHW41" s="643"/>
      <c r="GHX41" s="643"/>
      <c r="GHY41" s="643"/>
      <c r="GHZ41" s="643"/>
      <c r="GIA41" s="643"/>
      <c r="GIB41" s="643"/>
      <c r="GIC41" s="643"/>
      <c r="GID41" s="643"/>
      <c r="GIE41" s="643"/>
      <c r="GIF41" s="643"/>
      <c r="GIG41" s="643"/>
      <c r="GIH41" s="643"/>
      <c r="GII41" s="643"/>
      <c r="GIJ41" s="643"/>
      <c r="GIK41" s="643"/>
      <c r="GIL41" s="643"/>
      <c r="GIM41" s="643"/>
      <c r="GIN41" s="643"/>
      <c r="GIO41" s="643"/>
      <c r="GIP41" s="643"/>
      <c r="GIQ41" s="643"/>
      <c r="GIR41" s="643"/>
      <c r="GIS41" s="643"/>
      <c r="GIT41" s="643"/>
      <c r="GIU41" s="643"/>
      <c r="GIV41" s="643"/>
      <c r="GIW41" s="643"/>
      <c r="GIX41" s="643"/>
      <c r="GIY41" s="643"/>
      <c r="GIZ41" s="643"/>
      <c r="GJA41" s="643"/>
      <c r="GJB41" s="643"/>
      <c r="GJC41" s="643"/>
      <c r="GJD41" s="643"/>
      <c r="GJE41" s="643"/>
      <c r="GJF41" s="643"/>
      <c r="GJG41" s="643"/>
      <c r="GJH41" s="643"/>
      <c r="GJI41" s="643"/>
      <c r="GJJ41" s="643"/>
      <c r="GJK41" s="643"/>
      <c r="GJL41" s="643"/>
      <c r="GJM41" s="643"/>
      <c r="GJN41" s="643"/>
      <c r="GJO41" s="643"/>
      <c r="GJP41" s="643"/>
      <c r="GJQ41" s="643"/>
      <c r="GJR41" s="643"/>
      <c r="GJS41" s="643"/>
      <c r="GJT41" s="643"/>
      <c r="GJU41" s="643"/>
      <c r="GJV41" s="643"/>
      <c r="GJW41" s="643"/>
      <c r="GJX41" s="643"/>
      <c r="GJY41" s="643"/>
      <c r="GJZ41" s="643"/>
      <c r="GKA41" s="643"/>
      <c r="GKB41" s="643"/>
      <c r="GKC41" s="643"/>
      <c r="GKD41" s="643"/>
      <c r="GKE41" s="643"/>
      <c r="GKF41" s="643"/>
      <c r="GKG41" s="643"/>
      <c r="GKH41" s="643"/>
      <c r="GKI41" s="643"/>
      <c r="GKJ41" s="643"/>
      <c r="GKK41" s="643"/>
      <c r="GKL41" s="643"/>
      <c r="GKM41" s="643"/>
      <c r="GKN41" s="643"/>
      <c r="GKO41" s="643"/>
      <c r="GKP41" s="643"/>
      <c r="GKQ41" s="643"/>
      <c r="GKR41" s="643"/>
      <c r="GKS41" s="643"/>
      <c r="GKT41" s="643"/>
      <c r="GKU41" s="643"/>
      <c r="GKV41" s="643"/>
      <c r="GKW41" s="643"/>
      <c r="GKX41" s="643"/>
      <c r="GKY41" s="643"/>
      <c r="GKZ41" s="643"/>
      <c r="GLA41" s="643"/>
      <c r="GLB41" s="643"/>
      <c r="GLC41" s="643"/>
      <c r="GLD41" s="643"/>
      <c r="GLE41" s="643"/>
      <c r="GLF41" s="643"/>
      <c r="GLG41" s="643"/>
      <c r="GLH41" s="643"/>
      <c r="GLI41" s="643"/>
      <c r="GLJ41" s="643"/>
      <c r="GLK41" s="643"/>
      <c r="GLL41" s="643"/>
      <c r="GLM41" s="643"/>
      <c r="GLN41" s="643"/>
      <c r="GLO41" s="643"/>
      <c r="GLP41" s="643"/>
      <c r="GLQ41" s="643"/>
      <c r="GLR41" s="643"/>
      <c r="GLS41" s="643"/>
      <c r="GLT41" s="643"/>
      <c r="GLU41" s="643"/>
      <c r="GLV41" s="643"/>
      <c r="GLW41" s="643"/>
      <c r="GLX41" s="643"/>
      <c r="GLY41" s="643"/>
      <c r="GLZ41" s="643"/>
      <c r="GMA41" s="643"/>
      <c r="GMB41" s="643"/>
      <c r="GMC41" s="643"/>
      <c r="GMD41" s="643"/>
      <c r="GME41" s="643"/>
      <c r="GMF41" s="643"/>
      <c r="GMG41" s="643"/>
      <c r="GMH41" s="643"/>
      <c r="GMI41" s="643"/>
      <c r="GMJ41" s="643"/>
      <c r="GMK41" s="643"/>
      <c r="GML41" s="643"/>
      <c r="GMM41" s="643"/>
      <c r="GMN41" s="643"/>
      <c r="GMO41" s="643"/>
      <c r="GMP41" s="643"/>
      <c r="GMQ41" s="643"/>
      <c r="GMR41" s="643"/>
      <c r="GMS41" s="643"/>
      <c r="GMT41" s="643"/>
      <c r="GMU41" s="643"/>
      <c r="GMV41" s="643"/>
      <c r="GMW41" s="643"/>
      <c r="GMX41" s="643"/>
      <c r="GMY41" s="643"/>
      <c r="GMZ41" s="643"/>
      <c r="GNA41" s="643"/>
      <c r="GNB41" s="643"/>
      <c r="GNC41" s="643"/>
      <c r="GND41" s="643"/>
      <c r="GNE41" s="643"/>
      <c r="GNF41" s="643"/>
      <c r="GNG41" s="643"/>
      <c r="GNH41" s="643"/>
      <c r="GNI41" s="643"/>
      <c r="GNJ41" s="643"/>
      <c r="GNK41" s="643"/>
      <c r="GNL41" s="643"/>
      <c r="GNM41" s="643"/>
      <c r="GNN41" s="643"/>
      <c r="GNO41" s="643"/>
      <c r="GNP41" s="643"/>
      <c r="GNQ41" s="643"/>
      <c r="GNR41" s="643"/>
      <c r="GNS41" s="643"/>
      <c r="GNT41" s="643"/>
      <c r="GNU41" s="643"/>
      <c r="GNV41" s="643"/>
      <c r="GNW41" s="643"/>
      <c r="GNX41" s="643"/>
      <c r="GNY41" s="643"/>
      <c r="GNZ41" s="643"/>
      <c r="GOA41" s="643"/>
      <c r="GOB41" s="643"/>
      <c r="GOC41" s="643"/>
      <c r="GOD41" s="643"/>
      <c r="GOE41" s="643"/>
      <c r="GOF41" s="643"/>
      <c r="GOG41" s="643"/>
      <c r="GOH41" s="643"/>
      <c r="GOI41" s="643"/>
      <c r="GOJ41" s="643"/>
      <c r="GOK41" s="643"/>
      <c r="GOL41" s="643"/>
      <c r="GOM41" s="643"/>
      <c r="GON41" s="643"/>
      <c r="GOO41" s="643"/>
      <c r="GOP41" s="643"/>
      <c r="GOQ41" s="643"/>
      <c r="GOR41" s="643"/>
      <c r="GOS41" s="643"/>
      <c r="GOT41" s="643"/>
      <c r="GOU41" s="643"/>
      <c r="GOV41" s="643"/>
      <c r="GOW41" s="643"/>
      <c r="GOX41" s="643"/>
      <c r="GOY41" s="643"/>
      <c r="GOZ41" s="643"/>
      <c r="GPA41" s="643"/>
      <c r="GPB41" s="643"/>
      <c r="GPC41" s="643"/>
      <c r="GPD41" s="643"/>
      <c r="GPE41" s="643"/>
      <c r="GPF41" s="643"/>
      <c r="GPG41" s="643"/>
      <c r="GPH41" s="643"/>
      <c r="GPI41" s="643"/>
      <c r="GPJ41" s="643"/>
      <c r="GPK41" s="643"/>
      <c r="GPL41" s="643"/>
      <c r="GPM41" s="643"/>
      <c r="GPN41" s="643"/>
      <c r="GPO41" s="643"/>
      <c r="GPP41" s="643"/>
      <c r="GPQ41" s="643"/>
      <c r="GPR41" s="643"/>
      <c r="GPS41" s="643"/>
      <c r="GPT41" s="643"/>
      <c r="GPU41" s="643"/>
      <c r="GPV41" s="643"/>
      <c r="GPW41" s="643"/>
      <c r="GPX41" s="643"/>
      <c r="GPY41" s="643"/>
      <c r="GPZ41" s="643"/>
      <c r="GQA41" s="643"/>
      <c r="GQB41" s="643"/>
      <c r="GQC41" s="643"/>
      <c r="GQD41" s="643"/>
      <c r="GQE41" s="643"/>
      <c r="GQF41" s="643"/>
      <c r="GQG41" s="643"/>
      <c r="GQH41" s="643"/>
      <c r="GQI41" s="643"/>
      <c r="GQJ41" s="643"/>
      <c r="GQK41" s="643"/>
      <c r="GQL41" s="643"/>
      <c r="GQM41" s="643"/>
      <c r="GQN41" s="643"/>
      <c r="GQO41" s="643"/>
      <c r="GQP41" s="643"/>
      <c r="GQQ41" s="643"/>
      <c r="GQR41" s="643"/>
      <c r="GQS41" s="643"/>
      <c r="GQT41" s="643"/>
      <c r="GQU41" s="643"/>
      <c r="GQV41" s="643"/>
      <c r="GQW41" s="643"/>
      <c r="GQX41" s="643"/>
      <c r="GQY41" s="643"/>
      <c r="GQZ41" s="643"/>
      <c r="GRA41" s="643"/>
      <c r="GRB41" s="643"/>
      <c r="GRC41" s="643"/>
      <c r="GRD41" s="643"/>
      <c r="GRE41" s="643"/>
      <c r="GRF41" s="643"/>
      <c r="GRG41" s="643"/>
      <c r="GRH41" s="643"/>
      <c r="GRI41" s="643"/>
      <c r="GRJ41" s="643"/>
      <c r="GRK41" s="643"/>
      <c r="GRL41" s="643"/>
      <c r="GRM41" s="643"/>
      <c r="GRN41" s="643"/>
      <c r="GRO41" s="643"/>
      <c r="GRP41" s="643"/>
      <c r="GRQ41" s="643"/>
      <c r="GRR41" s="643"/>
      <c r="GRS41" s="643"/>
      <c r="GRT41" s="643"/>
      <c r="GRU41" s="643"/>
      <c r="GRV41" s="643"/>
      <c r="GRW41" s="643"/>
      <c r="GRX41" s="643"/>
      <c r="GRY41" s="643"/>
      <c r="GRZ41" s="643"/>
      <c r="GSA41" s="643"/>
      <c r="GSB41" s="643"/>
      <c r="GSC41" s="643"/>
      <c r="GSD41" s="643"/>
      <c r="GSE41" s="643"/>
      <c r="GSF41" s="643"/>
      <c r="GSG41" s="643"/>
      <c r="GSH41" s="643"/>
      <c r="GSI41" s="643"/>
      <c r="GSJ41" s="643"/>
      <c r="GSK41" s="643"/>
      <c r="GSL41" s="643"/>
      <c r="GSM41" s="643"/>
      <c r="GSN41" s="643"/>
      <c r="GSO41" s="643"/>
      <c r="GSP41" s="643"/>
      <c r="GSQ41" s="643"/>
      <c r="GSR41" s="643"/>
      <c r="GSS41" s="643"/>
      <c r="GST41" s="643"/>
      <c r="GSU41" s="643"/>
      <c r="GSV41" s="643"/>
      <c r="GSW41" s="643"/>
      <c r="GSX41" s="643"/>
      <c r="GSY41" s="643"/>
      <c r="GSZ41" s="643"/>
      <c r="GTA41" s="643"/>
      <c r="GTB41" s="643"/>
      <c r="GTC41" s="643"/>
      <c r="GTD41" s="643"/>
      <c r="GTE41" s="643"/>
      <c r="GTF41" s="643"/>
      <c r="GTG41" s="643"/>
      <c r="GTH41" s="643"/>
      <c r="GTI41" s="643"/>
      <c r="GTJ41" s="643"/>
      <c r="GTK41" s="643"/>
      <c r="GTL41" s="643"/>
      <c r="GTM41" s="643"/>
      <c r="GTN41" s="643"/>
      <c r="GTO41" s="643"/>
      <c r="GTP41" s="643"/>
      <c r="GTQ41" s="643"/>
      <c r="GTR41" s="643"/>
      <c r="GTS41" s="643"/>
      <c r="GTT41" s="643"/>
      <c r="GTU41" s="643"/>
      <c r="GTV41" s="643"/>
      <c r="GTW41" s="643"/>
      <c r="GTX41" s="643"/>
      <c r="GTY41" s="643"/>
      <c r="GTZ41" s="643"/>
      <c r="GUA41" s="643"/>
      <c r="GUB41" s="643"/>
      <c r="GUC41" s="643"/>
      <c r="GUD41" s="643"/>
      <c r="GUE41" s="643"/>
      <c r="GUF41" s="643"/>
      <c r="GUG41" s="643"/>
      <c r="GUH41" s="643"/>
      <c r="GUI41" s="643"/>
      <c r="GUJ41" s="643"/>
      <c r="GUK41" s="643"/>
      <c r="GUL41" s="643"/>
      <c r="GUM41" s="643"/>
      <c r="GUN41" s="643"/>
      <c r="GUO41" s="643"/>
      <c r="GUP41" s="643"/>
      <c r="GUQ41" s="643"/>
      <c r="GUR41" s="643"/>
      <c r="GUS41" s="643"/>
      <c r="GUT41" s="643"/>
      <c r="GUU41" s="643"/>
      <c r="GUV41" s="643"/>
      <c r="GUW41" s="643"/>
      <c r="GUX41" s="643"/>
      <c r="GUY41" s="643"/>
      <c r="GUZ41" s="643"/>
      <c r="GVA41" s="643"/>
      <c r="GVB41" s="643"/>
      <c r="GVC41" s="643"/>
      <c r="GVD41" s="643"/>
      <c r="GVE41" s="643"/>
      <c r="GVF41" s="643"/>
      <c r="GVG41" s="643"/>
      <c r="GVH41" s="643"/>
      <c r="GVI41" s="643"/>
      <c r="GVJ41" s="643"/>
      <c r="GVK41" s="643"/>
      <c r="GVL41" s="643"/>
      <c r="GVM41" s="643"/>
      <c r="GVN41" s="643"/>
      <c r="GVO41" s="643"/>
      <c r="GVP41" s="643"/>
      <c r="GVQ41" s="643"/>
      <c r="GVR41" s="643"/>
      <c r="GVS41" s="643"/>
      <c r="GVT41" s="643"/>
      <c r="GVU41" s="643"/>
      <c r="GVV41" s="643"/>
      <c r="GVW41" s="643"/>
      <c r="GVX41" s="643"/>
      <c r="GVY41" s="643"/>
      <c r="GVZ41" s="643"/>
      <c r="GWA41" s="643"/>
      <c r="GWB41" s="643"/>
      <c r="GWC41" s="643"/>
      <c r="GWD41" s="643"/>
      <c r="GWE41" s="643"/>
      <c r="GWF41" s="643"/>
      <c r="GWG41" s="643"/>
      <c r="GWH41" s="643"/>
      <c r="GWI41" s="643"/>
      <c r="GWJ41" s="643"/>
      <c r="GWK41" s="643"/>
      <c r="GWL41" s="643"/>
      <c r="GWM41" s="643"/>
      <c r="GWN41" s="643"/>
      <c r="GWO41" s="643"/>
      <c r="GWP41" s="643"/>
      <c r="GWQ41" s="643"/>
      <c r="GWR41" s="643"/>
      <c r="GWS41" s="643"/>
      <c r="GWT41" s="643"/>
      <c r="GWU41" s="643"/>
      <c r="GWV41" s="643"/>
      <c r="GWW41" s="643"/>
      <c r="GWX41" s="643"/>
      <c r="GWY41" s="643"/>
      <c r="GWZ41" s="643"/>
      <c r="GXA41" s="643"/>
      <c r="GXB41" s="643"/>
      <c r="GXC41" s="643"/>
      <c r="GXD41" s="643"/>
      <c r="GXE41" s="643"/>
      <c r="GXF41" s="643"/>
      <c r="GXG41" s="643"/>
      <c r="GXH41" s="643"/>
      <c r="GXI41" s="643"/>
      <c r="GXJ41" s="643"/>
      <c r="GXK41" s="643"/>
      <c r="GXL41" s="643"/>
      <c r="GXM41" s="643"/>
      <c r="GXN41" s="643"/>
      <c r="GXO41" s="643"/>
      <c r="GXP41" s="643"/>
      <c r="GXQ41" s="643"/>
      <c r="GXR41" s="643"/>
      <c r="GXS41" s="643"/>
      <c r="GXT41" s="643"/>
      <c r="GXU41" s="643"/>
      <c r="GXV41" s="643"/>
      <c r="GXW41" s="643"/>
      <c r="GXX41" s="643"/>
      <c r="GXY41" s="643"/>
      <c r="GXZ41" s="643"/>
      <c r="GYA41" s="643"/>
      <c r="GYB41" s="643"/>
      <c r="GYC41" s="643"/>
      <c r="GYD41" s="643"/>
      <c r="GYE41" s="643"/>
      <c r="GYF41" s="643"/>
      <c r="GYG41" s="643"/>
      <c r="GYH41" s="643"/>
      <c r="GYI41" s="643"/>
      <c r="GYJ41" s="643"/>
      <c r="GYK41" s="643"/>
      <c r="GYL41" s="643"/>
      <c r="GYM41" s="643"/>
      <c r="GYN41" s="643"/>
      <c r="GYO41" s="643"/>
      <c r="GYP41" s="643"/>
      <c r="GYQ41" s="643"/>
      <c r="GYR41" s="643"/>
      <c r="GYS41" s="643"/>
      <c r="GYT41" s="643"/>
      <c r="GYU41" s="643"/>
      <c r="GYV41" s="643"/>
      <c r="GYW41" s="643"/>
      <c r="GYX41" s="643"/>
      <c r="GYY41" s="643"/>
      <c r="GYZ41" s="643"/>
      <c r="GZA41" s="643"/>
      <c r="GZB41" s="643"/>
      <c r="GZC41" s="643"/>
      <c r="GZD41" s="643"/>
      <c r="GZE41" s="643"/>
      <c r="GZF41" s="643"/>
      <c r="GZG41" s="643"/>
      <c r="GZH41" s="643"/>
      <c r="GZI41" s="643"/>
      <c r="GZJ41" s="643"/>
      <c r="GZK41" s="643"/>
      <c r="GZL41" s="643"/>
      <c r="GZM41" s="643"/>
      <c r="GZN41" s="643"/>
      <c r="GZO41" s="643"/>
      <c r="GZP41" s="643"/>
      <c r="GZQ41" s="643"/>
      <c r="GZR41" s="643"/>
      <c r="GZS41" s="643"/>
      <c r="GZT41" s="643"/>
      <c r="GZU41" s="643"/>
      <c r="GZV41" s="643"/>
      <c r="GZW41" s="643"/>
      <c r="GZX41" s="643"/>
      <c r="GZY41" s="643"/>
      <c r="GZZ41" s="643"/>
      <c r="HAA41" s="643"/>
      <c r="HAB41" s="643"/>
      <c r="HAC41" s="643"/>
      <c r="HAD41" s="643"/>
      <c r="HAE41" s="643"/>
      <c r="HAF41" s="643"/>
      <c r="HAG41" s="643"/>
      <c r="HAH41" s="643"/>
      <c r="HAI41" s="643"/>
      <c r="HAJ41" s="643"/>
      <c r="HAK41" s="643"/>
      <c r="HAL41" s="643"/>
      <c r="HAM41" s="643"/>
      <c r="HAN41" s="643"/>
      <c r="HAO41" s="643"/>
      <c r="HAP41" s="643"/>
      <c r="HAQ41" s="643"/>
      <c r="HAR41" s="643"/>
      <c r="HAS41" s="643"/>
      <c r="HAT41" s="643"/>
      <c r="HAU41" s="643"/>
      <c r="HAV41" s="643"/>
      <c r="HAW41" s="643"/>
      <c r="HAX41" s="643"/>
      <c r="HAY41" s="643"/>
      <c r="HAZ41" s="643"/>
      <c r="HBA41" s="643"/>
      <c r="HBB41" s="643"/>
      <c r="HBC41" s="643"/>
      <c r="HBD41" s="643"/>
      <c r="HBE41" s="643"/>
      <c r="HBF41" s="643"/>
      <c r="HBG41" s="643"/>
      <c r="HBH41" s="643"/>
      <c r="HBI41" s="643"/>
      <c r="HBJ41" s="643"/>
      <c r="HBK41" s="643"/>
      <c r="HBL41" s="643"/>
      <c r="HBM41" s="643"/>
      <c r="HBN41" s="643"/>
      <c r="HBO41" s="643"/>
      <c r="HBP41" s="643"/>
      <c r="HBQ41" s="643"/>
      <c r="HBR41" s="643"/>
      <c r="HBS41" s="643"/>
      <c r="HBT41" s="643"/>
      <c r="HBU41" s="643"/>
      <c r="HBV41" s="643"/>
      <c r="HBW41" s="643"/>
      <c r="HBX41" s="643"/>
      <c r="HBY41" s="643"/>
      <c r="HBZ41" s="643"/>
      <c r="HCA41" s="643"/>
      <c r="HCB41" s="643"/>
      <c r="HCC41" s="643"/>
      <c r="HCD41" s="643"/>
      <c r="HCE41" s="643"/>
      <c r="HCF41" s="643"/>
      <c r="HCG41" s="643"/>
      <c r="HCH41" s="643"/>
      <c r="HCI41" s="643"/>
      <c r="HCJ41" s="643"/>
      <c r="HCK41" s="643"/>
      <c r="HCL41" s="643"/>
      <c r="HCM41" s="643"/>
      <c r="HCN41" s="643"/>
      <c r="HCO41" s="643"/>
      <c r="HCP41" s="643"/>
      <c r="HCQ41" s="643"/>
      <c r="HCR41" s="643"/>
      <c r="HCS41" s="643"/>
      <c r="HCT41" s="643"/>
      <c r="HCU41" s="643"/>
      <c r="HCV41" s="643"/>
      <c r="HCW41" s="643"/>
      <c r="HCX41" s="643"/>
      <c r="HCY41" s="643"/>
      <c r="HCZ41" s="643"/>
      <c r="HDA41" s="643"/>
      <c r="HDB41" s="643"/>
      <c r="HDC41" s="643"/>
      <c r="HDD41" s="643"/>
      <c r="HDE41" s="643"/>
      <c r="HDF41" s="643"/>
      <c r="HDG41" s="643"/>
      <c r="HDH41" s="643"/>
      <c r="HDI41" s="643"/>
      <c r="HDJ41" s="643"/>
      <c r="HDK41" s="643"/>
      <c r="HDL41" s="643"/>
      <c r="HDM41" s="643"/>
      <c r="HDN41" s="643"/>
      <c r="HDO41" s="643"/>
      <c r="HDP41" s="643"/>
      <c r="HDQ41" s="643"/>
      <c r="HDR41" s="643"/>
      <c r="HDS41" s="643"/>
      <c r="HDT41" s="643"/>
      <c r="HDU41" s="643"/>
      <c r="HDV41" s="643"/>
      <c r="HDW41" s="643"/>
      <c r="HDX41" s="643"/>
      <c r="HDY41" s="643"/>
      <c r="HDZ41" s="643"/>
      <c r="HEA41" s="643"/>
      <c r="HEB41" s="643"/>
      <c r="HEC41" s="643"/>
      <c r="HED41" s="643"/>
      <c r="HEE41" s="643"/>
      <c r="HEF41" s="643"/>
      <c r="HEG41" s="643"/>
      <c r="HEH41" s="643"/>
      <c r="HEI41" s="643"/>
      <c r="HEJ41" s="643"/>
      <c r="HEK41" s="643"/>
      <c r="HEL41" s="643"/>
      <c r="HEM41" s="643"/>
      <c r="HEN41" s="643"/>
      <c r="HEO41" s="643"/>
      <c r="HEP41" s="643"/>
      <c r="HEQ41" s="643"/>
      <c r="HER41" s="643"/>
      <c r="HES41" s="643"/>
      <c r="HET41" s="643"/>
      <c r="HEU41" s="643"/>
      <c r="HEV41" s="643"/>
      <c r="HEW41" s="643"/>
      <c r="HEX41" s="643"/>
      <c r="HEY41" s="643"/>
      <c r="HEZ41" s="643"/>
      <c r="HFA41" s="643"/>
      <c r="HFB41" s="643"/>
      <c r="HFC41" s="643"/>
      <c r="HFD41" s="643"/>
      <c r="HFE41" s="643"/>
      <c r="HFF41" s="643"/>
      <c r="HFG41" s="643"/>
      <c r="HFH41" s="643"/>
      <c r="HFI41" s="643"/>
      <c r="HFJ41" s="643"/>
      <c r="HFK41" s="643"/>
      <c r="HFL41" s="643"/>
      <c r="HFM41" s="643"/>
      <c r="HFN41" s="643"/>
      <c r="HFO41" s="643"/>
      <c r="HFP41" s="643"/>
      <c r="HFQ41" s="643"/>
      <c r="HFR41" s="643"/>
      <c r="HFS41" s="643"/>
      <c r="HFT41" s="643"/>
      <c r="HFU41" s="643"/>
      <c r="HFV41" s="643"/>
      <c r="HFW41" s="643"/>
      <c r="HFX41" s="643"/>
      <c r="HFY41" s="643"/>
      <c r="HFZ41" s="643"/>
      <c r="HGA41" s="643"/>
      <c r="HGB41" s="643"/>
      <c r="HGC41" s="643"/>
      <c r="HGD41" s="643"/>
      <c r="HGE41" s="643"/>
      <c r="HGF41" s="643"/>
      <c r="HGG41" s="643"/>
      <c r="HGH41" s="643"/>
      <c r="HGI41" s="643"/>
      <c r="HGJ41" s="643"/>
      <c r="HGK41" s="643"/>
      <c r="HGL41" s="643"/>
      <c r="HGM41" s="643"/>
      <c r="HGN41" s="643"/>
      <c r="HGO41" s="643"/>
      <c r="HGP41" s="643"/>
      <c r="HGQ41" s="643"/>
      <c r="HGR41" s="643"/>
      <c r="HGS41" s="643"/>
      <c r="HGT41" s="643"/>
      <c r="HGU41" s="643"/>
      <c r="HGV41" s="643"/>
      <c r="HGW41" s="643"/>
      <c r="HGX41" s="643"/>
      <c r="HGY41" s="643"/>
      <c r="HGZ41" s="643"/>
      <c r="HHA41" s="643"/>
      <c r="HHB41" s="643"/>
      <c r="HHC41" s="643"/>
      <c r="HHD41" s="643"/>
      <c r="HHE41" s="643"/>
      <c r="HHF41" s="643"/>
      <c r="HHG41" s="643"/>
      <c r="HHH41" s="643"/>
      <c r="HHI41" s="643"/>
      <c r="HHJ41" s="643"/>
      <c r="HHK41" s="643"/>
      <c r="HHL41" s="643"/>
      <c r="HHM41" s="643"/>
      <c r="HHN41" s="643"/>
      <c r="HHO41" s="643"/>
      <c r="HHP41" s="643"/>
      <c r="HHQ41" s="643"/>
      <c r="HHR41" s="643"/>
      <c r="HHS41" s="643"/>
      <c r="HHT41" s="643"/>
      <c r="HHU41" s="643"/>
      <c r="HHV41" s="643"/>
      <c r="HHW41" s="643"/>
      <c r="HHX41" s="643"/>
      <c r="HHY41" s="643"/>
      <c r="HHZ41" s="643"/>
      <c r="HIA41" s="643"/>
      <c r="HIB41" s="643"/>
      <c r="HIC41" s="643"/>
      <c r="HID41" s="643"/>
      <c r="HIE41" s="643"/>
      <c r="HIF41" s="643"/>
      <c r="HIG41" s="643"/>
      <c r="HIH41" s="643"/>
      <c r="HII41" s="643"/>
      <c r="HIJ41" s="643"/>
      <c r="HIK41" s="643"/>
      <c r="HIL41" s="643"/>
      <c r="HIM41" s="643"/>
      <c r="HIN41" s="643"/>
      <c r="HIO41" s="643"/>
      <c r="HIP41" s="643"/>
      <c r="HIQ41" s="643"/>
      <c r="HIR41" s="643"/>
      <c r="HIS41" s="643"/>
      <c r="HIT41" s="643"/>
      <c r="HIU41" s="643"/>
      <c r="HIV41" s="643"/>
      <c r="HIW41" s="643"/>
      <c r="HIX41" s="643"/>
      <c r="HIY41" s="643"/>
      <c r="HIZ41" s="643"/>
      <c r="HJA41" s="643"/>
      <c r="HJB41" s="643"/>
      <c r="HJC41" s="643"/>
      <c r="HJD41" s="643"/>
      <c r="HJE41" s="643"/>
      <c r="HJF41" s="643"/>
      <c r="HJG41" s="643"/>
      <c r="HJH41" s="643"/>
      <c r="HJI41" s="643"/>
      <c r="HJJ41" s="643"/>
      <c r="HJK41" s="643"/>
      <c r="HJL41" s="643"/>
      <c r="HJM41" s="643"/>
      <c r="HJN41" s="643"/>
      <c r="HJO41" s="643"/>
      <c r="HJP41" s="643"/>
      <c r="HJQ41" s="643"/>
      <c r="HJR41" s="643"/>
      <c r="HJS41" s="643"/>
      <c r="HJT41" s="643"/>
      <c r="HJU41" s="643"/>
      <c r="HJV41" s="643"/>
      <c r="HJW41" s="643"/>
      <c r="HJX41" s="643"/>
      <c r="HJY41" s="643"/>
      <c r="HJZ41" s="643"/>
      <c r="HKA41" s="643"/>
      <c r="HKB41" s="643"/>
      <c r="HKC41" s="643"/>
      <c r="HKD41" s="643"/>
      <c r="HKE41" s="643"/>
      <c r="HKF41" s="643"/>
      <c r="HKG41" s="643"/>
      <c r="HKH41" s="643"/>
      <c r="HKI41" s="643"/>
      <c r="HKJ41" s="643"/>
      <c r="HKK41" s="643"/>
      <c r="HKL41" s="643"/>
      <c r="HKM41" s="643"/>
      <c r="HKN41" s="643"/>
      <c r="HKO41" s="643"/>
      <c r="HKP41" s="643"/>
      <c r="HKQ41" s="643"/>
      <c r="HKR41" s="643"/>
      <c r="HKS41" s="643"/>
      <c r="HKT41" s="643"/>
      <c r="HKU41" s="643"/>
      <c r="HKV41" s="643"/>
      <c r="HKW41" s="643"/>
      <c r="HKX41" s="643"/>
      <c r="HKY41" s="643"/>
      <c r="HKZ41" s="643"/>
      <c r="HLA41" s="643"/>
      <c r="HLB41" s="643"/>
      <c r="HLC41" s="643"/>
      <c r="HLD41" s="643"/>
      <c r="HLE41" s="643"/>
      <c r="HLF41" s="643"/>
      <c r="HLG41" s="643"/>
      <c r="HLH41" s="643"/>
      <c r="HLI41" s="643"/>
      <c r="HLJ41" s="643"/>
      <c r="HLK41" s="643"/>
      <c r="HLL41" s="643"/>
      <c r="HLM41" s="643"/>
      <c r="HLN41" s="643"/>
      <c r="HLO41" s="643"/>
      <c r="HLP41" s="643"/>
      <c r="HLQ41" s="643"/>
      <c r="HLR41" s="643"/>
      <c r="HLS41" s="643"/>
      <c r="HLT41" s="643"/>
      <c r="HLU41" s="643"/>
      <c r="HLV41" s="643"/>
      <c r="HLW41" s="643"/>
      <c r="HLX41" s="643"/>
      <c r="HLY41" s="643"/>
      <c r="HLZ41" s="643"/>
      <c r="HMA41" s="643"/>
      <c r="HMB41" s="643"/>
      <c r="HMC41" s="643"/>
      <c r="HMD41" s="643"/>
      <c r="HME41" s="643"/>
      <c r="HMF41" s="643"/>
      <c r="HMG41" s="643"/>
      <c r="HMH41" s="643"/>
      <c r="HMI41" s="643"/>
      <c r="HMJ41" s="643"/>
      <c r="HMK41" s="643"/>
      <c r="HML41" s="643"/>
      <c r="HMM41" s="643"/>
      <c r="HMN41" s="643"/>
      <c r="HMO41" s="643"/>
      <c r="HMP41" s="643"/>
      <c r="HMQ41" s="643"/>
      <c r="HMR41" s="643"/>
      <c r="HMS41" s="643"/>
      <c r="HMT41" s="643"/>
      <c r="HMU41" s="643"/>
      <c r="HMV41" s="643"/>
      <c r="HMW41" s="643"/>
      <c r="HMX41" s="643"/>
      <c r="HMY41" s="643"/>
      <c r="HMZ41" s="643"/>
      <c r="HNA41" s="643"/>
      <c r="HNB41" s="643"/>
      <c r="HNC41" s="643"/>
      <c r="HND41" s="643"/>
      <c r="HNE41" s="643"/>
      <c r="HNF41" s="643"/>
      <c r="HNG41" s="643"/>
      <c r="HNH41" s="643"/>
      <c r="HNI41" s="643"/>
      <c r="HNJ41" s="643"/>
      <c r="HNK41" s="643"/>
      <c r="HNL41" s="643"/>
      <c r="HNM41" s="643"/>
      <c r="HNN41" s="643"/>
      <c r="HNO41" s="643"/>
      <c r="HNP41" s="643"/>
      <c r="HNQ41" s="643"/>
      <c r="HNR41" s="643"/>
      <c r="HNS41" s="643"/>
      <c r="HNT41" s="643"/>
      <c r="HNU41" s="643"/>
      <c r="HNV41" s="643"/>
      <c r="HNW41" s="643"/>
      <c r="HNX41" s="643"/>
      <c r="HNY41" s="643"/>
      <c r="HNZ41" s="643"/>
      <c r="HOA41" s="643"/>
      <c r="HOB41" s="643"/>
      <c r="HOC41" s="643"/>
      <c r="HOD41" s="643"/>
      <c r="HOE41" s="643"/>
      <c r="HOF41" s="643"/>
      <c r="HOG41" s="643"/>
      <c r="HOH41" s="643"/>
      <c r="HOI41" s="643"/>
      <c r="HOJ41" s="643"/>
      <c r="HOK41" s="643"/>
      <c r="HOL41" s="643"/>
      <c r="HOM41" s="643"/>
      <c r="HON41" s="643"/>
      <c r="HOO41" s="643"/>
      <c r="HOP41" s="643"/>
      <c r="HOQ41" s="643"/>
      <c r="HOR41" s="643"/>
      <c r="HOS41" s="643"/>
      <c r="HOT41" s="643"/>
      <c r="HOU41" s="643"/>
      <c r="HOV41" s="643"/>
      <c r="HOW41" s="643"/>
      <c r="HOX41" s="643"/>
      <c r="HOY41" s="643"/>
      <c r="HOZ41" s="643"/>
      <c r="HPA41" s="643"/>
      <c r="HPB41" s="643"/>
      <c r="HPC41" s="643"/>
      <c r="HPD41" s="643"/>
      <c r="HPE41" s="643"/>
      <c r="HPF41" s="643"/>
      <c r="HPG41" s="643"/>
      <c r="HPH41" s="643"/>
      <c r="HPI41" s="643"/>
      <c r="HPJ41" s="643"/>
      <c r="HPK41" s="643"/>
      <c r="HPL41" s="643"/>
      <c r="HPM41" s="643"/>
      <c r="HPN41" s="643"/>
      <c r="HPO41" s="643"/>
      <c r="HPP41" s="643"/>
      <c r="HPQ41" s="643"/>
      <c r="HPR41" s="643"/>
      <c r="HPS41" s="643"/>
      <c r="HPT41" s="643"/>
      <c r="HPU41" s="643"/>
      <c r="HPV41" s="643"/>
      <c r="HPW41" s="643"/>
      <c r="HPX41" s="643"/>
      <c r="HPY41" s="643"/>
      <c r="HPZ41" s="643"/>
      <c r="HQA41" s="643"/>
      <c r="HQB41" s="643"/>
      <c r="HQC41" s="643"/>
      <c r="HQD41" s="643"/>
      <c r="HQE41" s="643"/>
      <c r="HQF41" s="643"/>
      <c r="HQG41" s="643"/>
      <c r="HQH41" s="643"/>
      <c r="HQI41" s="643"/>
      <c r="HQJ41" s="643"/>
      <c r="HQK41" s="643"/>
      <c r="HQL41" s="643"/>
      <c r="HQM41" s="643"/>
      <c r="HQN41" s="643"/>
      <c r="HQO41" s="643"/>
      <c r="HQP41" s="643"/>
      <c r="HQQ41" s="643"/>
      <c r="HQR41" s="643"/>
      <c r="HQS41" s="643"/>
      <c r="HQT41" s="643"/>
      <c r="HQU41" s="643"/>
      <c r="HQV41" s="643"/>
      <c r="HQW41" s="643"/>
      <c r="HQX41" s="643"/>
      <c r="HQY41" s="643"/>
      <c r="HQZ41" s="643"/>
      <c r="HRA41" s="643"/>
      <c r="HRB41" s="643"/>
      <c r="HRC41" s="643"/>
      <c r="HRD41" s="643"/>
      <c r="HRE41" s="643"/>
      <c r="HRF41" s="643"/>
      <c r="HRG41" s="643"/>
      <c r="HRH41" s="643"/>
      <c r="HRI41" s="643"/>
      <c r="HRJ41" s="643"/>
      <c r="HRK41" s="643"/>
      <c r="HRL41" s="643"/>
      <c r="HRM41" s="643"/>
      <c r="HRN41" s="643"/>
      <c r="HRO41" s="643"/>
      <c r="HRP41" s="643"/>
      <c r="HRQ41" s="643"/>
      <c r="HRR41" s="643"/>
      <c r="HRS41" s="643"/>
      <c r="HRT41" s="643"/>
      <c r="HRU41" s="643"/>
      <c r="HRV41" s="643"/>
      <c r="HRW41" s="643"/>
      <c r="HRX41" s="643"/>
      <c r="HRY41" s="643"/>
      <c r="HRZ41" s="643"/>
      <c r="HSA41" s="643"/>
      <c r="HSB41" s="643"/>
      <c r="HSC41" s="643"/>
      <c r="HSD41" s="643"/>
      <c r="HSE41" s="643"/>
      <c r="HSF41" s="643"/>
      <c r="HSG41" s="643"/>
      <c r="HSH41" s="643"/>
      <c r="HSI41" s="643"/>
      <c r="HSJ41" s="643"/>
      <c r="HSK41" s="643"/>
      <c r="HSL41" s="643"/>
      <c r="HSM41" s="643"/>
      <c r="HSN41" s="643"/>
      <c r="HSO41" s="643"/>
      <c r="HSP41" s="643"/>
      <c r="HSQ41" s="643"/>
      <c r="HSR41" s="643"/>
      <c r="HSS41" s="643"/>
      <c r="HST41" s="643"/>
      <c r="HSU41" s="643"/>
      <c r="HSV41" s="643"/>
      <c r="HSW41" s="643"/>
      <c r="HSX41" s="643"/>
      <c r="HSY41" s="643"/>
      <c r="HSZ41" s="643"/>
      <c r="HTA41" s="643"/>
      <c r="HTB41" s="643"/>
      <c r="HTC41" s="643"/>
      <c r="HTD41" s="643"/>
      <c r="HTE41" s="643"/>
      <c r="HTF41" s="643"/>
      <c r="HTG41" s="643"/>
      <c r="HTH41" s="643"/>
      <c r="HTI41" s="643"/>
      <c r="HTJ41" s="643"/>
      <c r="HTK41" s="643"/>
      <c r="HTL41" s="643"/>
      <c r="HTM41" s="643"/>
      <c r="HTN41" s="643"/>
      <c r="HTO41" s="643"/>
      <c r="HTP41" s="643"/>
      <c r="HTQ41" s="643"/>
      <c r="HTR41" s="643"/>
      <c r="HTS41" s="643"/>
      <c r="HTT41" s="643"/>
      <c r="HTU41" s="643"/>
      <c r="HTV41" s="643"/>
      <c r="HTW41" s="643"/>
      <c r="HTX41" s="643"/>
      <c r="HTY41" s="643"/>
      <c r="HTZ41" s="643"/>
      <c r="HUA41" s="643"/>
      <c r="HUB41" s="643"/>
      <c r="HUC41" s="643"/>
      <c r="HUD41" s="643"/>
      <c r="HUE41" s="643"/>
      <c r="HUF41" s="643"/>
      <c r="HUG41" s="643"/>
      <c r="HUH41" s="643"/>
      <c r="HUI41" s="643"/>
      <c r="HUJ41" s="643"/>
      <c r="HUK41" s="643"/>
      <c r="HUL41" s="643"/>
      <c r="HUM41" s="643"/>
      <c r="HUN41" s="643"/>
      <c r="HUO41" s="643"/>
      <c r="HUP41" s="643"/>
      <c r="HUQ41" s="643"/>
      <c r="HUR41" s="643"/>
      <c r="HUS41" s="643"/>
      <c r="HUT41" s="643"/>
      <c r="HUU41" s="643"/>
      <c r="HUV41" s="643"/>
      <c r="HUW41" s="643"/>
      <c r="HUX41" s="643"/>
      <c r="HUY41" s="643"/>
      <c r="HUZ41" s="643"/>
      <c r="HVA41" s="643"/>
      <c r="HVB41" s="643"/>
      <c r="HVC41" s="643"/>
      <c r="HVD41" s="643"/>
      <c r="HVE41" s="643"/>
      <c r="HVF41" s="643"/>
      <c r="HVG41" s="643"/>
      <c r="HVH41" s="643"/>
      <c r="HVI41" s="643"/>
      <c r="HVJ41" s="643"/>
      <c r="HVK41" s="643"/>
      <c r="HVL41" s="643"/>
      <c r="HVM41" s="643"/>
      <c r="HVN41" s="643"/>
      <c r="HVO41" s="643"/>
      <c r="HVP41" s="643"/>
      <c r="HVQ41" s="643"/>
      <c r="HVR41" s="643"/>
      <c r="HVS41" s="643"/>
      <c r="HVT41" s="643"/>
      <c r="HVU41" s="643"/>
      <c r="HVV41" s="643"/>
      <c r="HVW41" s="643"/>
      <c r="HVX41" s="643"/>
      <c r="HVY41" s="643"/>
      <c r="HVZ41" s="643"/>
      <c r="HWA41" s="643"/>
      <c r="HWB41" s="643"/>
      <c r="HWC41" s="643"/>
      <c r="HWD41" s="643"/>
      <c r="HWE41" s="643"/>
      <c r="HWF41" s="643"/>
      <c r="HWG41" s="643"/>
      <c r="HWH41" s="643"/>
      <c r="HWI41" s="643"/>
      <c r="HWJ41" s="643"/>
      <c r="HWK41" s="643"/>
      <c r="HWL41" s="643"/>
      <c r="HWM41" s="643"/>
      <c r="HWN41" s="643"/>
      <c r="HWO41" s="643"/>
      <c r="HWP41" s="643"/>
      <c r="HWQ41" s="643"/>
      <c r="HWR41" s="643"/>
      <c r="HWS41" s="643"/>
      <c r="HWT41" s="643"/>
      <c r="HWU41" s="643"/>
      <c r="HWV41" s="643"/>
      <c r="HWW41" s="643"/>
      <c r="HWX41" s="643"/>
      <c r="HWY41" s="643"/>
      <c r="HWZ41" s="643"/>
      <c r="HXA41" s="643"/>
      <c r="HXB41" s="643"/>
      <c r="HXC41" s="643"/>
      <c r="HXD41" s="643"/>
      <c r="HXE41" s="643"/>
      <c r="HXF41" s="643"/>
      <c r="HXG41" s="643"/>
      <c r="HXH41" s="643"/>
      <c r="HXI41" s="643"/>
      <c r="HXJ41" s="643"/>
      <c r="HXK41" s="643"/>
      <c r="HXL41" s="643"/>
      <c r="HXM41" s="643"/>
      <c r="HXN41" s="643"/>
      <c r="HXO41" s="643"/>
      <c r="HXP41" s="643"/>
      <c r="HXQ41" s="643"/>
      <c r="HXR41" s="643"/>
      <c r="HXS41" s="643"/>
      <c r="HXT41" s="643"/>
      <c r="HXU41" s="643"/>
      <c r="HXV41" s="643"/>
      <c r="HXW41" s="643"/>
      <c r="HXX41" s="643"/>
      <c r="HXY41" s="643"/>
      <c r="HXZ41" s="643"/>
      <c r="HYA41" s="643"/>
      <c r="HYB41" s="643"/>
      <c r="HYC41" s="643"/>
      <c r="HYD41" s="643"/>
      <c r="HYE41" s="643"/>
      <c r="HYF41" s="643"/>
      <c r="HYG41" s="643"/>
      <c r="HYH41" s="643"/>
      <c r="HYI41" s="643"/>
      <c r="HYJ41" s="643"/>
      <c r="HYK41" s="643"/>
      <c r="HYL41" s="643"/>
      <c r="HYM41" s="643"/>
      <c r="HYN41" s="643"/>
      <c r="HYO41" s="643"/>
      <c r="HYP41" s="643"/>
      <c r="HYQ41" s="643"/>
      <c r="HYR41" s="643"/>
      <c r="HYS41" s="643"/>
      <c r="HYT41" s="643"/>
      <c r="HYU41" s="643"/>
      <c r="HYV41" s="643"/>
      <c r="HYW41" s="643"/>
      <c r="HYX41" s="643"/>
      <c r="HYY41" s="643"/>
      <c r="HYZ41" s="643"/>
      <c r="HZA41" s="643"/>
      <c r="HZB41" s="643"/>
      <c r="HZC41" s="643"/>
      <c r="HZD41" s="643"/>
      <c r="HZE41" s="643"/>
      <c r="HZF41" s="643"/>
      <c r="HZG41" s="643"/>
      <c r="HZH41" s="643"/>
      <c r="HZI41" s="643"/>
      <c r="HZJ41" s="643"/>
      <c r="HZK41" s="643"/>
      <c r="HZL41" s="643"/>
      <c r="HZM41" s="643"/>
      <c r="HZN41" s="643"/>
      <c r="HZO41" s="643"/>
      <c r="HZP41" s="643"/>
      <c r="HZQ41" s="643"/>
      <c r="HZR41" s="643"/>
      <c r="HZS41" s="643"/>
      <c r="HZT41" s="643"/>
      <c r="HZU41" s="643"/>
      <c r="HZV41" s="643"/>
      <c r="HZW41" s="643"/>
      <c r="HZX41" s="643"/>
      <c r="HZY41" s="643"/>
      <c r="HZZ41" s="643"/>
      <c r="IAA41" s="643"/>
      <c r="IAB41" s="643"/>
      <c r="IAC41" s="643"/>
      <c r="IAD41" s="643"/>
      <c r="IAE41" s="643"/>
      <c r="IAF41" s="643"/>
      <c r="IAG41" s="643"/>
      <c r="IAH41" s="643"/>
      <c r="IAI41" s="643"/>
      <c r="IAJ41" s="643"/>
      <c r="IAK41" s="643"/>
      <c r="IAL41" s="643"/>
      <c r="IAM41" s="643"/>
      <c r="IAN41" s="643"/>
      <c r="IAO41" s="643"/>
      <c r="IAP41" s="643"/>
      <c r="IAQ41" s="643"/>
      <c r="IAR41" s="643"/>
      <c r="IAS41" s="643"/>
      <c r="IAT41" s="643"/>
      <c r="IAU41" s="643"/>
      <c r="IAV41" s="643"/>
      <c r="IAW41" s="643"/>
      <c r="IAX41" s="643"/>
      <c r="IAY41" s="643"/>
      <c r="IAZ41" s="643"/>
      <c r="IBA41" s="643"/>
      <c r="IBB41" s="643"/>
      <c r="IBC41" s="643"/>
      <c r="IBD41" s="643"/>
      <c r="IBE41" s="643"/>
      <c r="IBF41" s="643"/>
      <c r="IBG41" s="643"/>
      <c r="IBH41" s="643"/>
      <c r="IBI41" s="643"/>
      <c r="IBJ41" s="643"/>
      <c r="IBK41" s="643"/>
      <c r="IBL41" s="643"/>
      <c r="IBM41" s="643"/>
      <c r="IBN41" s="643"/>
      <c r="IBO41" s="643"/>
      <c r="IBP41" s="643"/>
      <c r="IBQ41" s="643"/>
      <c r="IBR41" s="643"/>
      <c r="IBS41" s="643"/>
      <c r="IBT41" s="643"/>
      <c r="IBU41" s="643"/>
      <c r="IBV41" s="643"/>
      <c r="IBW41" s="643"/>
      <c r="IBX41" s="643"/>
      <c r="IBY41" s="643"/>
      <c r="IBZ41" s="643"/>
      <c r="ICA41" s="643"/>
      <c r="ICB41" s="643"/>
      <c r="ICC41" s="643"/>
      <c r="ICD41" s="643"/>
      <c r="ICE41" s="643"/>
      <c r="ICF41" s="643"/>
      <c r="ICG41" s="643"/>
      <c r="ICH41" s="643"/>
      <c r="ICI41" s="643"/>
      <c r="ICJ41" s="643"/>
      <c r="ICK41" s="643"/>
      <c r="ICL41" s="643"/>
      <c r="ICM41" s="643"/>
      <c r="ICN41" s="643"/>
      <c r="ICO41" s="643"/>
      <c r="ICP41" s="643"/>
      <c r="ICQ41" s="643"/>
      <c r="ICR41" s="643"/>
      <c r="ICS41" s="643"/>
      <c r="ICT41" s="643"/>
      <c r="ICU41" s="643"/>
      <c r="ICV41" s="643"/>
      <c r="ICW41" s="643"/>
      <c r="ICX41" s="643"/>
      <c r="ICY41" s="643"/>
      <c r="ICZ41" s="643"/>
      <c r="IDA41" s="643"/>
      <c r="IDB41" s="643"/>
      <c r="IDC41" s="643"/>
      <c r="IDD41" s="643"/>
      <c r="IDE41" s="643"/>
      <c r="IDF41" s="643"/>
      <c r="IDG41" s="643"/>
      <c r="IDH41" s="643"/>
      <c r="IDI41" s="643"/>
      <c r="IDJ41" s="643"/>
      <c r="IDK41" s="643"/>
      <c r="IDL41" s="643"/>
      <c r="IDM41" s="643"/>
      <c r="IDN41" s="643"/>
      <c r="IDO41" s="643"/>
      <c r="IDP41" s="643"/>
      <c r="IDQ41" s="643"/>
      <c r="IDR41" s="643"/>
      <c r="IDS41" s="643"/>
      <c r="IDT41" s="643"/>
      <c r="IDU41" s="643"/>
      <c r="IDV41" s="643"/>
      <c r="IDW41" s="643"/>
      <c r="IDX41" s="643"/>
      <c r="IDY41" s="643"/>
      <c r="IDZ41" s="643"/>
      <c r="IEA41" s="643"/>
      <c r="IEB41" s="643"/>
      <c r="IEC41" s="643"/>
      <c r="IED41" s="643"/>
      <c r="IEE41" s="643"/>
      <c r="IEF41" s="643"/>
      <c r="IEG41" s="643"/>
      <c r="IEH41" s="643"/>
      <c r="IEI41" s="643"/>
      <c r="IEJ41" s="643"/>
      <c r="IEK41" s="643"/>
      <c r="IEL41" s="643"/>
      <c r="IEM41" s="643"/>
      <c r="IEN41" s="643"/>
      <c r="IEO41" s="643"/>
      <c r="IEP41" s="643"/>
      <c r="IEQ41" s="643"/>
      <c r="IER41" s="643"/>
      <c r="IES41" s="643"/>
      <c r="IET41" s="643"/>
      <c r="IEU41" s="643"/>
      <c r="IEV41" s="643"/>
      <c r="IEW41" s="643"/>
      <c r="IEX41" s="643"/>
      <c r="IEY41" s="643"/>
      <c r="IEZ41" s="643"/>
      <c r="IFA41" s="643"/>
      <c r="IFB41" s="643"/>
      <c r="IFC41" s="643"/>
      <c r="IFD41" s="643"/>
      <c r="IFE41" s="643"/>
      <c r="IFF41" s="643"/>
      <c r="IFG41" s="643"/>
      <c r="IFH41" s="643"/>
      <c r="IFI41" s="643"/>
      <c r="IFJ41" s="643"/>
      <c r="IFK41" s="643"/>
      <c r="IFL41" s="643"/>
      <c r="IFM41" s="643"/>
      <c r="IFN41" s="643"/>
      <c r="IFO41" s="643"/>
      <c r="IFP41" s="643"/>
      <c r="IFQ41" s="643"/>
      <c r="IFR41" s="643"/>
      <c r="IFS41" s="643"/>
      <c r="IFT41" s="643"/>
      <c r="IFU41" s="643"/>
      <c r="IFV41" s="643"/>
      <c r="IFW41" s="643"/>
      <c r="IFX41" s="643"/>
      <c r="IFY41" s="643"/>
      <c r="IFZ41" s="643"/>
      <c r="IGA41" s="643"/>
      <c r="IGB41" s="643"/>
      <c r="IGC41" s="643"/>
      <c r="IGD41" s="643"/>
      <c r="IGE41" s="643"/>
      <c r="IGF41" s="643"/>
      <c r="IGG41" s="643"/>
      <c r="IGH41" s="643"/>
      <c r="IGI41" s="643"/>
      <c r="IGJ41" s="643"/>
      <c r="IGK41" s="643"/>
      <c r="IGL41" s="643"/>
      <c r="IGM41" s="643"/>
      <c r="IGN41" s="643"/>
      <c r="IGO41" s="643"/>
      <c r="IGP41" s="643"/>
      <c r="IGQ41" s="643"/>
      <c r="IGR41" s="643"/>
      <c r="IGS41" s="643"/>
      <c r="IGT41" s="643"/>
      <c r="IGU41" s="643"/>
      <c r="IGV41" s="643"/>
      <c r="IGW41" s="643"/>
      <c r="IGX41" s="643"/>
      <c r="IGY41" s="643"/>
      <c r="IGZ41" s="643"/>
      <c r="IHA41" s="643"/>
      <c r="IHB41" s="643"/>
      <c r="IHC41" s="643"/>
      <c r="IHD41" s="643"/>
      <c r="IHE41" s="643"/>
      <c r="IHF41" s="643"/>
      <c r="IHG41" s="643"/>
      <c r="IHH41" s="643"/>
      <c r="IHI41" s="643"/>
      <c r="IHJ41" s="643"/>
      <c r="IHK41" s="643"/>
      <c r="IHL41" s="643"/>
      <c r="IHM41" s="643"/>
      <c r="IHN41" s="643"/>
      <c r="IHO41" s="643"/>
      <c r="IHP41" s="643"/>
      <c r="IHQ41" s="643"/>
      <c r="IHR41" s="643"/>
      <c r="IHS41" s="643"/>
      <c r="IHT41" s="643"/>
      <c r="IHU41" s="643"/>
      <c r="IHV41" s="643"/>
      <c r="IHW41" s="643"/>
      <c r="IHX41" s="643"/>
      <c r="IHY41" s="643"/>
      <c r="IHZ41" s="643"/>
      <c r="IIA41" s="643"/>
      <c r="IIB41" s="643"/>
      <c r="IIC41" s="643"/>
      <c r="IID41" s="643"/>
      <c r="IIE41" s="643"/>
      <c r="IIF41" s="643"/>
      <c r="IIG41" s="643"/>
      <c r="IIH41" s="643"/>
      <c r="III41" s="643"/>
      <c r="IIJ41" s="643"/>
      <c r="IIK41" s="643"/>
      <c r="IIL41" s="643"/>
      <c r="IIM41" s="643"/>
      <c r="IIN41" s="643"/>
      <c r="IIO41" s="643"/>
      <c r="IIP41" s="643"/>
      <c r="IIQ41" s="643"/>
      <c r="IIR41" s="643"/>
      <c r="IIS41" s="643"/>
      <c r="IIT41" s="643"/>
      <c r="IIU41" s="643"/>
      <c r="IIV41" s="643"/>
      <c r="IIW41" s="643"/>
      <c r="IIX41" s="643"/>
      <c r="IIY41" s="643"/>
      <c r="IIZ41" s="643"/>
      <c r="IJA41" s="643"/>
      <c r="IJB41" s="643"/>
      <c r="IJC41" s="643"/>
      <c r="IJD41" s="643"/>
      <c r="IJE41" s="643"/>
      <c r="IJF41" s="643"/>
      <c r="IJG41" s="643"/>
      <c r="IJH41" s="643"/>
      <c r="IJI41" s="643"/>
      <c r="IJJ41" s="643"/>
      <c r="IJK41" s="643"/>
      <c r="IJL41" s="643"/>
      <c r="IJM41" s="643"/>
      <c r="IJN41" s="643"/>
      <c r="IJO41" s="643"/>
      <c r="IJP41" s="643"/>
      <c r="IJQ41" s="643"/>
      <c r="IJR41" s="643"/>
      <c r="IJS41" s="643"/>
      <c r="IJT41" s="643"/>
      <c r="IJU41" s="643"/>
      <c r="IJV41" s="643"/>
      <c r="IJW41" s="643"/>
      <c r="IJX41" s="643"/>
      <c r="IJY41" s="643"/>
      <c r="IJZ41" s="643"/>
      <c r="IKA41" s="643"/>
      <c r="IKB41" s="643"/>
      <c r="IKC41" s="643"/>
      <c r="IKD41" s="643"/>
      <c r="IKE41" s="643"/>
      <c r="IKF41" s="643"/>
      <c r="IKG41" s="643"/>
      <c r="IKH41" s="643"/>
      <c r="IKI41" s="643"/>
      <c r="IKJ41" s="643"/>
      <c r="IKK41" s="643"/>
      <c r="IKL41" s="643"/>
      <c r="IKM41" s="643"/>
      <c r="IKN41" s="643"/>
      <c r="IKO41" s="643"/>
      <c r="IKP41" s="643"/>
      <c r="IKQ41" s="643"/>
      <c r="IKR41" s="643"/>
      <c r="IKS41" s="643"/>
      <c r="IKT41" s="643"/>
      <c r="IKU41" s="643"/>
      <c r="IKV41" s="643"/>
      <c r="IKW41" s="643"/>
      <c r="IKX41" s="643"/>
      <c r="IKY41" s="643"/>
      <c r="IKZ41" s="643"/>
      <c r="ILA41" s="643"/>
      <c r="ILB41" s="643"/>
      <c r="ILC41" s="643"/>
      <c r="ILD41" s="643"/>
      <c r="ILE41" s="643"/>
      <c r="ILF41" s="643"/>
      <c r="ILG41" s="643"/>
      <c r="ILH41" s="643"/>
      <c r="ILI41" s="643"/>
      <c r="ILJ41" s="643"/>
      <c r="ILK41" s="643"/>
      <c r="ILL41" s="643"/>
      <c r="ILM41" s="643"/>
      <c r="ILN41" s="643"/>
      <c r="ILO41" s="643"/>
      <c r="ILP41" s="643"/>
      <c r="ILQ41" s="643"/>
      <c r="ILR41" s="643"/>
      <c r="ILS41" s="643"/>
      <c r="ILT41" s="643"/>
      <c r="ILU41" s="643"/>
      <c r="ILV41" s="643"/>
      <c r="ILW41" s="643"/>
      <c r="ILX41" s="643"/>
      <c r="ILY41" s="643"/>
      <c r="ILZ41" s="643"/>
      <c r="IMA41" s="643"/>
      <c r="IMB41" s="643"/>
      <c r="IMC41" s="643"/>
      <c r="IMD41" s="643"/>
      <c r="IME41" s="643"/>
      <c r="IMF41" s="643"/>
      <c r="IMG41" s="643"/>
      <c r="IMH41" s="643"/>
      <c r="IMI41" s="643"/>
      <c r="IMJ41" s="643"/>
      <c r="IMK41" s="643"/>
      <c r="IML41" s="643"/>
      <c r="IMM41" s="643"/>
      <c r="IMN41" s="643"/>
      <c r="IMO41" s="643"/>
      <c r="IMP41" s="643"/>
      <c r="IMQ41" s="643"/>
      <c r="IMR41" s="643"/>
      <c r="IMS41" s="643"/>
      <c r="IMT41" s="643"/>
      <c r="IMU41" s="643"/>
      <c r="IMV41" s="643"/>
      <c r="IMW41" s="643"/>
      <c r="IMX41" s="643"/>
      <c r="IMY41" s="643"/>
      <c r="IMZ41" s="643"/>
      <c r="INA41" s="643"/>
      <c r="INB41" s="643"/>
      <c r="INC41" s="643"/>
      <c r="IND41" s="643"/>
      <c r="INE41" s="643"/>
      <c r="INF41" s="643"/>
      <c r="ING41" s="643"/>
      <c r="INH41" s="643"/>
      <c r="INI41" s="643"/>
      <c r="INJ41" s="643"/>
      <c r="INK41" s="643"/>
      <c r="INL41" s="643"/>
      <c r="INM41" s="643"/>
      <c r="INN41" s="643"/>
      <c r="INO41" s="643"/>
      <c r="INP41" s="643"/>
      <c r="INQ41" s="643"/>
      <c r="INR41" s="643"/>
      <c r="INS41" s="643"/>
      <c r="INT41" s="643"/>
      <c r="INU41" s="643"/>
      <c r="INV41" s="643"/>
      <c r="INW41" s="643"/>
      <c r="INX41" s="643"/>
      <c r="INY41" s="643"/>
      <c r="INZ41" s="643"/>
      <c r="IOA41" s="643"/>
      <c r="IOB41" s="643"/>
      <c r="IOC41" s="643"/>
      <c r="IOD41" s="643"/>
      <c r="IOE41" s="643"/>
      <c r="IOF41" s="643"/>
      <c r="IOG41" s="643"/>
      <c r="IOH41" s="643"/>
      <c r="IOI41" s="643"/>
      <c r="IOJ41" s="643"/>
      <c r="IOK41" s="643"/>
      <c r="IOL41" s="643"/>
      <c r="IOM41" s="643"/>
      <c r="ION41" s="643"/>
      <c r="IOO41" s="643"/>
      <c r="IOP41" s="643"/>
      <c r="IOQ41" s="643"/>
      <c r="IOR41" s="643"/>
      <c r="IOS41" s="643"/>
      <c r="IOT41" s="643"/>
      <c r="IOU41" s="643"/>
      <c r="IOV41" s="643"/>
      <c r="IOW41" s="643"/>
      <c r="IOX41" s="643"/>
      <c r="IOY41" s="643"/>
      <c r="IOZ41" s="643"/>
      <c r="IPA41" s="643"/>
      <c r="IPB41" s="643"/>
      <c r="IPC41" s="643"/>
      <c r="IPD41" s="643"/>
      <c r="IPE41" s="643"/>
      <c r="IPF41" s="643"/>
      <c r="IPG41" s="643"/>
      <c r="IPH41" s="643"/>
      <c r="IPI41" s="643"/>
      <c r="IPJ41" s="643"/>
      <c r="IPK41" s="643"/>
      <c r="IPL41" s="643"/>
      <c r="IPM41" s="643"/>
      <c r="IPN41" s="643"/>
      <c r="IPO41" s="643"/>
      <c r="IPP41" s="643"/>
      <c r="IPQ41" s="643"/>
      <c r="IPR41" s="643"/>
      <c r="IPS41" s="643"/>
      <c r="IPT41" s="643"/>
      <c r="IPU41" s="643"/>
      <c r="IPV41" s="643"/>
      <c r="IPW41" s="643"/>
      <c r="IPX41" s="643"/>
      <c r="IPY41" s="643"/>
      <c r="IPZ41" s="643"/>
      <c r="IQA41" s="643"/>
      <c r="IQB41" s="643"/>
      <c r="IQC41" s="643"/>
      <c r="IQD41" s="643"/>
      <c r="IQE41" s="643"/>
      <c r="IQF41" s="643"/>
      <c r="IQG41" s="643"/>
      <c r="IQH41" s="643"/>
      <c r="IQI41" s="643"/>
      <c r="IQJ41" s="643"/>
      <c r="IQK41" s="643"/>
      <c r="IQL41" s="643"/>
      <c r="IQM41" s="643"/>
      <c r="IQN41" s="643"/>
      <c r="IQO41" s="643"/>
      <c r="IQP41" s="643"/>
      <c r="IQQ41" s="643"/>
      <c r="IQR41" s="643"/>
      <c r="IQS41" s="643"/>
      <c r="IQT41" s="643"/>
      <c r="IQU41" s="643"/>
      <c r="IQV41" s="643"/>
      <c r="IQW41" s="643"/>
      <c r="IQX41" s="643"/>
      <c r="IQY41" s="643"/>
      <c r="IQZ41" s="643"/>
      <c r="IRA41" s="643"/>
      <c r="IRB41" s="643"/>
      <c r="IRC41" s="643"/>
      <c r="IRD41" s="643"/>
      <c r="IRE41" s="643"/>
      <c r="IRF41" s="643"/>
      <c r="IRG41" s="643"/>
      <c r="IRH41" s="643"/>
      <c r="IRI41" s="643"/>
      <c r="IRJ41" s="643"/>
      <c r="IRK41" s="643"/>
      <c r="IRL41" s="643"/>
      <c r="IRM41" s="643"/>
      <c r="IRN41" s="643"/>
      <c r="IRO41" s="643"/>
      <c r="IRP41" s="643"/>
      <c r="IRQ41" s="643"/>
      <c r="IRR41" s="643"/>
      <c r="IRS41" s="643"/>
      <c r="IRT41" s="643"/>
      <c r="IRU41" s="643"/>
      <c r="IRV41" s="643"/>
      <c r="IRW41" s="643"/>
      <c r="IRX41" s="643"/>
      <c r="IRY41" s="643"/>
      <c r="IRZ41" s="643"/>
      <c r="ISA41" s="643"/>
      <c r="ISB41" s="643"/>
      <c r="ISC41" s="643"/>
      <c r="ISD41" s="643"/>
      <c r="ISE41" s="643"/>
      <c r="ISF41" s="643"/>
      <c r="ISG41" s="643"/>
      <c r="ISH41" s="643"/>
      <c r="ISI41" s="643"/>
      <c r="ISJ41" s="643"/>
      <c r="ISK41" s="643"/>
      <c r="ISL41" s="643"/>
      <c r="ISM41" s="643"/>
      <c r="ISN41" s="643"/>
      <c r="ISO41" s="643"/>
      <c r="ISP41" s="643"/>
      <c r="ISQ41" s="643"/>
      <c r="ISR41" s="643"/>
      <c r="ISS41" s="643"/>
      <c r="IST41" s="643"/>
      <c r="ISU41" s="643"/>
      <c r="ISV41" s="643"/>
      <c r="ISW41" s="643"/>
      <c r="ISX41" s="643"/>
      <c r="ISY41" s="643"/>
      <c r="ISZ41" s="643"/>
      <c r="ITA41" s="643"/>
      <c r="ITB41" s="643"/>
      <c r="ITC41" s="643"/>
      <c r="ITD41" s="643"/>
      <c r="ITE41" s="643"/>
      <c r="ITF41" s="643"/>
      <c r="ITG41" s="643"/>
      <c r="ITH41" s="643"/>
      <c r="ITI41" s="643"/>
      <c r="ITJ41" s="643"/>
      <c r="ITK41" s="643"/>
      <c r="ITL41" s="643"/>
      <c r="ITM41" s="643"/>
      <c r="ITN41" s="643"/>
      <c r="ITO41" s="643"/>
      <c r="ITP41" s="643"/>
      <c r="ITQ41" s="643"/>
      <c r="ITR41" s="643"/>
      <c r="ITS41" s="643"/>
      <c r="ITT41" s="643"/>
      <c r="ITU41" s="643"/>
      <c r="ITV41" s="643"/>
      <c r="ITW41" s="643"/>
      <c r="ITX41" s="643"/>
      <c r="ITY41" s="643"/>
      <c r="ITZ41" s="643"/>
      <c r="IUA41" s="643"/>
      <c r="IUB41" s="643"/>
      <c r="IUC41" s="643"/>
      <c r="IUD41" s="643"/>
      <c r="IUE41" s="643"/>
      <c r="IUF41" s="643"/>
      <c r="IUG41" s="643"/>
      <c r="IUH41" s="643"/>
      <c r="IUI41" s="643"/>
      <c r="IUJ41" s="643"/>
      <c r="IUK41" s="643"/>
      <c r="IUL41" s="643"/>
      <c r="IUM41" s="643"/>
      <c r="IUN41" s="643"/>
      <c r="IUO41" s="643"/>
      <c r="IUP41" s="643"/>
      <c r="IUQ41" s="643"/>
      <c r="IUR41" s="643"/>
      <c r="IUS41" s="643"/>
      <c r="IUT41" s="643"/>
      <c r="IUU41" s="643"/>
      <c r="IUV41" s="643"/>
      <c r="IUW41" s="643"/>
      <c r="IUX41" s="643"/>
      <c r="IUY41" s="643"/>
      <c r="IUZ41" s="643"/>
      <c r="IVA41" s="643"/>
      <c r="IVB41" s="643"/>
      <c r="IVC41" s="643"/>
      <c r="IVD41" s="643"/>
      <c r="IVE41" s="643"/>
      <c r="IVF41" s="643"/>
      <c r="IVG41" s="643"/>
      <c r="IVH41" s="643"/>
      <c r="IVI41" s="643"/>
      <c r="IVJ41" s="643"/>
      <c r="IVK41" s="643"/>
      <c r="IVL41" s="643"/>
      <c r="IVM41" s="643"/>
      <c r="IVN41" s="643"/>
      <c r="IVO41" s="643"/>
      <c r="IVP41" s="643"/>
      <c r="IVQ41" s="643"/>
      <c r="IVR41" s="643"/>
      <c r="IVS41" s="643"/>
      <c r="IVT41" s="643"/>
      <c r="IVU41" s="643"/>
      <c r="IVV41" s="643"/>
      <c r="IVW41" s="643"/>
      <c r="IVX41" s="643"/>
      <c r="IVY41" s="643"/>
      <c r="IVZ41" s="643"/>
      <c r="IWA41" s="643"/>
      <c r="IWB41" s="643"/>
      <c r="IWC41" s="643"/>
      <c r="IWD41" s="643"/>
      <c r="IWE41" s="643"/>
      <c r="IWF41" s="643"/>
      <c r="IWG41" s="643"/>
      <c r="IWH41" s="643"/>
      <c r="IWI41" s="643"/>
      <c r="IWJ41" s="643"/>
      <c r="IWK41" s="643"/>
      <c r="IWL41" s="643"/>
      <c r="IWM41" s="643"/>
      <c r="IWN41" s="643"/>
      <c r="IWO41" s="643"/>
      <c r="IWP41" s="643"/>
      <c r="IWQ41" s="643"/>
      <c r="IWR41" s="643"/>
      <c r="IWS41" s="643"/>
      <c r="IWT41" s="643"/>
      <c r="IWU41" s="643"/>
      <c r="IWV41" s="643"/>
      <c r="IWW41" s="643"/>
      <c r="IWX41" s="643"/>
      <c r="IWY41" s="643"/>
      <c r="IWZ41" s="643"/>
      <c r="IXA41" s="643"/>
      <c r="IXB41" s="643"/>
      <c r="IXC41" s="643"/>
      <c r="IXD41" s="643"/>
      <c r="IXE41" s="643"/>
      <c r="IXF41" s="643"/>
      <c r="IXG41" s="643"/>
      <c r="IXH41" s="643"/>
      <c r="IXI41" s="643"/>
      <c r="IXJ41" s="643"/>
      <c r="IXK41" s="643"/>
      <c r="IXL41" s="643"/>
      <c r="IXM41" s="643"/>
      <c r="IXN41" s="643"/>
      <c r="IXO41" s="643"/>
      <c r="IXP41" s="643"/>
      <c r="IXQ41" s="643"/>
      <c r="IXR41" s="643"/>
      <c r="IXS41" s="643"/>
      <c r="IXT41" s="643"/>
      <c r="IXU41" s="643"/>
      <c r="IXV41" s="643"/>
      <c r="IXW41" s="643"/>
      <c r="IXX41" s="643"/>
      <c r="IXY41" s="643"/>
      <c r="IXZ41" s="643"/>
      <c r="IYA41" s="643"/>
      <c r="IYB41" s="643"/>
      <c r="IYC41" s="643"/>
      <c r="IYD41" s="643"/>
      <c r="IYE41" s="643"/>
      <c r="IYF41" s="643"/>
      <c r="IYG41" s="643"/>
      <c r="IYH41" s="643"/>
      <c r="IYI41" s="643"/>
      <c r="IYJ41" s="643"/>
      <c r="IYK41" s="643"/>
      <c r="IYL41" s="643"/>
      <c r="IYM41" s="643"/>
      <c r="IYN41" s="643"/>
      <c r="IYO41" s="643"/>
      <c r="IYP41" s="643"/>
      <c r="IYQ41" s="643"/>
      <c r="IYR41" s="643"/>
      <c r="IYS41" s="643"/>
      <c r="IYT41" s="643"/>
      <c r="IYU41" s="643"/>
      <c r="IYV41" s="643"/>
      <c r="IYW41" s="643"/>
      <c r="IYX41" s="643"/>
      <c r="IYY41" s="643"/>
      <c r="IYZ41" s="643"/>
      <c r="IZA41" s="643"/>
      <c r="IZB41" s="643"/>
      <c r="IZC41" s="643"/>
      <c r="IZD41" s="643"/>
      <c r="IZE41" s="643"/>
      <c r="IZF41" s="643"/>
      <c r="IZG41" s="643"/>
      <c r="IZH41" s="643"/>
      <c r="IZI41" s="643"/>
      <c r="IZJ41" s="643"/>
      <c r="IZK41" s="643"/>
      <c r="IZL41" s="643"/>
      <c r="IZM41" s="643"/>
      <c r="IZN41" s="643"/>
      <c r="IZO41" s="643"/>
      <c r="IZP41" s="643"/>
      <c r="IZQ41" s="643"/>
      <c r="IZR41" s="643"/>
      <c r="IZS41" s="643"/>
      <c r="IZT41" s="643"/>
      <c r="IZU41" s="643"/>
      <c r="IZV41" s="643"/>
      <c r="IZW41" s="643"/>
      <c r="IZX41" s="643"/>
      <c r="IZY41" s="643"/>
      <c r="IZZ41" s="643"/>
      <c r="JAA41" s="643"/>
      <c r="JAB41" s="643"/>
      <c r="JAC41" s="643"/>
      <c r="JAD41" s="643"/>
      <c r="JAE41" s="643"/>
      <c r="JAF41" s="643"/>
      <c r="JAG41" s="643"/>
      <c r="JAH41" s="643"/>
      <c r="JAI41" s="643"/>
      <c r="JAJ41" s="643"/>
      <c r="JAK41" s="643"/>
      <c r="JAL41" s="643"/>
      <c r="JAM41" s="643"/>
      <c r="JAN41" s="643"/>
      <c r="JAO41" s="643"/>
      <c r="JAP41" s="643"/>
      <c r="JAQ41" s="643"/>
      <c r="JAR41" s="643"/>
      <c r="JAS41" s="643"/>
      <c r="JAT41" s="643"/>
      <c r="JAU41" s="643"/>
      <c r="JAV41" s="643"/>
      <c r="JAW41" s="643"/>
      <c r="JAX41" s="643"/>
      <c r="JAY41" s="643"/>
      <c r="JAZ41" s="643"/>
      <c r="JBA41" s="643"/>
      <c r="JBB41" s="643"/>
      <c r="JBC41" s="643"/>
      <c r="JBD41" s="643"/>
      <c r="JBE41" s="643"/>
      <c r="JBF41" s="643"/>
      <c r="JBG41" s="643"/>
      <c r="JBH41" s="643"/>
      <c r="JBI41" s="643"/>
      <c r="JBJ41" s="643"/>
      <c r="JBK41" s="643"/>
      <c r="JBL41" s="643"/>
      <c r="JBM41" s="643"/>
      <c r="JBN41" s="643"/>
      <c r="JBO41" s="643"/>
      <c r="JBP41" s="643"/>
      <c r="JBQ41" s="643"/>
      <c r="JBR41" s="643"/>
      <c r="JBS41" s="643"/>
      <c r="JBT41" s="643"/>
      <c r="JBU41" s="643"/>
      <c r="JBV41" s="643"/>
      <c r="JBW41" s="643"/>
      <c r="JBX41" s="643"/>
      <c r="JBY41" s="643"/>
      <c r="JBZ41" s="643"/>
      <c r="JCA41" s="643"/>
      <c r="JCB41" s="643"/>
      <c r="JCC41" s="643"/>
      <c r="JCD41" s="643"/>
      <c r="JCE41" s="643"/>
      <c r="JCF41" s="643"/>
      <c r="JCG41" s="643"/>
      <c r="JCH41" s="643"/>
      <c r="JCI41" s="643"/>
      <c r="JCJ41" s="643"/>
      <c r="JCK41" s="643"/>
      <c r="JCL41" s="643"/>
      <c r="JCM41" s="643"/>
      <c r="JCN41" s="643"/>
      <c r="JCO41" s="643"/>
      <c r="JCP41" s="643"/>
      <c r="JCQ41" s="643"/>
      <c r="JCR41" s="643"/>
      <c r="JCS41" s="643"/>
      <c r="JCT41" s="643"/>
      <c r="JCU41" s="643"/>
      <c r="JCV41" s="643"/>
      <c r="JCW41" s="643"/>
      <c r="JCX41" s="643"/>
      <c r="JCY41" s="643"/>
      <c r="JCZ41" s="643"/>
      <c r="JDA41" s="643"/>
      <c r="JDB41" s="643"/>
      <c r="JDC41" s="643"/>
      <c r="JDD41" s="643"/>
      <c r="JDE41" s="643"/>
      <c r="JDF41" s="643"/>
      <c r="JDG41" s="643"/>
      <c r="JDH41" s="643"/>
      <c r="JDI41" s="643"/>
      <c r="JDJ41" s="643"/>
      <c r="JDK41" s="643"/>
      <c r="JDL41" s="643"/>
      <c r="JDM41" s="643"/>
      <c r="JDN41" s="643"/>
      <c r="JDO41" s="643"/>
      <c r="JDP41" s="643"/>
      <c r="JDQ41" s="643"/>
      <c r="JDR41" s="643"/>
      <c r="JDS41" s="643"/>
      <c r="JDT41" s="643"/>
      <c r="JDU41" s="643"/>
      <c r="JDV41" s="643"/>
      <c r="JDW41" s="643"/>
      <c r="JDX41" s="643"/>
      <c r="JDY41" s="643"/>
      <c r="JDZ41" s="643"/>
      <c r="JEA41" s="643"/>
      <c r="JEB41" s="643"/>
      <c r="JEC41" s="643"/>
      <c r="JED41" s="643"/>
      <c r="JEE41" s="643"/>
      <c r="JEF41" s="643"/>
      <c r="JEG41" s="643"/>
      <c r="JEH41" s="643"/>
      <c r="JEI41" s="643"/>
      <c r="JEJ41" s="643"/>
      <c r="JEK41" s="643"/>
      <c r="JEL41" s="643"/>
      <c r="JEM41" s="643"/>
      <c r="JEN41" s="643"/>
      <c r="JEO41" s="643"/>
      <c r="JEP41" s="643"/>
      <c r="JEQ41" s="643"/>
      <c r="JER41" s="643"/>
      <c r="JES41" s="643"/>
      <c r="JET41" s="643"/>
      <c r="JEU41" s="643"/>
      <c r="JEV41" s="643"/>
      <c r="JEW41" s="643"/>
      <c r="JEX41" s="643"/>
      <c r="JEY41" s="643"/>
      <c r="JEZ41" s="643"/>
      <c r="JFA41" s="643"/>
      <c r="JFB41" s="643"/>
      <c r="JFC41" s="643"/>
      <c r="JFD41" s="643"/>
      <c r="JFE41" s="643"/>
      <c r="JFF41" s="643"/>
      <c r="JFG41" s="643"/>
      <c r="JFH41" s="643"/>
      <c r="JFI41" s="643"/>
      <c r="JFJ41" s="643"/>
      <c r="JFK41" s="643"/>
      <c r="JFL41" s="643"/>
      <c r="JFM41" s="643"/>
      <c r="JFN41" s="643"/>
      <c r="JFO41" s="643"/>
      <c r="JFP41" s="643"/>
      <c r="JFQ41" s="643"/>
      <c r="JFR41" s="643"/>
      <c r="JFS41" s="643"/>
      <c r="JFT41" s="643"/>
      <c r="JFU41" s="643"/>
      <c r="JFV41" s="643"/>
      <c r="JFW41" s="643"/>
      <c r="JFX41" s="643"/>
      <c r="JFY41" s="643"/>
      <c r="JFZ41" s="643"/>
      <c r="JGA41" s="643"/>
      <c r="JGB41" s="643"/>
      <c r="JGC41" s="643"/>
      <c r="JGD41" s="643"/>
      <c r="JGE41" s="643"/>
      <c r="JGF41" s="643"/>
      <c r="JGG41" s="643"/>
      <c r="JGH41" s="643"/>
      <c r="JGI41" s="643"/>
      <c r="JGJ41" s="643"/>
      <c r="JGK41" s="643"/>
      <c r="JGL41" s="643"/>
      <c r="JGM41" s="643"/>
      <c r="JGN41" s="643"/>
      <c r="JGO41" s="643"/>
      <c r="JGP41" s="643"/>
      <c r="JGQ41" s="643"/>
      <c r="JGR41" s="643"/>
      <c r="JGS41" s="643"/>
      <c r="JGT41" s="643"/>
      <c r="JGU41" s="643"/>
      <c r="JGV41" s="643"/>
      <c r="JGW41" s="643"/>
      <c r="JGX41" s="643"/>
      <c r="JGY41" s="643"/>
      <c r="JGZ41" s="643"/>
      <c r="JHA41" s="643"/>
      <c r="JHB41" s="643"/>
      <c r="JHC41" s="643"/>
      <c r="JHD41" s="643"/>
      <c r="JHE41" s="643"/>
      <c r="JHF41" s="643"/>
      <c r="JHG41" s="643"/>
      <c r="JHH41" s="643"/>
      <c r="JHI41" s="643"/>
      <c r="JHJ41" s="643"/>
      <c r="JHK41" s="643"/>
      <c r="JHL41" s="643"/>
      <c r="JHM41" s="643"/>
      <c r="JHN41" s="643"/>
      <c r="JHO41" s="643"/>
      <c r="JHP41" s="643"/>
      <c r="JHQ41" s="643"/>
      <c r="JHR41" s="643"/>
      <c r="JHS41" s="643"/>
      <c r="JHT41" s="643"/>
      <c r="JHU41" s="643"/>
      <c r="JHV41" s="643"/>
      <c r="JHW41" s="643"/>
      <c r="JHX41" s="643"/>
      <c r="JHY41" s="643"/>
      <c r="JHZ41" s="643"/>
      <c r="JIA41" s="643"/>
      <c r="JIB41" s="643"/>
      <c r="JIC41" s="643"/>
      <c r="JID41" s="643"/>
      <c r="JIE41" s="643"/>
      <c r="JIF41" s="643"/>
      <c r="JIG41" s="643"/>
      <c r="JIH41" s="643"/>
      <c r="JII41" s="643"/>
      <c r="JIJ41" s="643"/>
      <c r="JIK41" s="643"/>
      <c r="JIL41" s="643"/>
      <c r="JIM41" s="643"/>
      <c r="JIN41" s="643"/>
      <c r="JIO41" s="643"/>
      <c r="JIP41" s="643"/>
      <c r="JIQ41" s="643"/>
      <c r="JIR41" s="643"/>
      <c r="JIS41" s="643"/>
      <c r="JIT41" s="643"/>
      <c r="JIU41" s="643"/>
      <c r="JIV41" s="643"/>
      <c r="JIW41" s="643"/>
      <c r="JIX41" s="643"/>
      <c r="JIY41" s="643"/>
      <c r="JIZ41" s="643"/>
      <c r="JJA41" s="643"/>
      <c r="JJB41" s="643"/>
      <c r="JJC41" s="643"/>
      <c r="JJD41" s="643"/>
      <c r="JJE41" s="643"/>
      <c r="JJF41" s="643"/>
      <c r="JJG41" s="643"/>
      <c r="JJH41" s="643"/>
      <c r="JJI41" s="643"/>
      <c r="JJJ41" s="643"/>
      <c r="JJK41" s="643"/>
      <c r="JJL41" s="643"/>
      <c r="JJM41" s="643"/>
      <c r="JJN41" s="643"/>
      <c r="JJO41" s="643"/>
      <c r="JJP41" s="643"/>
      <c r="JJQ41" s="643"/>
      <c r="JJR41" s="643"/>
      <c r="JJS41" s="643"/>
      <c r="JJT41" s="643"/>
      <c r="JJU41" s="643"/>
      <c r="JJV41" s="643"/>
      <c r="JJW41" s="643"/>
      <c r="JJX41" s="643"/>
      <c r="JJY41" s="643"/>
      <c r="JJZ41" s="643"/>
      <c r="JKA41" s="643"/>
      <c r="JKB41" s="643"/>
      <c r="JKC41" s="643"/>
      <c r="JKD41" s="643"/>
      <c r="JKE41" s="643"/>
      <c r="JKF41" s="643"/>
      <c r="JKG41" s="643"/>
      <c r="JKH41" s="643"/>
      <c r="JKI41" s="643"/>
      <c r="JKJ41" s="643"/>
      <c r="JKK41" s="643"/>
      <c r="JKL41" s="643"/>
      <c r="JKM41" s="643"/>
      <c r="JKN41" s="643"/>
      <c r="JKO41" s="643"/>
      <c r="JKP41" s="643"/>
      <c r="JKQ41" s="643"/>
      <c r="JKR41" s="643"/>
      <c r="JKS41" s="643"/>
      <c r="JKT41" s="643"/>
      <c r="JKU41" s="643"/>
      <c r="JKV41" s="643"/>
      <c r="JKW41" s="643"/>
      <c r="JKX41" s="643"/>
      <c r="JKY41" s="643"/>
      <c r="JKZ41" s="643"/>
      <c r="JLA41" s="643"/>
      <c r="JLB41" s="643"/>
      <c r="JLC41" s="643"/>
      <c r="JLD41" s="643"/>
      <c r="JLE41" s="643"/>
      <c r="JLF41" s="643"/>
      <c r="JLG41" s="643"/>
      <c r="JLH41" s="643"/>
      <c r="JLI41" s="643"/>
      <c r="JLJ41" s="643"/>
      <c r="JLK41" s="643"/>
      <c r="JLL41" s="643"/>
      <c r="JLM41" s="643"/>
      <c r="JLN41" s="643"/>
      <c r="JLO41" s="643"/>
      <c r="JLP41" s="643"/>
      <c r="JLQ41" s="643"/>
      <c r="JLR41" s="643"/>
      <c r="JLS41" s="643"/>
      <c r="JLT41" s="643"/>
      <c r="JLU41" s="643"/>
      <c r="JLV41" s="643"/>
      <c r="JLW41" s="643"/>
      <c r="JLX41" s="643"/>
      <c r="JLY41" s="643"/>
      <c r="JLZ41" s="643"/>
      <c r="JMA41" s="643"/>
      <c r="JMB41" s="643"/>
      <c r="JMC41" s="643"/>
      <c r="JMD41" s="643"/>
      <c r="JME41" s="643"/>
      <c r="JMF41" s="643"/>
      <c r="JMG41" s="643"/>
      <c r="JMH41" s="643"/>
      <c r="JMI41" s="643"/>
      <c r="JMJ41" s="643"/>
      <c r="JMK41" s="643"/>
      <c r="JML41" s="643"/>
      <c r="JMM41" s="643"/>
      <c r="JMN41" s="643"/>
      <c r="JMO41" s="643"/>
      <c r="JMP41" s="643"/>
      <c r="JMQ41" s="643"/>
      <c r="JMR41" s="643"/>
      <c r="JMS41" s="643"/>
      <c r="JMT41" s="643"/>
      <c r="JMU41" s="643"/>
      <c r="JMV41" s="643"/>
      <c r="JMW41" s="643"/>
      <c r="JMX41" s="643"/>
      <c r="JMY41" s="643"/>
      <c r="JMZ41" s="643"/>
      <c r="JNA41" s="643"/>
      <c r="JNB41" s="643"/>
      <c r="JNC41" s="643"/>
      <c r="JND41" s="643"/>
      <c r="JNE41" s="643"/>
      <c r="JNF41" s="643"/>
      <c r="JNG41" s="643"/>
      <c r="JNH41" s="643"/>
      <c r="JNI41" s="643"/>
      <c r="JNJ41" s="643"/>
      <c r="JNK41" s="643"/>
      <c r="JNL41" s="643"/>
      <c r="JNM41" s="643"/>
      <c r="JNN41" s="643"/>
      <c r="JNO41" s="643"/>
      <c r="JNP41" s="643"/>
      <c r="JNQ41" s="643"/>
      <c r="JNR41" s="643"/>
      <c r="JNS41" s="643"/>
      <c r="JNT41" s="643"/>
      <c r="JNU41" s="643"/>
      <c r="JNV41" s="643"/>
      <c r="JNW41" s="643"/>
      <c r="JNX41" s="643"/>
      <c r="JNY41" s="643"/>
      <c r="JNZ41" s="643"/>
      <c r="JOA41" s="643"/>
      <c r="JOB41" s="643"/>
      <c r="JOC41" s="643"/>
      <c r="JOD41" s="643"/>
      <c r="JOE41" s="643"/>
      <c r="JOF41" s="643"/>
      <c r="JOG41" s="643"/>
      <c r="JOH41" s="643"/>
      <c r="JOI41" s="643"/>
      <c r="JOJ41" s="643"/>
      <c r="JOK41" s="643"/>
      <c r="JOL41" s="643"/>
      <c r="JOM41" s="643"/>
      <c r="JON41" s="643"/>
      <c r="JOO41" s="643"/>
      <c r="JOP41" s="643"/>
      <c r="JOQ41" s="643"/>
      <c r="JOR41" s="643"/>
      <c r="JOS41" s="643"/>
      <c r="JOT41" s="643"/>
      <c r="JOU41" s="643"/>
      <c r="JOV41" s="643"/>
      <c r="JOW41" s="643"/>
      <c r="JOX41" s="643"/>
      <c r="JOY41" s="643"/>
      <c r="JOZ41" s="643"/>
      <c r="JPA41" s="643"/>
      <c r="JPB41" s="643"/>
      <c r="JPC41" s="643"/>
      <c r="JPD41" s="643"/>
      <c r="JPE41" s="643"/>
      <c r="JPF41" s="643"/>
      <c r="JPG41" s="643"/>
      <c r="JPH41" s="643"/>
      <c r="JPI41" s="643"/>
      <c r="JPJ41" s="643"/>
      <c r="JPK41" s="643"/>
      <c r="JPL41" s="643"/>
      <c r="JPM41" s="643"/>
      <c r="JPN41" s="643"/>
      <c r="JPO41" s="643"/>
      <c r="JPP41" s="643"/>
      <c r="JPQ41" s="643"/>
      <c r="JPR41" s="643"/>
      <c r="JPS41" s="643"/>
      <c r="JPT41" s="643"/>
      <c r="JPU41" s="643"/>
      <c r="JPV41" s="643"/>
      <c r="JPW41" s="643"/>
      <c r="JPX41" s="643"/>
      <c r="JPY41" s="643"/>
      <c r="JPZ41" s="643"/>
      <c r="JQA41" s="643"/>
      <c r="JQB41" s="643"/>
      <c r="JQC41" s="643"/>
      <c r="JQD41" s="643"/>
      <c r="JQE41" s="643"/>
      <c r="JQF41" s="643"/>
      <c r="JQG41" s="643"/>
      <c r="JQH41" s="643"/>
      <c r="JQI41" s="643"/>
      <c r="JQJ41" s="643"/>
      <c r="JQK41" s="643"/>
      <c r="JQL41" s="643"/>
      <c r="JQM41" s="643"/>
      <c r="JQN41" s="643"/>
      <c r="JQO41" s="643"/>
      <c r="JQP41" s="643"/>
      <c r="JQQ41" s="643"/>
      <c r="JQR41" s="643"/>
      <c r="JQS41" s="643"/>
      <c r="JQT41" s="643"/>
      <c r="JQU41" s="643"/>
      <c r="JQV41" s="643"/>
      <c r="JQW41" s="643"/>
      <c r="JQX41" s="643"/>
      <c r="JQY41" s="643"/>
      <c r="JQZ41" s="643"/>
      <c r="JRA41" s="643"/>
      <c r="JRB41" s="643"/>
      <c r="JRC41" s="643"/>
      <c r="JRD41" s="643"/>
      <c r="JRE41" s="643"/>
      <c r="JRF41" s="643"/>
      <c r="JRG41" s="643"/>
      <c r="JRH41" s="643"/>
      <c r="JRI41" s="643"/>
      <c r="JRJ41" s="643"/>
      <c r="JRK41" s="643"/>
      <c r="JRL41" s="643"/>
      <c r="JRM41" s="643"/>
      <c r="JRN41" s="643"/>
      <c r="JRO41" s="643"/>
      <c r="JRP41" s="643"/>
      <c r="JRQ41" s="643"/>
      <c r="JRR41" s="643"/>
      <c r="JRS41" s="643"/>
      <c r="JRT41" s="643"/>
      <c r="JRU41" s="643"/>
      <c r="JRV41" s="643"/>
      <c r="JRW41" s="643"/>
      <c r="JRX41" s="643"/>
      <c r="JRY41" s="643"/>
      <c r="JRZ41" s="643"/>
      <c r="JSA41" s="643"/>
      <c r="JSB41" s="643"/>
      <c r="JSC41" s="643"/>
      <c r="JSD41" s="643"/>
      <c r="JSE41" s="643"/>
      <c r="JSF41" s="643"/>
      <c r="JSG41" s="643"/>
      <c r="JSH41" s="643"/>
      <c r="JSI41" s="643"/>
      <c r="JSJ41" s="643"/>
      <c r="JSK41" s="643"/>
      <c r="JSL41" s="643"/>
      <c r="JSM41" s="643"/>
      <c r="JSN41" s="643"/>
      <c r="JSO41" s="643"/>
      <c r="JSP41" s="643"/>
      <c r="JSQ41" s="643"/>
      <c r="JSR41" s="643"/>
      <c r="JSS41" s="643"/>
      <c r="JST41" s="643"/>
      <c r="JSU41" s="643"/>
      <c r="JSV41" s="643"/>
      <c r="JSW41" s="643"/>
      <c r="JSX41" s="643"/>
      <c r="JSY41" s="643"/>
      <c r="JSZ41" s="643"/>
      <c r="JTA41" s="643"/>
      <c r="JTB41" s="643"/>
      <c r="JTC41" s="643"/>
      <c r="JTD41" s="643"/>
      <c r="JTE41" s="643"/>
      <c r="JTF41" s="643"/>
      <c r="JTG41" s="643"/>
      <c r="JTH41" s="643"/>
      <c r="JTI41" s="643"/>
      <c r="JTJ41" s="643"/>
      <c r="JTK41" s="643"/>
      <c r="JTL41" s="643"/>
      <c r="JTM41" s="643"/>
      <c r="JTN41" s="643"/>
      <c r="JTO41" s="643"/>
      <c r="JTP41" s="643"/>
      <c r="JTQ41" s="643"/>
      <c r="JTR41" s="643"/>
      <c r="JTS41" s="643"/>
      <c r="JTT41" s="643"/>
      <c r="JTU41" s="643"/>
      <c r="JTV41" s="643"/>
      <c r="JTW41" s="643"/>
      <c r="JTX41" s="643"/>
      <c r="JTY41" s="643"/>
      <c r="JTZ41" s="643"/>
      <c r="JUA41" s="643"/>
      <c r="JUB41" s="643"/>
      <c r="JUC41" s="643"/>
      <c r="JUD41" s="643"/>
      <c r="JUE41" s="643"/>
      <c r="JUF41" s="643"/>
      <c r="JUG41" s="643"/>
      <c r="JUH41" s="643"/>
      <c r="JUI41" s="643"/>
      <c r="JUJ41" s="643"/>
      <c r="JUK41" s="643"/>
      <c r="JUL41" s="643"/>
      <c r="JUM41" s="643"/>
      <c r="JUN41" s="643"/>
      <c r="JUO41" s="643"/>
      <c r="JUP41" s="643"/>
      <c r="JUQ41" s="643"/>
      <c r="JUR41" s="643"/>
      <c r="JUS41" s="643"/>
      <c r="JUT41" s="643"/>
      <c r="JUU41" s="643"/>
      <c r="JUV41" s="643"/>
      <c r="JUW41" s="643"/>
      <c r="JUX41" s="643"/>
      <c r="JUY41" s="643"/>
      <c r="JUZ41" s="643"/>
      <c r="JVA41" s="643"/>
      <c r="JVB41" s="643"/>
      <c r="JVC41" s="643"/>
      <c r="JVD41" s="643"/>
      <c r="JVE41" s="643"/>
      <c r="JVF41" s="643"/>
      <c r="JVG41" s="643"/>
      <c r="JVH41" s="643"/>
      <c r="JVI41" s="643"/>
      <c r="JVJ41" s="643"/>
      <c r="JVK41" s="643"/>
      <c r="JVL41" s="643"/>
      <c r="JVM41" s="643"/>
      <c r="JVN41" s="643"/>
      <c r="JVO41" s="643"/>
      <c r="JVP41" s="643"/>
      <c r="JVQ41" s="643"/>
      <c r="JVR41" s="643"/>
      <c r="JVS41" s="643"/>
      <c r="JVT41" s="643"/>
      <c r="JVU41" s="643"/>
      <c r="JVV41" s="643"/>
      <c r="JVW41" s="643"/>
      <c r="JVX41" s="643"/>
      <c r="JVY41" s="643"/>
      <c r="JVZ41" s="643"/>
      <c r="JWA41" s="643"/>
      <c r="JWB41" s="643"/>
      <c r="JWC41" s="643"/>
      <c r="JWD41" s="643"/>
      <c r="JWE41" s="643"/>
      <c r="JWF41" s="643"/>
      <c r="JWG41" s="643"/>
      <c r="JWH41" s="643"/>
      <c r="JWI41" s="643"/>
      <c r="JWJ41" s="643"/>
      <c r="JWK41" s="643"/>
      <c r="JWL41" s="643"/>
      <c r="JWM41" s="643"/>
      <c r="JWN41" s="643"/>
      <c r="JWO41" s="643"/>
      <c r="JWP41" s="643"/>
      <c r="JWQ41" s="643"/>
      <c r="JWR41" s="643"/>
      <c r="JWS41" s="643"/>
      <c r="JWT41" s="643"/>
      <c r="JWU41" s="643"/>
      <c r="JWV41" s="643"/>
      <c r="JWW41" s="643"/>
      <c r="JWX41" s="643"/>
      <c r="JWY41" s="643"/>
      <c r="JWZ41" s="643"/>
      <c r="JXA41" s="643"/>
      <c r="JXB41" s="643"/>
      <c r="JXC41" s="643"/>
      <c r="JXD41" s="643"/>
      <c r="JXE41" s="643"/>
      <c r="JXF41" s="643"/>
      <c r="JXG41" s="643"/>
      <c r="JXH41" s="643"/>
      <c r="JXI41" s="643"/>
      <c r="JXJ41" s="643"/>
      <c r="JXK41" s="643"/>
      <c r="JXL41" s="643"/>
      <c r="JXM41" s="643"/>
      <c r="JXN41" s="643"/>
      <c r="JXO41" s="643"/>
      <c r="JXP41" s="643"/>
      <c r="JXQ41" s="643"/>
      <c r="JXR41" s="643"/>
      <c r="JXS41" s="643"/>
      <c r="JXT41" s="643"/>
      <c r="JXU41" s="643"/>
      <c r="JXV41" s="643"/>
      <c r="JXW41" s="643"/>
      <c r="JXX41" s="643"/>
      <c r="JXY41" s="643"/>
      <c r="JXZ41" s="643"/>
      <c r="JYA41" s="643"/>
      <c r="JYB41" s="643"/>
      <c r="JYC41" s="643"/>
      <c r="JYD41" s="643"/>
      <c r="JYE41" s="643"/>
      <c r="JYF41" s="643"/>
      <c r="JYG41" s="643"/>
      <c r="JYH41" s="643"/>
      <c r="JYI41" s="643"/>
      <c r="JYJ41" s="643"/>
      <c r="JYK41" s="643"/>
      <c r="JYL41" s="643"/>
      <c r="JYM41" s="643"/>
      <c r="JYN41" s="643"/>
      <c r="JYO41" s="643"/>
      <c r="JYP41" s="643"/>
      <c r="JYQ41" s="643"/>
      <c r="JYR41" s="643"/>
      <c r="JYS41" s="643"/>
      <c r="JYT41" s="643"/>
      <c r="JYU41" s="643"/>
      <c r="JYV41" s="643"/>
      <c r="JYW41" s="643"/>
      <c r="JYX41" s="643"/>
      <c r="JYY41" s="643"/>
      <c r="JYZ41" s="643"/>
      <c r="JZA41" s="643"/>
      <c r="JZB41" s="643"/>
      <c r="JZC41" s="643"/>
      <c r="JZD41" s="643"/>
      <c r="JZE41" s="643"/>
      <c r="JZF41" s="643"/>
      <c r="JZG41" s="643"/>
      <c r="JZH41" s="643"/>
      <c r="JZI41" s="643"/>
      <c r="JZJ41" s="643"/>
      <c r="JZK41" s="643"/>
      <c r="JZL41" s="643"/>
      <c r="JZM41" s="643"/>
      <c r="JZN41" s="643"/>
      <c r="JZO41" s="643"/>
      <c r="JZP41" s="643"/>
      <c r="JZQ41" s="643"/>
      <c r="JZR41" s="643"/>
      <c r="JZS41" s="643"/>
      <c r="JZT41" s="643"/>
      <c r="JZU41" s="643"/>
      <c r="JZV41" s="643"/>
      <c r="JZW41" s="643"/>
      <c r="JZX41" s="643"/>
      <c r="JZY41" s="643"/>
      <c r="JZZ41" s="643"/>
      <c r="KAA41" s="643"/>
      <c r="KAB41" s="643"/>
      <c r="KAC41" s="643"/>
      <c r="KAD41" s="643"/>
      <c r="KAE41" s="643"/>
      <c r="KAF41" s="643"/>
      <c r="KAG41" s="643"/>
      <c r="KAH41" s="643"/>
      <c r="KAI41" s="643"/>
      <c r="KAJ41" s="643"/>
      <c r="KAK41" s="643"/>
      <c r="KAL41" s="643"/>
      <c r="KAM41" s="643"/>
      <c r="KAN41" s="643"/>
      <c r="KAO41" s="643"/>
      <c r="KAP41" s="643"/>
      <c r="KAQ41" s="643"/>
      <c r="KAR41" s="643"/>
      <c r="KAS41" s="643"/>
      <c r="KAT41" s="643"/>
      <c r="KAU41" s="643"/>
      <c r="KAV41" s="643"/>
      <c r="KAW41" s="643"/>
      <c r="KAX41" s="643"/>
      <c r="KAY41" s="643"/>
      <c r="KAZ41" s="643"/>
      <c r="KBA41" s="643"/>
      <c r="KBB41" s="643"/>
      <c r="KBC41" s="643"/>
      <c r="KBD41" s="643"/>
      <c r="KBE41" s="643"/>
      <c r="KBF41" s="643"/>
      <c r="KBG41" s="643"/>
      <c r="KBH41" s="643"/>
      <c r="KBI41" s="643"/>
      <c r="KBJ41" s="643"/>
      <c r="KBK41" s="643"/>
      <c r="KBL41" s="643"/>
      <c r="KBM41" s="643"/>
      <c r="KBN41" s="643"/>
      <c r="KBO41" s="643"/>
      <c r="KBP41" s="643"/>
      <c r="KBQ41" s="643"/>
      <c r="KBR41" s="643"/>
      <c r="KBS41" s="643"/>
      <c r="KBT41" s="643"/>
      <c r="KBU41" s="643"/>
      <c r="KBV41" s="643"/>
      <c r="KBW41" s="643"/>
      <c r="KBX41" s="643"/>
      <c r="KBY41" s="643"/>
      <c r="KBZ41" s="643"/>
      <c r="KCA41" s="643"/>
      <c r="KCB41" s="643"/>
      <c r="KCC41" s="643"/>
      <c r="KCD41" s="643"/>
      <c r="KCE41" s="643"/>
      <c r="KCF41" s="643"/>
      <c r="KCG41" s="643"/>
      <c r="KCH41" s="643"/>
      <c r="KCI41" s="643"/>
      <c r="KCJ41" s="643"/>
      <c r="KCK41" s="643"/>
      <c r="KCL41" s="643"/>
      <c r="KCM41" s="643"/>
      <c r="KCN41" s="643"/>
      <c r="KCO41" s="643"/>
      <c r="KCP41" s="643"/>
      <c r="KCQ41" s="643"/>
      <c r="KCR41" s="643"/>
      <c r="KCS41" s="643"/>
      <c r="KCT41" s="643"/>
      <c r="KCU41" s="643"/>
      <c r="KCV41" s="643"/>
      <c r="KCW41" s="643"/>
      <c r="KCX41" s="643"/>
      <c r="KCY41" s="643"/>
      <c r="KCZ41" s="643"/>
      <c r="KDA41" s="643"/>
      <c r="KDB41" s="643"/>
      <c r="KDC41" s="643"/>
      <c r="KDD41" s="643"/>
      <c r="KDE41" s="643"/>
      <c r="KDF41" s="643"/>
      <c r="KDG41" s="643"/>
      <c r="KDH41" s="643"/>
      <c r="KDI41" s="643"/>
      <c r="KDJ41" s="643"/>
      <c r="KDK41" s="643"/>
      <c r="KDL41" s="643"/>
      <c r="KDM41" s="643"/>
      <c r="KDN41" s="643"/>
      <c r="KDO41" s="643"/>
      <c r="KDP41" s="643"/>
      <c r="KDQ41" s="643"/>
      <c r="KDR41" s="643"/>
      <c r="KDS41" s="643"/>
      <c r="KDT41" s="643"/>
      <c r="KDU41" s="643"/>
      <c r="KDV41" s="643"/>
      <c r="KDW41" s="643"/>
      <c r="KDX41" s="643"/>
      <c r="KDY41" s="643"/>
      <c r="KDZ41" s="643"/>
      <c r="KEA41" s="643"/>
      <c r="KEB41" s="643"/>
      <c r="KEC41" s="643"/>
      <c r="KED41" s="643"/>
      <c r="KEE41" s="643"/>
      <c r="KEF41" s="643"/>
      <c r="KEG41" s="643"/>
      <c r="KEH41" s="643"/>
      <c r="KEI41" s="643"/>
      <c r="KEJ41" s="643"/>
      <c r="KEK41" s="643"/>
      <c r="KEL41" s="643"/>
      <c r="KEM41" s="643"/>
      <c r="KEN41" s="643"/>
      <c r="KEO41" s="643"/>
      <c r="KEP41" s="643"/>
      <c r="KEQ41" s="643"/>
      <c r="KER41" s="643"/>
      <c r="KES41" s="643"/>
      <c r="KET41" s="643"/>
      <c r="KEU41" s="643"/>
      <c r="KEV41" s="643"/>
      <c r="KEW41" s="643"/>
      <c r="KEX41" s="643"/>
      <c r="KEY41" s="643"/>
      <c r="KEZ41" s="643"/>
      <c r="KFA41" s="643"/>
      <c r="KFB41" s="643"/>
      <c r="KFC41" s="643"/>
      <c r="KFD41" s="643"/>
      <c r="KFE41" s="643"/>
      <c r="KFF41" s="643"/>
      <c r="KFG41" s="643"/>
      <c r="KFH41" s="643"/>
      <c r="KFI41" s="643"/>
      <c r="KFJ41" s="643"/>
      <c r="KFK41" s="643"/>
      <c r="KFL41" s="643"/>
      <c r="KFM41" s="643"/>
      <c r="KFN41" s="643"/>
      <c r="KFO41" s="643"/>
      <c r="KFP41" s="643"/>
      <c r="KFQ41" s="643"/>
      <c r="KFR41" s="643"/>
      <c r="KFS41" s="643"/>
      <c r="KFT41" s="643"/>
      <c r="KFU41" s="643"/>
      <c r="KFV41" s="643"/>
      <c r="KFW41" s="643"/>
      <c r="KFX41" s="643"/>
      <c r="KFY41" s="643"/>
      <c r="KFZ41" s="643"/>
      <c r="KGA41" s="643"/>
      <c r="KGB41" s="643"/>
      <c r="KGC41" s="643"/>
      <c r="KGD41" s="643"/>
      <c r="KGE41" s="643"/>
      <c r="KGF41" s="643"/>
      <c r="KGG41" s="643"/>
      <c r="KGH41" s="643"/>
      <c r="KGI41" s="643"/>
      <c r="KGJ41" s="643"/>
      <c r="KGK41" s="643"/>
      <c r="KGL41" s="643"/>
      <c r="KGM41" s="643"/>
      <c r="KGN41" s="643"/>
      <c r="KGO41" s="643"/>
      <c r="KGP41" s="643"/>
      <c r="KGQ41" s="643"/>
      <c r="KGR41" s="643"/>
      <c r="KGS41" s="643"/>
      <c r="KGT41" s="643"/>
      <c r="KGU41" s="643"/>
      <c r="KGV41" s="643"/>
      <c r="KGW41" s="643"/>
      <c r="KGX41" s="643"/>
      <c r="KGY41" s="643"/>
      <c r="KGZ41" s="643"/>
      <c r="KHA41" s="643"/>
      <c r="KHB41" s="643"/>
      <c r="KHC41" s="643"/>
      <c r="KHD41" s="643"/>
      <c r="KHE41" s="643"/>
      <c r="KHF41" s="643"/>
      <c r="KHG41" s="643"/>
      <c r="KHH41" s="643"/>
      <c r="KHI41" s="643"/>
      <c r="KHJ41" s="643"/>
      <c r="KHK41" s="643"/>
      <c r="KHL41" s="643"/>
      <c r="KHM41" s="643"/>
      <c r="KHN41" s="643"/>
      <c r="KHO41" s="643"/>
      <c r="KHP41" s="643"/>
      <c r="KHQ41" s="643"/>
      <c r="KHR41" s="643"/>
      <c r="KHS41" s="643"/>
      <c r="KHT41" s="643"/>
      <c r="KHU41" s="643"/>
      <c r="KHV41" s="643"/>
      <c r="KHW41" s="643"/>
      <c r="KHX41" s="643"/>
      <c r="KHY41" s="643"/>
      <c r="KHZ41" s="643"/>
      <c r="KIA41" s="643"/>
      <c r="KIB41" s="643"/>
      <c r="KIC41" s="643"/>
      <c r="KID41" s="643"/>
      <c r="KIE41" s="643"/>
      <c r="KIF41" s="643"/>
      <c r="KIG41" s="643"/>
      <c r="KIH41" s="643"/>
      <c r="KII41" s="643"/>
      <c r="KIJ41" s="643"/>
      <c r="KIK41" s="643"/>
      <c r="KIL41" s="643"/>
      <c r="KIM41" s="643"/>
      <c r="KIN41" s="643"/>
      <c r="KIO41" s="643"/>
      <c r="KIP41" s="643"/>
      <c r="KIQ41" s="643"/>
      <c r="KIR41" s="643"/>
      <c r="KIS41" s="643"/>
      <c r="KIT41" s="643"/>
      <c r="KIU41" s="643"/>
      <c r="KIV41" s="643"/>
      <c r="KIW41" s="643"/>
      <c r="KIX41" s="643"/>
      <c r="KIY41" s="643"/>
      <c r="KIZ41" s="643"/>
      <c r="KJA41" s="643"/>
      <c r="KJB41" s="643"/>
      <c r="KJC41" s="643"/>
      <c r="KJD41" s="643"/>
      <c r="KJE41" s="643"/>
      <c r="KJF41" s="643"/>
      <c r="KJG41" s="643"/>
      <c r="KJH41" s="643"/>
      <c r="KJI41" s="643"/>
      <c r="KJJ41" s="643"/>
      <c r="KJK41" s="643"/>
      <c r="KJL41" s="643"/>
      <c r="KJM41" s="643"/>
      <c r="KJN41" s="643"/>
      <c r="KJO41" s="643"/>
      <c r="KJP41" s="643"/>
      <c r="KJQ41" s="643"/>
      <c r="KJR41" s="643"/>
      <c r="KJS41" s="643"/>
      <c r="KJT41" s="643"/>
      <c r="KJU41" s="643"/>
      <c r="KJV41" s="643"/>
      <c r="KJW41" s="643"/>
      <c r="KJX41" s="643"/>
      <c r="KJY41" s="643"/>
      <c r="KJZ41" s="643"/>
      <c r="KKA41" s="643"/>
      <c r="KKB41" s="643"/>
      <c r="KKC41" s="643"/>
      <c r="KKD41" s="643"/>
      <c r="KKE41" s="643"/>
      <c r="KKF41" s="643"/>
      <c r="KKG41" s="643"/>
      <c r="KKH41" s="643"/>
      <c r="KKI41" s="643"/>
      <c r="KKJ41" s="643"/>
      <c r="KKK41" s="643"/>
      <c r="KKL41" s="643"/>
      <c r="KKM41" s="643"/>
      <c r="KKN41" s="643"/>
      <c r="KKO41" s="643"/>
      <c r="KKP41" s="643"/>
      <c r="KKQ41" s="643"/>
      <c r="KKR41" s="643"/>
      <c r="KKS41" s="643"/>
      <c r="KKT41" s="643"/>
      <c r="KKU41" s="643"/>
      <c r="KKV41" s="643"/>
      <c r="KKW41" s="643"/>
      <c r="KKX41" s="643"/>
      <c r="KKY41" s="643"/>
      <c r="KKZ41" s="643"/>
      <c r="KLA41" s="643"/>
      <c r="KLB41" s="643"/>
      <c r="KLC41" s="643"/>
      <c r="KLD41" s="643"/>
      <c r="KLE41" s="643"/>
      <c r="KLF41" s="643"/>
      <c r="KLG41" s="643"/>
      <c r="KLH41" s="643"/>
      <c r="KLI41" s="643"/>
      <c r="KLJ41" s="643"/>
      <c r="KLK41" s="643"/>
      <c r="KLL41" s="643"/>
      <c r="KLM41" s="643"/>
      <c r="KLN41" s="643"/>
      <c r="KLO41" s="643"/>
      <c r="KLP41" s="643"/>
      <c r="KLQ41" s="643"/>
      <c r="KLR41" s="643"/>
      <c r="KLS41" s="643"/>
      <c r="KLT41" s="643"/>
      <c r="KLU41" s="643"/>
      <c r="KLV41" s="643"/>
      <c r="KLW41" s="643"/>
      <c r="KLX41" s="643"/>
      <c r="KLY41" s="643"/>
      <c r="KLZ41" s="643"/>
      <c r="KMA41" s="643"/>
      <c r="KMB41" s="643"/>
      <c r="KMC41" s="643"/>
      <c r="KMD41" s="643"/>
      <c r="KME41" s="643"/>
      <c r="KMF41" s="643"/>
      <c r="KMG41" s="643"/>
      <c r="KMH41" s="643"/>
      <c r="KMI41" s="643"/>
      <c r="KMJ41" s="643"/>
      <c r="KMK41" s="643"/>
      <c r="KML41" s="643"/>
      <c r="KMM41" s="643"/>
      <c r="KMN41" s="643"/>
      <c r="KMO41" s="643"/>
      <c r="KMP41" s="643"/>
      <c r="KMQ41" s="643"/>
      <c r="KMR41" s="643"/>
      <c r="KMS41" s="643"/>
      <c r="KMT41" s="643"/>
      <c r="KMU41" s="643"/>
      <c r="KMV41" s="643"/>
      <c r="KMW41" s="643"/>
      <c r="KMX41" s="643"/>
      <c r="KMY41" s="643"/>
      <c r="KMZ41" s="643"/>
      <c r="KNA41" s="643"/>
      <c r="KNB41" s="643"/>
      <c r="KNC41" s="643"/>
      <c r="KND41" s="643"/>
      <c r="KNE41" s="643"/>
      <c r="KNF41" s="643"/>
      <c r="KNG41" s="643"/>
      <c r="KNH41" s="643"/>
      <c r="KNI41" s="643"/>
      <c r="KNJ41" s="643"/>
      <c r="KNK41" s="643"/>
      <c r="KNL41" s="643"/>
      <c r="KNM41" s="643"/>
      <c r="KNN41" s="643"/>
      <c r="KNO41" s="643"/>
      <c r="KNP41" s="643"/>
      <c r="KNQ41" s="643"/>
      <c r="KNR41" s="643"/>
      <c r="KNS41" s="643"/>
      <c r="KNT41" s="643"/>
      <c r="KNU41" s="643"/>
      <c r="KNV41" s="643"/>
      <c r="KNW41" s="643"/>
      <c r="KNX41" s="643"/>
      <c r="KNY41" s="643"/>
      <c r="KNZ41" s="643"/>
      <c r="KOA41" s="643"/>
      <c r="KOB41" s="643"/>
      <c r="KOC41" s="643"/>
      <c r="KOD41" s="643"/>
      <c r="KOE41" s="643"/>
      <c r="KOF41" s="643"/>
      <c r="KOG41" s="643"/>
      <c r="KOH41" s="643"/>
      <c r="KOI41" s="643"/>
      <c r="KOJ41" s="643"/>
      <c r="KOK41" s="643"/>
      <c r="KOL41" s="643"/>
      <c r="KOM41" s="643"/>
      <c r="KON41" s="643"/>
      <c r="KOO41" s="643"/>
      <c r="KOP41" s="643"/>
      <c r="KOQ41" s="643"/>
      <c r="KOR41" s="643"/>
      <c r="KOS41" s="643"/>
      <c r="KOT41" s="643"/>
      <c r="KOU41" s="643"/>
      <c r="KOV41" s="643"/>
      <c r="KOW41" s="643"/>
      <c r="KOX41" s="643"/>
      <c r="KOY41" s="643"/>
      <c r="KOZ41" s="643"/>
      <c r="KPA41" s="643"/>
      <c r="KPB41" s="643"/>
      <c r="KPC41" s="643"/>
      <c r="KPD41" s="643"/>
      <c r="KPE41" s="643"/>
      <c r="KPF41" s="643"/>
      <c r="KPG41" s="643"/>
      <c r="KPH41" s="643"/>
      <c r="KPI41" s="643"/>
      <c r="KPJ41" s="643"/>
      <c r="KPK41" s="643"/>
      <c r="KPL41" s="643"/>
      <c r="KPM41" s="643"/>
      <c r="KPN41" s="643"/>
      <c r="KPO41" s="643"/>
      <c r="KPP41" s="643"/>
      <c r="KPQ41" s="643"/>
      <c r="KPR41" s="643"/>
      <c r="KPS41" s="643"/>
      <c r="KPT41" s="643"/>
      <c r="KPU41" s="643"/>
      <c r="KPV41" s="643"/>
      <c r="KPW41" s="643"/>
      <c r="KPX41" s="643"/>
      <c r="KPY41" s="643"/>
      <c r="KPZ41" s="643"/>
      <c r="KQA41" s="643"/>
      <c r="KQB41" s="643"/>
      <c r="KQC41" s="643"/>
      <c r="KQD41" s="643"/>
      <c r="KQE41" s="643"/>
      <c r="KQF41" s="643"/>
      <c r="KQG41" s="643"/>
      <c r="KQH41" s="643"/>
      <c r="KQI41" s="643"/>
      <c r="KQJ41" s="643"/>
      <c r="KQK41" s="643"/>
      <c r="KQL41" s="643"/>
      <c r="KQM41" s="643"/>
      <c r="KQN41" s="643"/>
      <c r="KQO41" s="643"/>
      <c r="KQP41" s="643"/>
      <c r="KQQ41" s="643"/>
      <c r="KQR41" s="643"/>
      <c r="KQS41" s="643"/>
      <c r="KQT41" s="643"/>
      <c r="KQU41" s="643"/>
      <c r="KQV41" s="643"/>
      <c r="KQW41" s="643"/>
      <c r="KQX41" s="643"/>
      <c r="KQY41" s="643"/>
      <c r="KQZ41" s="643"/>
      <c r="KRA41" s="643"/>
      <c r="KRB41" s="643"/>
      <c r="KRC41" s="643"/>
      <c r="KRD41" s="643"/>
      <c r="KRE41" s="643"/>
      <c r="KRF41" s="643"/>
      <c r="KRG41" s="643"/>
      <c r="KRH41" s="643"/>
      <c r="KRI41" s="643"/>
      <c r="KRJ41" s="643"/>
      <c r="KRK41" s="643"/>
      <c r="KRL41" s="643"/>
      <c r="KRM41" s="643"/>
      <c r="KRN41" s="643"/>
      <c r="KRO41" s="643"/>
      <c r="KRP41" s="643"/>
      <c r="KRQ41" s="643"/>
      <c r="KRR41" s="643"/>
      <c r="KRS41" s="643"/>
      <c r="KRT41" s="643"/>
      <c r="KRU41" s="643"/>
      <c r="KRV41" s="643"/>
      <c r="KRW41" s="643"/>
      <c r="KRX41" s="643"/>
      <c r="KRY41" s="643"/>
      <c r="KRZ41" s="643"/>
      <c r="KSA41" s="643"/>
      <c r="KSB41" s="643"/>
      <c r="KSC41" s="643"/>
      <c r="KSD41" s="643"/>
      <c r="KSE41" s="643"/>
      <c r="KSF41" s="643"/>
      <c r="KSG41" s="643"/>
      <c r="KSH41" s="643"/>
      <c r="KSI41" s="643"/>
      <c r="KSJ41" s="643"/>
      <c r="KSK41" s="643"/>
      <c r="KSL41" s="643"/>
      <c r="KSM41" s="643"/>
      <c r="KSN41" s="643"/>
      <c r="KSO41" s="643"/>
      <c r="KSP41" s="643"/>
      <c r="KSQ41" s="643"/>
      <c r="KSR41" s="643"/>
      <c r="KSS41" s="643"/>
      <c r="KST41" s="643"/>
      <c r="KSU41" s="643"/>
      <c r="KSV41" s="643"/>
      <c r="KSW41" s="643"/>
      <c r="KSX41" s="643"/>
      <c r="KSY41" s="643"/>
      <c r="KSZ41" s="643"/>
      <c r="KTA41" s="643"/>
      <c r="KTB41" s="643"/>
      <c r="KTC41" s="643"/>
      <c r="KTD41" s="643"/>
      <c r="KTE41" s="643"/>
      <c r="KTF41" s="643"/>
      <c r="KTG41" s="643"/>
      <c r="KTH41" s="643"/>
      <c r="KTI41" s="643"/>
      <c r="KTJ41" s="643"/>
      <c r="KTK41" s="643"/>
      <c r="KTL41" s="643"/>
      <c r="KTM41" s="643"/>
      <c r="KTN41" s="643"/>
      <c r="KTO41" s="643"/>
      <c r="KTP41" s="643"/>
      <c r="KTQ41" s="643"/>
      <c r="KTR41" s="643"/>
      <c r="KTS41" s="643"/>
      <c r="KTT41" s="643"/>
      <c r="KTU41" s="643"/>
      <c r="KTV41" s="643"/>
      <c r="KTW41" s="643"/>
      <c r="KTX41" s="643"/>
      <c r="KTY41" s="643"/>
      <c r="KTZ41" s="643"/>
      <c r="KUA41" s="643"/>
      <c r="KUB41" s="643"/>
      <c r="KUC41" s="643"/>
      <c r="KUD41" s="643"/>
      <c r="KUE41" s="643"/>
      <c r="KUF41" s="643"/>
      <c r="KUG41" s="643"/>
      <c r="KUH41" s="643"/>
      <c r="KUI41" s="643"/>
      <c r="KUJ41" s="643"/>
      <c r="KUK41" s="643"/>
      <c r="KUL41" s="643"/>
      <c r="KUM41" s="643"/>
      <c r="KUN41" s="643"/>
      <c r="KUO41" s="643"/>
      <c r="KUP41" s="643"/>
      <c r="KUQ41" s="643"/>
      <c r="KUR41" s="643"/>
      <c r="KUS41" s="643"/>
      <c r="KUT41" s="643"/>
      <c r="KUU41" s="643"/>
      <c r="KUV41" s="643"/>
      <c r="KUW41" s="643"/>
      <c r="KUX41" s="643"/>
      <c r="KUY41" s="643"/>
      <c r="KUZ41" s="643"/>
      <c r="KVA41" s="643"/>
      <c r="KVB41" s="643"/>
      <c r="KVC41" s="643"/>
      <c r="KVD41" s="643"/>
      <c r="KVE41" s="643"/>
      <c r="KVF41" s="643"/>
      <c r="KVG41" s="643"/>
      <c r="KVH41" s="643"/>
      <c r="KVI41" s="643"/>
      <c r="KVJ41" s="643"/>
      <c r="KVK41" s="643"/>
      <c r="KVL41" s="643"/>
      <c r="KVM41" s="643"/>
      <c r="KVN41" s="643"/>
      <c r="KVO41" s="643"/>
      <c r="KVP41" s="643"/>
      <c r="KVQ41" s="643"/>
      <c r="KVR41" s="643"/>
      <c r="KVS41" s="643"/>
      <c r="KVT41" s="643"/>
      <c r="KVU41" s="643"/>
      <c r="KVV41" s="643"/>
      <c r="KVW41" s="643"/>
      <c r="KVX41" s="643"/>
      <c r="KVY41" s="643"/>
      <c r="KVZ41" s="643"/>
      <c r="KWA41" s="643"/>
      <c r="KWB41" s="643"/>
      <c r="KWC41" s="643"/>
      <c r="KWD41" s="643"/>
      <c r="KWE41" s="643"/>
      <c r="KWF41" s="643"/>
      <c r="KWG41" s="643"/>
      <c r="KWH41" s="643"/>
      <c r="KWI41" s="643"/>
      <c r="KWJ41" s="643"/>
      <c r="KWK41" s="643"/>
      <c r="KWL41" s="643"/>
      <c r="KWM41" s="643"/>
      <c r="KWN41" s="643"/>
      <c r="KWO41" s="643"/>
      <c r="KWP41" s="643"/>
      <c r="KWQ41" s="643"/>
      <c r="KWR41" s="643"/>
      <c r="KWS41" s="643"/>
      <c r="KWT41" s="643"/>
      <c r="KWU41" s="643"/>
      <c r="KWV41" s="643"/>
      <c r="KWW41" s="643"/>
      <c r="KWX41" s="643"/>
      <c r="KWY41" s="643"/>
      <c r="KWZ41" s="643"/>
      <c r="KXA41" s="643"/>
      <c r="KXB41" s="643"/>
      <c r="KXC41" s="643"/>
      <c r="KXD41" s="643"/>
      <c r="KXE41" s="643"/>
      <c r="KXF41" s="643"/>
      <c r="KXG41" s="643"/>
      <c r="KXH41" s="643"/>
      <c r="KXI41" s="643"/>
      <c r="KXJ41" s="643"/>
      <c r="KXK41" s="643"/>
      <c r="KXL41" s="643"/>
      <c r="KXM41" s="643"/>
      <c r="KXN41" s="643"/>
      <c r="KXO41" s="643"/>
      <c r="KXP41" s="643"/>
      <c r="KXQ41" s="643"/>
      <c r="KXR41" s="643"/>
      <c r="KXS41" s="643"/>
      <c r="KXT41" s="643"/>
      <c r="KXU41" s="643"/>
      <c r="KXV41" s="643"/>
      <c r="KXW41" s="643"/>
      <c r="KXX41" s="643"/>
      <c r="KXY41" s="643"/>
      <c r="KXZ41" s="643"/>
      <c r="KYA41" s="643"/>
      <c r="KYB41" s="643"/>
      <c r="KYC41" s="643"/>
      <c r="KYD41" s="643"/>
      <c r="KYE41" s="643"/>
      <c r="KYF41" s="643"/>
      <c r="KYG41" s="643"/>
      <c r="KYH41" s="643"/>
      <c r="KYI41" s="643"/>
      <c r="KYJ41" s="643"/>
      <c r="KYK41" s="643"/>
      <c r="KYL41" s="643"/>
      <c r="KYM41" s="643"/>
      <c r="KYN41" s="643"/>
      <c r="KYO41" s="643"/>
      <c r="KYP41" s="643"/>
      <c r="KYQ41" s="643"/>
      <c r="KYR41" s="643"/>
      <c r="KYS41" s="643"/>
      <c r="KYT41" s="643"/>
      <c r="KYU41" s="643"/>
      <c r="KYV41" s="643"/>
      <c r="KYW41" s="643"/>
      <c r="KYX41" s="643"/>
      <c r="KYY41" s="643"/>
      <c r="KYZ41" s="643"/>
      <c r="KZA41" s="643"/>
      <c r="KZB41" s="643"/>
      <c r="KZC41" s="643"/>
      <c r="KZD41" s="643"/>
      <c r="KZE41" s="643"/>
      <c r="KZF41" s="643"/>
      <c r="KZG41" s="643"/>
      <c r="KZH41" s="643"/>
      <c r="KZI41" s="643"/>
      <c r="KZJ41" s="643"/>
      <c r="KZK41" s="643"/>
      <c r="KZL41" s="643"/>
      <c r="KZM41" s="643"/>
      <c r="KZN41" s="643"/>
      <c r="KZO41" s="643"/>
      <c r="KZP41" s="643"/>
      <c r="KZQ41" s="643"/>
      <c r="KZR41" s="643"/>
      <c r="KZS41" s="643"/>
      <c r="KZT41" s="643"/>
      <c r="KZU41" s="643"/>
      <c r="KZV41" s="643"/>
      <c r="KZW41" s="643"/>
      <c r="KZX41" s="643"/>
      <c r="KZY41" s="643"/>
      <c r="KZZ41" s="643"/>
      <c r="LAA41" s="643"/>
      <c r="LAB41" s="643"/>
      <c r="LAC41" s="643"/>
      <c r="LAD41" s="643"/>
      <c r="LAE41" s="643"/>
      <c r="LAF41" s="643"/>
      <c r="LAG41" s="643"/>
      <c r="LAH41" s="643"/>
      <c r="LAI41" s="643"/>
      <c r="LAJ41" s="643"/>
      <c r="LAK41" s="643"/>
      <c r="LAL41" s="643"/>
      <c r="LAM41" s="643"/>
      <c r="LAN41" s="643"/>
      <c r="LAO41" s="643"/>
      <c r="LAP41" s="643"/>
      <c r="LAQ41" s="643"/>
      <c r="LAR41" s="643"/>
      <c r="LAS41" s="643"/>
      <c r="LAT41" s="643"/>
      <c r="LAU41" s="643"/>
      <c r="LAV41" s="643"/>
      <c r="LAW41" s="643"/>
      <c r="LAX41" s="643"/>
      <c r="LAY41" s="643"/>
      <c r="LAZ41" s="643"/>
      <c r="LBA41" s="643"/>
      <c r="LBB41" s="643"/>
      <c r="LBC41" s="643"/>
      <c r="LBD41" s="643"/>
      <c r="LBE41" s="643"/>
      <c r="LBF41" s="643"/>
      <c r="LBG41" s="643"/>
      <c r="LBH41" s="643"/>
      <c r="LBI41" s="643"/>
      <c r="LBJ41" s="643"/>
      <c r="LBK41" s="643"/>
      <c r="LBL41" s="643"/>
      <c r="LBM41" s="643"/>
      <c r="LBN41" s="643"/>
      <c r="LBO41" s="643"/>
      <c r="LBP41" s="643"/>
      <c r="LBQ41" s="643"/>
      <c r="LBR41" s="643"/>
      <c r="LBS41" s="643"/>
      <c r="LBT41" s="643"/>
      <c r="LBU41" s="643"/>
      <c r="LBV41" s="643"/>
      <c r="LBW41" s="643"/>
      <c r="LBX41" s="643"/>
      <c r="LBY41" s="643"/>
      <c r="LBZ41" s="643"/>
      <c r="LCA41" s="643"/>
      <c r="LCB41" s="643"/>
      <c r="LCC41" s="643"/>
      <c r="LCD41" s="643"/>
      <c r="LCE41" s="643"/>
      <c r="LCF41" s="643"/>
      <c r="LCG41" s="643"/>
      <c r="LCH41" s="643"/>
      <c r="LCI41" s="643"/>
      <c r="LCJ41" s="643"/>
      <c r="LCK41" s="643"/>
      <c r="LCL41" s="643"/>
      <c r="LCM41" s="643"/>
      <c r="LCN41" s="643"/>
      <c r="LCO41" s="643"/>
      <c r="LCP41" s="643"/>
      <c r="LCQ41" s="643"/>
      <c r="LCR41" s="643"/>
      <c r="LCS41" s="643"/>
      <c r="LCT41" s="643"/>
      <c r="LCU41" s="643"/>
      <c r="LCV41" s="643"/>
      <c r="LCW41" s="643"/>
      <c r="LCX41" s="643"/>
      <c r="LCY41" s="643"/>
      <c r="LCZ41" s="643"/>
      <c r="LDA41" s="643"/>
      <c r="LDB41" s="643"/>
      <c r="LDC41" s="643"/>
      <c r="LDD41" s="643"/>
      <c r="LDE41" s="643"/>
      <c r="LDF41" s="643"/>
      <c r="LDG41" s="643"/>
      <c r="LDH41" s="643"/>
      <c r="LDI41" s="643"/>
      <c r="LDJ41" s="643"/>
      <c r="LDK41" s="643"/>
      <c r="LDL41" s="643"/>
      <c r="LDM41" s="643"/>
      <c r="LDN41" s="643"/>
      <c r="LDO41" s="643"/>
      <c r="LDP41" s="643"/>
      <c r="LDQ41" s="643"/>
      <c r="LDR41" s="643"/>
      <c r="LDS41" s="643"/>
      <c r="LDT41" s="643"/>
      <c r="LDU41" s="643"/>
      <c r="LDV41" s="643"/>
      <c r="LDW41" s="643"/>
      <c r="LDX41" s="643"/>
      <c r="LDY41" s="643"/>
      <c r="LDZ41" s="643"/>
      <c r="LEA41" s="643"/>
      <c r="LEB41" s="643"/>
      <c r="LEC41" s="643"/>
      <c r="LED41" s="643"/>
      <c r="LEE41" s="643"/>
      <c r="LEF41" s="643"/>
      <c r="LEG41" s="643"/>
      <c r="LEH41" s="643"/>
      <c r="LEI41" s="643"/>
      <c r="LEJ41" s="643"/>
      <c r="LEK41" s="643"/>
      <c r="LEL41" s="643"/>
      <c r="LEM41" s="643"/>
      <c r="LEN41" s="643"/>
      <c r="LEO41" s="643"/>
      <c r="LEP41" s="643"/>
      <c r="LEQ41" s="643"/>
      <c r="LER41" s="643"/>
      <c r="LES41" s="643"/>
      <c r="LET41" s="643"/>
      <c r="LEU41" s="643"/>
      <c r="LEV41" s="643"/>
      <c r="LEW41" s="643"/>
      <c r="LEX41" s="643"/>
      <c r="LEY41" s="643"/>
      <c r="LEZ41" s="643"/>
      <c r="LFA41" s="643"/>
      <c r="LFB41" s="643"/>
      <c r="LFC41" s="643"/>
      <c r="LFD41" s="643"/>
      <c r="LFE41" s="643"/>
      <c r="LFF41" s="643"/>
      <c r="LFG41" s="643"/>
      <c r="LFH41" s="643"/>
      <c r="LFI41" s="643"/>
      <c r="LFJ41" s="643"/>
      <c r="LFK41" s="643"/>
      <c r="LFL41" s="643"/>
      <c r="LFM41" s="643"/>
      <c r="LFN41" s="643"/>
      <c r="LFO41" s="643"/>
      <c r="LFP41" s="643"/>
      <c r="LFQ41" s="643"/>
      <c r="LFR41" s="643"/>
      <c r="LFS41" s="643"/>
      <c r="LFT41" s="643"/>
      <c r="LFU41" s="643"/>
      <c r="LFV41" s="643"/>
      <c r="LFW41" s="643"/>
      <c r="LFX41" s="643"/>
      <c r="LFY41" s="643"/>
      <c r="LFZ41" s="643"/>
      <c r="LGA41" s="643"/>
      <c r="LGB41" s="643"/>
      <c r="LGC41" s="643"/>
      <c r="LGD41" s="643"/>
      <c r="LGE41" s="643"/>
      <c r="LGF41" s="643"/>
      <c r="LGG41" s="643"/>
      <c r="LGH41" s="643"/>
      <c r="LGI41" s="643"/>
      <c r="LGJ41" s="643"/>
      <c r="LGK41" s="643"/>
      <c r="LGL41" s="643"/>
      <c r="LGM41" s="643"/>
      <c r="LGN41" s="643"/>
      <c r="LGO41" s="643"/>
      <c r="LGP41" s="643"/>
      <c r="LGQ41" s="643"/>
      <c r="LGR41" s="643"/>
      <c r="LGS41" s="643"/>
      <c r="LGT41" s="643"/>
      <c r="LGU41" s="643"/>
      <c r="LGV41" s="643"/>
      <c r="LGW41" s="643"/>
      <c r="LGX41" s="643"/>
      <c r="LGY41" s="643"/>
      <c r="LGZ41" s="643"/>
      <c r="LHA41" s="643"/>
      <c r="LHB41" s="643"/>
      <c r="LHC41" s="643"/>
      <c r="LHD41" s="643"/>
      <c r="LHE41" s="643"/>
      <c r="LHF41" s="643"/>
      <c r="LHG41" s="643"/>
      <c r="LHH41" s="643"/>
      <c r="LHI41" s="643"/>
      <c r="LHJ41" s="643"/>
      <c r="LHK41" s="643"/>
      <c r="LHL41" s="643"/>
      <c r="LHM41" s="643"/>
      <c r="LHN41" s="643"/>
      <c r="LHO41" s="643"/>
      <c r="LHP41" s="643"/>
      <c r="LHQ41" s="643"/>
      <c r="LHR41" s="643"/>
      <c r="LHS41" s="643"/>
      <c r="LHT41" s="643"/>
      <c r="LHU41" s="643"/>
      <c r="LHV41" s="643"/>
      <c r="LHW41" s="643"/>
      <c r="LHX41" s="643"/>
      <c r="LHY41" s="643"/>
      <c r="LHZ41" s="643"/>
      <c r="LIA41" s="643"/>
      <c r="LIB41" s="643"/>
      <c r="LIC41" s="643"/>
      <c r="LID41" s="643"/>
      <c r="LIE41" s="643"/>
      <c r="LIF41" s="643"/>
      <c r="LIG41" s="643"/>
      <c r="LIH41" s="643"/>
      <c r="LII41" s="643"/>
      <c r="LIJ41" s="643"/>
      <c r="LIK41" s="643"/>
      <c r="LIL41" s="643"/>
      <c r="LIM41" s="643"/>
      <c r="LIN41" s="643"/>
      <c r="LIO41" s="643"/>
      <c r="LIP41" s="643"/>
      <c r="LIQ41" s="643"/>
      <c r="LIR41" s="643"/>
      <c r="LIS41" s="643"/>
      <c r="LIT41" s="643"/>
      <c r="LIU41" s="643"/>
      <c r="LIV41" s="643"/>
      <c r="LIW41" s="643"/>
      <c r="LIX41" s="643"/>
      <c r="LIY41" s="643"/>
      <c r="LIZ41" s="643"/>
      <c r="LJA41" s="643"/>
      <c r="LJB41" s="643"/>
      <c r="LJC41" s="643"/>
      <c r="LJD41" s="643"/>
      <c r="LJE41" s="643"/>
      <c r="LJF41" s="643"/>
      <c r="LJG41" s="643"/>
      <c r="LJH41" s="643"/>
      <c r="LJI41" s="643"/>
      <c r="LJJ41" s="643"/>
      <c r="LJK41" s="643"/>
      <c r="LJL41" s="643"/>
      <c r="LJM41" s="643"/>
      <c r="LJN41" s="643"/>
      <c r="LJO41" s="643"/>
      <c r="LJP41" s="643"/>
      <c r="LJQ41" s="643"/>
      <c r="LJR41" s="643"/>
      <c r="LJS41" s="643"/>
      <c r="LJT41" s="643"/>
      <c r="LJU41" s="643"/>
      <c r="LJV41" s="643"/>
      <c r="LJW41" s="643"/>
      <c r="LJX41" s="643"/>
      <c r="LJY41" s="643"/>
      <c r="LJZ41" s="643"/>
      <c r="LKA41" s="643"/>
      <c r="LKB41" s="643"/>
      <c r="LKC41" s="643"/>
      <c r="LKD41" s="643"/>
      <c r="LKE41" s="643"/>
      <c r="LKF41" s="643"/>
      <c r="LKG41" s="643"/>
      <c r="LKH41" s="643"/>
      <c r="LKI41" s="643"/>
      <c r="LKJ41" s="643"/>
      <c r="LKK41" s="643"/>
      <c r="LKL41" s="643"/>
      <c r="LKM41" s="643"/>
      <c r="LKN41" s="643"/>
      <c r="LKO41" s="643"/>
      <c r="LKP41" s="643"/>
      <c r="LKQ41" s="643"/>
      <c r="LKR41" s="643"/>
      <c r="LKS41" s="643"/>
      <c r="LKT41" s="643"/>
      <c r="LKU41" s="643"/>
      <c r="LKV41" s="643"/>
      <c r="LKW41" s="643"/>
      <c r="LKX41" s="643"/>
      <c r="LKY41" s="643"/>
      <c r="LKZ41" s="643"/>
      <c r="LLA41" s="643"/>
      <c r="LLB41" s="643"/>
      <c r="LLC41" s="643"/>
      <c r="LLD41" s="643"/>
      <c r="LLE41" s="643"/>
      <c r="LLF41" s="643"/>
      <c r="LLG41" s="643"/>
      <c r="LLH41" s="643"/>
      <c r="LLI41" s="643"/>
      <c r="LLJ41" s="643"/>
      <c r="LLK41" s="643"/>
      <c r="LLL41" s="643"/>
      <c r="LLM41" s="643"/>
      <c r="LLN41" s="643"/>
      <c r="LLO41" s="643"/>
      <c r="LLP41" s="643"/>
      <c r="LLQ41" s="643"/>
      <c r="LLR41" s="643"/>
      <c r="LLS41" s="643"/>
      <c r="LLT41" s="643"/>
      <c r="LLU41" s="643"/>
      <c r="LLV41" s="643"/>
      <c r="LLW41" s="643"/>
      <c r="LLX41" s="643"/>
      <c r="LLY41" s="643"/>
      <c r="LLZ41" s="643"/>
      <c r="LMA41" s="643"/>
      <c r="LMB41" s="643"/>
      <c r="LMC41" s="643"/>
      <c r="LMD41" s="643"/>
      <c r="LME41" s="643"/>
      <c r="LMF41" s="643"/>
      <c r="LMG41" s="643"/>
      <c r="LMH41" s="643"/>
      <c r="LMI41" s="643"/>
      <c r="LMJ41" s="643"/>
      <c r="LMK41" s="643"/>
      <c r="LML41" s="643"/>
      <c r="LMM41" s="643"/>
      <c r="LMN41" s="643"/>
      <c r="LMO41" s="643"/>
      <c r="LMP41" s="643"/>
      <c r="LMQ41" s="643"/>
      <c r="LMR41" s="643"/>
      <c r="LMS41" s="643"/>
      <c r="LMT41" s="643"/>
      <c r="LMU41" s="643"/>
      <c r="LMV41" s="643"/>
      <c r="LMW41" s="643"/>
      <c r="LMX41" s="643"/>
      <c r="LMY41" s="643"/>
      <c r="LMZ41" s="643"/>
      <c r="LNA41" s="643"/>
      <c r="LNB41" s="643"/>
      <c r="LNC41" s="643"/>
      <c r="LND41" s="643"/>
      <c r="LNE41" s="643"/>
      <c r="LNF41" s="643"/>
      <c r="LNG41" s="643"/>
      <c r="LNH41" s="643"/>
      <c r="LNI41" s="643"/>
      <c r="LNJ41" s="643"/>
      <c r="LNK41" s="643"/>
      <c r="LNL41" s="643"/>
      <c r="LNM41" s="643"/>
      <c r="LNN41" s="643"/>
      <c r="LNO41" s="643"/>
      <c r="LNP41" s="643"/>
      <c r="LNQ41" s="643"/>
      <c r="LNR41" s="643"/>
      <c r="LNS41" s="643"/>
      <c r="LNT41" s="643"/>
      <c r="LNU41" s="643"/>
      <c r="LNV41" s="643"/>
      <c r="LNW41" s="643"/>
      <c r="LNX41" s="643"/>
      <c r="LNY41" s="643"/>
      <c r="LNZ41" s="643"/>
      <c r="LOA41" s="643"/>
      <c r="LOB41" s="643"/>
      <c r="LOC41" s="643"/>
      <c r="LOD41" s="643"/>
      <c r="LOE41" s="643"/>
      <c r="LOF41" s="643"/>
      <c r="LOG41" s="643"/>
      <c r="LOH41" s="643"/>
      <c r="LOI41" s="643"/>
      <c r="LOJ41" s="643"/>
      <c r="LOK41" s="643"/>
      <c r="LOL41" s="643"/>
      <c r="LOM41" s="643"/>
      <c r="LON41" s="643"/>
      <c r="LOO41" s="643"/>
      <c r="LOP41" s="643"/>
      <c r="LOQ41" s="643"/>
      <c r="LOR41" s="643"/>
      <c r="LOS41" s="643"/>
      <c r="LOT41" s="643"/>
      <c r="LOU41" s="643"/>
      <c r="LOV41" s="643"/>
      <c r="LOW41" s="643"/>
      <c r="LOX41" s="643"/>
      <c r="LOY41" s="643"/>
      <c r="LOZ41" s="643"/>
      <c r="LPA41" s="643"/>
      <c r="LPB41" s="643"/>
      <c r="LPC41" s="643"/>
      <c r="LPD41" s="643"/>
      <c r="LPE41" s="643"/>
      <c r="LPF41" s="643"/>
      <c r="LPG41" s="643"/>
      <c r="LPH41" s="643"/>
      <c r="LPI41" s="643"/>
      <c r="LPJ41" s="643"/>
      <c r="LPK41" s="643"/>
      <c r="LPL41" s="643"/>
      <c r="LPM41" s="643"/>
      <c r="LPN41" s="643"/>
      <c r="LPO41" s="643"/>
      <c r="LPP41" s="643"/>
      <c r="LPQ41" s="643"/>
      <c r="LPR41" s="643"/>
      <c r="LPS41" s="643"/>
      <c r="LPT41" s="643"/>
      <c r="LPU41" s="643"/>
      <c r="LPV41" s="643"/>
      <c r="LPW41" s="643"/>
      <c r="LPX41" s="643"/>
      <c r="LPY41" s="643"/>
      <c r="LPZ41" s="643"/>
      <c r="LQA41" s="643"/>
      <c r="LQB41" s="643"/>
      <c r="LQC41" s="643"/>
      <c r="LQD41" s="643"/>
      <c r="LQE41" s="643"/>
      <c r="LQF41" s="643"/>
      <c r="LQG41" s="643"/>
      <c r="LQH41" s="643"/>
      <c r="LQI41" s="643"/>
      <c r="LQJ41" s="643"/>
      <c r="LQK41" s="643"/>
      <c r="LQL41" s="643"/>
      <c r="LQM41" s="643"/>
      <c r="LQN41" s="643"/>
      <c r="LQO41" s="643"/>
      <c r="LQP41" s="643"/>
      <c r="LQQ41" s="643"/>
      <c r="LQR41" s="643"/>
      <c r="LQS41" s="643"/>
      <c r="LQT41" s="643"/>
      <c r="LQU41" s="643"/>
      <c r="LQV41" s="643"/>
      <c r="LQW41" s="643"/>
      <c r="LQX41" s="643"/>
      <c r="LQY41" s="643"/>
      <c r="LQZ41" s="643"/>
      <c r="LRA41" s="643"/>
      <c r="LRB41" s="643"/>
      <c r="LRC41" s="643"/>
      <c r="LRD41" s="643"/>
      <c r="LRE41" s="643"/>
      <c r="LRF41" s="643"/>
      <c r="LRG41" s="643"/>
      <c r="LRH41" s="643"/>
      <c r="LRI41" s="643"/>
      <c r="LRJ41" s="643"/>
      <c r="LRK41" s="643"/>
      <c r="LRL41" s="643"/>
      <c r="LRM41" s="643"/>
      <c r="LRN41" s="643"/>
      <c r="LRO41" s="643"/>
      <c r="LRP41" s="643"/>
      <c r="LRQ41" s="643"/>
      <c r="LRR41" s="643"/>
      <c r="LRS41" s="643"/>
      <c r="LRT41" s="643"/>
      <c r="LRU41" s="643"/>
      <c r="LRV41" s="643"/>
      <c r="LRW41" s="643"/>
      <c r="LRX41" s="643"/>
      <c r="LRY41" s="643"/>
      <c r="LRZ41" s="643"/>
      <c r="LSA41" s="643"/>
      <c r="LSB41" s="643"/>
      <c r="LSC41" s="643"/>
      <c r="LSD41" s="643"/>
      <c r="LSE41" s="643"/>
      <c r="LSF41" s="643"/>
      <c r="LSG41" s="643"/>
      <c r="LSH41" s="643"/>
      <c r="LSI41" s="643"/>
      <c r="LSJ41" s="643"/>
      <c r="LSK41" s="643"/>
      <c r="LSL41" s="643"/>
      <c r="LSM41" s="643"/>
      <c r="LSN41" s="643"/>
      <c r="LSO41" s="643"/>
      <c r="LSP41" s="643"/>
      <c r="LSQ41" s="643"/>
      <c r="LSR41" s="643"/>
      <c r="LSS41" s="643"/>
      <c r="LST41" s="643"/>
      <c r="LSU41" s="643"/>
      <c r="LSV41" s="643"/>
      <c r="LSW41" s="643"/>
      <c r="LSX41" s="643"/>
      <c r="LSY41" s="643"/>
      <c r="LSZ41" s="643"/>
      <c r="LTA41" s="643"/>
      <c r="LTB41" s="643"/>
      <c r="LTC41" s="643"/>
      <c r="LTD41" s="643"/>
      <c r="LTE41" s="643"/>
      <c r="LTF41" s="643"/>
      <c r="LTG41" s="643"/>
      <c r="LTH41" s="643"/>
      <c r="LTI41" s="643"/>
      <c r="LTJ41" s="643"/>
      <c r="LTK41" s="643"/>
      <c r="LTL41" s="643"/>
      <c r="LTM41" s="643"/>
      <c r="LTN41" s="643"/>
      <c r="LTO41" s="643"/>
      <c r="LTP41" s="643"/>
      <c r="LTQ41" s="643"/>
      <c r="LTR41" s="643"/>
      <c r="LTS41" s="643"/>
      <c r="LTT41" s="643"/>
      <c r="LTU41" s="643"/>
      <c r="LTV41" s="643"/>
      <c r="LTW41" s="643"/>
      <c r="LTX41" s="643"/>
      <c r="LTY41" s="643"/>
      <c r="LTZ41" s="643"/>
      <c r="LUA41" s="643"/>
      <c r="LUB41" s="643"/>
      <c r="LUC41" s="643"/>
      <c r="LUD41" s="643"/>
      <c r="LUE41" s="643"/>
      <c r="LUF41" s="643"/>
      <c r="LUG41" s="643"/>
      <c r="LUH41" s="643"/>
      <c r="LUI41" s="643"/>
      <c r="LUJ41" s="643"/>
      <c r="LUK41" s="643"/>
      <c r="LUL41" s="643"/>
      <c r="LUM41" s="643"/>
      <c r="LUN41" s="643"/>
      <c r="LUO41" s="643"/>
      <c r="LUP41" s="643"/>
      <c r="LUQ41" s="643"/>
      <c r="LUR41" s="643"/>
      <c r="LUS41" s="643"/>
      <c r="LUT41" s="643"/>
      <c r="LUU41" s="643"/>
      <c r="LUV41" s="643"/>
      <c r="LUW41" s="643"/>
      <c r="LUX41" s="643"/>
      <c r="LUY41" s="643"/>
      <c r="LUZ41" s="643"/>
      <c r="LVA41" s="643"/>
      <c r="LVB41" s="643"/>
      <c r="LVC41" s="643"/>
      <c r="LVD41" s="643"/>
      <c r="LVE41" s="643"/>
      <c r="LVF41" s="643"/>
      <c r="LVG41" s="643"/>
      <c r="LVH41" s="643"/>
      <c r="LVI41" s="643"/>
      <c r="LVJ41" s="643"/>
      <c r="LVK41" s="643"/>
      <c r="LVL41" s="643"/>
      <c r="LVM41" s="643"/>
      <c r="LVN41" s="643"/>
      <c r="LVO41" s="643"/>
      <c r="LVP41" s="643"/>
      <c r="LVQ41" s="643"/>
      <c r="LVR41" s="643"/>
      <c r="LVS41" s="643"/>
      <c r="LVT41" s="643"/>
      <c r="LVU41" s="643"/>
      <c r="LVV41" s="643"/>
      <c r="LVW41" s="643"/>
      <c r="LVX41" s="643"/>
      <c r="LVY41" s="643"/>
      <c r="LVZ41" s="643"/>
      <c r="LWA41" s="643"/>
      <c r="LWB41" s="643"/>
      <c r="LWC41" s="643"/>
      <c r="LWD41" s="643"/>
      <c r="LWE41" s="643"/>
      <c r="LWF41" s="643"/>
      <c r="LWG41" s="643"/>
      <c r="LWH41" s="643"/>
      <c r="LWI41" s="643"/>
      <c r="LWJ41" s="643"/>
      <c r="LWK41" s="643"/>
      <c r="LWL41" s="643"/>
      <c r="LWM41" s="643"/>
      <c r="LWN41" s="643"/>
      <c r="LWO41" s="643"/>
      <c r="LWP41" s="643"/>
      <c r="LWQ41" s="643"/>
      <c r="LWR41" s="643"/>
      <c r="LWS41" s="643"/>
      <c r="LWT41" s="643"/>
      <c r="LWU41" s="643"/>
      <c r="LWV41" s="643"/>
      <c r="LWW41" s="643"/>
      <c r="LWX41" s="643"/>
      <c r="LWY41" s="643"/>
      <c r="LWZ41" s="643"/>
      <c r="LXA41" s="643"/>
      <c r="LXB41" s="643"/>
      <c r="LXC41" s="643"/>
      <c r="LXD41" s="643"/>
      <c r="LXE41" s="643"/>
      <c r="LXF41" s="643"/>
      <c r="LXG41" s="643"/>
      <c r="LXH41" s="643"/>
      <c r="LXI41" s="643"/>
      <c r="LXJ41" s="643"/>
      <c r="LXK41" s="643"/>
      <c r="LXL41" s="643"/>
      <c r="LXM41" s="643"/>
      <c r="LXN41" s="643"/>
      <c r="LXO41" s="643"/>
      <c r="LXP41" s="643"/>
      <c r="LXQ41" s="643"/>
      <c r="LXR41" s="643"/>
      <c r="LXS41" s="643"/>
      <c r="LXT41" s="643"/>
      <c r="LXU41" s="643"/>
      <c r="LXV41" s="643"/>
      <c r="LXW41" s="643"/>
      <c r="LXX41" s="643"/>
      <c r="LXY41" s="643"/>
      <c r="LXZ41" s="643"/>
      <c r="LYA41" s="643"/>
      <c r="LYB41" s="643"/>
      <c r="LYC41" s="643"/>
      <c r="LYD41" s="643"/>
      <c r="LYE41" s="643"/>
      <c r="LYF41" s="643"/>
      <c r="LYG41" s="643"/>
      <c r="LYH41" s="643"/>
      <c r="LYI41" s="643"/>
      <c r="LYJ41" s="643"/>
      <c r="LYK41" s="643"/>
      <c r="LYL41" s="643"/>
      <c r="LYM41" s="643"/>
      <c r="LYN41" s="643"/>
      <c r="LYO41" s="643"/>
      <c r="LYP41" s="643"/>
      <c r="LYQ41" s="643"/>
      <c r="LYR41" s="643"/>
      <c r="LYS41" s="643"/>
      <c r="LYT41" s="643"/>
      <c r="LYU41" s="643"/>
      <c r="LYV41" s="643"/>
      <c r="LYW41" s="643"/>
      <c r="LYX41" s="643"/>
      <c r="LYY41" s="643"/>
      <c r="LYZ41" s="643"/>
      <c r="LZA41" s="643"/>
      <c r="LZB41" s="643"/>
      <c r="LZC41" s="643"/>
      <c r="LZD41" s="643"/>
      <c r="LZE41" s="643"/>
      <c r="LZF41" s="643"/>
      <c r="LZG41" s="643"/>
      <c r="LZH41" s="643"/>
      <c r="LZI41" s="643"/>
      <c r="LZJ41" s="643"/>
      <c r="LZK41" s="643"/>
      <c r="LZL41" s="643"/>
      <c r="LZM41" s="643"/>
      <c r="LZN41" s="643"/>
      <c r="LZO41" s="643"/>
      <c r="LZP41" s="643"/>
      <c r="LZQ41" s="643"/>
      <c r="LZR41" s="643"/>
      <c r="LZS41" s="643"/>
      <c r="LZT41" s="643"/>
      <c r="LZU41" s="643"/>
      <c r="LZV41" s="643"/>
      <c r="LZW41" s="643"/>
      <c r="LZX41" s="643"/>
      <c r="LZY41" s="643"/>
      <c r="LZZ41" s="643"/>
      <c r="MAA41" s="643"/>
      <c r="MAB41" s="643"/>
      <c r="MAC41" s="643"/>
      <c r="MAD41" s="643"/>
      <c r="MAE41" s="643"/>
      <c r="MAF41" s="643"/>
      <c r="MAG41" s="643"/>
      <c r="MAH41" s="643"/>
      <c r="MAI41" s="643"/>
      <c r="MAJ41" s="643"/>
      <c r="MAK41" s="643"/>
      <c r="MAL41" s="643"/>
      <c r="MAM41" s="643"/>
      <c r="MAN41" s="643"/>
      <c r="MAO41" s="643"/>
      <c r="MAP41" s="643"/>
      <c r="MAQ41" s="643"/>
      <c r="MAR41" s="643"/>
      <c r="MAS41" s="643"/>
      <c r="MAT41" s="643"/>
      <c r="MAU41" s="643"/>
      <c r="MAV41" s="643"/>
      <c r="MAW41" s="643"/>
      <c r="MAX41" s="643"/>
      <c r="MAY41" s="643"/>
      <c r="MAZ41" s="643"/>
      <c r="MBA41" s="643"/>
      <c r="MBB41" s="643"/>
      <c r="MBC41" s="643"/>
      <c r="MBD41" s="643"/>
      <c r="MBE41" s="643"/>
      <c r="MBF41" s="643"/>
      <c r="MBG41" s="643"/>
      <c r="MBH41" s="643"/>
      <c r="MBI41" s="643"/>
      <c r="MBJ41" s="643"/>
      <c r="MBK41" s="643"/>
      <c r="MBL41" s="643"/>
      <c r="MBM41" s="643"/>
      <c r="MBN41" s="643"/>
      <c r="MBO41" s="643"/>
      <c r="MBP41" s="643"/>
      <c r="MBQ41" s="643"/>
      <c r="MBR41" s="643"/>
      <c r="MBS41" s="643"/>
      <c r="MBT41" s="643"/>
      <c r="MBU41" s="643"/>
      <c r="MBV41" s="643"/>
      <c r="MBW41" s="643"/>
      <c r="MBX41" s="643"/>
      <c r="MBY41" s="643"/>
      <c r="MBZ41" s="643"/>
      <c r="MCA41" s="643"/>
      <c r="MCB41" s="643"/>
      <c r="MCC41" s="643"/>
      <c r="MCD41" s="643"/>
      <c r="MCE41" s="643"/>
      <c r="MCF41" s="643"/>
      <c r="MCG41" s="643"/>
      <c r="MCH41" s="643"/>
      <c r="MCI41" s="643"/>
      <c r="MCJ41" s="643"/>
      <c r="MCK41" s="643"/>
      <c r="MCL41" s="643"/>
      <c r="MCM41" s="643"/>
      <c r="MCN41" s="643"/>
      <c r="MCO41" s="643"/>
      <c r="MCP41" s="643"/>
      <c r="MCQ41" s="643"/>
      <c r="MCR41" s="643"/>
      <c r="MCS41" s="643"/>
      <c r="MCT41" s="643"/>
      <c r="MCU41" s="643"/>
      <c r="MCV41" s="643"/>
      <c r="MCW41" s="643"/>
      <c r="MCX41" s="643"/>
      <c r="MCY41" s="643"/>
      <c r="MCZ41" s="643"/>
      <c r="MDA41" s="643"/>
      <c r="MDB41" s="643"/>
      <c r="MDC41" s="643"/>
      <c r="MDD41" s="643"/>
      <c r="MDE41" s="643"/>
      <c r="MDF41" s="643"/>
      <c r="MDG41" s="643"/>
      <c r="MDH41" s="643"/>
      <c r="MDI41" s="643"/>
      <c r="MDJ41" s="643"/>
      <c r="MDK41" s="643"/>
      <c r="MDL41" s="643"/>
      <c r="MDM41" s="643"/>
      <c r="MDN41" s="643"/>
      <c r="MDO41" s="643"/>
      <c r="MDP41" s="643"/>
      <c r="MDQ41" s="643"/>
      <c r="MDR41" s="643"/>
      <c r="MDS41" s="643"/>
      <c r="MDT41" s="643"/>
      <c r="MDU41" s="643"/>
      <c r="MDV41" s="643"/>
      <c r="MDW41" s="643"/>
      <c r="MDX41" s="643"/>
      <c r="MDY41" s="643"/>
      <c r="MDZ41" s="643"/>
      <c r="MEA41" s="643"/>
      <c r="MEB41" s="643"/>
      <c r="MEC41" s="643"/>
      <c r="MED41" s="643"/>
      <c r="MEE41" s="643"/>
      <c r="MEF41" s="643"/>
      <c r="MEG41" s="643"/>
      <c r="MEH41" s="643"/>
      <c r="MEI41" s="643"/>
      <c r="MEJ41" s="643"/>
      <c r="MEK41" s="643"/>
      <c r="MEL41" s="643"/>
      <c r="MEM41" s="643"/>
      <c r="MEN41" s="643"/>
      <c r="MEO41" s="643"/>
      <c r="MEP41" s="643"/>
      <c r="MEQ41" s="643"/>
      <c r="MER41" s="643"/>
      <c r="MES41" s="643"/>
      <c r="MET41" s="643"/>
      <c r="MEU41" s="643"/>
      <c r="MEV41" s="643"/>
      <c r="MEW41" s="643"/>
      <c r="MEX41" s="643"/>
      <c r="MEY41" s="643"/>
      <c r="MEZ41" s="643"/>
      <c r="MFA41" s="643"/>
      <c r="MFB41" s="643"/>
      <c r="MFC41" s="643"/>
      <c r="MFD41" s="643"/>
      <c r="MFE41" s="643"/>
      <c r="MFF41" s="643"/>
      <c r="MFG41" s="643"/>
      <c r="MFH41" s="643"/>
      <c r="MFI41" s="643"/>
      <c r="MFJ41" s="643"/>
      <c r="MFK41" s="643"/>
      <c r="MFL41" s="643"/>
      <c r="MFM41" s="643"/>
      <c r="MFN41" s="643"/>
      <c r="MFO41" s="643"/>
      <c r="MFP41" s="643"/>
      <c r="MFQ41" s="643"/>
      <c r="MFR41" s="643"/>
      <c r="MFS41" s="643"/>
      <c r="MFT41" s="643"/>
      <c r="MFU41" s="643"/>
      <c r="MFV41" s="643"/>
      <c r="MFW41" s="643"/>
      <c r="MFX41" s="643"/>
      <c r="MFY41" s="643"/>
      <c r="MFZ41" s="643"/>
      <c r="MGA41" s="643"/>
      <c r="MGB41" s="643"/>
      <c r="MGC41" s="643"/>
      <c r="MGD41" s="643"/>
      <c r="MGE41" s="643"/>
      <c r="MGF41" s="643"/>
      <c r="MGG41" s="643"/>
      <c r="MGH41" s="643"/>
      <c r="MGI41" s="643"/>
      <c r="MGJ41" s="643"/>
      <c r="MGK41" s="643"/>
      <c r="MGL41" s="643"/>
      <c r="MGM41" s="643"/>
      <c r="MGN41" s="643"/>
      <c r="MGO41" s="643"/>
      <c r="MGP41" s="643"/>
      <c r="MGQ41" s="643"/>
      <c r="MGR41" s="643"/>
      <c r="MGS41" s="643"/>
      <c r="MGT41" s="643"/>
      <c r="MGU41" s="643"/>
      <c r="MGV41" s="643"/>
      <c r="MGW41" s="643"/>
      <c r="MGX41" s="643"/>
      <c r="MGY41" s="643"/>
      <c r="MGZ41" s="643"/>
      <c r="MHA41" s="643"/>
      <c r="MHB41" s="643"/>
      <c r="MHC41" s="643"/>
      <c r="MHD41" s="643"/>
      <c r="MHE41" s="643"/>
      <c r="MHF41" s="643"/>
      <c r="MHG41" s="643"/>
      <c r="MHH41" s="643"/>
      <c r="MHI41" s="643"/>
      <c r="MHJ41" s="643"/>
      <c r="MHK41" s="643"/>
      <c r="MHL41" s="643"/>
      <c r="MHM41" s="643"/>
      <c r="MHN41" s="643"/>
      <c r="MHO41" s="643"/>
      <c r="MHP41" s="643"/>
      <c r="MHQ41" s="643"/>
      <c r="MHR41" s="643"/>
      <c r="MHS41" s="643"/>
      <c r="MHT41" s="643"/>
      <c r="MHU41" s="643"/>
      <c r="MHV41" s="643"/>
      <c r="MHW41" s="643"/>
      <c r="MHX41" s="643"/>
      <c r="MHY41" s="643"/>
      <c r="MHZ41" s="643"/>
      <c r="MIA41" s="643"/>
      <c r="MIB41" s="643"/>
      <c r="MIC41" s="643"/>
      <c r="MID41" s="643"/>
      <c r="MIE41" s="643"/>
      <c r="MIF41" s="643"/>
      <c r="MIG41" s="643"/>
      <c r="MIH41" s="643"/>
      <c r="MII41" s="643"/>
      <c r="MIJ41" s="643"/>
      <c r="MIK41" s="643"/>
      <c r="MIL41" s="643"/>
      <c r="MIM41" s="643"/>
      <c r="MIN41" s="643"/>
      <c r="MIO41" s="643"/>
      <c r="MIP41" s="643"/>
      <c r="MIQ41" s="643"/>
      <c r="MIR41" s="643"/>
      <c r="MIS41" s="643"/>
      <c r="MIT41" s="643"/>
      <c r="MIU41" s="643"/>
      <c r="MIV41" s="643"/>
      <c r="MIW41" s="643"/>
      <c r="MIX41" s="643"/>
      <c r="MIY41" s="643"/>
      <c r="MIZ41" s="643"/>
      <c r="MJA41" s="643"/>
      <c r="MJB41" s="643"/>
      <c r="MJC41" s="643"/>
      <c r="MJD41" s="643"/>
      <c r="MJE41" s="643"/>
      <c r="MJF41" s="643"/>
      <c r="MJG41" s="643"/>
      <c r="MJH41" s="643"/>
      <c r="MJI41" s="643"/>
      <c r="MJJ41" s="643"/>
      <c r="MJK41" s="643"/>
      <c r="MJL41" s="643"/>
      <c r="MJM41" s="643"/>
      <c r="MJN41" s="643"/>
      <c r="MJO41" s="643"/>
      <c r="MJP41" s="643"/>
      <c r="MJQ41" s="643"/>
      <c r="MJR41" s="643"/>
      <c r="MJS41" s="643"/>
      <c r="MJT41" s="643"/>
      <c r="MJU41" s="643"/>
      <c r="MJV41" s="643"/>
      <c r="MJW41" s="643"/>
      <c r="MJX41" s="643"/>
      <c r="MJY41" s="643"/>
      <c r="MJZ41" s="643"/>
      <c r="MKA41" s="643"/>
      <c r="MKB41" s="643"/>
      <c r="MKC41" s="643"/>
      <c r="MKD41" s="643"/>
      <c r="MKE41" s="643"/>
      <c r="MKF41" s="643"/>
      <c r="MKG41" s="643"/>
      <c r="MKH41" s="643"/>
      <c r="MKI41" s="643"/>
      <c r="MKJ41" s="643"/>
      <c r="MKK41" s="643"/>
      <c r="MKL41" s="643"/>
      <c r="MKM41" s="643"/>
      <c r="MKN41" s="643"/>
      <c r="MKO41" s="643"/>
      <c r="MKP41" s="643"/>
      <c r="MKQ41" s="643"/>
      <c r="MKR41" s="643"/>
      <c r="MKS41" s="643"/>
      <c r="MKT41" s="643"/>
      <c r="MKU41" s="643"/>
      <c r="MKV41" s="643"/>
      <c r="MKW41" s="643"/>
      <c r="MKX41" s="643"/>
      <c r="MKY41" s="643"/>
      <c r="MKZ41" s="643"/>
      <c r="MLA41" s="643"/>
      <c r="MLB41" s="643"/>
      <c r="MLC41" s="643"/>
      <c r="MLD41" s="643"/>
      <c r="MLE41" s="643"/>
      <c r="MLF41" s="643"/>
      <c r="MLG41" s="643"/>
      <c r="MLH41" s="643"/>
      <c r="MLI41" s="643"/>
      <c r="MLJ41" s="643"/>
      <c r="MLK41" s="643"/>
      <c r="MLL41" s="643"/>
      <c r="MLM41" s="643"/>
      <c r="MLN41" s="643"/>
      <c r="MLO41" s="643"/>
      <c r="MLP41" s="643"/>
      <c r="MLQ41" s="643"/>
      <c r="MLR41" s="643"/>
      <c r="MLS41" s="643"/>
      <c r="MLT41" s="643"/>
      <c r="MLU41" s="643"/>
      <c r="MLV41" s="643"/>
      <c r="MLW41" s="643"/>
      <c r="MLX41" s="643"/>
      <c r="MLY41" s="643"/>
      <c r="MLZ41" s="643"/>
      <c r="MMA41" s="643"/>
      <c r="MMB41" s="643"/>
      <c r="MMC41" s="643"/>
      <c r="MMD41" s="643"/>
      <c r="MME41" s="643"/>
      <c r="MMF41" s="643"/>
      <c r="MMG41" s="643"/>
      <c r="MMH41" s="643"/>
      <c r="MMI41" s="643"/>
      <c r="MMJ41" s="643"/>
      <c r="MMK41" s="643"/>
      <c r="MML41" s="643"/>
      <c r="MMM41" s="643"/>
      <c r="MMN41" s="643"/>
      <c r="MMO41" s="643"/>
      <c r="MMP41" s="643"/>
      <c r="MMQ41" s="643"/>
      <c r="MMR41" s="643"/>
      <c r="MMS41" s="643"/>
      <c r="MMT41" s="643"/>
      <c r="MMU41" s="643"/>
      <c r="MMV41" s="643"/>
      <c r="MMW41" s="643"/>
      <c r="MMX41" s="643"/>
      <c r="MMY41" s="643"/>
      <c r="MMZ41" s="643"/>
      <c r="MNA41" s="643"/>
      <c r="MNB41" s="643"/>
      <c r="MNC41" s="643"/>
      <c r="MND41" s="643"/>
      <c r="MNE41" s="643"/>
      <c r="MNF41" s="643"/>
      <c r="MNG41" s="643"/>
      <c r="MNH41" s="643"/>
      <c r="MNI41" s="643"/>
      <c r="MNJ41" s="643"/>
      <c r="MNK41" s="643"/>
      <c r="MNL41" s="643"/>
      <c r="MNM41" s="643"/>
      <c r="MNN41" s="643"/>
      <c r="MNO41" s="643"/>
      <c r="MNP41" s="643"/>
      <c r="MNQ41" s="643"/>
      <c r="MNR41" s="643"/>
      <c r="MNS41" s="643"/>
      <c r="MNT41" s="643"/>
      <c r="MNU41" s="643"/>
      <c r="MNV41" s="643"/>
      <c r="MNW41" s="643"/>
      <c r="MNX41" s="643"/>
      <c r="MNY41" s="643"/>
      <c r="MNZ41" s="643"/>
      <c r="MOA41" s="643"/>
      <c r="MOB41" s="643"/>
      <c r="MOC41" s="643"/>
      <c r="MOD41" s="643"/>
      <c r="MOE41" s="643"/>
      <c r="MOF41" s="643"/>
      <c r="MOG41" s="643"/>
      <c r="MOH41" s="643"/>
      <c r="MOI41" s="643"/>
      <c r="MOJ41" s="643"/>
      <c r="MOK41" s="643"/>
      <c r="MOL41" s="643"/>
      <c r="MOM41" s="643"/>
      <c r="MON41" s="643"/>
      <c r="MOO41" s="643"/>
      <c r="MOP41" s="643"/>
      <c r="MOQ41" s="643"/>
      <c r="MOR41" s="643"/>
      <c r="MOS41" s="643"/>
      <c r="MOT41" s="643"/>
      <c r="MOU41" s="643"/>
      <c r="MOV41" s="643"/>
      <c r="MOW41" s="643"/>
      <c r="MOX41" s="643"/>
      <c r="MOY41" s="643"/>
      <c r="MOZ41" s="643"/>
      <c r="MPA41" s="643"/>
      <c r="MPB41" s="643"/>
      <c r="MPC41" s="643"/>
      <c r="MPD41" s="643"/>
      <c r="MPE41" s="643"/>
      <c r="MPF41" s="643"/>
      <c r="MPG41" s="643"/>
      <c r="MPH41" s="643"/>
      <c r="MPI41" s="643"/>
      <c r="MPJ41" s="643"/>
      <c r="MPK41" s="643"/>
      <c r="MPL41" s="643"/>
      <c r="MPM41" s="643"/>
      <c r="MPN41" s="643"/>
      <c r="MPO41" s="643"/>
      <c r="MPP41" s="643"/>
      <c r="MPQ41" s="643"/>
      <c r="MPR41" s="643"/>
      <c r="MPS41" s="643"/>
      <c r="MPT41" s="643"/>
      <c r="MPU41" s="643"/>
      <c r="MPV41" s="643"/>
      <c r="MPW41" s="643"/>
      <c r="MPX41" s="643"/>
      <c r="MPY41" s="643"/>
      <c r="MPZ41" s="643"/>
      <c r="MQA41" s="643"/>
      <c r="MQB41" s="643"/>
      <c r="MQC41" s="643"/>
      <c r="MQD41" s="643"/>
      <c r="MQE41" s="643"/>
      <c r="MQF41" s="643"/>
      <c r="MQG41" s="643"/>
      <c r="MQH41" s="643"/>
      <c r="MQI41" s="643"/>
      <c r="MQJ41" s="643"/>
      <c r="MQK41" s="643"/>
      <c r="MQL41" s="643"/>
      <c r="MQM41" s="643"/>
      <c r="MQN41" s="643"/>
      <c r="MQO41" s="643"/>
      <c r="MQP41" s="643"/>
      <c r="MQQ41" s="643"/>
      <c r="MQR41" s="643"/>
      <c r="MQS41" s="643"/>
      <c r="MQT41" s="643"/>
      <c r="MQU41" s="643"/>
      <c r="MQV41" s="643"/>
      <c r="MQW41" s="643"/>
      <c r="MQX41" s="643"/>
      <c r="MQY41" s="643"/>
      <c r="MQZ41" s="643"/>
      <c r="MRA41" s="643"/>
      <c r="MRB41" s="643"/>
      <c r="MRC41" s="643"/>
      <c r="MRD41" s="643"/>
      <c r="MRE41" s="643"/>
      <c r="MRF41" s="643"/>
      <c r="MRG41" s="643"/>
      <c r="MRH41" s="643"/>
      <c r="MRI41" s="643"/>
      <c r="MRJ41" s="643"/>
      <c r="MRK41" s="643"/>
      <c r="MRL41" s="643"/>
      <c r="MRM41" s="643"/>
      <c r="MRN41" s="643"/>
      <c r="MRO41" s="643"/>
      <c r="MRP41" s="643"/>
      <c r="MRQ41" s="643"/>
      <c r="MRR41" s="643"/>
      <c r="MRS41" s="643"/>
      <c r="MRT41" s="643"/>
      <c r="MRU41" s="643"/>
      <c r="MRV41" s="643"/>
      <c r="MRW41" s="643"/>
      <c r="MRX41" s="643"/>
      <c r="MRY41" s="643"/>
      <c r="MRZ41" s="643"/>
      <c r="MSA41" s="643"/>
      <c r="MSB41" s="643"/>
      <c r="MSC41" s="643"/>
      <c r="MSD41" s="643"/>
      <c r="MSE41" s="643"/>
      <c r="MSF41" s="643"/>
      <c r="MSG41" s="643"/>
      <c r="MSH41" s="643"/>
      <c r="MSI41" s="643"/>
      <c r="MSJ41" s="643"/>
      <c r="MSK41" s="643"/>
      <c r="MSL41" s="643"/>
      <c r="MSM41" s="643"/>
      <c r="MSN41" s="643"/>
      <c r="MSO41" s="643"/>
      <c r="MSP41" s="643"/>
      <c r="MSQ41" s="643"/>
      <c r="MSR41" s="643"/>
      <c r="MSS41" s="643"/>
      <c r="MST41" s="643"/>
      <c r="MSU41" s="643"/>
      <c r="MSV41" s="643"/>
      <c r="MSW41" s="643"/>
      <c r="MSX41" s="643"/>
      <c r="MSY41" s="643"/>
      <c r="MSZ41" s="643"/>
      <c r="MTA41" s="643"/>
      <c r="MTB41" s="643"/>
      <c r="MTC41" s="643"/>
      <c r="MTD41" s="643"/>
      <c r="MTE41" s="643"/>
      <c r="MTF41" s="643"/>
      <c r="MTG41" s="643"/>
      <c r="MTH41" s="643"/>
      <c r="MTI41" s="643"/>
      <c r="MTJ41" s="643"/>
      <c r="MTK41" s="643"/>
      <c r="MTL41" s="643"/>
      <c r="MTM41" s="643"/>
      <c r="MTN41" s="643"/>
      <c r="MTO41" s="643"/>
      <c r="MTP41" s="643"/>
      <c r="MTQ41" s="643"/>
      <c r="MTR41" s="643"/>
      <c r="MTS41" s="643"/>
      <c r="MTT41" s="643"/>
      <c r="MTU41" s="643"/>
      <c r="MTV41" s="643"/>
      <c r="MTW41" s="643"/>
      <c r="MTX41" s="643"/>
      <c r="MTY41" s="643"/>
      <c r="MTZ41" s="643"/>
      <c r="MUA41" s="643"/>
      <c r="MUB41" s="643"/>
      <c r="MUC41" s="643"/>
      <c r="MUD41" s="643"/>
      <c r="MUE41" s="643"/>
      <c r="MUF41" s="643"/>
      <c r="MUG41" s="643"/>
      <c r="MUH41" s="643"/>
      <c r="MUI41" s="643"/>
      <c r="MUJ41" s="643"/>
      <c r="MUK41" s="643"/>
      <c r="MUL41" s="643"/>
      <c r="MUM41" s="643"/>
      <c r="MUN41" s="643"/>
      <c r="MUO41" s="643"/>
      <c r="MUP41" s="643"/>
      <c r="MUQ41" s="643"/>
      <c r="MUR41" s="643"/>
      <c r="MUS41" s="643"/>
      <c r="MUT41" s="643"/>
      <c r="MUU41" s="643"/>
      <c r="MUV41" s="643"/>
      <c r="MUW41" s="643"/>
      <c r="MUX41" s="643"/>
      <c r="MUY41" s="643"/>
      <c r="MUZ41" s="643"/>
      <c r="MVA41" s="643"/>
      <c r="MVB41" s="643"/>
      <c r="MVC41" s="643"/>
      <c r="MVD41" s="643"/>
      <c r="MVE41" s="643"/>
      <c r="MVF41" s="643"/>
      <c r="MVG41" s="643"/>
      <c r="MVH41" s="643"/>
      <c r="MVI41" s="643"/>
      <c r="MVJ41" s="643"/>
      <c r="MVK41" s="643"/>
      <c r="MVL41" s="643"/>
      <c r="MVM41" s="643"/>
      <c r="MVN41" s="643"/>
      <c r="MVO41" s="643"/>
      <c r="MVP41" s="643"/>
      <c r="MVQ41" s="643"/>
      <c r="MVR41" s="643"/>
      <c r="MVS41" s="643"/>
      <c r="MVT41" s="643"/>
      <c r="MVU41" s="643"/>
      <c r="MVV41" s="643"/>
      <c r="MVW41" s="643"/>
      <c r="MVX41" s="643"/>
      <c r="MVY41" s="643"/>
      <c r="MVZ41" s="643"/>
      <c r="MWA41" s="643"/>
      <c r="MWB41" s="643"/>
      <c r="MWC41" s="643"/>
      <c r="MWD41" s="643"/>
      <c r="MWE41" s="643"/>
      <c r="MWF41" s="643"/>
      <c r="MWG41" s="643"/>
      <c r="MWH41" s="643"/>
      <c r="MWI41" s="643"/>
      <c r="MWJ41" s="643"/>
      <c r="MWK41" s="643"/>
      <c r="MWL41" s="643"/>
      <c r="MWM41" s="643"/>
      <c r="MWN41" s="643"/>
      <c r="MWO41" s="643"/>
      <c r="MWP41" s="643"/>
      <c r="MWQ41" s="643"/>
      <c r="MWR41" s="643"/>
      <c r="MWS41" s="643"/>
      <c r="MWT41" s="643"/>
      <c r="MWU41" s="643"/>
      <c r="MWV41" s="643"/>
      <c r="MWW41" s="643"/>
      <c r="MWX41" s="643"/>
      <c r="MWY41" s="643"/>
      <c r="MWZ41" s="643"/>
      <c r="MXA41" s="643"/>
      <c r="MXB41" s="643"/>
      <c r="MXC41" s="643"/>
      <c r="MXD41" s="643"/>
      <c r="MXE41" s="643"/>
      <c r="MXF41" s="643"/>
      <c r="MXG41" s="643"/>
      <c r="MXH41" s="643"/>
      <c r="MXI41" s="643"/>
      <c r="MXJ41" s="643"/>
      <c r="MXK41" s="643"/>
      <c r="MXL41" s="643"/>
      <c r="MXM41" s="643"/>
      <c r="MXN41" s="643"/>
      <c r="MXO41" s="643"/>
      <c r="MXP41" s="643"/>
      <c r="MXQ41" s="643"/>
      <c r="MXR41" s="643"/>
      <c r="MXS41" s="643"/>
      <c r="MXT41" s="643"/>
      <c r="MXU41" s="643"/>
      <c r="MXV41" s="643"/>
      <c r="MXW41" s="643"/>
      <c r="MXX41" s="643"/>
      <c r="MXY41" s="643"/>
      <c r="MXZ41" s="643"/>
      <c r="MYA41" s="643"/>
      <c r="MYB41" s="643"/>
      <c r="MYC41" s="643"/>
      <c r="MYD41" s="643"/>
      <c r="MYE41" s="643"/>
      <c r="MYF41" s="643"/>
      <c r="MYG41" s="643"/>
      <c r="MYH41" s="643"/>
      <c r="MYI41" s="643"/>
      <c r="MYJ41" s="643"/>
      <c r="MYK41" s="643"/>
      <c r="MYL41" s="643"/>
      <c r="MYM41" s="643"/>
      <c r="MYN41" s="643"/>
      <c r="MYO41" s="643"/>
      <c r="MYP41" s="643"/>
      <c r="MYQ41" s="643"/>
      <c r="MYR41" s="643"/>
      <c r="MYS41" s="643"/>
      <c r="MYT41" s="643"/>
      <c r="MYU41" s="643"/>
      <c r="MYV41" s="643"/>
      <c r="MYW41" s="643"/>
      <c r="MYX41" s="643"/>
      <c r="MYY41" s="643"/>
      <c r="MYZ41" s="643"/>
      <c r="MZA41" s="643"/>
      <c r="MZB41" s="643"/>
      <c r="MZC41" s="643"/>
      <c r="MZD41" s="643"/>
      <c r="MZE41" s="643"/>
      <c r="MZF41" s="643"/>
      <c r="MZG41" s="643"/>
      <c r="MZH41" s="643"/>
      <c r="MZI41" s="643"/>
      <c r="MZJ41" s="643"/>
      <c r="MZK41" s="643"/>
      <c r="MZL41" s="643"/>
      <c r="MZM41" s="643"/>
      <c r="MZN41" s="643"/>
      <c r="MZO41" s="643"/>
      <c r="MZP41" s="643"/>
      <c r="MZQ41" s="643"/>
      <c r="MZR41" s="643"/>
      <c r="MZS41" s="643"/>
      <c r="MZT41" s="643"/>
      <c r="MZU41" s="643"/>
      <c r="MZV41" s="643"/>
      <c r="MZW41" s="643"/>
      <c r="MZX41" s="643"/>
      <c r="MZY41" s="643"/>
      <c r="MZZ41" s="643"/>
      <c r="NAA41" s="643"/>
      <c r="NAB41" s="643"/>
      <c r="NAC41" s="643"/>
      <c r="NAD41" s="643"/>
      <c r="NAE41" s="643"/>
      <c r="NAF41" s="643"/>
      <c r="NAG41" s="643"/>
      <c r="NAH41" s="643"/>
      <c r="NAI41" s="643"/>
      <c r="NAJ41" s="643"/>
      <c r="NAK41" s="643"/>
      <c r="NAL41" s="643"/>
      <c r="NAM41" s="643"/>
      <c r="NAN41" s="643"/>
      <c r="NAO41" s="643"/>
      <c r="NAP41" s="643"/>
      <c r="NAQ41" s="643"/>
      <c r="NAR41" s="643"/>
      <c r="NAS41" s="643"/>
      <c r="NAT41" s="643"/>
      <c r="NAU41" s="643"/>
      <c r="NAV41" s="643"/>
      <c r="NAW41" s="643"/>
      <c r="NAX41" s="643"/>
      <c r="NAY41" s="643"/>
      <c r="NAZ41" s="643"/>
      <c r="NBA41" s="643"/>
      <c r="NBB41" s="643"/>
      <c r="NBC41" s="643"/>
      <c r="NBD41" s="643"/>
      <c r="NBE41" s="643"/>
      <c r="NBF41" s="643"/>
      <c r="NBG41" s="643"/>
      <c r="NBH41" s="643"/>
      <c r="NBI41" s="643"/>
      <c r="NBJ41" s="643"/>
      <c r="NBK41" s="643"/>
      <c r="NBL41" s="643"/>
      <c r="NBM41" s="643"/>
      <c r="NBN41" s="643"/>
      <c r="NBO41" s="643"/>
      <c r="NBP41" s="643"/>
      <c r="NBQ41" s="643"/>
      <c r="NBR41" s="643"/>
      <c r="NBS41" s="643"/>
      <c r="NBT41" s="643"/>
      <c r="NBU41" s="643"/>
      <c r="NBV41" s="643"/>
      <c r="NBW41" s="643"/>
      <c r="NBX41" s="643"/>
      <c r="NBY41" s="643"/>
      <c r="NBZ41" s="643"/>
      <c r="NCA41" s="643"/>
      <c r="NCB41" s="643"/>
      <c r="NCC41" s="643"/>
      <c r="NCD41" s="643"/>
      <c r="NCE41" s="643"/>
      <c r="NCF41" s="643"/>
      <c r="NCG41" s="643"/>
      <c r="NCH41" s="643"/>
      <c r="NCI41" s="643"/>
      <c r="NCJ41" s="643"/>
      <c r="NCK41" s="643"/>
      <c r="NCL41" s="643"/>
      <c r="NCM41" s="643"/>
      <c r="NCN41" s="643"/>
      <c r="NCO41" s="643"/>
      <c r="NCP41" s="643"/>
      <c r="NCQ41" s="643"/>
      <c r="NCR41" s="643"/>
      <c r="NCS41" s="643"/>
      <c r="NCT41" s="643"/>
      <c r="NCU41" s="643"/>
      <c r="NCV41" s="643"/>
      <c r="NCW41" s="643"/>
      <c r="NCX41" s="643"/>
      <c r="NCY41" s="643"/>
      <c r="NCZ41" s="643"/>
      <c r="NDA41" s="643"/>
      <c r="NDB41" s="643"/>
      <c r="NDC41" s="643"/>
      <c r="NDD41" s="643"/>
      <c r="NDE41" s="643"/>
      <c r="NDF41" s="643"/>
      <c r="NDG41" s="643"/>
      <c r="NDH41" s="643"/>
      <c r="NDI41" s="643"/>
      <c r="NDJ41" s="643"/>
      <c r="NDK41" s="643"/>
      <c r="NDL41" s="643"/>
      <c r="NDM41" s="643"/>
      <c r="NDN41" s="643"/>
      <c r="NDO41" s="643"/>
      <c r="NDP41" s="643"/>
      <c r="NDQ41" s="643"/>
      <c r="NDR41" s="643"/>
      <c r="NDS41" s="643"/>
      <c r="NDT41" s="643"/>
      <c r="NDU41" s="643"/>
      <c r="NDV41" s="643"/>
      <c r="NDW41" s="643"/>
      <c r="NDX41" s="643"/>
      <c r="NDY41" s="643"/>
      <c r="NDZ41" s="643"/>
      <c r="NEA41" s="643"/>
      <c r="NEB41" s="643"/>
      <c r="NEC41" s="643"/>
      <c r="NED41" s="643"/>
      <c r="NEE41" s="643"/>
      <c r="NEF41" s="643"/>
      <c r="NEG41" s="643"/>
      <c r="NEH41" s="643"/>
      <c r="NEI41" s="643"/>
      <c r="NEJ41" s="643"/>
      <c r="NEK41" s="643"/>
      <c r="NEL41" s="643"/>
      <c r="NEM41" s="643"/>
      <c r="NEN41" s="643"/>
      <c r="NEO41" s="643"/>
      <c r="NEP41" s="643"/>
      <c r="NEQ41" s="643"/>
      <c r="NER41" s="643"/>
      <c r="NES41" s="643"/>
      <c r="NET41" s="643"/>
      <c r="NEU41" s="643"/>
      <c r="NEV41" s="643"/>
      <c r="NEW41" s="643"/>
      <c r="NEX41" s="643"/>
      <c r="NEY41" s="643"/>
      <c r="NEZ41" s="643"/>
      <c r="NFA41" s="643"/>
      <c r="NFB41" s="643"/>
      <c r="NFC41" s="643"/>
      <c r="NFD41" s="643"/>
      <c r="NFE41" s="643"/>
      <c r="NFF41" s="643"/>
      <c r="NFG41" s="643"/>
      <c r="NFH41" s="643"/>
      <c r="NFI41" s="643"/>
      <c r="NFJ41" s="643"/>
      <c r="NFK41" s="643"/>
      <c r="NFL41" s="643"/>
      <c r="NFM41" s="643"/>
      <c r="NFN41" s="643"/>
      <c r="NFO41" s="643"/>
      <c r="NFP41" s="643"/>
      <c r="NFQ41" s="643"/>
      <c r="NFR41" s="643"/>
      <c r="NFS41" s="643"/>
      <c r="NFT41" s="643"/>
      <c r="NFU41" s="643"/>
      <c r="NFV41" s="643"/>
      <c r="NFW41" s="643"/>
      <c r="NFX41" s="643"/>
      <c r="NFY41" s="643"/>
      <c r="NFZ41" s="643"/>
      <c r="NGA41" s="643"/>
      <c r="NGB41" s="643"/>
      <c r="NGC41" s="643"/>
      <c r="NGD41" s="643"/>
      <c r="NGE41" s="643"/>
      <c r="NGF41" s="643"/>
      <c r="NGG41" s="643"/>
      <c r="NGH41" s="643"/>
      <c r="NGI41" s="643"/>
      <c r="NGJ41" s="643"/>
      <c r="NGK41" s="643"/>
      <c r="NGL41" s="643"/>
      <c r="NGM41" s="643"/>
      <c r="NGN41" s="643"/>
      <c r="NGO41" s="643"/>
      <c r="NGP41" s="643"/>
      <c r="NGQ41" s="643"/>
      <c r="NGR41" s="643"/>
      <c r="NGS41" s="643"/>
      <c r="NGT41" s="643"/>
      <c r="NGU41" s="643"/>
      <c r="NGV41" s="643"/>
      <c r="NGW41" s="643"/>
      <c r="NGX41" s="643"/>
      <c r="NGY41" s="643"/>
      <c r="NGZ41" s="643"/>
      <c r="NHA41" s="643"/>
      <c r="NHB41" s="643"/>
      <c r="NHC41" s="643"/>
      <c r="NHD41" s="643"/>
      <c r="NHE41" s="643"/>
      <c r="NHF41" s="643"/>
      <c r="NHG41" s="643"/>
      <c r="NHH41" s="643"/>
      <c r="NHI41" s="643"/>
      <c r="NHJ41" s="643"/>
      <c r="NHK41" s="643"/>
      <c r="NHL41" s="643"/>
      <c r="NHM41" s="643"/>
      <c r="NHN41" s="643"/>
      <c r="NHO41" s="643"/>
      <c r="NHP41" s="643"/>
      <c r="NHQ41" s="643"/>
      <c r="NHR41" s="643"/>
      <c r="NHS41" s="643"/>
      <c r="NHT41" s="643"/>
      <c r="NHU41" s="643"/>
      <c r="NHV41" s="643"/>
      <c r="NHW41" s="643"/>
      <c r="NHX41" s="643"/>
      <c r="NHY41" s="643"/>
      <c r="NHZ41" s="643"/>
      <c r="NIA41" s="643"/>
      <c r="NIB41" s="643"/>
      <c r="NIC41" s="643"/>
      <c r="NID41" s="643"/>
      <c r="NIE41" s="643"/>
      <c r="NIF41" s="643"/>
      <c r="NIG41" s="643"/>
      <c r="NIH41" s="643"/>
      <c r="NII41" s="643"/>
      <c r="NIJ41" s="643"/>
      <c r="NIK41" s="643"/>
      <c r="NIL41" s="643"/>
      <c r="NIM41" s="643"/>
      <c r="NIN41" s="643"/>
      <c r="NIO41" s="643"/>
      <c r="NIP41" s="643"/>
      <c r="NIQ41" s="643"/>
      <c r="NIR41" s="643"/>
      <c r="NIS41" s="643"/>
      <c r="NIT41" s="643"/>
      <c r="NIU41" s="643"/>
      <c r="NIV41" s="643"/>
      <c r="NIW41" s="643"/>
      <c r="NIX41" s="643"/>
      <c r="NIY41" s="643"/>
      <c r="NIZ41" s="643"/>
      <c r="NJA41" s="643"/>
      <c r="NJB41" s="643"/>
      <c r="NJC41" s="643"/>
      <c r="NJD41" s="643"/>
      <c r="NJE41" s="643"/>
      <c r="NJF41" s="643"/>
      <c r="NJG41" s="643"/>
      <c r="NJH41" s="643"/>
      <c r="NJI41" s="643"/>
      <c r="NJJ41" s="643"/>
      <c r="NJK41" s="643"/>
      <c r="NJL41" s="643"/>
      <c r="NJM41" s="643"/>
      <c r="NJN41" s="643"/>
      <c r="NJO41" s="643"/>
      <c r="NJP41" s="643"/>
      <c r="NJQ41" s="643"/>
      <c r="NJR41" s="643"/>
      <c r="NJS41" s="643"/>
      <c r="NJT41" s="643"/>
      <c r="NJU41" s="643"/>
      <c r="NJV41" s="643"/>
      <c r="NJW41" s="643"/>
      <c r="NJX41" s="643"/>
      <c r="NJY41" s="643"/>
      <c r="NJZ41" s="643"/>
      <c r="NKA41" s="643"/>
      <c r="NKB41" s="643"/>
      <c r="NKC41" s="643"/>
      <c r="NKD41" s="643"/>
      <c r="NKE41" s="643"/>
      <c r="NKF41" s="643"/>
      <c r="NKG41" s="643"/>
      <c r="NKH41" s="643"/>
      <c r="NKI41" s="643"/>
      <c r="NKJ41" s="643"/>
      <c r="NKK41" s="643"/>
      <c r="NKL41" s="643"/>
      <c r="NKM41" s="643"/>
      <c r="NKN41" s="643"/>
      <c r="NKO41" s="643"/>
      <c r="NKP41" s="643"/>
      <c r="NKQ41" s="643"/>
      <c r="NKR41" s="643"/>
      <c r="NKS41" s="643"/>
      <c r="NKT41" s="643"/>
      <c r="NKU41" s="643"/>
      <c r="NKV41" s="643"/>
      <c r="NKW41" s="643"/>
      <c r="NKX41" s="643"/>
      <c r="NKY41" s="643"/>
      <c r="NKZ41" s="643"/>
      <c r="NLA41" s="643"/>
      <c r="NLB41" s="643"/>
      <c r="NLC41" s="643"/>
      <c r="NLD41" s="643"/>
      <c r="NLE41" s="643"/>
      <c r="NLF41" s="643"/>
      <c r="NLG41" s="643"/>
      <c r="NLH41" s="643"/>
      <c r="NLI41" s="643"/>
      <c r="NLJ41" s="643"/>
      <c r="NLK41" s="643"/>
      <c r="NLL41" s="643"/>
      <c r="NLM41" s="643"/>
      <c r="NLN41" s="643"/>
      <c r="NLO41" s="643"/>
      <c r="NLP41" s="643"/>
      <c r="NLQ41" s="643"/>
      <c r="NLR41" s="643"/>
      <c r="NLS41" s="643"/>
      <c r="NLT41" s="643"/>
      <c r="NLU41" s="643"/>
      <c r="NLV41" s="643"/>
      <c r="NLW41" s="643"/>
      <c r="NLX41" s="643"/>
      <c r="NLY41" s="643"/>
      <c r="NLZ41" s="643"/>
      <c r="NMA41" s="643"/>
      <c r="NMB41" s="643"/>
      <c r="NMC41" s="643"/>
      <c r="NMD41" s="643"/>
      <c r="NME41" s="643"/>
      <c r="NMF41" s="643"/>
      <c r="NMG41" s="643"/>
      <c r="NMH41" s="643"/>
      <c r="NMI41" s="643"/>
      <c r="NMJ41" s="643"/>
      <c r="NMK41" s="643"/>
      <c r="NML41" s="643"/>
      <c r="NMM41" s="643"/>
      <c r="NMN41" s="643"/>
      <c r="NMO41" s="643"/>
      <c r="NMP41" s="643"/>
      <c r="NMQ41" s="643"/>
      <c r="NMR41" s="643"/>
      <c r="NMS41" s="643"/>
      <c r="NMT41" s="643"/>
      <c r="NMU41" s="643"/>
      <c r="NMV41" s="643"/>
      <c r="NMW41" s="643"/>
      <c r="NMX41" s="643"/>
      <c r="NMY41" s="643"/>
      <c r="NMZ41" s="643"/>
      <c r="NNA41" s="643"/>
      <c r="NNB41" s="643"/>
      <c r="NNC41" s="643"/>
      <c r="NND41" s="643"/>
      <c r="NNE41" s="643"/>
      <c r="NNF41" s="643"/>
      <c r="NNG41" s="643"/>
      <c r="NNH41" s="643"/>
      <c r="NNI41" s="643"/>
      <c r="NNJ41" s="643"/>
      <c r="NNK41" s="643"/>
      <c r="NNL41" s="643"/>
      <c r="NNM41" s="643"/>
      <c r="NNN41" s="643"/>
      <c r="NNO41" s="643"/>
      <c r="NNP41" s="643"/>
      <c r="NNQ41" s="643"/>
      <c r="NNR41" s="643"/>
      <c r="NNS41" s="643"/>
      <c r="NNT41" s="643"/>
      <c r="NNU41" s="643"/>
      <c r="NNV41" s="643"/>
      <c r="NNW41" s="643"/>
      <c r="NNX41" s="643"/>
      <c r="NNY41" s="643"/>
      <c r="NNZ41" s="643"/>
      <c r="NOA41" s="643"/>
      <c r="NOB41" s="643"/>
      <c r="NOC41" s="643"/>
      <c r="NOD41" s="643"/>
      <c r="NOE41" s="643"/>
      <c r="NOF41" s="643"/>
      <c r="NOG41" s="643"/>
      <c r="NOH41" s="643"/>
      <c r="NOI41" s="643"/>
      <c r="NOJ41" s="643"/>
      <c r="NOK41" s="643"/>
      <c r="NOL41" s="643"/>
      <c r="NOM41" s="643"/>
      <c r="NON41" s="643"/>
      <c r="NOO41" s="643"/>
      <c r="NOP41" s="643"/>
      <c r="NOQ41" s="643"/>
      <c r="NOR41" s="643"/>
      <c r="NOS41" s="643"/>
      <c r="NOT41" s="643"/>
      <c r="NOU41" s="643"/>
      <c r="NOV41" s="643"/>
      <c r="NOW41" s="643"/>
      <c r="NOX41" s="643"/>
      <c r="NOY41" s="643"/>
      <c r="NOZ41" s="643"/>
      <c r="NPA41" s="643"/>
      <c r="NPB41" s="643"/>
      <c r="NPC41" s="643"/>
      <c r="NPD41" s="643"/>
      <c r="NPE41" s="643"/>
      <c r="NPF41" s="643"/>
      <c r="NPG41" s="643"/>
      <c r="NPH41" s="643"/>
      <c r="NPI41" s="643"/>
      <c r="NPJ41" s="643"/>
      <c r="NPK41" s="643"/>
      <c r="NPL41" s="643"/>
      <c r="NPM41" s="643"/>
      <c r="NPN41" s="643"/>
      <c r="NPO41" s="643"/>
      <c r="NPP41" s="643"/>
      <c r="NPQ41" s="643"/>
      <c r="NPR41" s="643"/>
      <c r="NPS41" s="643"/>
      <c r="NPT41" s="643"/>
      <c r="NPU41" s="643"/>
      <c r="NPV41" s="643"/>
      <c r="NPW41" s="643"/>
      <c r="NPX41" s="643"/>
      <c r="NPY41" s="643"/>
      <c r="NPZ41" s="643"/>
      <c r="NQA41" s="643"/>
      <c r="NQB41" s="643"/>
      <c r="NQC41" s="643"/>
      <c r="NQD41" s="643"/>
      <c r="NQE41" s="643"/>
      <c r="NQF41" s="643"/>
      <c r="NQG41" s="643"/>
      <c r="NQH41" s="643"/>
      <c r="NQI41" s="643"/>
      <c r="NQJ41" s="643"/>
      <c r="NQK41" s="643"/>
      <c r="NQL41" s="643"/>
      <c r="NQM41" s="643"/>
      <c r="NQN41" s="643"/>
      <c r="NQO41" s="643"/>
      <c r="NQP41" s="643"/>
      <c r="NQQ41" s="643"/>
      <c r="NQR41" s="643"/>
      <c r="NQS41" s="643"/>
      <c r="NQT41" s="643"/>
      <c r="NQU41" s="643"/>
      <c r="NQV41" s="643"/>
      <c r="NQW41" s="643"/>
      <c r="NQX41" s="643"/>
      <c r="NQY41" s="643"/>
      <c r="NQZ41" s="643"/>
      <c r="NRA41" s="643"/>
      <c r="NRB41" s="643"/>
      <c r="NRC41" s="643"/>
      <c r="NRD41" s="643"/>
      <c r="NRE41" s="643"/>
      <c r="NRF41" s="643"/>
      <c r="NRG41" s="643"/>
      <c r="NRH41" s="643"/>
      <c r="NRI41" s="643"/>
      <c r="NRJ41" s="643"/>
      <c r="NRK41" s="643"/>
      <c r="NRL41" s="643"/>
      <c r="NRM41" s="643"/>
      <c r="NRN41" s="643"/>
      <c r="NRO41" s="643"/>
      <c r="NRP41" s="643"/>
      <c r="NRQ41" s="643"/>
      <c r="NRR41" s="643"/>
      <c r="NRS41" s="643"/>
      <c r="NRT41" s="643"/>
      <c r="NRU41" s="643"/>
      <c r="NRV41" s="643"/>
      <c r="NRW41" s="643"/>
      <c r="NRX41" s="643"/>
      <c r="NRY41" s="643"/>
      <c r="NRZ41" s="643"/>
      <c r="NSA41" s="643"/>
      <c r="NSB41" s="643"/>
      <c r="NSC41" s="643"/>
      <c r="NSD41" s="643"/>
      <c r="NSE41" s="643"/>
      <c r="NSF41" s="643"/>
      <c r="NSG41" s="643"/>
      <c r="NSH41" s="643"/>
      <c r="NSI41" s="643"/>
      <c r="NSJ41" s="643"/>
      <c r="NSK41" s="643"/>
      <c r="NSL41" s="643"/>
      <c r="NSM41" s="643"/>
      <c r="NSN41" s="643"/>
      <c r="NSO41" s="643"/>
      <c r="NSP41" s="643"/>
      <c r="NSQ41" s="643"/>
      <c r="NSR41" s="643"/>
      <c r="NSS41" s="643"/>
      <c r="NST41" s="643"/>
      <c r="NSU41" s="643"/>
      <c r="NSV41" s="643"/>
      <c r="NSW41" s="643"/>
      <c r="NSX41" s="643"/>
      <c r="NSY41" s="643"/>
      <c r="NSZ41" s="643"/>
      <c r="NTA41" s="643"/>
      <c r="NTB41" s="643"/>
      <c r="NTC41" s="643"/>
      <c r="NTD41" s="643"/>
      <c r="NTE41" s="643"/>
      <c r="NTF41" s="643"/>
      <c r="NTG41" s="643"/>
      <c r="NTH41" s="643"/>
      <c r="NTI41" s="643"/>
      <c r="NTJ41" s="643"/>
      <c r="NTK41" s="643"/>
      <c r="NTL41" s="643"/>
      <c r="NTM41" s="643"/>
      <c r="NTN41" s="643"/>
      <c r="NTO41" s="643"/>
      <c r="NTP41" s="643"/>
      <c r="NTQ41" s="643"/>
      <c r="NTR41" s="643"/>
      <c r="NTS41" s="643"/>
      <c r="NTT41" s="643"/>
      <c r="NTU41" s="643"/>
      <c r="NTV41" s="643"/>
      <c r="NTW41" s="643"/>
      <c r="NTX41" s="643"/>
      <c r="NTY41" s="643"/>
      <c r="NTZ41" s="643"/>
      <c r="NUA41" s="643"/>
      <c r="NUB41" s="643"/>
      <c r="NUC41" s="643"/>
      <c r="NUD41" s="643"/>
      <c r="NUE41" s="643"/>
      <c r="NUF41" s="643"/>
      <c r="NUG41" s="643"/>
      <c r="NUH41" s="643"/>
      <c r="NUI41" s="643"/>
      <c r="NUJ41" s="643"/>
      <c r="NUK41" s="643"/>
      <c r="NUL41" s="643"/>
      <c r="NUM41" s="643"/>
      <c r="NUN41" s="643"/>
      <c r="NUO41" s="643"/>
      <c r="NUP41" s="643"/>
      <c r="NUQ41" s="643"/>
      <c r="NUR41" s="643"/>
      <c r="NUS41" s="643"/>
      <c r="NUT41" s="643"/>
      <c r="NUU41" s="643"/>
      <c r="NUV41" s="643"/>
      <c r="NUW41" s="643"/>
      <c r="NUX41" s="643"/>
      <c r="NUY41" s="643"/>
      <c r="NUZ41" s="643"/>
      <c r="NVA41" s="643"/>
      <c r="NVB41" s="643"/>
      <c r="NVC41" s="643"/>
      <c r="NVD41" s="643"/>
      <c r="NVE41" s="643"/>
      <c r="NVF41" s="643"/>
      <c r="NVG41" s="643"/>
      <c r="NVH41" s="643"/>
      <c r="NVI41" s="643"/>
      <c r="NVJ41" s="643"/>
      <c r="NVK41" s="643"/>
      <c r="NVL41" s="643"/>
      <c r="NVM41" s="643"/>
      <c r="NVN41" s="643"/>
      <c r="NVO41" s="643"/>
      <c r="NVP41" s="643"/>
      <c r="NVQ41" s="643"/>
      <c r="NVR41" s="643"/>
      <c r="NVS41" s="643"/>
      <c r="NVT41" s="643"/>
      <c r="NVU41" s="643"/>
      <c r="NVV41" s="643"/>
      <c r="NVW41" s="643"/>
      <c r="NVX41" s="643"/>
      <c r="NVY41" s="643"/>
      <c r="NVZ41" s="643"/>
      <c r="NWA41" s="643"/>
      <c r="NWB41" s="643"/>
      <c r="NWC41" s="643"/>
      <c r="NWD41" s="643"/>
      <c r="NWE41" s="643"/>
      <c r="NWF41" s="643"/>
      <c r="NWG41" s="643"/>
      <c r="NWH41" s="643"/>
      <c r="NWI41" s="643"/>
      <c r="NWJ41" s="643"/>
      <c r="NWK41" s="643"/>
      <c r="NWL41" s="643"/>
      <c r="NWM41" s="643"/>
      <c r="NWN41" s="643"/>
      <c r="NWO41" s="643"/>
      <c r="NWP41" s="643"/>
      <c r="NWQ41" s="643"/>
      <c r="NWR41" s="643"/>
      <c r="NWS41" s="643"/>
      <c r="NWT41" s="643"/>
      <c r="NWU41" s="643"/>
      <c r="NWV41" s="643"/>
      <c r="NWW41" s="643"/>
      <c r="NWX41" s="643"/>
      <c r="NWY41" s="643"/>
      <c r="NWZ41" s="643"/>
      <c r="NXA41" s="643"/>
      <c r="NXB41" s="643"/>
      <c r="NXC41" s="643"/>
      <c r="NXD41" s="643"/>
      <c r="NXE41" s="643"/>
      <c r="NXF41" s="643"/>
      <c r="NXG41" s="643"/>
      <c r="NXH41" s="643"/>
      <c r="NXI41" s="643"/>
      <c r="NXJ41" s="643"/>
      <c r="NXK41" s="643"/>
      <c r="NXL41" s="643"/>
      <c r="NXM41" s="643"/>
      <c r="NXN41" s="643"/>
      <c r="NXO41" s="643"/>
      <c r="NXP41" s="643"/>
      <c r="NXQ41" s="643"/>
      <c r="NXR41" s="643"/>
      <c r="NXS41" s="643"/>
      <c r="NXT41" s="643"/>
      <c r="NXU41" s="643"/>
      <c r="NXV41" s="643"/>
      <c r="NXW41" s="643"/>
      <c r="NXX41" s="643"/>
      <c r="NXY41" s="643"/>
      <c r="NXZ41" s="643"/>
      <c r="NYA41" s="643"/>
      <c r="NYB41" s="643"/>
      <c r="NYC41" s="643"/>
      <c r="NYD41" s="643"/>
      <c r="NYE41" s="643"/>
      <c r="NYF41" s="643"/>
      <c r="NYG41" s="643"/>
      <c r="NYH41" s="643"/>
      <c r="NYI41" s="643"/>
      <c r="NYJ41" s="643"/>
      <c r="NYK41" s="643"/>
      <c r="NYL41" s="643"/>
      <c r="NYM41" s="643"/>
      <c r="NYN41" s="643"/>
      <c r="NYO41" s="643"/>
      <c r="NYP41" s="643"/>
      <c r="NYQ41" s="643"/>
      <c r="NYR41" s="643"/>
      <c r="NYS41" s="643"/>
      <c r="NYT41" s="643"/>
      <c r="NYU41" s="643"/>
      <c r="NYV41" s="643"/>
      <c r="NYW41" s="643"/>
      <c r="NYX41" s="643"/>
      <c r="NYY41" s="643"/>
      <c r="NYZ41" s="643"/>
      <c r="NZA41" s="643"/>
      <c r="NZB41" s="643"/>
      <c r="NZC41" s="643"/>
      <c r="NZD41" s="643"/>
      <c r="NZE41" s="643"/>
      <c r="NZF41" s="643"/>
      <c r="NZG41" s="643"/>
      <c r="NZH41" s="643"/>
      <c r="NZI41" s="643"/>
      <c r="NZJ41" s="643"/>
      <c r="NZK41" s="643"/>
      <c r="NZL41" s="643"/>
      <c r="NZM41" s="643"/>
      <c r="NZN41" s="643"/>
      <c r="NZO41" s="643"/>
      <c r="NZP41" s="643"/>
      <c r="NZQ41" s="643"/>
      <c r="NZR41" s="643"/>
      <c r="NZS41" s="643"/>
      <c r="NZT41" s="643"/>
      <c r="NZU41" s="643"/>
      <c r="NZV41" s="643"/>
      <c r="NZW41" s="643"/>
      <c r="NZX41" s="643"/>
      <c r="NZY41" s="643"/>
      <c r="NZZ41" s="643"/>
      <c r="OAA41" s="643"/>
      <c r="OAB41" s="643"/>
      <c r="OAC41" s="643"/>
      <c r="OAD41" s="643"/>
      <c r="OAE41" s="643"/>
      <c r="OAF41" s="643"/>
      <c r="OAG41" s="643"/>
      <c r="OAH41" s="643"/>
      <c r="OAI41" s="643"/>
      <c r="OAJ41" s="643"/>
      <c r="OAK41" s="643"/>
      <c r="OAL41" s="643"/>
      <c r="OAM41" s="643"/>
      <c r="OAN41" s="643"/>
      <c r="OAO41" s="643"/>
      <c r="OAP41" s="643"/>
      <c r="OAQ41" s="643"/>
      <c r="OAR41" s="643"/>
      <c r="OAS41" s="643"/>
      <c r="OAT41" s="643"/>
      <c r="OAU41" s="643"/>
      <c r="OAV41" s="643"/>
      <c r="OAW41" s="643"/>
      <c r="OAX41" s="643"/>
      <c r="OAY41" s="643"/>
      <c r="OAZ41" s="643"/>
      <c r="OBA41" s="643"/>
      <c r="OBB41" s="643"/>
      <c r="OBC41" s="643"/>
      <c r="OBD41" s="643"/>
      <c r="OBE41" s="643"/>
      <c r="OBF41" s="643"/>
      <c r="OBG41" s="643"/>
      <c r="OBH41" s="643"/>
      <c r="OBI41" s="643"/>
      <c r="OBJ41" s="643"/>
      <c r="OBK41" s="643"/>
      <c r="OBL41" s="643"/>
      <c r="OBM41" s="643"/>
      <c r="OBN41" s="643"/>
      <c r="OBO41" s="643"/>
      <c r="OBP41" s="643"/>
      <c r="OBQ41" s="643"/>
      <c r="OBR41" s="643"/>
      <c r="OBS41" s="643"/>
      <c r="OBT41" s="643"/>
      <c r="OBU41" s="643"/>
      <c r="OBV41" s="643"/>
      <c r="OBW41" s="643"/>
      <c r="OBX41" s="643"/>
      <c r="OBY41" s="643"/>
      <c r="OBZ41" s="643"/>
      <c r="OCA41" s="643"/>
      <c r="OCB41" s="643"/>
      <c r="OCC41" s="643"/>
      <c r="OCD41" s="643"/>
      <c r="OCE41" s="643"/>
      <c r="OCF41" s="643"/>
      <c r="OCG41" s="643"/>
      <c r="OCH41" s="643"/>
      <c r="OCI41" s="643"/>
      <c r="OCJ41" s="643"/>
      <c r="OCK41" s="643"/>
      <c r="OCL41" s="643"/>
      <c r="OCM41" s="643"/>
      <c r="OCN41" s="643"/>
      <c r="OCO41" s="643"/>
      <c r="OCP41" s="643"/>
      <c r="OCQ41" s="643"/>
      <c r="OCR41" s="643"/>
      <c r="OCS41" s="643"/>
      <c r="OCT41" s="643"/>
      <c r="OCU41" s="643"/>
      <c r="OCV41" s="643"/>
      <c r="OCW41" s="643"/>
      <c r="OCX41" s="643"/>
      <c r="OCY41" s="643"/>
      <c r="OCZ41" s="643"/>
      <c r="ODA41" s="643"/>
      <c r="ODB41" s="643"/>
      <c r="ODC41" s="643"/>
      <c r="ODD41" s="643"/>
      <c r="ODE41" s="643"/>
      <c r="ODF41" s="643"/>
      <c r="ODG41" s="643"/>
      <c r="ODH41" s="643"/>
      <c r="ODI41" s="643"/>
      <c r="ODJ41" s="643"/>
      <c r="ODK41" s="643"/>
      <c r="ODL41" s="643"/>
      <c r="ODM41" s="643"/>
      <c r="ODN41" s="643"/>
      <c r="ODO41" s="643"/>
      <c r="ODP41" s="643"/>
      <c r="ODQ41" s="643"/>
      <c r="ODR41" s="643"/>
      <c r="ODS41" s="643"/>
      <c r="ODT41" s="643"/>
      <c r="ODU41" s="643"/>
      <c r="ODV41" s="643"/>
      <c r="ODW41" s="643"/>
      <c r="ODX41" s="643"/>
      <c r="ODY41" s="643"/>
      <c r="ODZ41" s="643"/>
      <c r="OEA41" s="643"/>
      <c r="OEB41" s="643"/>
      <c r="OEC41" s="643"/>
      <c r="OED41" s="643"/>
      <c r="OEE41" s="643"/>
      <c r="OEF41" s="643"/>
      <c r="OEG41" s="643"/>
      <c r="OEH41" s="643"/>
      <c r="OEI41" s="643"/>
      <c r="OEJ41" s="643"/>
      <c r="OEK41" s="643"/>
      <c r="OEL41" s="643"/>
      <c r="OEM41" s="643"/>
      <c r="OEN41" s="643"/>
      <c r="OEO41" s="643"/>
      <c r="OEP41" s="643"/>
      <c r="OEQ41" s="643"/>
      <c r="OER41" s="643"/>
      <c r="OES41" s="643"/>
      <c r="OET41" s="643"/>
      <c r="OEU41" s="643"/>
      <c r="OEV41" s="643"/>
      <c r="OEW41" s="643"/>
      <c r="OEX41" s="643"/>
      <c r="OEY41" s="643"/>
      <c r="OEZ41" s="643"/>
      <c r="OFA41" s="643"/>
      <c r="OFB41" s="643"/>
      <c r="OFC41" s="643"/>
      <c r="OFD41" s="643"/>
      <c r="OFE41" s="643"/>
      <c r="OFF41" s="643"/>
      <c r="OFG41" s="643"/>
      <c r="OFH41" s="643"/>
      <c r="OFI41" s="643"/>
      <c r="OFJ41" s="643"/>
      <c r="OFK41" s="643"/>
      <c r="OFL41" s="643"/>
      <c r="OFM41" s="643"/>
      <c r="OFN41" s="643"/>
      <c r="OFO41" s="643"/>
      <c r="OFP41" s="643"/>
      <c r="OFQ41" s="643"/>
      <c r="OFR41" s="643"/>
      <c r="OFS41" s="643"/>
      <c r="OFT41" s="643"/>
      <c r="OFU41" s="643"/>
      <c r="OFV41" s="643"/>
      <c r="OFW41" s="643"/>
      <c r="OFX41" s="643"/>
      <c r="OFY41" s="643"/>
      <c r="OFZ41" s="643"/>
      <c r="OGA41" s="643"/>
      <c r="OGB41" s="643"/>
      <c r="OGC41" s="643"/>
      <c r="OGD41" s="643"/>
      <c r="OGE41" s="643"/>
      <c r="OGF41" s="643"/>
      <c r="OGG41" s="643"/>
      <c r="OGH41" s="643"/>
      <c r="OGI41" s="643"/>
      <c r="OGJ41" s="643"/>
      <c r="OGK41" s="643"/>
      <c r="OGL41" s="643"/>
      <c r="OGM41" s="643"/>
      <c r="OGN41" s="643"/>
      <c r="OGO41" s="643"/>
      <c r="OGP41" s="643"/>
      <c r="OGQ41" s="643"/>
      <c r="OGR41" s="643"/>
      <c r="OGS41" s="643"/>
      <c r="OGT41" s="643"/>
      <c r="OGU41" s="643"/>
      <c r="OGV41" s="643"/>
      <c r="OGW41" s="643"/>
      <c r="OGX41" s="643"/>
      <c r="OGY41" s="643"/>
      <c r="OGZ41" s="643"/>
      <c r="OHA41" s="643"/>
      <c r="OHB41" s="643"/>
      <c r="OHC41" s="643"/>
      <c r="OHD41" s="643"/>
      <c r="OHE41" s="643"/>
      <c r="OHF41" s="643"/>
      <c r="OHG41" s="643"/>
      <c r="OHH41" s="643"/>
      <c r="OHI41" s="643"/>
      <c r="OHJ41" s="643"/>
      <c r="OHK41" s="643"/>
      <c r="OHL41" s="643"/>
      <c r="OHM41" s="643"/>
      <c r="OHN41" s="643"/>
      <c r="OHO41" s="643"/>
      <c r="OHP41" s="643"/>
      <c r="OHQ41" s="643"/>
      <c r="OHR41" s="643"/>
      <c r="OHS41" s="643"/>
      <c r="OHT41" s="643"/>
      <c r="OHU41" s="643"/>
      <c r="OHV41" s="643"/>
      <c r="OHW41" s="643"/>
      <c r="OHX41" s="643"/>
      <c r="OHY41" s="643"/>
      <c r="OHZ41" s="643"/>
      <c r="OIA41" s="643"/>
      <c r="OIB41" s="643"/>
      <c r="OIC41" s="643"/>
      <c r="OID41" s="643"/>
      <c r="OIE41" s="643"/>
      <c r="OIF41" s="643"/>
      <c r="OIG41" s="643"/>
      <c r="OIH41" s="643"/>
      <c r="OII41" s="643"/>
      <c r="OIJ41" s="643"/>
      <c r="OIK41" s="643"/>
      <c r="OIL41" s="643"/>
      <c r="OIM41" s="643"/>
      <c r="OIN41" s="643"/>
      <c r="OIO41" s="643"/>
      <c r="OIP41" s="643"/>
      <c r="OIQ41" s="643"/>
      <c r="OIR41" s="643"/>
      <c r="OIS41" s="643"/>
      <c r="OIT41" s="643"/>
      <c r="OIU41" s="643"/>
      <c r="OIV41" s="643"/>
      <c r="OIW41" s="643"/>
      <c r="OIX41" s="643"/>
      <c r="OIY41" s="643"/>
      <c r="OIZ41" s="643"/>
      <c r="OJA41" s="643"/>
      <c r="OJB41" s="643"/>
      <c r="OJC41" s="643"/>
      <c r="OJD41" s="643"/>
      <c r="OJE41" s="643"/>
      <c r="OJF41" s="643"/>
      <c r="OJG41" s="643"/>
      <c r="OJH41" s="643"/>
      <c r="OJI41" s="643"/>
      <c r="OJJ41" s="643"/>
      <c r="OJK41" s="643"/>
      <c r="OJL41" s="643"/>
      <c r="OJM41" s="643"/>
      <c r="OJN41" s="643"/>
      <c r="OJO41" s="643"/>
      <c r="OJP41" s="643"/>
      <c r="OJQ41" s="643"/>
      <c r="OJR41" s="643"/>
      <c r="OJS41" s="643"/>
      <c r="OJT41" s="643"/>
      <c r="OJU41" s="643"/>
      <c r="OJV41" s="643"/>
      <c r="OJW41" s="643"/>
      <c r="OJX41" s="643"/>
      <c r="OJY41" s="643"/>
      <c r="OJZ41" s="643"/>
      <c r="OKA41" s="643"/>
      <c r="OKB41" s="643"/>
      <c r="OKC41" s="643"/>
      <c r="OKD41" s="643"/>
      <c r="OKE41" s="643"/>
      <c r="OKF41" s="643"/>
      <c r="OKG41" s="643"/>
      <c r="OKH41" s="643"/>
      <c r="OKI41" s="643"/>
      <c r="OKJ41" s="643"/>
      <c r="OKK41" s="643"/>
      <c r="OKL41" s="643"/>
      <c r="OKM41" s="643"/>
      <c r="OKN41" s="643"/>
      <c r="OKO41" s="643"/>
      <c r="OKP41" s="643"/>
      <c r="OKQ41" s="643"/>
      <c r="OKR41" s="643"/>
      <c r="OKS41" s="643"/>
      <c r="OKT41" s="643"/>
      <c r="OKU41" s="643"/>
      <c r="OKV41" s="643"/>
      <c r="OKW41" s="643"/>
      <c r="OKX41" s="643"/>
      <c r="OKY41" s="643"/>
      <c r="OKZ41" s="643"/>
      <c r="OLA41" s="643"/>
      <c r="OLB41" s="643"/>
      <c r="OLC41" s="643"/>
      <c r="OLD41" s="643"/>
      <c r="OLE41" s="643"/>
      <c r="OLF41" s="643"/>
      <c r="OLG41" s="643"/>
      <c r="OLH41" s="643"/>
      <c r="OLI41" s="643"/>
      <c r="OLJ41" s="643"/>
      <c r="OLK41" s="643"/>
      <c r="OLL41" s="643"/>
      <c r="OLM41" s="643"/>
      <c r="OLN41" s="643"/>
      <c r="OLO41" s="643"/>
      <c r="OLP41" s="643"/>
      <c r="OLQ41" s="643"/>
      <c r="OLR41" s="643"/>
      <c r="OLS41" s="643"/>
      <c r="OLT41" s="643"/>
      <c r="OLU41" s="643"/>
      <c r="OLV41" s="643"/>
      <c r="OLW41" s="643"/>
      <c r="OLX41" s="643"/>
      <c r="OLY41" s="643"/>
      <c r="OLZ41" s="643"/>
      <c r="OMA41" s="643"/>
      <c r="OMB41" s="643"/>
      <c r="OMC41" s="643"/>
      <c r="OMD41" s="643"/>
      <c r="OME41" s="643"/>
      <c r="OMF41" s="643"/>
      <c r="OMG41" s="643"/>
      <c r="OMH41" s="643"/>
      <c r="OMI41" s="643"/>
      <c r="OMJ41" s="643"/>
      <c r="OMK41" s="643"/>
      <c r="OML41" s="643"/>
      <c r="OMM41" s="643"/>
      <c r="OMN41" s="643"/>
      <c r="OMO41" s="643"/>
      <c r="OMP41" s="643"/>
      <c r="OMQ41" s="643"/>
      <c r="OMR41" s="643"/>
      <c r="OMS41" s="643"/>
      <c r="OMT41" s="643"/>
      <c r="OMU41" s="643"/>
      <c r="OMV41" s="643"/>
      <c r="OMW41" s="643"/>
      <c r="OMX41" s="643"/>
      <c r="OMY41" s="643"/>
      <c r="OMZ41" s="643"/>
      <c r="ONA41" s="643"/>
      <c r="ONB41" s="643"/>
      <c r="ONC41" s="643"/>
      <c r="OND41" s="643"/>
      <c r="ONE41" s="643"/>
      <c r="ONF41" s="643"/>
      <c r="ONG41" s="643"/>
      <c r="ONH41" s="643"/>
      <c r="ONI41" s="643"/>
      <c r="ONJ41" s="643"/>
      <c r="ONK41" s="643"/>
      <c r="ONL41" s="643"/>
      <c r="ONM41" s="643"/>
      <c r="ONN41" s="643"/>
      <c r="ONO41" s="643"/>
      <c r="ONP41" s="643"/>
      <c r="ONQ41" s="643"/>
      <c r="ONR41" s="643"/>
      <c r="ONS41" s="643"/>
      <c r="ONT41" s="643"/>
      <c r="ONU41" s="643"/>
      <c r="ONV41" s="643"/>
      <c r="ONW41" s="643"/>
      <c r="ONX41" s="643"/>
      <c r="ONY41" s="643"/>
      <c r="ONZ41" s="643"/>
      <c r="OOA41" s="643"/>
      <c r="OOB41" s="643"/>
      <c r="OOC41" s="643"/>
      <c r="OOD41" s="643"/>
      <c r="OOE41" s="643"/>
      <c r="OOF41" s="643"/>
      <c r="OOG41" s="643"/>
      <c r="OOH41" s="643"/>
      <c r="OOI41" s="643"/>
      <c r="OOJ41" s="643"/>
      <c r="OOK41" s="643"/>
      <c r="OOL41" s="643"/>
      <c r="OOM41" s="643"/>
      <c r="OON41" s="643"/>
      <c r="OOO41" s="643"/>
      <c r="OOP41" s="643"/>
      <c r="OOQ41" s="643"/>
      <c r="OOR41" s="643"/>
      <c r="OOS41" s="643"/>
      <c r="OOT41" s="643"/>
      <c r="OOU41" s="643"/>
      <c r="OOV41" s="643"/>
      <c r="OOW41" s="643"/>
      <c r="OOX41" s="643"/>
      <c r="OOY41" s="643"/>
      <c r="OOZ41" s="643"/>
      <c r="OPA41" s="643"/>
      <c r="OPB41" s="643"/>
      <c r="OPC41" s="643"/>
      <c r="OPD41" s="643"/>
      <c r="OPE41" s="643"/>
      <c r="OPF41" s="643"/>
      <c r="OPG41" s="643"/>
      <c r="OPH41" s="643"/>
      <c r="OPI41" s="643"/>
      <c r="OPJ41" s="643"/>
      <c r="OPK41" s="643"/>
      <c r="OPL41" s="643"/>
      <c r="OPM41" s="643"/>
      <c r="OPN41" s="643"/>
      <c r="OPO41" s="643"/>
      <c r="OPP41" s="643"/>
      <c r="OPQ41" s="643"/>
      <c r="OPR41" s="643"/>
      <c r="OPS41" s="643"/>
      <c r="OPT41" s="643"/>
      <c r="OPU41" s="643"/>
      <c r="OPV41" s="643"/>
      <c r="OPW41" s="643"/>
      <c r="OPX41" s="643"/>
      <c r="OPY41" s="643"/>
      <c r="OPZ41" s="643"/>
      <c r="OQA41" s="643"/>
      <c r="OQB41" s="643"/>
      <c r="OQC41" s="643"/>
      <c r="OQD41" s="643"/>
      <c r="OQE41" s="643"/>
      <c r="OQF41" s="643"/>
      <c r="OQG41" s="643"/>
      <c r="OQH41" s="643"/>
      <c r="OQI41" s="643"/>
      <c r="OQJ41" s="643"/>
      <c r="OQK41" s="643"/>
      <c r="OQL41" s="643"/>
      <c r="OQM41" s="643"/>
      <c r="OQN41" s="643"/>
      <c r="OQO41" s="643"/>
      <c r="OQP41" s="643"/>
      <c r="OQQ41" s="643"/>
      <c r="OQR41" s="643"/>
      <c r="OQS41" s="643"/>
      <c r="OQT41" s="643"/>
      <c r="OQU41" s="643"/>
      <c r="OQV41" s="643"/>
      <c r="OQW41" s="643"/>
      <c r="OQX41" s="643"/>
      <c r="OQY41" s="643"/>
      <c r="OQZ41" s="643"/>
      <c r="ORA41" s="643"/>
      <c r="ORB41" s="643"/>
      <c r="ORC41" s="643"/>
      <c r="ORD41" s="643"/>
      <c r="ORE41" s="643"/>
      <c r="ORF41" s="643"/>
      <c r="ORG41" s="643"/>
      <c r="ORH41" s="643"/>
      <c r="ORI41" s="643"/>
      <c r="ORJ41" s="643"/>
      <c r="ORK41" s="643"/>
      <c r="ORL41" s="643"/>
      <c r="ORM41" s="643"/>
      <c r="ORN41" s="643"/>
      <c r="ORO41" s="643"/>
      <c r="ORP41" s="643"/>
      <c r="ORQ41" s="643"/>
      <c r="ORR41" s="643"/>
      <c r="ORS41" s="643"/>
      <c r="ORT41" s="643"/>
      <c r="ORU41" s="643"/>
      <c r="ORV41" s="643"/>
      <c r="ORW41" s="643"/>
      <c r="ORX41" s="643"/>
      <c r="ORY41" s="643"/>
      <c r="ORZ41" s="643"/>
      <c r="OSA41" s="643"/>
      <c r="OSB41" s="643"/>
      <c r="OSC41" s="643"/>
      <c r="OSD41" s="643"/>
      <c r="OSE41" s="643"/>
      <c r="OSF41" s="643"/>
      <c r="OSG41" s="643"/>
      <c r="OSH41" s="643"/>
      <c r="OSI41" s="643"/>
      <c r="OSJ41" s="643"/>
      <c r="OSK41" s="643"/>
      <c r="OSL41" s="643"/>
      <c r="OSM41" s="643"/>
      <c r="OSN41" s="643"/>
      <c r="OSO41" s="643"/>
      <c r="OSP41" s="643"/>
      <c r="OSQ41" s="643"/>
      <c r="OSR41" s="643"/>
      <c r="OSS41" s="643"/>
      <c r="OST41" s="643"/>
      <c r="OSU41" s="643"/>
      <c r="OSV41" s="643"/>
      <c r="OSW41" s="643"/>
      <c r="OSX41" s="643"/>
      <c r="OSY41" s="643"/>
      <c r="OSZ41" s="643"/>
      <c r="OTA41" s="643"/>
      <c r="OTB41" s="643"/>
      <c r="OTC41" s="643"/>
      <c r="OTD41" s="643"/>
      <c r="OTE41" s="643"/>
      <c r="OTF41" s="643"/>
      <c r="OTG41" s="643"/>
      <c r="OTH41" s="643"/>
      <c r="OTI41" s="643"/>
      <c r="OTJ41" s="643"/>
      <c r="OTK41" s="643"/>
      <c r="OTL41" s="643"/>
      <c r="OTM41" s="643"/>
      <c r="OTN41" s="643"/>
      <c r="OTO41" s="643"/>
      <c r="OTP41" s="643"/>
      <c r="OTQ41" s="643"/>
      <c r="OTR41" s="643"/>
      <c r="OTS41" s="643"/>
      <c r="OTT41" s="643"/>
      <c r="OTU41" s="643"/>
      <c r="OTV41" s="643"/>
      <c r="OTW41" s="643"/>
      <c r="OTX41" s="643"/>
      <c r="OTY41" s="643"/>
      <c r="OTZ41" s="643"/>
      <c r="OUA41" s="643"/>
      <c r="OUB41" s="643"/>
      <c r="OUC41" s="643"/>
      <c r="OUD41" s="643"/>
      <c r="OUE41" s="643"/>
      <c r="OUF41" s="643"/>
      <c r="OUG41" s="643"/>
      <c r="OUH41" s="643"/>
      <c r="OUI41" s="643"/>
      <c r="OUJ41" s="643"/>
      <c r="OUK41" s="643"/>
      <c r="OUL41" s="643"/>
      <c r="OUM41" s="643"/>
      <c r="OUN41" s="643"/>
      <c r="OUO41" s="643"/>
      <c r="OUP41" s="643"/>
      <c r="OUQ41" s="643"/>
      <c r="OUR41" s="643"/>
      <c r="OUS41" s="643"/>
      <c r="OUT41" s="643"/>
      <c r="OUU41" s="643"/>
      <c r="OUV41" s="643"/>
      <c r="OUW41" s="643"/>
      <c r="OUX41" s="643"/>
      <c r="OUY41" s="643"/>
      <c r="OUZ41" s="643"/>
      <c r="OVA41" s="643"/>
      <c r="OVB41" s="643"/>
      <c r="OVC41" s="643"/>
      <c r="OVD41" s="643"/>
      <c r="OVE41" s="643"/>
      <c r="OVF41" s="643"/>
      <c r="OVG41" s="643"/>
      <c r="OVH41" s="643"/>
      <c r="OVI41" s="643"/>
      <c r="OVJ41" s="643"/>
      <c r="OVK41" s="643"/>
      <c r="OVL41" s="643"/>
      <c r="OVM41" s="643"/>
      <c r="OVN41" s="643"/>
      <c r="OVO41" s="643"/>
      <c r="OVP41" s="643"/>
      <c r="OVQ41" s="643"/>
      <c r="OVR41" s="643"/>
      <c r="OVS41" s="643"/>
      <c r="OVT41" s="643"/>
      <c r="OVU41" s="643"/>
      <c r="OVV41" s="643"/>
      <c r="OVW41" s="643"/>
      <c r="OVX41" s="643"/>
      <c r="OVY41" s="643"/>
      <c r="OVZ41" s="643"/>
      <c r="OWA41" s="643"/>
      <c r="OWB41" s="643"/>
      <c r="OWC41" s="643"/>
      <c r="OWD41" s="643"/>
      <c r="OWE41" s="643"/>
      <c r="OWF41" s="643"/>
      <c r="OWG41" s="643"/>
      <c r="OWH41" s="643"/>
      <c r="OWI41" s="643"/>
      <c r="OWJ41" s="643"/>
      <c r="OWK41" s="643"/>
      <c r="OWL41" s="643"/>
      <c r="OWM41" s="643"/>
      <c r="OWN41" s="643"/>
      <c r="OWO41" s="643"/>
      <c r="OWP41" s="643"/>
      <c r="OWQ41" s="643"/>
      <c r="OWR41" s="643"/>
      <c r="OWS41" s="643"/>
      <c r="OWT41" s="643"/>
      <c r="OWU41" s="643"/>
      <c r="OWV41" s="643"/>
      <c r="OWW41" s="643"/>
      <c r="OWX41" s="643"/>
      <c r="OWY41" s="643"/>
      <c r="OWZ41" s="643"/>
      <c r="OXA41" s="643"/>
      <c r="OXB41" s="643"/>
      <c r="OXC41" s="643"/>
      <c r="OXD41" s="643"/>
      <c r="OXE41" s="643"/>
      <c r="OXF41" s="643"/>
      <c r="OXG41" s="643"/>
      <c r="OXH41" s="643"/>
      <c r="OXI41" s="643"/>
      <c r="OXJ41" s="643"/>
      <c r="OXK41" s="643"/>
      <c r="OXL41" s="643"/>
      <c r="OXM41" s="643"/>
      <c r="OXN41" s="643"/>
      <c r="OXO41" s="643"/>
      <c r="OXP41" s="643"/>
      <c r="OXQ41" s="643"/>
      <c r="OXR41" s="643"/>
      <c r="OXS41" s="643"/>
      <c r="OXT41" s="643"/>
      <c r="OXU41" s="643"/>
      <c r="OXV41" s="643"/>
      <c r="OXW41" s="643"/>
      <c r="OXX41" s="643"/>
      <c r="OXY41" s="643"/>
      <c r="OXZ41" s="643"/>
      <c r="OYA41" s="643"/>
      <c r="OYB41" s="643"/>
      <c r="OYC41" s="643"/>
      <c r="OYD41" s="643"/>
      <c r="OYE41" s="643"/>
      <c r="OYF41" s="643"/>
      <c r="OYG41" s="643"/>
      <c r="OYH41" s="643"/>
      <c r="OYI41" s="643"/>
      <c r="OYJ41" s="643"/>
      <c r="OYK41" s="643"/>
      <c r="OYL41" s="643"/>
      <c r="OYM41" s="643"/>
      <c r="OYN41" s="643"/>
      <c r="OYO41" s="643"/>
      <c r="OYP41" s="643"/>
      <c r="OYQ41" s="643"/>
      <c r="OYR41" s="643"/>
      <c r="OYS41" s="643"/>
      <c r="OYT41" s="643"/>
      <c r="OYU41" s="643"/>
      <c r="OYV41" s="643"/>
      <c r="OYW41" s="643"/>
      <c r="OYX41" s="643"/>
      <c r="OYY41" s="643"/>
      <c r="OYZ41" s="643"/>
      <c r="OZA41" s="643"/>
      <c r="OZB41" s="643"/>
      <c r="OZC41" s="643"/>
      <c r="OZD41" s="643"/>
      <c r="OZE41" s="643"/>
      <c r="OZF41" s="643"/>
      <c r="OZG41" s="643"/>
      <c r="OZH41" s="643"/>
      <c r="OZI41" s="643"/>
      <c r="OZJ41" s="643"/>
      <c r="OZK41" s="643"/>
      <c r="OZL41" s="643"/>
      <c r="OZM41" s="643"/>
      <c r="OZN41" s="643"/>
      <c r="OZO41" s="643"/>
      <c r="OZP41" s="643"/>
      <c r="OZQ41" s="643"/>
      <c r="OZR41" s="643"/>
      <c r="OZS41" s="643"/>
      <c r="OZT41" s="643"/>
      <c r="OZU41" s="643"/>
      <c r="OZV41" s="643"/>
      <c r="OZW41" s="643"/>
      <c r="OZX41" s="643"/>
      <c r="OZY41" s="643"/>
      <c r="OZZ41" s="643"/>
      <c r="PAA41" s="643"/>
      <c r="PAB41" s="643"/>
      <c r="PAC41" s="643"/>
      <c r="PAD41" s="643"/>
      <c r="PAE41" s="643"/>
      <c r="PAF41" s="643"/>
      <c r="PAG41" s="643"/>
      <c r="PAH41" s="643"/>
      <c r="PAI41" s="643"/>
      <c r="PAJ41" s="643"/>
      <c r="PAK41" s="643"/>
      <c r="PAL41" s="643"/>
      <c r="PAM41" s="643"/>
      <c r="PAN41" s="643"/>
      <c r="PAO41" s="643"/>
      <c r="PAP41" s="643"/>
      <c r="PAQ41" s="643"/>
      <c r="PAR41" s="643"/>
      <c r="PAS41" s="643"/>
      <c r="PAT41" s="643"/>
      <c r="PAU41" s="643"/>
      <c r="PAV41" s="643"/>
      <c r="PAW41" s="643"/>
      <c r="PAX41" s="643"/>
      <c r="PAY41" s="643"/>
      <c r="PAZ41" s="643"/>
      <c r="PBA41" s="643"/>
      <c r="PBB41" s="643"/>
      <c r="PBC41" s="643"/>
      <c r="PBD41" s="643"/>
      <c r="PBE41" s="643"/>
      <c r="PBF41" s="643"/>
      <c r="PBG41" s="643"/>
      <c r="PBH41" s="643"/>
      <c r="PBI41" s="643"/>
      <c r="PBJ41" s="643"/>
      <c r="PBK41" s="643"/>
      <c r="PBL41" s="643"/>
      <c r="PBM41" s="643"/>
      <c r="PBN41" s="643"/>
      <c r="PBO41" s="643"/>
      <c r="PBP41" s="643"/>
      <c r="PBQ41" s="643"/>
      <c r="PBR41" s="643"/>
      <c r="PBS41" s="643"/>
      <c r="PBT41" s="643"/>
      <c r="PBU41" s="643"/>
      <c r="PBV41" s="643"/>
      <c r="PBW41" s="643"/>
      <c r="PBX41" s="643"/>
      <c r="PBY41" s="643"/>
      <c r="PBZ41" s="643"/>
      <c r="PCA41" s="643"/>
      <c r="PCB41" s="643"/>
      <c r="PCC41" s="643"/>
      <c r="PCD41" s="643"/>
      <c r="PCE41" s="643"/>
      <c r="PCF41" s="643"/>
      <c r="PCG41" s="643"/>
      <c r="PCH41" s="643"/>
      <c r="PCI41" s="643"/>
      <c r="PCJ41" s="643"/>
      <c r="PCK41" s="643"/>
      <c r="PCL41" s="643"/>
      <c r="PCM41" s="643"/>
      <c r="PCN41" s="643"/>
      <c r="PCO41" s="643"/>
      <c r="PCP41" s="643"/>
      <c r="PCQ41" s="643"/>
      <c r="PCR41" s="643"/>
      <c r="PCS41" s="643"/>
      <c r="PCT41" s="643"/>
      <c r="PCU41" s="643"/>
      <c r="PCV41" s="643"/>
      <c r="PCW41" s="643"/>
      <c r="PCX41" s="643"/>
      <c r="PCY41" s="643"/>
      <c r="PCZ41" s="643"/>
      <c r="PDA41" s="643"/>
      <c r="PDB41" s="643"/>
      <c r="PDC41" s="643"/>
      <c r="PDD41" s="643"/>
      <c r="PDE41" s="643"/>
      <c r="PDF41" s="643"/>
      <c r="PDG41" s="643"/>
      <c r="PDH41" s="643"/>
      <c r="PDI41" s="643"/>
      <c r="PDJ41" s="643"/>
      <c r="PDK41" s="643"/>
      <c r="PDL41" s="643"/>
      <c r="PDM41" s="643"/>
      <c r="PDN41" s="643"/>
      <c r="PDO41" s="643"/>
      <c r="PDP41" s="643"/>
      <c r="PDQ41" s="643"/>
      <c r="PDR41" s="643"/>
      <c r="PDS41" s="643"/>
      <c r="PDT41" s="643"/>
      <c r="PDU41" s="643"/>
      <c r="PDV41" s="643"/>
      <c r="PDW41" s="643"/>
      <c r="PDX41" s="643"/>
      <c r="PDY41" s="643"/>
      <c r="PDZ41" s="643"/>
      <c r="PEA41" s="643"/>
      <c r="PEB41" s="643"/>
      <c r="PEC41" s="643"/>
      <c r="PED41" s="643"/>
      <c r="PEE41" s="643"/>
      <c r="PEF41" s="643"/>
      <c r="PEG41" s="643"/>
      <c r="PEH41" s="643"/>
      <c r="PEI41" s="643"/>
      <c r="PEJ41" s="643"/>
      <c r="PEK41" s="643"/>
      <c r="PEL41" s="643"/>
      <c r="PEM41" s="643"/>
      <c r="PEN41" s="643"/>
      <c r="PEO41" s="643"/>
      <c r="PEP41" s="643"/>
      <c r="PEQ41" s="643"/>
      <c r="PER41" s="643"/>
      <c r="PES41" s="643"/>
      <c r="PET41" s="643"/>
      <c r="PEU41" s="643"/>
      <c r="PEV41" s="643"/>
      <c r="PEW41" s="643"/>
      <c r="PEX41" s="643"/>
      <c r="PEY41" s="643"/>
      <c r="PEZ41" s="643"/>
      <c r="PFA41" s="643"/>
      <c r="PFB41" s="643"/>
      <c r="PFC41" s="643"/>
      <c r="PFD41" s="643"/>
      <c r="PFE41" s="643"/>
      <c r="PFF41" s="643"/>
      <c r="PFG41" s="643"/>
      <c r="PFH41" s="643"/>
      <c r="PFI41" s="643"/>
      <c r="PFJ41" s="643"/>
      <c r="PFK41" s="643"/>
      <c r="PFL41" s="643"/>
      <c r="PFM41" s="643"/>
      <c r="PFN41" s="643"/>
      <c r="PFO41" s="643"/>
      <c r="PFP41" s="643"/>
      <c r="PFQ41" s="643"/>
      <c r="PFR41" s="643"/>
      <c r="PFS41" s="643"/>
      <c r="PFT41" s="643"/>
      <c r="PFU41" s="643"/>
      <c r="PFV41" s="643"/>
      <c r="PFW41" s="643"/>
      <c r="PFX41" s="643"/>
      <c r="PFY41" s="643"/>
      <c r="PFZ41" s="643"/>
      <c r="PGA41" s="643"/>
      <c r="PGB41" s="643"/>
      <c r="PGC41" s="643"/>
      <c r="PGD41" s="643"/>
      <c r="PGE41" s="643"/>
      <c r="PGF41" s="643"/>
      <c r="PGG41" s="643"/>
      <c r="PGH41" s="643"/>
      <c r="PGI41" s="643"/>
      <c r="PGJ41" s="643"/>
      <c r="PGK41" s="643"/>
      <c r="PGL41" s="643"/>
      <c r="PGM41" s="643"/>
      <c r="PGN41" s="643"/>
      <c r="PGO41" s="643"/>
      <c r="PGP41" s="643"/>
      <c r="PGQ41" s="643"/>
      <c r="PGR41" s="643"/>
      <c r="PGS41" s="643"/>
      <c r="PGT41" s="643"/>
      <c r="PGU41" s="643"/>
      <c r="PGV41" s="643"/>
      <c r="PGW41" s="643"/>
      <c r="PGX41" s="643"/>
      <c r="PGY41" s="643"/>
      <c r="PGZ41" s="643"/>
      <c r="PHA41" s="643"/>
      <c r="PHB41" s="643"/>
      <c r="PHC41" s="643"/>
      <c r="PHD41" s="643"/>
      <c r="PHE41" s="643"/>
      <c r="PHF41" s="643"/>
      <c r="PHG41" s="643"/>
      <c r="PHH41" s="643"/>
      <c r="PHI41" s="643"/>
      <c r="PHJ41" s="643"/>
      <c r="PHK41" s="643"/>
      <c r="PHL41" s="643"/>
      <c r="PHM41" s="643"/>
      <c r="PHN41" s="643"/>
      <c r="PHO41" s="643"/>
      <c r="PHP41" s="643"/>
      <c r="PHQ41" s="643"/>
      <c r="PHR41" s="643"/>
      <c r="PHS41" s="643"/>
      <c r="PHT41" s="643"/>
      <c r="PHU41" s="643"/>
      <c r="PHV41" s="643"/>
      <c r="PHW41" s="643"/>
      <c r="PHX41" s="643"/>
      <c r="PHY41" s="643"/>
      <c r="PHZ41" s="643"/>
      <c r="PIA41" s="643"/>
      <c r="PIB41" s="643"/>
      <c r="PIC41" s="643"/>
      <c r="PID41" s="643"/>
      <c r="PIE41" s="643"/>
      <c r="PIF41" s="643"/>
      <c r="PIG41" s="643"/>
      <c r="PIH41" s="643"/>
      <c r="PII41" s="643"/>
      <c r="PIJ41" s="643"/>
      <c r="PIK41" s="643"/>
      <c r="PIL41" s="643"/>
      <c r="PIM41" s="643"/>
      <c r="PIN41" s="643"/>
      <c r="PIO41" s="643"/>
      <c r="PIP41" s="643"/>
      <c r="PIQ41" s="643"/>
      <c r="PIR41" s="643"/>
      <c r="PIS41" s="643"/>
      <c r="PIT41" s="643"/>
      <c r="PIU41" s="643"/>
      <c r="PIV41" s="643"/>
      <c r="PIW41" s="643"/>
      <c r="PIX41" s="643"/>
      <c r="PIY41" s="643"/>
      <c r="PIZ41" s="643"/>
      <c r="PJA41" s="643"/>
      <c r="PJB41" s="643"/>
      <c r="PJC41" s="643"/>
      <c r="PJD41" s="643"/>
      <c r="PJE41" s="643"/>
      <c r="PJF41" s="643"/>
      <c r="PJG41" s="643"/>
      <c r="PJH41" s="643"/>
      <c r="PJI41" s="643"/>
      <c r="PJJ41" s="643"/>
      <c r="PJK41" s="643"/>
      <c r="PJL41" s="643"/>
      <c r="PJM41" s="643"/>
      <c r="PJN41" s="643"/>
      <c r="PJO41" s="643"/>
      <c r="PJP41" s="643"/>
      <c r="PJQ41" s="643"/>
      <c r="PJR41" s="643"/>
      <c r="PJS41" s="643"/>
      <c r="PJT41" s="643"/>
      <c r="PJU41" s="643"/>
      <c r="PJV41" s="643"/>
      <c r="PJW41" s="643"/>
      <c r="PJX41" s="643"/>
      <c r="PJY41" s="643"/>
      <c r="PJZ41" s="643"/>
      <c r="PKA41" s="643"/>
      <c r="PKB41" s="643"/>
      <c r="PKC41" s="643"/>
      <c r="PKD41" s="643"/>
      <c r="PKE41" s="643"/>
      <c r="PKF41" s="643"/>
      <c r="PKG41" s="643"/>
      <c r="PKH41" s="643"/>
      <c r="PKI41" s="643"/>
      <c r="PKJ41" s="643"/>
      <c r="PKK41" s="643"/>
      <c r="PKL41" s="643"/>
      <c r="PKM41" s="643"/>
      <c r="PKN41" s="643"/>
      <c r="PKO41" s="643"/>
      <c r="PKP41" s="643"/>
      <c r="PKQ41" s="643"/>
      <c r="PKR41" s="643"/>
      <c r="PKS41" s="643"/>
      <c r="PKT41" s="643"/>
      <c r="PKU41" s="643"/>
      <c r="PKV41" s="643"/>
      <c r="PKW41" s="643"/>
      <c r="PKX41" s="643"/>
      <c r="PKY41" s="643"/>
      <c r="PKZ41" s="643"/>
      <c r="PLA41" s="643"/>
      <c r="PLB41" s="643"/>
      <c r="PLC41" s="643"/>
      <c r="PLD41" s="643"/>
      <c r="PLE41" s="643"/>
      <c r="PLF41" s="643"/>
      <c r="PLG41" s="643"/>
      <c r="PLH41" s="643"/>
      <c r="PLI41" s="643"/>
      <c r="PLJ41" s="643"/>
      <c r="PLK41" s="643"/>
      <c r="PLL41" s="643"/>
      <c r="PLM41" s="643"/>
      <c r="PLN41" s="643"/>
      <c r="PLO41" s="643"/>
      <c r="PLP41" s="643"/>
      <c r="PLQ41" s="643"/>
      <c r="PLR41" s="643"/>
      <c r="PLS41" s="643"/>
      <c r="PLT41" s="643"/>
      <c r="PLU41" s="643"/>
      <c r="PLV41" s="643"/>
      <c r="PLW41" s="643"/>
      <c r="PLX41" s="643"/>
      <c r="PLY41" s="643"/>
      <c r="PLZ41" s="643"/>
      <c r="PMA41" s="643"/>
      <c r="PMB41" s="643"/>
      <c r="PMC41" s="643"/>
      <c r="PMD41" s="643"/>
      <c r="PME41" s="643"/>
      <c r="PMF41" s="643"/>
      <c r="PMG41" s="643"/>
      <c r="PMH41" s="643"/>
      <c r="PMI41" s="643"/>
      <c r="PMJ41" s="643"/>
      <c r="PMK41" s="643"/>
      <c r="PML41" s="643"/>
      <c r="PMM41" s="643"/>
      <c r="PMN41" s="643"/>
      <c r="PMO41" s="643"/>
      <c r="PMP41" s="643"/>
      <c r="PMQ41" s="643"/>
      <c r="PMR41" s="643"/>
      <c r="PMS41" s="643"/>
      <c r="PMT41" s="643"/>
      <c r="PMU41" s="643"/>
      <c r="PMV41" s="643"/>
      <c r="PMW41" s="643"/>
      <c r="PMX41" s="643"/>
      <c r="PMY41" s="643"/>
      <c r="PMZ41" s="643"/>
      <c r="PNA41" s="643"/>
      <c r="PNB41" s="643"/>
      <c r="PNC41" s="643"/>
      <c r="PND41" s="643"/>
      <c r="PNE41" s="643"/>
      <c r="PNF41" s="643"/>
      <c r="PNG41" s="643"/>
      <c r="PNH41" s="643"/>
      <c r="PNI41" s="643"/>
      <c r="PNJ41" s="643"/>
      <c r="PNK41" s="643"/>
      <c r="PNL41" s="643"/>
      <c r="PNM41" s="643"/>
      <c r="PNN41" s="643"/>
      <c r="PNO41" s="643"/>
      <c r="PNP41" s="643"/>
      <c r="PNQ41" s="643"/>
      <c r="PNR41" s="643"/>
      <c r="PNS41" s="643"/>
      <c r="PNT41" s="643"/>
      <c r="PNU41" s="643"/>
      <c r="PNV41" s="643"/>
      <c r="PNW41" s="643"/>
      <c r="PNX41" s="643"/>
      <c r="PNY41" s="643"/>
      <c r="PNZ41" s="643"/>
      <c r="POA41" s="643"/>
      <c r="POB41" s="643"/>
      <c r="POC41" s="643"/>
      <c r="POD41" s="643"/>
      <c r="POE41" s="643"/>
      <c r="POF41" s="643"/>
      <c r="POG41" s="643"/>
      <c r="POH41" s="643"/>
      <c r="POI41" s="643"/>
      <c r="POJ41" s="643"/>
      <c r="POK41" s="643"/>
      <c r="POL41" s="643"/>
      <c r="POM41" s="643"/>
      <c r="PON41" s="643"/>
      <c r="POO41" s="643"/>
      <c r="POP41" s="643"/>
      <c r="POQ41" s="643"/>
      <c r="POR41" s="643"/>
      <c r="POS41" s="643"/>
      <c r="POT41" s="643"/>
      <c r="POU41" s="643"/>
      <c r="POV41" s="643"/>
      <c r="POW41" s="643"/>
      <c r="POX41" s="643"/>
      <c r="POY41" s="643"/>
      <c r="POZ41" s="643"/>
      <c r="PPA41" s="643"/>
      <c r="PPB41" s="643"/>
      <c r="PPC41" s="643"/>
      <c r="PPD41" s="643"/>
      <c r="PPE41" s="643"/>
      <c r="PPF41" s="643"/>
      <c r="PPG41" s="643"/>
      <c r="PPH41" s="643"/>
      <c r="PPI41" s="643"/>
      <c r="PPJ41" s="643"/>
      <c r="PPK41" s="643"/>
      <c r="PPL41" s="643"/>
      <c r="PPM41" s="643"/>
      <c r="PPN41" s="643"/>
      <c r="PPO41" s="643"/>
      <c r="PPP41" s="643"/>
      <c r="PPQ41" s="643"/>
      <c r="PPR41" s="643"/>
      <c r="PPS41" s="643"/>
      <c r="PPT41" s="643"/>
      <c r="PPU41" s="643"/>
      <c r="PPV41" s="643"/>
      <c r="PPW41" s="643"/>
      <c r="PPX41" s="643"/>
      <c r="PPY41" s="643"/>
      <c r="PPZ41" s="643"/>
      <c r="PQA41" s="643"/>
      <c r="PQB41" s="643"/>
      <c r="PQC41" s="643"/>
      <c r="PQD41" s="643"/>
      <c r="PQE41" s="643"/>
      <c r="PQF41" s="643"/>
      <c r="PQG41" s="643"/>
      <c r="PQH41" s="643"/>
      <c r="PQI41" s="643"/>
      <c r="PQJ41" s="643"/>
      <c r="PQK41" s="643"/>
      <c r="PQL41" s="643"/>
      <c r="PQM41" s="643"/>
      <c r="PQN41" s="643"/>
      <c r="PQO41" s="643"/>
      <c r="PQP41" s="643"/>
      <c r="PQQ41" s="643"/>
      <c r="PQR41" s="643"/>
      <c r="PQS41" s="643"/>
      <c r="PQT41" s="643"/>
      <c r="PQU41" s="643"/>
      <c r="PQV41" s="643"/>
      <c r="PQW41" s="643"/>
      <c r="PQX41" s="643"/>
      <c r="PQY41" s="643"/>
      <c r="PQZ41" s="643"/>
      <c r="PRA41" s="643"/>
      <c r="PRB41" s="643"/>
      <c r="PRC41" s="643"/>
      <c r="PRD41" s="643"/>
      <c r="PRE41" s="643"/>
      <c r="PRF41" s="643"/>
      <c r="PRG41" s="643"/>
      <c r="PRH41" s="643"/>
      <c r="PRI41" s="643"/>
      <c r="PRJ41" s="643"/>
      <c r="PRK41" s="643"/>
      <c r="PRL41" s="643"/>
      <c r="PRM41" s="643"/>
      <c r="PRN41" s="643"/>
      <c r="PRO41" s="643"/>
      <c r="PRP41" s="643"/>
      <c r="PRQ41" s="643"/>
      <c r="PRR41" s="643"/>
      <c r="PRS41" s="643"/>
      <c r="PRT41" s="643"/>
      <c r="PRU41" s="643"/>
      <c r="PRV41" s="643"/>
      <c r="PRW41" s="643"/>
      <c r="PRX41" s="643"/>
      <c r="PRY41" s="643"/>
      <c r="PRZ41" s="643"/>
      <c r="PSA41" s="643"/>
      <c r="PSB41" s="643"/>
      <c r="PSC41" s="643"/>
      <c r="PSD41" s="643"/>
      <c r="PSE41" s="643"/>
      <c r="PSF41" s="643"/>
      <c r="PSG41" s="643"/>
      <c r="PSH41" s="643"/>
      <c r="PSI41" s="643"/>
      <c r="PSJ41" s="643"/>
      <c r="PSK41" s="643"/>
      <c r="PSL41" s="643"/>
      <c r="PSM41" s="643"/>
      <c r="PSN41" s="643"/>
      <c r="PSO41" s="643"/>
      <c r="PSP41" s="643"/>
      <c r="PSQ41" s="643"/>
      <c r="PSR41" s="643"/>
      <c r="PSS41" s="643"/>
      <c r="PST41" s="643"/>
      <c r="PSU41" s="643"/>
      <c r="PSV41" s="643"/>
      <c r="PSW41" s="643"/>
      <c r="PSX41" s="643"/>
      <c r="PSY41" s="643"/>
      <c r="PSZ41" s="643"/>
      <c r="PTA41" s="643"/>
      <c r="PTB41" s="643"/>
      <c r="PTC41" s="643"/>
      <c r="PTD41" s="643"/>
      <c r="PTE41" s="643"/>
      <c r="PTF41" s="643"/>
      <c r="PTG41" s="643"/>
      <c r="PTH41" s="643"/>
      <c r="PTI41" s="643"/>
      <c r="PTJ41" s="643"/>
      <c r="PTK41" s="643"/>
      <c r="PTL41" s="643"/>
      <c r="PTM41" s="643"/>
      <c r="PTN41" s="643"/>
      <c r="PTO41" s="643"/>
      <c r="PTP41" s="643"/>
      <c r="PTQ41" s="643"/>
      <c r="PTR41" s="643"/>
      <c r="PTS41" s="643"/>
      <c r="PTT41" s="643"/>
      <c r="PTU41" s="643"/>
      <c r="PTV41" s="643"/>
      <c r="PTW41" s="643"/>
      <c r="PTX41" s="643"/>
      <c r="PTY41" s="643"/>
      <c r="PTZ41" s="643"/>
      <c r="PUA41" s="643"/>
      <c r="PUB41" s="643"/>
      <c r="PUC41" s="643"/>
      <c r="PUD41" s="643"/>
      <c r="PUE41" s="643"/>
      <c r="PUF41" s="643"/>
      <c r="PUG41" s="643"/>
      <c r="PUH41" s="643"/>
      <c r="PUI41" s="643"/>
      <c r="PUJ41" s="643"/>
      <c r="PUK41" s="643"/>
      <c r="PUL41" s="643"/>
      <c r="PUM41" s="643"/>
      <c r="PUN41" s="643"/>
      <c r="PUO41" s="643"/>
      <c r="PUP41" s="643"/>
      <c r="PUQ41" s="643"/>
      <c r="PUR41" s="643"/>
      <c r="PUS41" s="643"/>
      <c r="PUT41" s="643"/>
      <c r="PUU41" s="643"/>
      <c r="PUV41" s="643"/>
      <c r="PUW41" s="643"/>
      <c r="PUX41" s="643"/>
      <c r="PUY41" s="643"/>
      <c r="PUZ41" s="643"/>
      <c r="PVA41" s="643"/>
      <c r="PVB41" s="643"/>
      <c r="PVC41" s="643"/>
      <c r="PVD41" s="643"/>
      <c r="PVE41" s="643"/>
      <c r="PVF41" s="643"/>
      <c r="PVG41" s="643"/>
      <c r="PVH41" s="643"/>
      <c r="PVI41" s="643"/>
      <c r="PVJ41" s="643"/>
      <c r="PVK41" s="643"/>
      <c r="PVL41" s="643"/>
      <c r="PVM41" s="643"/>
      <c r="PVN41" s="643"/>
      <c r="PVO41" s="643"/>
      <c r="PVP41" s="643"/>
      <c r="PVQ41" s="643"/>
      <c r="PVR41" s="643"/>
      <c r="PVS41" s="643"/>
      <c r="PVT41" s="643"/>
      <c r="PVU41" s="643"/>
      <c r="PVV41" s="643"/>
      <c r="PVW41" s="643"/>
      <c r="PVX41" s="643"/>
      <c r="PVY41" s="643"/>
      <c r="PVZ41" s="643"/>
      <c r="PWA41" s="643"/>
      <c r="PWB41" s="643"/>
      <c r="PWC41" s="643"/>
      <c r="PWD41" s="643"/>
      <c r="PWE41" s="643"/>
      <c r="PWF41" s="643"/>
      <c r="PWG41" s="643"/>
      <c r="PWH41" s="643"/>
      <c r="PWI41" s="643"/>
      <c r="PWJ41" s="643"/>
      <c r="PWK41" s="643"/>
      <c r="PWL41" s="643"/>
      <c r="PWM41" s="643"/>
      <c r="PWN41" s="643"/>
      <c r="PWO41" s="643"/>
      <c r="PWP41" s="643"/>
      <c r="PWQ41" s="643"/>
      <c r="PWR41" s="643"/>
      <c r="PWS41" s="643"/>
      <c r="PWT41" s="643"/>
      <c r="PWU41" s="643"/>
      <c r="PWV41" s="643"/>
      <c r="PWW41" s="643"/>
      <c r="PWX41" s="643"/>
      <c r="PWY41" s="643"/>
      <c r="PWZ41" s="643"/>
      <c r="PXA41" s="643"/>
      <c r="PXB41" s="643"/>
      <c r="PXC41" s="643"/>
      <c r="PXD41" s="643"/>
      <c r="PXE41" s="643"/>
      <c r="PXF41" s="643"/>
      <c r="PXG41" s="643"/>
      <c r="PXH41" s="643"/>
      <c r="PXI41" s="643"/>
      <c r="PXJ41" s="643"/>
      <c r="PXK41" s="643"/>
      <c r="PXL41" s="643"/>
      <c r="PXM41" s="643"/>
      <c r="PXN41" s="643"/>
      <c r="PXO41" s="643"/>
      <c r="PXP41" s="643"/>
      <c r="PXQ41" s="643"/>
      <c r="PXR41" s="643"/>
      <c r="PXS41" s="643"/>
      <c r="PXT41" s="643"/>
      <c r="PXU41" s="643"/>
      <c r="PXV41" s="643"/>
      <c r="PXW41" s="643"/>
      <c r="PXX41" s="643"/>
      <c r="PXY41" s="643"/>
      <c r="PXZ41" s="643"/>
      <c r="PYA41" s="643"/>
      <c r="PYB41" s="643"/>
      <c r="PYC41" s="643"/>
      <c r="PYD41" s="643"/>
      <c r="PYE41" s="643"/>
      <c r="PYF41" s="643"/>
      <c r="PYG41" s="643"/>
      <c r="PYH41" s="643"/>
      <c r="PYI41" s="643"/>
      <c r="PYJ41" s="643"/>
      <c r="PYK41" s="643"/>
      <c r="PYL41" s="643"/>
      <c r="PYM41" s="643"/>
      <c r="PYN41" s="643"/>
      <c r="PYO41" s="643"/>
      <c r="PYP41" s="643"/>
      <c r="PYQ41" s="643"/>
      <c r="PYR41" s="643"/>
      <c r="PYS41" s="643"/>
      <c r="PYT41" s="643"/>
      <c r="PYU41" s="643"/>
      <c r="PYV41" s="643"/>
      <c r="PYW41" s="643"/>
      <c r="PYX41" s="643"/>
      <c r="PYY41" s="643"/>
      <c r="PYZ41" s="643"/>
      <c r="PZA41" s="643"/>
      <c r="PZB41" s="643"/>
      <c r="PZC41" s="643"/>
      <c r="PZD41" s="643"/>
      <c r="PZE41" s="643"/>
      <c r="PZF41" s="643"/>
      <c r="PZG41" s="643"/>
      <c r="PZH41" s="643"/>
      <c r="PZI41" s="643"/>
      <c r="PZJ41" s="643"/>
      <c r="PZK41" s="643"/>
      <c r="PZL41" s="643"/>
      <c r="PZM41" s="643"/>
      <c r="PZN41" s="643"/>
      <c r="PZO41" s="643"/>
      <c r="PZP41" s="643"/>
      <c r="PZQ41" s="643"/>
      <c r="PZR41" s="643"/>
      <c r="PZS41" s="643"/>
      <c r="PZT41" s="643"/>
      <c r="PZU41" s="643"/>
      <c r="PZV41" s="643"/>
      <c r="PZW41" s="643"/>
      <c r="PZX41" s="643"/>
      <c r="PZY41" s="643"/>
      <c r="PZZ41" s="643"/>
      <c r="QAA41" s="643"/>
      <c r="QAB41" s="643"/>
      <c r="QAC41" s="643"/>
      <c r="QAD41" s="643"/>
      <c r="QAE41" s="643"/>
      <c r="QAF41" s="643"/>
      <c r="QAG41" s="643"/>
      <c r="QAH41" s="643"/>
      <c r="QAI41" s="643"/>
      <c r="QAJ41" s="643"/>
      <c r="QAK41" s="643"/>
      <c r="QAL41" s="643"/>
      <c r="QAM41" s="643"/>
      <c r="QAN41" s="643"/>
      <c r="QAO41" s="643"/>
      <c r="QAP41" s="643"/>
      <c r="QAQ41" s="643"/>
      <c r="QAR41" s="643"/>
      <c r="QAS41" s="643"/>
      <c r="QAT41" s="643"/>
      <c r="QAU41" s="643"/>
      <c r="QAV41" s="643"/>
      <c r="QAW41" s="643"/>
      <c r="QAX41" s="643"/>
      <c r="QAY41" s="643"/>
      <c r="QAZ41" s="643"/>
      <c r="QBA41" s="643"/>
      <c r="QBB41" s="643"/>
      <c r="QBC41" s="643"/>
      <c r="QBD41" s="643"/>
      <c r="QBE41" s="643"/>
      <c r="QBF41" s="643"/>
      <c r="QBG41" s="643"/>
      <c r="QBH41" s="643"/>
      <c r="QBI41" s="643"/>
      <c r="QBJ41" s="643"/>
      <c r="QBK41" s="643"/>
      <c r="QBL41" s="643"/>
      <c r="QBM41" s="643"/>
      <c r="QBN41" s="643"/>
      <c r="QBO41" s="643"/>
      <c r="QBP41" s="643"/>
      <c r="QBQ41" s="643"/>
      <c r="QBR41" s="643"/>
      <c r="QBS41" s="643"/>
      <c r="QBT41" s="643"/>
      <c r="QBU41" s="643"/>
      <c r="QBV41" s="643"/>
      <c r="QBW41" s="643"/>
      <c r="QBX41" s="643"/>
      <c r="QBY41" s="643"/>
      <c r="QBZ41" s="643"/>
      <c r="QCA41" s="643"/>
      <c r="QCB41" s="643"/>
      <c r="QCC41" s="643"/>
      <c r="QCD41" s="643"/>
      <c r="QCE41" s="643"/>
      <c r="QCF41" s="643"/>
      <c r="QCG41" s="643"/>
      <c r="QCH41" s="643"/>
      <c r="QCI41" s="643"/>
      <c r="QCJ41" s="643"/>
      <c r="QCK41" s="643"/>
      <c r="QCL41" s="643"/>
      <c r="QCM41" s="643"/>
      <c r="QCN41" s="643"/>
      <c r="QCO41" s="643"/>
      <c r="QCP41" s="643"/>
      <c r="QCQ41" s="643"/>
      <c r="QCR41" s="643"/>
      <c r="QCS41" s="643"/>
      <c r="QCT41" s="643"/>
      <c r="QCU41" s="643"/>
      <c r="QCV41" s="643"/>
      <c r="QCW41" s="643"/>
      <c r="QCX41" s="643"/>
      <c r="QCY41" s="643"/>
      <c r="QCZ41" s="643"/>
      <c r="QDA41" s="643"/>
      <c r="QDB41" s="643"/>
      <c r="QDC41" s="643"/>
      <c r="QDD41" s="643"/>
      <c r="QDE41" s="643"/>
      <c r="QDF41" s="643"/>
      <c r="QDG41" s="643"/>
      <c r="QDH41" s="643"/>
      <c r="QDI41" s="643"/>
      <c r="QDJ41" s="643"/>
      <c r="QDK41" s="643"/>
      <c r="QDL41" s="643"/>
      <c r="QDM41" s="643"/>
      <c r="QDN41" s="643"/>
      <c r="QDO41" s="643"/>
      <c r="QDP41" s="643"/>
      <c r="QDQ41" s="643"/>
      <c r="QDR41" s="643"/>
      <c r="QDS41" s="643"/>
      <c r="QDT41" s="643"/>
      <c r="QDU41" s="643"/>
      <c r="QDV41" s="643"/>
      <c r="QDW41" s="643"/>
      <c r="QDX41" s="643"/>
      <c r="QDY41" s="643"/>
      <c r="QDZ41" s="643"/>
      <c r="QEA41" s="643"/>
      <c r="QEB41" s="643"/>
      <c r="QEC41" s="643"/>
      <c r="QED41" s="643"/>
      <c r="QEE41" s="643"/>
      <c r="QEF41" s="643"/>
      <c r="QEG41" s="643"/>
      <c r="QEH41" s="643"/>
      <c r="QEI41" s="643"/>
      <c r="QEJ41" s="643"/>
      <c r="QEK41" s="643"/>
      <c r="QEL41" s="643"/>
      <c r="QEM41" s="643"/>
      <c r="QEN41" s="643"/>
      <c r="QEO41" s="643"/>
      <c r="QEP41" s="643"/>
      <c r="QEQ41" s="643"/>
      <c r="QER41" s="643"/>
      <c r="QES41" s="643"/>
      <c r="QET41" s="643"/>
      <c r="QEU41" s="643"/>
      <c r="QEV41" s="643"/>
      <c r="QEW41" s="643"/>
      <c r="QEX41" s="643"/>
      <c r="QEY41" s="643"/>
      <c r="QEZ41" s="643"/>
      <c r="QFA41" s="643"/>
      <c r="QFB41" s="643"/>
      <c r="QFC41" s="643"/>
      <c r="QFD41" s="643"/>
      <c r="QFE41" s="643"/>
      <c r="QFF41" s="643"/>
      <c r="QFG41" s="643"/>
      <c r="QFH41" s="643"/>
      <c r="QFI41" s="643"/>
      <c r="QFJ41" s="643"/>
      <c r="QFK41" s="643"/>
      <c r="QFL41" s="643"/>
      <c r="QFM41" s="643"/>
      <c r="QFN41" s="643"/>
      <c r="QFO41" s="643"/>
      <c r="QFP41" s="643"/>
      <c r="QFQ41" s="643"/>
      <c r="QFR41" s="643"/>
      <c r="QFS41" s="643"/>
      <c r="QFT41" s="643"/>
      <c r="QFU41" s="643"/>
      <c r="QFV41" s="643"/>
      <c r="QFW41" s="643"/>
      <c r="QFX41" s="643"/>
      <c r="QFY41" s="643"/>
      <c r="QFZ41" s="643"/>
      <c r="QGA41" s="643"/>
      <c r="QGB41" s="643"/>
      <c r="QGC41" s="643"/>
      <c r="QGD41" s="643"/>
      <c r="QGE41" s="643"/>
      <c r="QGF41" s="643"/>
      <c r="QGG41" s="643"/>
      <c r="QGH41" s="643"/>
      <c r="QGI41" s="643"/>
      <c r="QGJ41" s="643"/>
      <c r="QGK41" s="643"/>
      <c r="QGL41" s="643"/>
      <c r="QGM41" s="643"/>
      <c r="QGN41" s="643"/>
      <c r="QGO41" s="643"/>
      <c r="QGP41" s="643"/>
      <c r="QGQ41" s="643"/>
      <c r="QGR41" s="643"/>
      <c r="QGS41" s="643"/>
      <c r="QGT41" s="643"/>
      <c r="QGU41" s="643"/>
      <c r="QGV41" s="643"/>
      <c r="QGW41" s="643"/>
      <c r="QGX41" s="643"/>
      <c r="QGY41" s="643"/>
      <c r="QGZ41" s="643"/>
      <c r="QHA41" s="643"/>
      <c r="QHB41" s="643"/>
      <c r="QHC41" s="643"/>
      <c r="QHD41" s="643"/>
      <c r="QHE41" s="643"/>
      <c r="QHF41" s="643"/>
      <c r="QHG41" s="643"/>
      <c r="QHH41" s="643"/>
      <c r="QHI41" s="643"/>
      <c r="QHJ41" s="643"/>
      <c r="QHK41" s="643"/>
      <c r="QHL41" s="643"/>
      <c r="QHM41" s="643"/>
      <c r="QHN41" s="643"/>
      <c r="QHO41" s="643"/>
      <c r="QHP41" s="643"/>
      <c r="QHQ41" s="643"/>
      <c r="QHR41" s="643"/>
      <c r="QHS41" s="643"/>
      <c r="QHT41" s="643"/>
      <c r="QHU41" s="643"/>
      <c r="QHV41" s="643"/>
      <c r="QHW41" s="643"/>
      <c r="QHX41" s="643"/>
      <c r="QHY41" s="643"/>
      <c r="QHZ41" s="643"/>
      <c r="QIA41" s="643"/>
      <c r="QIB41" s="643"/>
      <c r="QIC41" s="643"/>
      <c r="QID41" s="643"/>
      <c r="QIE41" s="643"/>
      <c r="QIF41" s="643"/>
      <c r="QIG41" s="643"/>
      <c r="QIH41" s="643"/>
      <c r="QII41" s="643"/>
      <c r="QIJ41" s="643"/>
      <c r="QIK41" s="643"/>
      <c r="QIL41" s="643"/>
      <c r="QIM41" s="643"/>
      <c r="QIN41" s="643"/>
      <c r="QIO41" s="643"/>
      <c r="QIP41" s="643"/>
      <c r="QIQ41" s="643"/>
      <c r="QIR41" s="643"/>
      <c r="QIS41" s="643"/>
      <c r="QIT41" s="643"/>
      <c r="QIU41" s="643"/>
      <c r="QIV41" s="643"/>
      <c r="QIW41" s="643"/>
      <c r="QIX41" s="643"/>
      <c r="QIY41" s="643"/>
      <c r="QIZ41" s="643"/>
      <c r="QJA41" s="643"/>
      <c r="QJB41" s="643"/>
      <c r="QJC41" s="643"/>
      <c r="QJD41" s="643"/>
      <c r="QJE41" s="643"/>
      <c r="QJF41" s="643"/>
      <c r="QJG41" s="643"/>
      <c r="QJH41" s="643"/>
      <c r="QJI41" s="643"/>
      <c r="QJJ41" s="643"/>
      <c r="QJK41" s="643"/>
      <c r="QJL41" s="643"/>
      <c r="QJM41" s="643"/>
      <c r="QJN41" s="643"/>
      <c r="QJO41" s="643"/>
      <c r="QJP41" s="643"/>
      <c r="QJQ41" s="643"/>
      <c r="QJR41" s="643"/>
      <c r="QJS41" s="643"/>
      <c r="QJT41" s="643"/>
      <c r="QJU41" s="643"/>
      <c r="QJV41" s="643"/>
      <c r="QJW41" s="643"/>
      <c r="QJX41" s="643"/>
      <c r="QJY41" s="643"/>
      <c r="QJZ41" s="643"/>
      <c r="QKA41" s="643"/>
      <c r="QKB41" s="643"/>
      <c r="QKC41" s="643"/>
      <c r="QKD41" s="643"/>
      <c r="QKE41" s="643"/>
      <c r="QKF41" s="643"/>
      <c r="QKG41" s="643"/>
      <c r="QKH41" s="643"/>
      <c r="QKI41" s="643"/>
      <c r="QKJ41" s="643"/>
      <c r="QKK41" s="643"/>
      <c r="QKL41" s="643"/>
      <c r="QKM41" s="643"/>
      <c r="QKN41" s="643"/>
      <c r="QKO41" s="643"/>
      <c r="QKP41" s="643"/>
      <c r="QKQ41" s="643"/>
      <c r="QKR41" s="643"/>
      <c r="QKS41" s="643"/>
      <c r="QKT41" s="643"/>
      <c r="QKU41" s="643"/>
      <c r="QKV41" s="643"/>
      <c r="QKW41" s="643"/>
      <c r="QKX41" s="643"/>
      <c r="QKY41" s="643"/>
      <c r="QKZ41" s="643"/>
      <c r="QLA41" s="643"/>
      <c r="QLB41" s="643"/>
      <c r="QLC41" s="643"/>
      <c r="QLD41" s="643"/>
      <c r="QLE41" s="643"/>
      <c r="QLF41" s="643"/>
      <c r="QLG41" s="643"/>
      <c r="QLH41" s="643"/>
      <c r="QLI41" s="643"/>
      <c r="QLJ41" s="643"/>
      <c r="QLK41" s="643"/>
      <c r="QLL41" s="643"/>
      <c r="QLM41" s="643"/>
      <c r="QLN41" s="643"/>
      <c r="QLO41" s="643"/>
      <c r="QLP41" s="643"/>
      <c r="QLQ41" s="643"/>
      <c r="QLR41" s="643"/>
      <c r="QLS41" s="643"/>
      <c r="QLT41" s="643"/>
      <c r="QLU41" s="643"/>
      <c r="QLV41" s="643"/>
      <c r="QLW41" s="643"/>
      <c r="QLX41" s="643"/>
      <c r="QLY41" s="643"/>
      <c r="QLZ41" s="643"/>
      <c r="QMA41" s="643"/>
      <c r="QMB41" s="643"/>
      <c r="QMC41" s="643"/>
      <c r="QMD41" s="643"/>
      <c r="QME41" s="643"/>
      <c r="QMF41" s="643"/>
      <c r="QMG41" s="643"/>
      <c r="QMH41" s="643"/>
      <c r="QMI41" s="643"/>
      <c r="QMJ41" s="643"/>
      <c r="QMK41" s="643"/>
      <c r="QML41" s="643"/>
      <c r="QMM41" s="643"/>
      <c r="QMN41" s="643"/>
      <c r="QMO41" s="643"/>
      <c r="QMP41" s="643"/>
      <c r="QMQ41" s="643"/>
      <c r="QMR41" s="643"/>
      <c r="QMS41" s="643"/>
      <c r="QMT41" s="643"/>
      <c r="QMU41" s="643"/>
      <c r="QMV41" s="643"/>
      <c r="QMW41" s="643"/>
      <c r="QMX41" s="643"/>
      <c r="QMY41" s="643"/>
      <c r="QMZ41" s="643"/>
      <c r="QNA41" s="643"/>
      <c r="QNB41" s="643"/>
      <c r="QNC41" s="643"/>
      <c r="QND41" s="643"/>
      <c r="QNE41" s="643"/>
      <c r="QNF41" s="643"/>
      <c r="QNG41" s="643"/>
      <c r="QNH41" s="643"/>
      <c r="QNI41" s="643"/>
      <c r="QNJ41" s="643"/>
      <c r="QNK41" s="643"/>
      <c r="QNL41" s="643"/>
      <c r="QNM41" s="643"/>
      <c r="QNN41" s="643"/>
      <c r="QNO41" s="643"/>
      <c r="QNP41" s="643"/>
      <c r="QNQ41" s="643"/>
      <c r="QNR41" s="643"/>
      <c r="QNS41" s="643"/>
      <c r="QNT41" s="643"/>
      <c r="QNU41" s="643"/>
      <c r="QNV41" s="643"/>
      <c r="QNW41" s="643"/>
      <c r="QNX41" s="643"/>
      <c r="QNY41" s="643"/>
      <c r="QNZ41" s="643"/>
      <c r="QOA41" s="643"/>
      <c r="QOB41" s="643"/>
      <c r="QOC41" s="643"/>
      <c r="QOD41" s="643"/>
      <c r="QOE41" s="643"/>
      <c r="QOF41" s="643"/>
      <c r="QOG41" s="643"/>
      <c r="QOH41" s="643"/>
      <c r="QOI41" s="643"/>
      <c r="QOJ41" s="643"/>
      <c r="QOK41" s="643"/>
      <c r="QOL41" s="643"/>
      <c r="QOM41" s="643"/>
      <c r="QON41" s="643"/>
      <c r="QOO41" s="643"/>
      <c r="QOP41" s="643"/>
      <c r="QOQ41" s="643"/>
      <c r="QOR41" s="643"/>
      <c r="QOS41" s="643"/>
      <c r="QOT41" s="643"/>
      <c r="QOU41" s="643"/>
      <c r="QOV41" s="643"/>
      <c r="QOW41" s="643"/>
      <c r="QOX41" s="643"/>
      <c r="QOY41" s="643"/>
      <c r="QOZ41" s="643"/>
      <c r="QPA41" s="643"/>
      <c r="QPB41" s="643"/>
      <c r="QPC41" s="643"/>
      <c r="QPD41" s="643"/>
      <c r="QPE41" s="643"/>
      <c r="QPF41" s="643"/>
      <c r="QPG41" s="643"/>
      <c r="QPH41" s="643"/>
      <c r="QPI41" s="643"/>
      <c r="QPJ41" s="643"/>
      <c r="QPK41" s="643"/>
      <c r="QPL41" s="643"/>
      <c r="QPM41" s="643"/>
      <c r="QPN41" s="643"/>
      <c r="QPO41" s="643"/>
      <c r="QPP41" s="643"/>
      <c r="QPQ41" s="643"/>
      <c r="QPR41" s="643"/>
      <c r="QPS41" s="643"/>
      <c r="QPT41" s="643"/>
      <c r="QPU41" s="643"/>
      <c r="QPV41" s="643"/>
      <c r="QPW41" s="643"/>
      <c r="QPX41" s="643"/>
      <c r="QPY41" s="643"/>
      <c r="QPZ41" s="643"/>
      <c r="QQA41" s="643"/>
      <c r="QQB41" s="643"/>
      <c r="QQC41" s="643"/>
      <c r="QQD41" s="643"/>
      <c r="QQE41" s="643"/>
      <c r="QQF41" s="643"/>
      <c r="QQG41" s="643"/>
      <c r="QQH41" s="643"/>
      <c r="QQI41" s="643"/>
      <c r="QQJ41" s="643"/>
      <c r="QQK41" s="643"/>
      <c r="QQL41" s="643"/>
      <c r="QQM41" s="643"/>
      <c r="QQN41" s="643"/>
      <c r="QQO41" s="643"/>
      <c r="QQP41" s="643"/>
      <c r="QQQ41" s="643"/>
      <c r="QQR41" s="643"/>
      <c r="QQS41" s="643"/>
      <c r="QQT41" s="643"/>
      <c r="QQU41" s="643"/>
      <c r="QQV41" s="643"/>
      <c r="QQW41" s="643"/>
      <c r="QQX41" s="643"/>
      <c r="QQY41" s="643"/>
      <c r="QQZ41" s="643"/>
      <c r="QRA41" s="643"/>
      <c r="QRB41" s="643"/>
      <c r="QRC41" s="643"/>
      <c r="QRD41" s="643"/>
      <c r="QRE41" s="643"/>
      <c r="QRF41" s="643"/>
      <c r="QRG41" s="643"/>
      <c r="QRH41" s="643"/>
      <c r="QRI41" s="643"/>
      <c r="QRJ41" s="643"/>
      <c r="QRK41" s="643"/>
      <c r="QRL41" s="643"/>
      <c r="QRM41" s="643"/>
      <c r="QRN41" s="643"/>
      <c r="QRO41" s="643"/>
      <c r="QRP41" s="643"/>
      <c r="QRQ41" s="643"/>
      <c r="QRR41" s="643"/>
      <c r="QRS41" s="643"/>
      <c r="QRT41" s="643"/>
      <c r="QRU41" s="643"/>
      <c r="QRV41" s="643"/>
      <c r="QRW41" s="643"/>
      <c r="QRX41" s="643"/>
      <c r="QRY41" s="643"/>
      <c r="QRZ41" s="643"/>
      <c r="QSA41" s="643"/>
      <c r="QSB41" s="643"/>
      <c r="QSC41" s="643"/>
      <c r="QSD41" s="643"/>
      <c r="QSE41" s="643"/>
      <c r="QSF41" s="643"/>
      <c r="QSG41" s="643"/>
      <c r="QSH41" s="643"/>
      <c r="QSI41" s="643"/>
      <c r="QSJ41" s="643"/>
      <c r="QSK41" s="643"/>
      <c r="QSL41" s="643"/>
      <c r="QSM41" s="643"/>
      <c r="QSN41" s="643"/>
      <c r="QSO41" s="643"/>
      <c r="QSP41" s="643"/>
      <c r="QSQ41" s="643"/>
      <c r="QSR41" s="643"/>
      <c r="QSS41" s="643"/>
      <c r="QST41" s="643"/>
      <c r="QSU41" s="643"/>
      <c r="QSV41" s="643"/>
      <c r="QSW41" s="643"/>
      <c r="QSX41" s="643"/>
      <c r="QSY41" s="643"/>
      <c r="QSZ41" s="643"/>
      <c r="QTA41" s="643"/>
      <c r="QTB41" s="643"/>
      <c r="QTC41" s="643"/>
      <c r="QTD41" s="643"/>
      <c r="QTE41" s="643"/>
      <c r="QTF41" s="643"/>
      <c r="QTG41" s="643"/>
      <c r="QTH41" s="643"/>
      <c r="QTI41" s="643"/>
      <c r="QTJ41" s="643"/>
      <c r="QTK41" s="643"/>
      <c r="QTL41" s="643"/>
      <c r="QTM41" s="643"/>
      <c r="QTN41" s="643"/>
      <c r="QTO41" s="643"/>
      <c r="QTP41" s="643"/>
      <c r="QTQ41" s="643"/>
      <c r="QTR41" s="643"/>
      <c r="QTS41" s="643"/>
      <c r="QTT41" s="643"/>
      <c r="QTU41" s="643"/>
      <c r="QTV41" s="643"/>
      <c r="QTW41" s="643"/>
      <c r="QTX41" s="643"/>
      <c r="QTY41" s="643"/>
      <c r="QTZ41" s="643"/>
      <c r="QUA41" s="643"/>
      <c r="QUB41" s="643"/>
      <c r="QUC41" s="643"/>
      <c r="QUD41" s="643"/>
      <c r="QUE41" s="643"/>
      <c r="QUF41" s="643"/>
      <c r="QUG41" s="643"/>
      <c r="QUH41" s="643"/>
      <c r="QUI41" s="643"/>
      <c r="QUJ41" s="643"/>
      <c r="QUK41" s="643"/>
      <c r="QUL41" s="643"/>
      <c r="QUM41" s="643"/>
      <c r="QUN41" s="643"/>
      <c r="QUO41" s="643"/>
      <c r="QUP41" s="643"/>
      <c r="QUQ41" s="643"/>
      <c r="QUR41" s="643"/>
      <c r="QUS41" s="643"/>
      <c r="QUT41" s="643"/>
      <c r="QUU41" s="643"/>
      <c r="QUV41" s="643"/>
      <c r="QUW41" s="643"/>
      <c r="QUX41" s="643"/>
      <c r="QUY41" s="643"/>
      <c r="QUZ41" s="643"/>
      <c r="QVA41" s="643"/>
      <c r="QVB41" s="643"/>
      <c r="QVC41" s="643"/>
      <c r="QVD41" s="643"/>
      <c r="QVE41" s="643"/>
      <c r="QVF41" s="643"/>
      <c r="QVG41" s="643"/>
      <c r="QVH41" s="643"/>
      <c r="QVI41" s="643"/>
      <c r="QVJ41" s="643"/>
      <c r="QVK41" s="643"/>
      <c r="QVL41" s="643"/>
      <c r="QVM41" s="643"/>
      <c r="QVN41" s="643"/>
      <c r="QVO41" s="643"/>
      <c r="QVP41" s="643"/>
      <c r="QVQ41" s="643"/>
      <c r="QVR41" s="643"/>
      <c r="QVS41" s="643"/>
      <c r="QVT41" s="643"/>
      <c r="QVU41" s="643"/>
      <c r="QVV41" s="643"/>
      <c r="QVW41" s="643"/>
      <c r="QVX41" s="643"/>
      <c r="QVY41" s="643"/>
      <c r="QVZ41" s="643"/>
      <c r="QWA41" s="643"/>
      <c r="QWB41" s="643"/>
      <c r="QWC41" s="643"/>
      <c r="QWD41" s="643"/>
      <c r="QWE41" s="643"/>
      <c r="QWF41" s="643"/>
      <c r="QWG41" s="643"/>
      <c r="QWH41" s="643"/>
      <c r="QWI41" s="643"/>
      <c r="QWJ41" s="643"/>
      <c r="QWK41" s="643"/>
      <c r="QWL41" s="643"/>
      <c r="QWM41" s="643"/>
      <c r="QWN41" s="643"/>
      <c r="QWO41" s="643"/>
      <c r="QWP41" s="643"/>
      <c r="QWQ41" s="643"/>
      <c r="QWR41" s="643"/>
      <c r="QWS41" s="643"/>
      <c r="QWT41" s="643"/>
      <c r="QWU41" s="643"/>
      <c r="QWV41" s="643"/>
      <c r="QWW41" s="643"/>
      <c r="QWX41" s="643"/>
      <c r="QWY41" s="643"/>
      <c r="QWZ41" s="643"/>
      <c r="QXA41" s="643"/>
      <c r="QXB41" s="643"/>
      <c r="QXC41" s="643"/>
      <c r="QXD41" s="643"/>
      <c r="QXE41" s="643"/>
      <c r="QXF41" s="643"/>
      <c r="QXG41" s="643"/>
      <c r="QXH41" s="643"/>
      <c r="QXI41" s="643"/>
      <c r="QXJ41" s="643"/>
      <c r="QXK41" s="643"/>
      <c r="QXL41" s="643"/>
      <c r="QXM41" s="643"/>
      <c r="QXN41" s="643"/>
      <c r="QXO41" s="643"/>
      <c r="QXP41" s="643"/>
      <c r="QXQ41" s="643"/>
      <c r="QXR41" s="643"/>
      <c r="QXS41" s="643"/>
      <c r="QXT41" s="643"/>
      <c r="QXU41" s="643"/>
      <c r="QXV41" s="643"/>
      <c r="QXW41" s="643"/>
      <c r="QXX41" s="643"/>
      <c r="QXY41" s="643"/>
      <c r="QXZ41" s="643"/>
      <c r="QYA41" s="643"/>
      <c r="QYB41" s="643"/>
      <c r="QYC41" s="643"/>
      <c r="QYD41" s="643"/>
      <c r="QYE41" s="643"/>
      <c r="QYF41" s="643"/>
      <c r="QYG41" s="643"/>
      <c r="QYH41" s="643"/>
      <c r="QYI41" s="643"/>
      <c r="QYJ41" s="643"/>
      <c r="QYK41" s="643"/>
      <c r="QYL41" s="643"/>
      <c r="QYM41" s="643"/>
      <c r="QYN41" s="643"/>
      <c r="QYO41" s="643"/>
      <c r="QYP41" s="643"/>
      <c r="QYQ41" s="643"/>
      <c r="QYR41" s="643"/>
      <c r="QYS41" s="643"/>
      <c r="QYT41" s="643"/>
      <c r="QYU41" s="643"/>
      <c r="QYV41" s="643"/>
      <c r="QYW41" s="643"/>
      <c r="QYX41" s="643"/>
      <c r="QYY41" s="643"/>
      <c r="QYZ41" s="643"/>
      <c r="QZA41" s="643"/>
      <c r="QZB41" s="643"/>
      <c r="QZC41" s="643"/>
      <c r="QZD41" s="643"/>
      <c r="QZE41" s="643"/>
      <c r="QZF41" s="643"/>
      <c r="QZG41" s="643"/>
      <c r="QZH41" s="643"/>
      <c r="QZI41" s="643"/>
      <c r="QZJ41" s="643"/>
      <c r="QZK41" s="643"/>
      <c r="QZL41" s="643"/>
      <c r="QZM41" s="643"/>
      <c r="QZN41" s="643"/>
      <c r="QZO41" s="643"/>
      <c r="QZP41" s="643"/>
      <c r="QZQ41" s="643"/>
      <c r="QZR41" s="643"/>
      <c r="QZS41" s="643"/>
      <c r="QZT41" s="643"/>
      <c r="QZU41" s="643"/>
      <c r="QZV41" s="643"/>
      <c r="QZW41" s="643"/>
      <c r="QZX41" s="643"/>
      <c r="QZY41" s="643"/>
      <c r="QZZ41" s="643"/>
      <c r="RAA41" s="643"/>
      <c r="RAB41" s="643"/>
      <c r="RAC41" s="643"/>
      <c r="RAD41" s="643"/>
      <c r="RAE41" s="643"/>
      <c r="RAF41" s="643"/>
      <c r="RAG41" s="643"/>
      <c r="RAH41" s="643"/>
      <c r="RAI41" s="643"/>
      <c r="RAJ41" s="643"/>
      <c r="RAK41" s="643"/>
      <c r="RAL41" s="643"/>
      <c r="RAM41" s="643"/>
      <c r="RAN41" s="643"/>
      <c r="RAO41" s="643"/>
      <c r="RAP41" s="643"/>
      <c r="RAQ41" s="643"/>
      <c r="RAR41" s="643"/>
      <c r="RAS41" s="643"/>
      <c r="RAT41" s="643"/>
      <c r="RAU41" s="643"/>
      <c r="RAV41" s="643"/>
      <c r="RAW41" s="643"/>
      <c r="RAX41" s="643"/>
      <c r="RAY41" s="643"/>
      <c r="RAZ41" s="643"/>
      <c r="RBA41" s="643"/>
      <c r="RBB41" s="643"/>
      <c r="RBC41" s="643"/>
      <c r="RBD41" s="643"/>
      <c r="RBE41" s="643"/>
      <c r="RBF41" s="643"/>
      <c r="RBG41" s="643"/>
      <c r="RBH41" s="643"/>
      <c r="RBI41" s="643"/>
      <c r="RBJ41" s="643"/>
      <c r="RBK41" s="643"/>
      <c r="RBL41" s="643"/>
      <c r="RBM41" s="643"/>
      <c r="RBN41" s="643"/>
      <c r="RBO41" s="643"/>
      <c r="RBP41" s="643"/>
      <c r="RBQ41" s="643"/>
      <c r="RBR41" s="643"/>
      <c r="RBS41" s="643"/>
      <c r="RBT41" s="643"/>
      <c r="RBU41" s="643"/>
      <c r="RBV41" s="643"/>
      <c r="RBW41" s="643"/>
      <c r="RBX41" s="643"/>
      <c r="RBY41" s="643"/>
      <c r="RBZ41" s="643"/>
      <c r="RCA41" s="643"/>
      <c r="RCB41" s="643"/>
      <c r="RCC41" s="643"/>
      <c r="RCD41" s="643"/>
      <c r="RCE41" s="643"/>
      <c r="RCF41" s="643"/>
      <c r="RCG41" s="643"/>
      <c r="RCH41" s="643"/>
      <c r="RCI41" s="643"/>
      <c r="RCJ41" s="643"/>
      <c r="RCK41" s="643"/>
      <c r="RCL41" s="643"/>
      <c r="RCM41" s="643"/>
      <c r="RCN41" s="643"/>
      <c r="RCO41" s="643"/>
      <c r="RCP41" s="643"/>
      <c r="RCQ41" s="643"/>
      <c r="RCR41" s="643"/>
      <c r="RCS41" s="643"/>
      <c r="RCT41" s="643"/>
      <c r="RCU41" s="643"/>
      <c r="RCV41" s="643"/>
      <c r="RCW41" s="643"/>
      <c r="RCX41" s="643"/>
      <c r="RCY41" s="643"/>
      <c r="RCZ41" s="643"/>
      <c r="RDA41" s="643"/>
      <c r="RDB41" s="643"/>
      <c r="RDC41" s="643"/>
      <c r="RDD41" s="643"/>
      <c r="RDE41" s="643"/>
      <c r="RDF41" s="643"/>
      <c r="RDG41" s="643"/>
      <c r="RDH41" s="643"/>
      <c r="RDI41" s="643"/>
      <c r="RDJ41" s="643"/>
      <c r="RDK41" s="643"/>
      <c r="RDL41" s="643"/>
      <c r="RDM41" s="643"/>
      <c r="RDN41" s="643"/>
      <c r="RDO41" s="643"/>
      <c r="RDP41" s="643"/>
      <c r="RDQ41" s="643"/>
      <c r="RDR41" s="643"/>
      <c r="RDS41" s="643"/>
      <c r="RDT41" s="643"/>
      <c r="RDU41" s="643"/>
      <c r="RDV41" s="643"/>
      <c r="RDW41" s="643"/>
      <c r="RDX41" s="643"/>
      <c r="RDY41" s="643"/>
      <c r="RDZ41" s="643"/>
      <c r="REA41" s="643"/>
      <c r="REB41" s="643"/>
      <c r="REC41" s="643"/>
      <c r="RED41" s="643"/>
      <c r="REE41" s="643"/>
      <c r="REF41" s="643"/>
      <c r="REG41" s="643"/>
      <c r="REH41" s="643"/>
      <c r="REI41" s="643"/>
      <c r="REJ41" s="643"/>
      <c r="REK41" s="643"/>
      <c r="REL41" s="643"/>
      <c r="REM41" s="643"/>
      <c r="REN41" s="643"/>
      <c r="REO41" s="643"/>
      <c r="REP41" s="643"/>
      <c r="REQ41" s="643"/>
      <c r="RER41" s="643"/>
      <c r="RES41" s="643"/>
      <c r="RET41" s="643"/>
      <c r="REU41" s="643"/>
      <c r="REV41" s="643"/>
      <c r="REW41" s="643"/>
      <c r="REX41" s="643"/>
      <c r="REY41" s="643"/>
      <c r="REZ41" s="643"/>
      <c r="RFA41" s="643"/>
      <c r="RFB41" s="643"/>
      <c r="RFC41" s="643"/>
      <c r="RFD41" s="643"/>
      <c r="RFE41" s="643"/>
      <c r="RFF41" s="643"/>
      <c r="RFG41" s="643"/>
      <c r="RFH41" s="643"/>
      <c r="RFI41" s="643"/>
      <c r="RFJ41" s="643"/>
      <c r="RFK41" s="643"/>
      <c r="RFL41" s="643"/>
      <c r="RFM41" s="643"/>
      <c r="RFN41" s="643"/>
      <c r="RFO41" s="643"/>
      <c r="RFP41" s="643"/>
      <c r="RFQ41" s="643"/>
      <c r="RFR41" s="643"/>
      <c r="RFS41" s="643"/>
      <c r="RFT41" s="643"/>
      <c r="RFU41" s="643"/>
      <c r="RFV41" s="643"/>
      <c r="RFW41" s="643"/>
      <c r="RFX41" s="643"/>
      <c r="RFY41" s="643"/>
      <c r="RFZ41" s="643"/>
      <c r="RGA41" s="643"/>
      <c r="RGB41" s="643"/>
      <c r="RGC41" s="643"/>
      <c r="RGD41" s="643"/>
      <c r="RGE41" s="643"/>
      <c r="RGF41" s="643"/>
      <c r="RGG41" s="643"/>
      <c r="RGH41" s="643"/>
      <c r="RGI41" s="643"/>
      <c r="RGJ41" s="643"/>
      <c r="RGK41" s="643"/>
      <c r="RGL41" s="643"/>
      <c r="RGM41" s="643"/>
      <c r="RGN41" s="643"/>
      <c r="RGO41" s="643"/>
      <c r="RGP41" s="643"/>
      <c r="RGQ41" s="643"/>
      <c r="RGR41" s="643"/>
      <c r="RGS41" s="643"/>
      <c r="RGT41" s="643"/>
      <c r="RGU41" s="643"/>
      <c r="RGV41" s="643"/>
      <c r="RGW41" s="643"/>
      <c r="RGX41" s="643"/>
      <c r="RGY41" s="643"/>
      <c r="RGZ41" s="643"/>
      <c r="RHA41" s="643"/>
      <c r="RHB41" s="643"/>
      <c r="RHC41" s="643"/>
      <c r="RHD41" s="643"/>
      <c r="RHE41" s="643"/>
      <c r="RHF41" s="643"/>
      <c r="RHG41" s="643"/>
      <c r="RHH41" s="643"/>
      <c r="RHI41" s="643"/>
      <c r="RHJ41" s="643"/>
      <c r="RHK41" s="643"/>
      <c r="RHL41" s="643"/>
      <c r="RHM41" s="643"/>
      <c r="RHN41" s="643"/>
      <c r="RHO41" s="643"/>
      <c r="RHP41" s="643"/>
      <c r="RHQ41" s="643"/>
      <c r="RHR41" s="643"/>
      <c r="RHS41" s="643"/>
      <c r="RHT41" s="643"/>
      <c r="RHU41" s="643"/>
      <c r="RHV41" s="643"/>
      <c r="RHW41" s="643"/>
      <c r="RHX41" s="643"/>
      <c r="RHY41" s="643"/>
      <c r="RHZ41" s="643"/>
      <c r="RIA41" s="643"/>
      <c r="RIB41" s="643"/>
      <c r="RIC41" s="643"/>
      <c r="RID41" s="643"/>
      <c r="RIE41" s="643"/>
      <c r="RIF41" s="643"/>
      <c r="RIG41" s="643"/>
      <c r="RIH41" s="643"/>
      <c r="RII41" s="643"/>
      <c r="RIJ41" s="643"/>
      <c r="RIK41" s="643"/>
      <c r="RIL41" s="643"/>
      <c r="RIM41" s="643"/>
      <c r="RIN41" s="643"/>
      <c r="RIO41" s="643"/>
      <c r="RIP41" s="643"/>
      <c r="RIQ41" s="643"/>
      <c r="RIR41" s="643"/>
      <c r="RIS41" s="643"/>
      <c r="RIT41" s="643"/>
      <c r="RIU41" s="643"/>
      <c r="RIV41" s="643"/>
      <c r="RIW41" s="643"/>
      <c r="RIX41" s="643"/>
      <c r="RIY41" s="643"/>
      <c r="RIZ41" s="643"/>
      <c r="RJA41" s="643"/>
      <c r="RJB41" s="643"/>
      <c r="RJC41" s="643"/>
      <c r="RJD41" s="643"/>
      <c r="RJE41" s="643"/>
      <c r="RJF41" s="643"/>
      <c r="RJG41" s="643"/>
      <c r="RJH41" s="643"/>
      <c r="RJI41" s="643"/>
      <c r="RJJ41" s="643"/>
      <c r="RJK41" s="643"/>
      <c r="RJL41" s="643"/>
      <c r="RJM41" s="643"/>
      <c r="RJN41" s="643"/>
      <c r="RJO41" s="643"/>
      <c r="RJP41" s="643"/>
      <c r="RJQ41" s="643"/>
      <c r="RJR41" s="643"/>
      <c r="RJS41" s="643"/>
      <c r="RJT41" s="643"/>
      <c r="RJU41" s="643"/>
      <c r="RJV41" s="643"/>
      <c r="RJW41" s="643"/>
      <c r="RJX41" s="643"/>
      <c r="RJY41" s="643"/>
      <c r="RJZ41" s="643"/>
      <c r="RKA41" s="643"/>
      <c r="RKB41" s="643"/>
      <c r="RKC41" s="643"/>
      <c r="RKD41" s="643"/>
      <c r="RKE41" s="643"/>
      <c r="RKF41" s="643"/>
      <c r="RKG41" s="643"/>
      <c r="RKH41" s="643"/>
      <c r="RKI41" s="643"/>
      <c r="RKJ41" s="643"/>
      <c r="RKK41" s="643"/>
      <c r="RKL41" s="643"/>
      <c r="RKM41" s="643"/>
      <c r="RKN41" s="643"/>
      <c r="RKO41" s="643"/>
      <c r="RKP41" s="643"/>
      <c r="RKQ41" s="643"/>
      <c r="RKR41" s="643"/>
      <c r="RKS41" s="643"/>
      <c r="RKT41" s="643"/>
      <c r="RKU41" s="643"/>
      <c r="RKV41" s="643"/>
      <c r="RKW41" s="643"/>
      <c r="RKX41" s="643"/>
      <c r="RKY41" s="643"/>
      <c r="RKZ41" s="643"/>
      <c r="RLA41" s="643"/>
      <c r="RLB41" s="643"/>
      <c r="RLC41" s="643"/>
      <c r="RLD41" s="643"/>
      <c r="RLE41" s="643"/>
      <c r="RLF41" s="643"/>
      <c r="RLG41" s="643"/>
      <c r="RLH41" s="643"/>
      <c r="RLI41" s="643"/>
      <c r="RLJ41" s="643"/>
      <c r="RLK41" s="643"/>
      <c r="RLL41" s="643"/>
      <c r="RLM41" s="643"/>
      <c r="RLN41" s="643"/>
      <c r="RLO41" s="643"/>
      <c r="RLP41" s="643"/>
      <c r="RLQ41" s="643"/>
      <c r="RLR41" s="643"/>
      <c r="RLS41" s="643"/>
      <c r="RLT41" s="643"/>
      <c r="RLU41" s="643"/>
      <c r="RLV41" s="643"/>
      <c r="RLW41" s="643"/>
      <c r="RLX41" s="643"/>
      <c r="RLY41" s="643"/>
      <c r="RLZ41" s="643"/>
      <c r="RMA41" s="643"/>
      <c r="RMB41" s="643"/>
      <c r="RMC41" s="643"/>
      <c r="RMD41" s="643"/>
      <c r="RME41" s="643"/>
      <c r="RMF41" s="643"/>
      <c r="RMG41" s="643"/>
      <c r="RMH41" s="643"/>
      <c r="RMI41" s="643"/>
      <c r="RMJ41" s="643"/>
      <c r="RMK41" s="643"/>
      <c r="RML41" s="643"/>
      <c r="RMM41" s="643"/>
      <c r="RMN41" s="643"/>
      <c r="RMO41" s="643"/>
      <c r="RMP41" s="643"/>
      <c r="RMQ41" s="643"/>
      <c r="RMR41" s="643"/>
      <c r="RMS41" s="643"/>
      <c r="RMT41" s="643"/>
      <c r="RMU41" s="643"/>
      <c r="RMV41" s="643"/>
      <c r="RMW41" s="643"/>
      <c r="RMX41" s="643"/>
      <c r="RMY41" s="643"/>
      <c r="RMZ41" s="643"/>
      <c r="RNA41" s="643"/>
      <c r="RNB41" s="643"/>
      <c r="RNC41" s="643"/>
      <c r="RND41" s="643"/>
      <c r="RNE41" s="643"/>
      <c r="RNF41" s="643"/>
      <c r="RNG41" s="643"/>
      <c r="RNH41" s="643"/>
      <c r="RNI41" s="643"/>
      <c r="RNJ41" s="643"/>
      <c r="RNK41" s="643"/>
      <c r="RNL41" s="643"/>
      <c r="RNM41" s="643"/>
      <c r="RNN41" s="643"/>
      <c r="RNO41" s="643"/>
      <c r="RNP41" s="643"/>
      <c r="RNQ41" s="643"/>
      <c r="RNR41" s="643"/>
      <c r="RNS41" s="643"/>
      <c r="RNT41" s="643"/>
      <c r="RNU41" s="643"/>
      <c r="RNV41" s="643"/>
      <c r="RNW41" s="643"/>
      <c r="RNX41" s="643"/>
      <c r="RNY41" s="643"/>
      <c r="RNZ41" s="643"/>
      <c r="ROA41" s="643"/>
      <c r="ROB41" s="643"/>
      <c r="ROC41" s="643"/>
      <c r="ROD41" s="643"/>
      <c r="ROE41" s="643"/>
      <c r="ROF41" s="643"/>
      <c r="ROG41" s="643"/>
      <c r="ROH41" s="643"/>
      <c r="ROI41" s="643"/>
      <c r="ROJ41" s="643"/>
      <c r="ROK41" s="643"/>
      <c r="ROL41" s="643"/>
      <c r="ROM41" s="643"/>
      <c r="RON41" s="643"/>
      <c r="ROO41" s="643"/>
      <c r="ROP41" s="643"/>
      <c r="ROQ41" s="643"/>
      <c r="ROR41" s="643"/>
      <c r="ROS41" s="643"/>
      <c r="ROT41" s="643"/>
      <c r="ROU41" s="643"/>
      <c r="ROV41" s="643"/>
      <c r="ROW41" s="643"/>
      <c r="ROX41" s="643"/>
      <c r="ROY41" s="643"/>
      <c r="ROZ41" s="643"/>
      <c r="RPA41" s="643"/>
      <c r="RPB41" s="643"/>
      <c r="RPC41" s="643"/>
      <c r="RPD41" s="643"/>
      <c r="RPE41" s="643"/>
      <c r="RPF41" s="643"/>
      <c r="RPG41" s="643"/>
      <c r="RPH41" s="643"/>
      <c r="RPI41" s="643"/>
      <c r="RPJ41" s="643"/>
      <c r="RPK41" s="643"/>
      <c r="RPL41" s="643"/>
      <c r="RPM41" s="643"/>
      <c r="RPN41" s="643"/>
      <c r="RPO41" s="643"/>
      <c r="RPP41" s="643"/>
      <c r="RPQ41" s="643"/>
      <c r="RPR41" s="643"/>
      <c r="RPS41" s="643"/>
      <c r="RPT41" s="643"/>
      <c r="RPU41" s="643"/>
      <c r="RPV41" s="643"/>
      <c r="RPW41" s="643"/>
      <c r="RPX41" s="643"/>
      <c r="RPY41" s="643"/>
      <c r="RPZ41" s="643"/>
      <c r="RQA41" s="643"/>
      <c r="RQB41" s="643"/>
      <c r="RQC41" s="643"/>
      <c r="RQD41" s="643"/>
      <c r="RQE41" s="643"/>
      <c r="RQF41" s="643"/>
      <c r="RQG41" s="643"/>
      <c r="RQH41" s="643"/>
      <c r="RQI41" s="643"/>
      <c r="RQJ41" s="643"/>
      <c r="RQK41" s="643"/>
      <c r="RQL41" s="643"/>
      <c r="RQM41" s="643"/>
      <c r="RQN41" s="643"/>
      <c r="RQO41" s="643"/>
      <c r="RQP41" s="643"/>
      <c r="RQQ41" s="643"/>
      <c r="RQR41" s="643"/>
      <c r="RQS41" s="643"/>
      <c r="RQT41" s="643"/>
      <c r="RQU41" s="643"/>
      <c r="RQV41" s="643"/>
      <c r="RQW41" s="643"/>
      <c r="RQX41" s="643"/>
      <c r="RQY41" s="643"/>
      <c r="RQZ41" s="643"/>
      <c r="RRA41" s="643"/>
      <c r="RRB41" s="643"/>
      <c r="RRC41" s="643"/>
      <c r="RRD41" s="643"/>
      <c r="RRE41" s="643"/>
      <c r="RRF41" s="643"/>
      <c r="RRG41" s="643"/>
      <c r="RRH41" s="643"/>
      <c r="RRI41" s="643"/>
      <c r="RRJ41" s="643"/>
      <c r="RRK41" s="643"/>
      <c r="RRL41" s="643"/>
      <c r="RRM41" s="643"/>
      <c r="RRN41" s="643"/>
      <c r="RRO41" s="643"/>
      <c r="RRP41" s="643"/>
      <c r="RRQ41" s="643"/>
      <c r="RRR41" s="643"/>
      <c r="RRS41" s="643"/>
      <c r="RRT41" s="643"/>
      <c r="RRU41" s="643"/>
      <c r="RRV41" s="643"/>
      <c r="RRW41" s="643"/>
      <c r="RRX41" s="643"/>
      <c r="RRY41" s="643"/>
      <c r="RRZ41" s="643"/>
      <c r="RSA41" s="643"/>
      <c r="RSB41" s="643"/>
      <c r="RSC41" s="643"/>
      <c r="RSD41" s="643"/>
      <c r="RSE41" s="643"/>
      <c r="RSF41" s="643"/>
      <c r="RSG41" s="643"/>
      <c r="RSH41" s="643"/>
      <c r="RSI41" s="643"/>
      <c r="RSJ41" s="643"/>
      <c r="RSK41" s="643"/>
      <c r="RSL41" s="643"/>
      <c r="RSM41" s="643"/>
      <c r="RSN41" s="643"/>
      <c r="RSO41" s="643"/>
      <c r="RSP41" s="643"/>
      <c r="RSQ41" s="643"/>
      <c r="RSR41" s="643"/>
      <c r="RSS41" s="643"/>
      <c r="RST41" s="643"/>
      <c r="RSU41" s="643"/>
      <c r="RSV41" s="643"/>
      <c r="RSW41" s="643"/>
      <c r="RSX41" s="643"/>
      <c r="RSY41" s="643"/>
      <c r="RSZ41" s="643"/>
      <c r="RTA41" s="643"/>
      <c r="RTB41" s="643"/>
      <c r="RTC41" s="643"/>
      <c r="RTD41" s="643"/>
      <c r="RTE41" s="643"/>
      <c r="RTF41" s="643"/>
      <c r="RTG41" s="643"/>
      <c r="RTH41" s="643"/>
      <c r="RTI41" s="643"/>
      <c r="RTJ41" s="643"/>
      <c r="RTK41" s="643"/>
      <c r="RTL41" s="643"/>
      <c r="RTM41" s="643"/>
      <c r="RTN41" s="643"/>
      <c r="RTO41" s="643"/>
      <c r="RTP41" s="643"/>
      <c r="RTQ41" s="643"/>
      <c r="RTR41" s="643"/>
      <c r="RTS41" s="643"/>
      <c r="RTT41" s="643"/>
      <c r="RTU41" s="643"/>
      <c r="RTV41" s="643"/>
      <c r="RTW41" s="643"/>
      <c r="RTX41" s="643"/>
      <c r="RTY41" s="643"/>
      <c r="RTZ41" s="643"/>
      <c r="RUA41" s="643"/>
      <c r="RUB41" s="643"/>
      <c r="RUC41" s="643"/>
      <c r="RUD41" s="643"/>
      <c r="RUE41" s="643"/>
      <c r="RUF41" s="643"/>
      <c r="RUG41" s="643"/>
      <c r="RUH41" s="643"/>
      <c r="RUI41" s="643"/>
      <c r="RUJ41" s="643"/>
      <c r="RUK41" s="643"/>
      <c r="RUL41" s="643"/>
      <c r="RUM41" s="643"/>
      <c r="RUN41" s="643"/>
      <c r="RUO41" s="643"/>
      <c r="RUP41" s="643"/>
      <c r="RUQ41" s="643"/>
      <c r="RUR41" s="643"/>
      <c r="RUS41" s="643"/>
      <c r="RUT41" s="643"/>
      <c r="RUU41" s="643"/>
      <c r="RUV41" s="643"/>
      <c r="RUW41" s="643"/>
      <c r="RUX41" s="643"/>
      <c r="RUY41" s="643"/>
      <c r="RUZ41" s="643"/>
      <c r="RVA41" s="643"/>
      <c r="RVB41" s="643"/>
      <c r="RVC41" s="643"/>
      <c r="RVD41" s="643"/>
      <c r="RVE41" s="643"/>
      <c r="RVF41" s="643"/>
      <c r="RVG41" s="643"/>
      <c r="RVH41" s="643"/>
      <c r="RVI41" s="643"/>
      <c r="RVJ41" s="643"/>
      <c r="RVK41" s="643"/>
      <c r="RVL41" s="643"/>
      <c r="RVM41" s="643"/>
      <c r="RVN41" s="643"/>
      <c r="RVO41" s="643"/>
      <c r="RVP41" s="643"/>
      <c r="RVQ41" s="643"/>
      <c r="RVR41" s="643"/>
      <c r="RVS41" s="643"/>
      <c r="RVT41" s="643"/>
      <c r="RVU41" s="643"/>
      <c r="RVV41" s="643"/>
      <c r="RVW41" s="643"/>
      <c r="RVX41" s="643"/>
      <c r="RVY41" s="643"/>
      <c r="RVZ41" s="643"/>
      <c r="RWA41" s="643"/>
      <c r="RWB41" s="643"/>
      <c r="RWC41" s="643"/>
      <c r="RWD41" s="643"/>
      <c r="RWE41" s="643"/>
      <c r="RWF41" s="643"/>
      <c r="RWG41" s="643"/>
      <c r="RWH41" s="643"/>
      <c r="RWI41" s="643"/>
      <c r="RWJ41" s="643"/>
      <c r="RWK41" s="643"/>
      <c r="RWL41" s="643"/>
      <c r="RWM41" s="643"/>
      <c r="RWN41" s="643"/>
      <c r="RWO41" s="643"/>
      <c r="RWP41" s="643"/>
      <c r="RWQ41" s="643"/>
      <c r="RWR41" s="643"/>
      <c r="RWS41" s="643"/>
      <c r="RWT41" s="643"/>
      <c r="RWU41" s="643"/>
      <c r="RWV41" s="643"/>
      <c r="RWW41" s="643"/>
      <c r="RWX41" s="643"/>
      <c r="RWY41" s="643"/>
      <c r="RWZ41" s="643"/>
      <c r="RXA41" s="643"/>
      <c r="RXB41" s="643"/>
      <c r="RXC41" s="643"/>
      <c r="RXD41" s="643"/>
      <c r="RXE41" s="643"/>
      <c r="RXF41" s="643"/>
      <c r="RXG41" s="643"/>
      <c r="RXH41" s="643"/>
      <c r="RXI41" s="643"/>
      <c r="RXJ41" s="643"/>
      <c r="RXK41" s="643"/>
      <c r="RXL41" s="643"/>
      <c r="RXM41" s="643"/>
      <c r="RXN41" s="643"/>
      <c r="RXO41" s="643"/>
      <c r="RXP41" s="643"/>
      <c r="RXQ41" s="643"/>
      <c r="RXR41" s="643"/>
      <c r="RXS41" s="643"/>
      <c r="RXT41" s="643"/>
      <c r="RXU41" s="643"/>
      <c r="RXV41" s="643"/>
      <c r="RXW41" s="643"/>
      <c r="RXX41" s="643"/>
      <c r="RXY41" s="643"/>
      <c r="RXZ41" s="643"/>
      <c r="RYA41" s="643"/>
      <c r="RYB41" s="643"/>
      <c r="RYC41" s="643"/>
      <c r="RYD41" s="643"/>
      <c r="RYE41" s="643"/>
      <c r="RYF41" s="643"/>
      <c r="RYG41" s="643"/>
      <c r="RYH41" s="643"/>
      <c r="RYI41" s="643"/>
      <c r="RYJ41" s="643"/>
      <c r="RYK41" s="643"/>
      <c r="RYL41" s="643"/>
      <c r="RYM41" s="643"/>
      <c r="RYN41" s="643"/>
      <c r="RYO41" s="643"/>
      <c r="RYP41" s="643"/>
      <c r="RYQ41" s="643"/>
      <c r="RYR41" s="643"/>
      <c r="RYS41" s="643"/>
      <c r="RYT41" s="643"/>
      <c r="RYU41" s="643"/>
      <c r="RYV41" s="643"/>
      <c r="RYW41" s="643"/>
      <c r="RYX41" s="643"/>
      <c r="RYY41" s="643"/>
      <c r="RYZ41" s="643"/>
      <c r="RZA41" s="643"/>
      <c r="RZB41" s="643"/>
      <c r="RZC41" s="643"/>
      <c r="RZD41" s="643"/>
      <c r="RZE41" s="643"/>
      <c r="RZF41" s="643"/>
      <c r="RZG41" s="643"/>
      <c r="RZH41" s="643"/>
      <c r="RZI41" s="643"/>
      <c r="RZJ41" s="643"/>
      <c r="RZK41" s="643"/>
      <c r="RZL41" s="643"/>
      <c r="RZM41" s="643"/>
      <c r="RZN41" s="643"/>
      <c r="RZO41" s="643"/>
      <c r="RZP41" s="643"/>
      <c r="RZQ41" s="643"/>
      <c r="RZR41" s="643"/>
      <c r="RZS41" s="643"/>
      <c r="RZT41" s="643"/>
      <c r="RZU41" s="643"/>
      <c r="RZV41" s="643"/>
      <c r="RZW41" s="643"/>
      <c r="RZX41" s="643"/>
      <c r="RZY41" s="643"/>
      <c r="RZZ41" s="643"/>
      <c r="SAA41" s="643"/>
      <c r="SAB41" s="643"/>
      <c r="SAC41" s="643"/>
      <c r="SAD41" s="643"/>
      <c r="SAE41" s="643"/>
      <c r="SAF41" s="643"/>
      <c r="SAG41" s="643"/>
      <c r="SAH41" s="643"/>
      <c r="SAI41" s="643"/>
      <c r="SAJ41" s="643"/>
      <c r="SAK41" s="643"/>
      <c r="SAL41" s="643"/>
      <c r="SAM41" s="643"/>
      <c r="SAN41" s="643"/>
      <c r="SAO41" s="643"/>
      <c r="SAP41" s="643"/>
      <c r="SAQ41" s="643"/>
      <c r="SAR41" s="643"/>
      <c r="SAS41" s="643"/>
      <c r="SAT41" s="643"/>
      <c r="SAU41" s="643"/>
      <c r="SAV41" s="643"/>
      <c r="SAW41" s="643"/>
      <c r="SAX41" s="643"/>
      <c r="SAY41" s="643"/>
      <c r="SAZ41" s="643"/>
      <c r="SBA41" s="643"/>
      <c r="SBB41" s="643"/>
      <c r="SBC41" s="643"/>
      <c r="SBD41" s="643"/>
      <c r="SBE41" s="643"/>
      <c r="SBF41" s="643"/>
      <c r="SBG41" s="643"/>
      <c r="SBH41" s="643"/>
      <c r="SBI41" s="643"/>
      <c r="SBJ41" s="643"/>
      <c r="SBK41" s="643"/>
      <c r="SBL41" s="643"/>
      <c r="SBM41" s="643"/>
      <c r="SBN41" s="643"/>
      <c r="SBO41" s="643"/>
      <c r="SBP41" s="643"/>
      <c r="SBQ41" s="643"/>
      <c r="SBR41" s="643"/>
      <c r="SBS41" s="643"/>
      <c r="SBT41" s="643"/>
      <c r="SBU41" s="643"/>
      <c r="SBV41" s="643"/>
      <c r="SBW41" s="643"/>
      <c r="SBX41" s="643"/>
      <c r="SBY41" s="643"/>
      <c r="SBZ41" s="643"/>
      <c r="SCA41" s="643"/>
      <c r="SCB41" s="643"/>
      <c r="SCC41" s="643"/>
      <c r="SCD41" s="643"/>
      <c r="SCE41" s="643"/>
      <c r="SCF41" s="643"/>
      <c r="SCG41" s="643"/>
      <c r="SCH41" s="643"/>
      <c r="SCI41" s="643"/>
      <c r="SCJ41" s="643"/>
      <c r="SCK41" s="643"/>
      <c r="SCL41" s="643"/>
      <c r="SCM41" s="643"/>
      <c r="SCN41" s="643"/>
      <c r="SCO41" s="643"/>
      <c r="SCP41" s="643"/>
      <c r="SCQ41" s="643"/>
      <c r="SCR41" s="643"/>
      <c r="SCS41" s="643"/>
      <c r="SCT41" s="643"/>
      <c r="SCU41" s="643"/>
      <c r="SCV41" s="643"/>
      <c r="SCW41" s="643"/>
      <c r="SCX41" s="643"/>
      <c r="SCY41" s="643"/>
      <c r="SCZ41" s="643"/>
      <c r="SDA41" s="643"/>
      <c r="SDB41" s="643"/>
      <c r="SDC41" s="643"/>
      <c r="SDD41" s="643"/>
      <c r="SDE41" s="643"/>
      <c r="SDF41" s="643"/>
      <c r="SDG41" s="643"/>
      <c r="SDH41" s="643"/>
      <c r="SDI41" s="643"/>
      <c r="SDJ41" s="643"/>
      <c r="SDK41" s="643"/>
      <c r="SDL41" s="643"/>
      <c r="SDM41" s="643"/>
      <c r="SDN41" s="643"/>
      <c r="SDO41" s="643"/>
      <c r="SDP41" s="643"/>
      <c r="SDQ41" s="643"/>
      <c r="SDR41" s="643"/>
      <c r="SDS41" s="643"/>
      <c r="SDT41" s="643"/>
      <c r="SDU41" s="643"/>
      <c r="SDV41" s="643"/>
      <c r="SDW41" s="643"/>
      <c r="SDX41" s="643"/>
      <c r="SDY41" s="643"/>
      <c r="SDZ41" s="643"/>
      <c r="SEA41" s="643"/>
      <c r="SEB41" s="643"/>
      <c r="SEC41" s="643"/>
      <c r="SED41" s="643"/>
      <c r="SEE41" s="643"/>
      <c r="SEF41" s="643"/>
      <c r="SEG41" s="643"/>
      <c r="SEH41" s="643"/>
      <c r="SEI41" s="643"/>
      <c r="SEJ41" s="643"/>
      <c r="SEK41" s="643"/>
      <c r="SEL41" s="643"/>
      <c r="SEM41" s="643"/>
      <c r="SEN41" s="643"/>
      <c r="SEO41" s="643"/>
      <c r="SEP41" s="643"/>
      <c r="SEQ41" s="643"/>
      <c r="SER41" s="643"/>
      <c r="SES41" s="643"/>
      <c r="SET41" s="643"/>
      <c r="SEU41" s="643"/>
      <c r="SEV41" s="643"/>
      <c r="SEW41" s="643"/>
      <c r="SEX41" s="643"/>
      <c r="SEY41" s="643"/>
      <c r="SEZ41" s="643"/>
      <c r="SFA41" s="643"/>
      <c r="SFB41" s="643"/>
      <c r="SFC41" s="643"/>
      <c r="SFD41" s="643"/>
      <c r="SFE41" s="643"/>
      <c r="SFF41" s="643"/>
      <c r="SFG41" s="643"/>
      <c r="SFH41" s="643"/>
      <c r="SFI41" s="643"/>
      <c r="SFJ41" s="643"/>
      <c r="SFK41" s="643"/>
      <c r="SFL41" s="643"/>
      <c r="SFM41" s="643"/>
      <c r="SFN41" s="643"/>
      <c r="SFO41" s="643"/>
      <c r="SFP41" s="643"/>
      <c r="SFQ41" s="643"/>
      <c r="SFR41" s="643"/>
      <c r="SFS41" s="643"/>
      <c r="SFT41" s="643"/>
      <c r="SFU41" s="643"/>
      <c r="SFV41" s="643"/>
      <c r="SFW41" s="643"/>
      <c r="SFX41" s="643"/>
      <c r="SFY41" s="643"/>
      <c r="SFZ41" s="643"/>
      <c r="SGA41" s="643"/>
      <c r="SGB41" s="643"/>
      <c r="SGC41" s="643"/>
      <c r="SGD41" s="643"/>
      <c r="SGE41" s="643"/>
      <c r="SGF41" s="643"/>
      <c r="SGG41" s="643"/>
      <c r="SGH41" s="643"/>
      <c r="SGI41" s="643"/>
      <c r="SGJ41" s="643"/>
      <c r="SGK41" s="643"/>
      <c r="SGL41" s="643"/>
      <c r="SGM41" s="643"/>
      <c r="SGN41" s="643"/>
      <c r="SGO41" s="643"/>
      <c r="SGP41" s="643"/>
      <c r="SGQ41" s="643"/>
      <c r="SGR41" s="643"/>
      <c r="SGS41" s="643"/>
      <c r="SGT41" s="643"/>
      <c r="SGU41" s="643"/>
      <c r="SGV41" s="643"/>
      <c r="SGW41" s="643"/>
      <c r="SGX41" s="643"/>
      <c r="SGY41" s="643"/>
      <c r="SGZ41" s="643"/>
      <c r="SHA41" s="643"/>
      <c r="SHB41" s="643"/>
      <c r="SHC41" s="643"/>
      <c r="SHD41" s="643"/>
      <c r="SHE41" s="643"/>
      <c r="SHF41" s="643"/>
      <c r="SHG41" s="643"/>
      <c r="SHH41" s="643"/>
      <c r="SHI41" s="643"/>
      <c r="SHJ41" s="643"/>
      <c r="SHK41" s="643"/>
      <c r="SHL41" s="643"/>
      <c r="SHM41" s="643"/>
      <c r="SHN41" s="643"/>
      <c r="SHO41" s="643"/>
      <c r="SHP41" s="643"/>
      <c r="SHQ41" s="643"/>
      <c r="SHR41" s="643"/>
      <c r="SHS41" s="643"/>
      <c r="SHT41" s="643"/>
      <c r="SHU41" s="643"/>
      <c r="SHV41" s="643"/>
      <c r="SHW41" s="643"/>
      <c r="SHX41" s="643"/>
      <c r="SHY41" s="643"/>
      <c r="SHZ41" s="643"/>
      <c r="SIA41" s="643"/>
      <c r="SIB41" s="643"/>
      <c r="SIC41" s="643"/>
      <c r="SID41" s="643"/>
      <c r="SIE41" s="643"/>
      <c r="SIF41" s="643"/>
      <c r="SIG41" s="643"/>
      <c r="SIH41" s="643"/>
      <c r="SII41" s="643"/>
      <c r="SIJ41" s="643"/>
      <c r="SIK41" s="643"/>
      <c r="SIL41" s="643"/>
      <c r="SIM41" s="643"/>
      <c r="SIN41" s="643"/>
      <c r="SIO41" s="643"/>
      <c r="SIP41" s="643"/>
      <c r="SIQ41" s="643"/>
      <c r="SIR41" s="643"/>
      <c r="SIS41" s="643"/>
      <c r="SIT41" s="643"/>
      <c r="SIU41" s="643"/>
      <c r="SIV41" s="643"/>
      <c r="SIW41" s="643"/>
      <c r="SIX41" s="643"/>
      <c r="SIY41" s="643"/>
      <c r="SIZ41" s="643"/>
      <c r="SJA41" s="643"/>
      <c r="SJB41" s="643"/>
      <c r="SJC41" s="643"/>
      <c r="SJD41" s="643"/>
      <c r="SJE41" s="643"/>
      <c r="SJF41" s="643"/>
      <c r="SJG41" s="643"/>
      <c r="SJH41" s="643"/>
      <c r="SJI41" s="643"/>
      <c r="SJJ41" s="643"/>
      <c r="SJK41" s="643"/>
      <c r="SJL41" s="643"/>
      <c r="SJM41" s="643"/>
      <c r="SJN41" s="643"/>
      <c r="SJO41" s="643"/>
      <c r="SJP41" s="643"/>
      <c r="SJQ41" s="643"/>
      <c r="SJR41" s="643"/>
      <c r="SJS41" s="643"/>
      <c r="SJT41" s="643"/>
      <c r="SJU41" s="643"/>
      <c r="SJV41" s="643"/>
      <c r="SJW41" s="643"/>
      <c r="SJX41" s="643"/>
      <c r="SJY41" s="643"/>
      <c r="SJZ41" s="643"/>
      <c r="SKA41" s="643"/>
      <c r="SKB41" s="643"/>
      <c r="SKC41" s="643"/>
      <c r="SKD41" s="643"/>
      <c r="SKE41" s="643"/>
      <c r="SKF41" s="643"/>
      <c r="SKG41" s="643"/>
      <c r="SKH41" s="643"/>
      <c r="SKI41" s="643"/>
      <c r="SKJ41" s="643"/>
      <c r="SKK41" s="643"/>
      <c r="SKL41" s="643"/>
      <c r="SKM41" s="643"/>
      <c r="SKN41" s="643"/>
      <c r="SKO41" s="643"/>
      <c r="SKP41" s="643"/>
      <c r="SKQ41" s="643"/>
      <c r="SKR41" s="643"/>
      <c r="SKS41" s="643"/>
      <c r="SKT41" s="643"/>
      <c r="SKU41" s="643"/>
      <c r="SKV41" s="643"/>
      <c r="SKW41" s="643"/>
      <c r="SKX41" s="643"/>
      <c r="SKY41" s="643"/>
      <c r="SKZ41" s="643"/>
      <c r="SLA41" s="643"/>
      <c r="SLB41" s="643"/>
      <c r="SLC41" s="643"/>
      <c r="SLD41" s="643"/>
      <c r="SLE41" s="643"/>
      <c r="SLF41" s="643"/>
      <c r="SLG41" s="643"/>
      <c r="SLH41" s="643"/>
      <c r="SLI41" s="643"/>
      <c r="SLJ41" s="643"/>
      <c r="SLK41" s="643"/>
      <c r="SLL41" s="643"/>
      <c r="SLM41" s="643"/>
      <c r="SLN41" s="643"/>
      <c r="SLO41" s="643"/>
      <c r="SLP41" s="643"/>
      <c r="SLQ41" s="643"/>
      <c r="SLR41" s="643"/>
      <c r="SLS41" s="643"/>
      <c r="SLT41" s="643"/>
      <c r="SLU41" s="643"/>
      <c r="SLV41" s="643"/>
      <c r="SLW41" s="643"/>
      <c r="SLX41" s="643"/>
      <c r="SLY41" s="643"/>
      <c r="SLZ41" s="643"/>
      <c r="SMA41" s="643"/>
      <c r="SMB41" s="643"/>
      <c r="SMC41" s="643"/>
      <c r="SMD41" s="643"/>
      <c r="SME41" s="643"/>
      <c r="SMF41" s="643"/>
      <c r="SMG41" s="643"/>
      <c r="SMH41" s="643"/>
      <c r="SMI41" s="643"/>
      <c r="SMJ41" s="643"/>
      <c r="SMK41" s="643"/>
      <c r="SML41" s="643"/>
      <c r="SMM41" s="643"/>
      <c r="SMN41" s="643"/>
      <c r="SMO41" s="643"/>
      <c r="SMP41" s="643"/>
      <c r="SMQ41" s="643"/>
      <c r="SMR41" s="643"/>
      <c r="SMS41" s="643"/>
      <c r="SMT41" s="643"/>
      <c r="SMU41" s="643"/>
      <c r="SMV41" s="643"/>
      <c r="SMW41" s="643"/>
      <c r="SMX41" s="643"/>
      <c r="SMY41" s="643"/>
      <c r="SMZ41" s="643"/>
      <c r="SNA41" s="643"/>
      <c r="SNB41" s="643"/>
      <c r="SNC41" s="643"/>
      <c r="SND41" s="643"/>
      <c r="SNE41" s="643"/>
      <c r="SNF41" s="643"/>
      <c r="SNG41" s="643"/>
      <c r="SNH41" s="643"/>
      <c r="SNI41" s="643"/>
      <c r="SNJ41" s="643"/>
      <c r="SNK41" s="643"/>
      <c r="SNL41" s="643"/>
      <c r="SNM41" s="643"/>
      <c r="SNN41" s="643"/>
      <c r="SNO41" s="643"/>
      <c r="SNP41" s="643"/>
      <c r="SNQ41" s="643"/>
      <c r="SNR41" s="643"/>
      <c r="SNS41" s="643"/>
      <c r="SNT41" s="643"/>
      <c r="SNU41" s="643"/>
      <c r="SNV41" s="643"/>
      <c r="SNW41" s="643"/>
      <c r="SNX41" s="643"/>
      <c r="SNY41" s="643"/>
      <c r="SNZ41" s="643"/>
      <c r="SOA41" s="643"/>
      <c r="SOB41" s="643"/>
      <c r="SOC41" s="643"/>
      <c r="SOD41" s="643"/>
      <c r="SOE41" s="643"/>
      <c r="SOF41" s="643"/>
      <c r="SOG41" s="643"/>
      <c r="SOH41" s="643"/>
      <c r="SOI41" s="643"/>
      <c r="SOJ41" s="643"/>
      <c r="SOK41" s="643"/>
      <c r="SOL41" s="643"/>
      <c r="SOM41" s="643"/>
      <c r="SON41" s="643"/>
      <c r="SOO41" s="643"/>
      <c r="SOP41" s="643"/>
      <c r="SOQ41" s="643"/>
      <c r="SOR41" s="643"/>
      <c r="SOS41" s="643"/>
      <c r="SOT41" s="643"/>
      <c r="SOU41" s="643"/>
      <c r="SOV41" s="643"/>
      <c r="SOW41" s="643"/>
      <c r="SOX41" s="643"/>
      <c r="SOY41" s="643"/>
      <c r="SOZ41" s="643"/>
      <c r="SPA41" s="643"/>
      <c r="SPB41" s="643"/>
      <c r="SPC41" s="643"/>
      <c r="SPD41" s="643"/>
      <c r="SPE41" s="643"/>
      <c r="SPF41" s="643"/>
      <c r="SPG41" s="643"/>
      <c r="SPH41" s="643"/>
      <c r="SPI41" s="643"/>
      <c r="SPJ41" s="643"/>
      <c r="SPK41" s="643"/>
      <c r="SPL41" s="643"/>
      <c r="SPM41" s="643"/>
      <c r="SPN41" s="643"/>
      <c r="SPO41" s="643"/>
      <c r="SPP41" s="643"/>
      <c r="SPQ41" s="643"/>
      <c r="SPR41" s="643"/>
      <c r="SPS41" s="643"/>
      <c r="SPT41" s="643"/>
      <c r="SPU41" s="643"/>
      <c r="SPV41" s="643"/>
      <c r="SPW41" s="643"/>
      <c r="SPX41" s="643"/>
      <c r="SPY41" s="643"/>
      <c r="SPZ41" s="643"/>
      <c r="SQA41" s="643"/>
      <c r="SQB41" s="643"/>
      <c r="SQC41" s="643"/>
      <c r="SQD41" s="643"/>
      <c r="SQE41" s="643"/>
      <c r="SQF41" s="643"/>
      <c r="SQG41" s="643"/>
      <c r="SQH41" s="643"/>
      <c r="SQI41" s="643"/>
      <c r="SQJ41" s="643"/>
      <c r="SQK41" s="643"/>
      <c r="SQL41" s="643"/>
      <c r="SQM41" s="643"/>
      <c r="SQN41" s="643"/>
      <c r="SQO41" s="643"/>
      <c r="SQP41" s="643"/>
      <c r="SQQ41" s="643"/>
      <c r="SQR41" s="643"/>
      <c r="SQS41" s="643"/>
      <c r="SQT41" s="643"/>
      <c r="SQU41" s="643"/>
      <c r="SQV41" s="643"/>
      <c r="SQW41" s="643"/>
      <c r="SQX41" s="643"/>
      <c r="SQY41" s="643"/>
      <c r="SQZ41" s="643"/>
      <c r="SRA41" s="643"/>
      <c r="SRB41" s="643"/>
      <c r="SRC41" s="643"/>
      <c r="SRD41" s="643"/>
      <c r="SRE41" s="643"/>
      <c r="SRF41" s="643"/>
      <c r="SRG41" s="643"/>
      <c r="SRH41" s="643"/>
      <c r="SRI41" s="643"/>
      <c r="SRJ41" s="643"/>
      <c r="SRK41" s="643"/>
      <c r="SRL41" s="643"/>
      <c r="SRM41" s="643"/>
      <c r="SRN41" s="643"/>
      <c r="SRO41" s="643"/>
      <c r="SRP41" s="643"/>
      <c r="SRQ41" s="643"/>
      <c r="SRR41" s="643"/>
      <c r="SRS41" s="643"/>
      <c r="SRT41" s="643"/>
      <c r="SRU41" s="643"/>
      <c r="SRV41" s="643"/>
      <c r="SRW41" s="643"/>
      <c r="SRX41" s="643"/>
      <c r="SRY41" s="643"/>
      <c r="SRZ41" s="643"/>
      <c r="SSA41" s="643"/>
      <c r="SSB41" s="643"/>
      <c r="SSC41" s="643"/>
      <c r="SSD41" s="643"/>
      <c r="SSE41" s="643"/>
      <c r="SSF41" s="643"/>
      <c r="SSG41" s="643"/>
      <c r="SSH41" s="643"/>
      <c r="SSI41" s="643"/>
      <c r="SSJ41" s="643"/>
      <c r="SSK41" s="643"/>
      <c r="SSL41" s="643"/>
      <c r="SSM41" s="643"/>
      <c r="SSN41" s="643"/>
      <c r="SSO41" s="643"/>
      <c r="SSP41" s="643"/>
      <c r="SSQ41" s="643"/>
      <c r="SSR41" s="643"/>
      <c r="SSS41" s="643"/>
      <c r="SST41" s="643"/>
      <c r="SSU41" s="643"/>
      <c r="SSV41" s="643"/>
      <c r="SSW41" s="643"/>
      <c r="SSX41" s="643"/>
      <c r="SSY41" s="643"/>
      <c r="SSZ41" s="643"/>
      <c r="STA41" s="643"/>
      <c r="STB41" s="643"/>
      <c r="STC41" s="643"/>
      <c r="STD41" s="643"/>
      <c r="STE41" s="643"/>
      <c r="STF41" s="643"/>
      <c r="STG41" s="643"/>
      <c r="STH41" s="643"/>
      <c r="STI41" s="643"/>
      <c r="STJ41" s="643"/>
      <c r="STK41" s="643"/>
      <c r="STL41" s="643"/>
      <c r="STM41" s="643"/>
      <c r="STN41" s="643"/>
      <c r="STO41" s="643"/>
      <c r="STP41" s="643"/>
      <c r="STQ41" s="643"/>
      <c r="STR41" s="643"/>
      <c r="STS41" s="643"/>
      <c r="STT41" s="643"/>
      <c r="STU41" s="643"/>
      <c r="STV41" s="643"/>
      <c r="STW41" s="643"/>
      <c r="STX41" s="643"/>
      <c r="STY41" s="643"/>
      <c r="STZ41" s="643"/>
      <c r="SUA41" s="643"/>
      <c r="SUB41" s="643"/>
      <c r="SUC41" s="643"/>
      <c r="SUD41" s="643"/>
      <c r="SUE41" s="643"/>
      <c r="SUF41" s="643"/>
      <c r="SUG41" s="643"/>
      <c r="SUH41" s="643"/>
      <c r="SUI41" s="643"/>
      <c r="SUJ41" s="643"/>
      <c r="SUK41" s="643"/>
      <c r="SUL41" s="643"/>
      <c r="SUM41" s="643"/>
      <c r="SUN41" s="643"/>
      <c r="SUO41" s="643"/>
      <c r="SUP41" s="643"/>
      <c r="SUQ41" s="643"/>
      <c r="SUR41" s="643"/>
      <c r="SUS41" s="643"/>
      <c r="SUT41" s="643"/>
      <c r="SUU41" s="643"/>
      <c r="SUV41" s="643"/>
      <c r="SUW41" s="643"/>
      <c r="SUX41" s="643"/>
      <c r="SUY41" s="643"/>
      <c r="SUZ41" s="643"/>
      <c r="SVA41" s="643"/>
      <c r="SVB41" s="643"/>
      <c r="SVC41" s="643"/>
      <c r="SVD41" s="643"/>
      <c r="SVE41" s="643"/>
      <c r="SVF41" s="643"/>
      <c r="SVG41" s="643"/>
      <c r="SVH41" s="643"/>
      <c r="SVI41" s="643"/>
      <c r="SVJ41" s="643"/>
      <c r="SVK41" s="643"/>
      <c r="SVL41" s="643"/>
      <c r="SVM41" s="643"/>
      <c r="SVN41" s="643"/>
      <c r="SVO41" s="643"/>
      <c r="SVP41" s="643"/>
      <c r="SVQ41" s="643"/>
      <c r="SVR41" s="643"/>
      <c r="SVS41" s="643"/>
      <c r="SVT41" s="643"/>
      <c r="SVU41" s="643"/>
      <c r="SVV41" s="643"/>
      <c r="SVW41" s="643"/>
      <c r="SVX41" s="643"/>
      <c r="SVY41" s="643"/>
      <c r="SVZ41" s="643"/>
      <c r="SWA41" s="643"/>
      <c r="SWB41" s="643"/>
      <c r="SWC41" s="643"/>
      <c r="SWD41" s="643"/>
      <c r="SWE41" s="643"/>
      <c r="SWF41" s="643"/>
      <c r="SWG41" s="643"/>
      <c r="SWH41" s="643"/>
      <c r="SWI41" s="643"/>
      <c r="SWJ41" s="643"/>
      <c r="SWK41" s="643"/>
      <c r="SWL41" s="643"/>
      <c r="SWM41" s="643"/>
      <c r="SWN41" s="643"/>
      <c r="SWO41" s="643"/>
      <c r="SWP41" s="643"/>
      <c r="SWQ41" s="643"/>
      <c r="SWR41" s="643"/>
      <c r="SWS41" s="643"/>
      <c r="SWT41" s="643"/>
      <c r="SWU41" s="643"/>
      <c r="SWV41" s="643"/>
      <c r="SWW41" s="643"/>
      <c r="SWX41" s="643"/>
      <c r="SWY41" s="643"/>
      <c r="SWZ41" s="643"/>
      <c r="SXA41" s="643"/>
      <c r="SXB41" s="643"/>
      <c r="SXC41" s="643"/>
      <c r="SXD41" s="643"/>
      <c r="SXE41" s="643"/>
      <c r="SXF41" s="643"/>
      <c r="SXG41" s="643"/>
      <c r="SXH41" s="643"/>
      <c r="SXI41" s="643"/>
      <c r="SXJ41" s="643"/>
      <c r="SXK41" s="643"/>
      <c r="SXL41" s="643"/>
      <c r="SXM41" s="643"/>
      <c r="SXN41" s="643"/>
      <c r="SXO41" s="643"/>
      <c r="SXP41" s="643"/>
      <c r="SXQ41" s="643"/>
      <c r="SXR41" s="643"/>
      <c r="SXS41" s="643"/>
      <c r="SXT41" s="643"/>
      <c r="SXU41" s="643"/>
      <c r="SXV41" s="643"/>
      <c r="SXW41" s="643"/>
      <c r="SXX41" s="643"/>
      <c r="SXY41" s="643"/>
      <c r="SXZ41" s="643"/>
      <c r="SYA41" s="643"/>
      <c r="SYB41" s="643"/>
      <c r="SYC41" s="643"/>
      <c r="SYD41" s="643"/>
      <c r="SYE41" s="643"/>
      <c r="SYF41" s="643"/>
      <c r="SYG41" s="643"/>
      <c r="SYH41" s="643"/>
      <c r="SYI41" s="643"/>
      <c r="SYJ41" s="643"/>
      <c r="SYK41" s="643"/>
      <c r="SYL41" s="643"/>
      <c r="SYM41" s="643"/>
      <c r="SYN41" s="643"/>
      <c r="SYO41" s="643"/>
      <c r="SYP41" s="643"/>
      <c r="SYQ41" s="643"/>
      <c r="SYR41" s="643"/>
      <c r="SYS41" s="643"/>
      <c r="SYT41" s="643"/>
      <c r="SYU41" s="643"/>
      <c r="SYV41" s="643"/>
      <c r="SYW41" s="643"/>
      <c r="SYX41" s="643"/>
      <c r="SYY41" s="643"/>
      <c r="SYZ41" s="643"/>
      <c r="SZA41" s="643"/>
      <c r="SZB41" s="643"/>
      <c r="SZC41" s="643"/>
      <c r="SZD41" s="643"/>
      <c r="SZE41" s="643"/>
      <c r="SZF41" s="643"/>
      <c r="SZG41" s="643"/>
      <c r="SZH41" s="643"/>
      <c r="SZI41" s="643"/>
      <c r="SZJ41" s="643"/>
      <c r="SZK41" s="643"/>
      <c r="SZL41" s="643"/>
      <c r="SZM41" s="643"/>
      <c r="SZN41" s="643"/>
      <c r="SZO41" s="643"/>
      <c r="SZP41" s="643"/>
      <c r="SZQ41" s="643"/>
      <c r="SZR41" s="643"/>
      <c r="SZS41" s="643"/>
      <c r="SZT41" s="643"/>
      <c r="SZU41" s="643"/>
      <c r="SZV41" s="643"/>
      <c r="SZW41" s="643"/>
      <c r="SZX41" s="643"/>
      <c r="SZY41" s="643"/>
      <c r="SZZ41" s="643"/>
      <c r="TAA41" s="643"/>
      <c r="TAB41" s="643"/>
      <c r="TAC41" s="643"/>
      <c r="TAD41" s="643"/>
      <c r="TAE41" s="643"/>
      <c r="TAF41" s="643"/>
      <c r="TAG41" s="643"/>
      <c r="TAH41" s="643"/>
      <c r="TAI41" s="643"/>
      <c r="TAJ41" s="643"/>
      <c r="TAK41" s="643"/>
      <c r="TAL41" s="643"/>
      <c r="TAM41" s="643"/>
      <c r="TAN41" s="643"/>
      <c r="TAO41" s="643"/>
      <c r="TAP41" s="643"/>
      <c r="TAQ41" s="643"/>
      <c r="TAR41" s="643"/>
      <c r="TAS41" s="643"/>
      <c r="TAT41" s="643"/>
      <c r="TAU41" s="643"/>
      <c r="TAV41" s="643"/>
      <c r="TAW41" s="643"/>
      <c r="TAX41" s="643"/>
      <c r="TAY41" s="643"/>
      <c r="TAZ41" s="643"/>
      <c r="TBA41" s="643"/>
      <c r="TBB41" s="643"/>
      <c r="TBC41" s="643"/>
      <c r="TBD41" s="643"/>
      <c r="TBE41" s="643"/>
      <c r="TBF41" s="643"/>
      <c r="TBG41" s="643"/>
      <c r="TBH41" s="643"/>
      <c r="TBI41" s="643"/>
      <c r="TBJ41" s="643"/>
      <c r="TBK41" s="643"/>
      <c r="TBL41" s="643"/>
      <c r="TBM41" s="643"/>
      <c r="TBN41" s="643"/>
      <c r="TBO41" s="643"/>
      <c r="TBP41" s="643"/>
      <c r="TBQ41" s="643"/>
      <c r="TBR41" s="643"/>
      <c r="TBS41" s="643"/>
      <c r="TBT41" s="643"/>
      <c r="TBU41" s="643"/>
      <c r="TBV41" s="643"/>
      <c r="TBW41" s="643"/>
      <c r="TBX41" s="643"/>
      <c r="TBY41" s="643"/>
      <c r="TBZ41" s="643"/>
      <c r="TCA41" s="643"/>
      <c r="TCB41" s="643"/>
      <c r="TCC41" s="643"/>
      <c r="TCD41" s="643"/>
      <c r="TCE41" s="643"/>
      <c r="TCF41" s="643"/>
      <c r="TCG41" s="643"/>
      <c r="TCH41" s="643"/>
      <c r="TCI41" s="643"/>
      <c r="TCJ41" s="643"/>
      <c r="TCK41" s="643"/>
      <c r="TCL41" s="643"/>
      <c r="TCM41" s="643"/>
      <c r="TCN41" s="643"/>
      <c r="TCO41" s="643"/>
      <c r="TCP41" s="643"/>
      <c r="TCQ41" s="643"/>
      <c r="TCR41" s="643"/>
      <c r="TCS41" s="643"/>
      <c r="TCT41" s="643"/>
      <c r="TCU41" s="643"/>
      <c r="TCV41" s="643"/>
      <c r="TCW41" s="643"/>
      <c r="TCX41" s="643"/>
      <c r="TCY41" s="643"/>
      <c r="TCZ41" s="643"/>
      <c r="TDA41" s="643"/>
      <c r="TDB41" s="643"/>
      <c r="TDC41" s="643"/>
      <c r="TDD41" s="643"/>
      <c r="TDE41" s="643"/>
      <c r="TDF41" s="643"/>
      <c r="TDG41" s="643"/>
      <c r="TDH41" s="643"/>
      <c r="TDI41" s="643"/>
      <c r="TDJ41" s="643"/>
      <c r="TDK41" s="643"/>
      <c r="TDL41" s="643"/>
      <c r="TDM41" s="643"/>
      <c r="TDN41" s="643"/>
      <c r="TDO41" s="643"/>
      <c r="TDP41" s="643"/>
      <c r="TDQ41" s="643"/>
      <c r="TDR41" s="643"/>
      <c r="TDS41" s="643"/>
      <c r="TDT41" s="643"/>
      <c r="TDU41" s="643"/>
      <c r="TDV41" s="643"/>
      <c r="TDW41" s="643"/>
      <c r="TDX41" s="643"/>
      <c r="TDY41" s="643"/>
      <c r="TDZ41" s="643"/>
      <c r="TEA41" s="643"/>
      <c r="TEB41" s="643"/>
      <c r="TEC41" s="643"/>
      <c r="TED41" s="643"/>
      <c r="TEE41" s="643"/>
      <c r="TEF41" s="643"/>
      <c r="TEG41" s="643"/>
      <c r="TEH41" s="643"/>
      <c r="TEI41" s="643"/>
      <c r="TEJ41" s="643"/>
      <c r="TEK41" s="643"/>
      <c r="TEL41" s="643"/>
      <c r="TEM41" s="643"/>
      <c r="TEN41" s="643"/>
      <c r="TEO41" s="643"/>
      <c r="TEP41" s="643"/>
      <c r="TEQ41" s="643"/>
      <c r="TER41" s="643"/>
      <c r="TES41" s="643"/>
      <c r="TET41" s="643"/>
      <c r="TEU41" s="643"/>
      <c r="TEV41" s="643"/>
      <c r="TEW41" s="643"/>
      <c r="TEX41" s="643"/>
      <c r="TEY41" s="643"/>
      <c r="TEZ41" s="643"/>
      <c r="TFA41" s="643"/>
      <c r="TFB41" s="643"/>
      <c r="TFC41" s="643"/>
      <c r="TFD41" s="643"/>
      <c r="TFE41" s="643"/>
      <c r="TFF41" s="643"/>
      <c r="TFG41" s="643"/>
      <c r="TFH41" s="643"/>
      <c r="TFI41" s="643"/>
      <c r="TFJ41" s="643"/>
      <c r="TFK41" s="643"/>
      <c r="TFL41" s="643"/>
      <c r="TFM41" s="643"/>
      <c r="TFN41" s="643"/>
      <c r="TFO41" s="643"/>
      <c r="TFP41" s="643"/>
      <c r="TFQ41" s="643"/>
      <c r="TFR41" s="643"/>
      <c r="TFS41" s="643"/>
      <c r="TFT41" s="643"/>
      <c r="TFU41" s="643"/>
      <c r="TFV41" s="643"/>
      <c r="TFW41" s="643"/>
      <c r="TFX41" s="643"/>
      <c r="TFY41" s="643"/>
      <c r="TFZ41" s="643"/>
      <c r="TGA41" s="643"/>
      <c r="TGB41" s="643"/>
      <c r="TGC41" s="643"/>
      <c r="TGD41" s="643"/>
      <c r="TGE41" s="643"/>
      <c r="TGF41" s="643"/>
      <c r="TGG41" s="643"/>
      <c r="TGH41" s="643"/>
      <c r="TGI41" s="643"/>
      <c r="TGJ41" s="643"/>
      <c r="TGK41" s="643"/>
      <c r="TGL41" s="643"/>
      <c r="TGM41" s="643"/>
      <c r="TGN41" s="643"/>
      <c r="TGO41" s="643"/>
      <c r="TGP41" s="643"/>
      <c r="TGQ41" s="643"/>
      <c r="TGR41" s="643"/>
      <c r="TGS41" s="643"/>
      <c r="TGT41" s="643"/>
      <c r="TGU41" s="643"/>
      <c r="TGV41" s="643"/>
      <c r="TGW41" s="643"/>
      <c r="TGX41" s="643"/>
      <c r="TGY41" s="643"/>
      <c r="TGZ41" s="643"/>
      <c r="THA41" s="643"/>
      <c r="THB41" s="643"/>
      <c r="THC41" s="643"/>
      <c r="THD41" s="643"/>
      <c r="THE41" s="643"/>
      <c r="THF41" s="643"/>
      <c r="THG41" s="643"/>
      <c r="THH41" s="643"/>
      <c r="THI41" s="643"/>
      <c r="THJ41" s="643"/>
      <c r="THK41" s="643"/>
      <c r="THL41" s="643"/>
      <c r="THM41" s="643"/>
      <c r="THN41" s="643"/>
      <c r="THO41" s="643"/>
      <c r="THP41" s="643"/>
      <c r="THQ41" s="643"/>
      <c r="THR41" s="643"/>
      <c r="THS41" s="643"/>
      <c r="THT41" s="643"/>
      <c r="THU41" s="643"/>
      <c r="THV41" s="643"/>
      <c r="THW41" s="643"/>
      <c r="THX41" s="643"/>
      <c r="THY41" s="643"/>
      <c r="THZ41" s="643"/>
      <c r="TIA41" s="643"/>
      <c r="TIB41" s="643"/>
      <c r="TIC41" s="643"/>
      <c r="TID41" s="643"/>
      <c r="TIE41" s="643"/>
      <c r="TIF41" s="643"/>
      <c r="TIG41" s="643"/>
      <c r="TIH41" s="643"/>
      <c r="TII41" s="643"/>
      <c r="TIJ41" s="643"/>
      <c r="TIK41" s="643"/>
      <c r="TIL41" s="643"/>
      <c r="TIM41" s="643"/>
      <c r="TIN41" s="643"/>
      <c r="TIO41" s="643"/>
      <c r="TIP41" s="643"/>
      <c r="TIQ41" s="643"/>
      <c r="TIR41" s="643"/>
      <c r="TIS41" s="643"/>
      <c r="TIT41" s="643"/>
      <c r="TIU41" s="643"/>
      <c r="TIV41" s="643"/>
      <c r="TIW41" s="643"/>
      <c r="TIX41" s="643"/>
      <c r="TIY41" s="643"/>
      <c r="TIZ41" s="643"/>
      <c r="TJA41" s="643"/>
      <c r="TJB41" s="643"/>
      <c r="TJC41" s="643"/>
      <c r="TJD41" s="643"/>
      <c r="TJE41" s="643"/>
      <c r="TJF41" s="643"/>
      <c r="TJG41" s="643"/>
      <c r="TJH41" s="643"/>
      <c r="TJI41" s="643"/>
      <c r="TJJ41" s="643"/>
      <c r="TJK41" s="643"/>
      <c r="TJL41" s="643"/>
      <c r="TJM41" s="643"/>
      <c r="TJN41" s="643"/>
      <c r="TJO41" s="643"/>
      <c r="TJP41" s="643"/>
      <c r="TJQ41" s="643"/>
      <c r="TJR41" s="643"/>
      <c r="TJS41" s="643"/>
      <c r="TJT41" s="643"/>
      <c r="TJU41" s="643"/>
      <c r="TJV41" s="643"/>
      <c r="TJW41" s="643"/>
      <c r="TJX41" s="643"/>
      <c r="TJY41" s="643"/>
      <c r="TJZ41" s="643"/>
      <c r="TKA41" s="643"/>
      <c r="TKB41" s="643"/>
      <c r="TKC41" s="643"/>
      <c r="TKD41" s="643"/>
      <c r="TKE41" s="643"/>
      <c r="TKF41" s="643"/>
      <c r="TKG41" s="643"/>
      <c r="TKH41" s="643"/>
      <c r="TKI41" s="643"/>
      <c r="TKJ41" s="643"/>
      <c r="TKK41" s="643"/>
      <c r="TKL41" s="643"/>
      <c r="TKM41" s="643"/>
      <c r="TKN41" s="643"/>
      <c r="TKO41" s="643"/>
      <c r="TKP41" s="643"/>
      <c r="TKQ41" s="643"/>
      <c r="TKR41" s="643"/>
      <c r="TKS41" s="643"/>
      <c r="TKT41" s="643"/>
      <c r="TKU41" s="643"/>
      <c r="TKV41" s="643"/>
      <c r="TKW41" s="643"/>
      <c r="TKX41" s="643"/>
      <c r="TKY41" s="643"/>
      <c r="TKZ41" s="643"/>
      <c r="TLA41" s="643"/>
      <c r="TLB41" s="643"/>
      <c r="TLC41" s="643"/>
      <c r="TLD41" s="643"/>
      <c r="TLE41" s="643"/>
      <c r="TLF41" s="643"/>
      <c r="TLG41" s="643"/>
      <c r="TLH41" s="643"/>
      <c r="TLI41" s="643"/>
      <c r="TLJ41" s="643"/>
      <c r="TLK41" s="643"/>
      <c r="TLL41" s="643"/>
      <c r="TLM41" s="643"/>
      <c r="TLN41" s="643"/>
      <c r="TLO41" s="643"/>
      <c r="TLP41" s="643"/>
      <c r="TLQ41" s="643"/>
      <c r="TLR41" s="643"/>
      <c r="TLS41" s="643"/>
      <c r="TLT41" s="643"/>
      <c r="TLU41" s="643"/>
      <c r="TLV41" s="643"/>
      <c r="TLW41" s="643"/>
      <c r="TLX41" s="643"/>
      <c r="TLY41" s="643"/>
      <c r="TLZ41" s="643"/>
      <c r="TMA41" s="643"/>
      <c r="TMB41" s="643"/>
      <c r="TMC41" s="643"/>
      <c r="TMD41" s="643"/>
      <c r="TME41" s="643"/>
      <c r="TMF41" s="643"/>
      <c r="TMG41" s="643"/>
      <c r="TMH41" s="643"/>
      <c r="TMI41" s="643"/>
      <c r="TMJ41" s="643"/>
      <c r="TMK41" s="643"/>
      <c r="TML41" s="643"/>
      <c r="TMM41" s="643"/>
      <c r="TMN41" s="643"/>
      <c r="TMO41" s="643"/>
      <c r="TMP41" s="643"/>
      <c r="TMQ41" s="643"/>
      <c r="TMR41" s="643"/>
      <c r="TMS41" s="643"/>
      <c r="TMT41" s="643"/>
      <c r="TMU41" s="643"/>
      <c r="TMV41" s="643"/>
      <c r="TMW41" s="643"/>
      <c r="TMX41" s="643"/>
      <c r="TMY41" s="643"/>
      <c r="TMZ41" s="643"/>
      <c r="TNA41" s="643"/>
      <c r="TNB41" s="643"/>
      <c r="TNC41" s="643"/>
      <c r="TND41" s="643"/>
      <c r="TNE41" s="643"/>
      <c r="TNF41" s="643"/>
      <c r="TNG41" s="643"/>
      <c r="TNH41" s="643"/>
      <c r="TNI41" s="643"/>
      <c r="TNJ41" s="643"/>
      <c r="TNK41" s="643"/>
      <c r="TNL41" s="643"/>
      <c r="TNM41" s="643"/>
      <c r="TNN41" s="643"/>
      <c r="TNO41" s="643"/>
      <c r="TNP41" s="643"/>
      <c r="TNQ41" s="643"/>
      <c r="TNR41" s="643"/>
      <c r="TNS41" s="643"/>
      <c r="TNT41" s="643"/>
      <c r="TNU41" s="643"/>
      <c r="TNV41" s="643"/>
      <c r="TNW41" s="643"/>
      <c r="TNX41" s="643"/>
      <c r="TNY41" s="643"/>
      <c r="TNZ41" s="643"/>
      <c r="TOA41" s="643"/>
      <c r="TOB41" s="643"/>
      <c r="TOC41" s="643"/>
      <c r="TOD41" s="643"/>
      <c r="TOE41" s="643"/>
      <c r="TOF41" s="643"/>
      <c r="TOG41" s="643"/>
      <c r="TOH41" s="643"/>
      <c r="TOI41" s="643"/>
      <c r="TOJ41" s="643"/>
      <c r="TOK41" s="643"/>
      <c r="TOL41" s="643"/>
      <c r="TOM41" s="643"/>
      <c r="TON41" s="643"/>
      <c r="TOO41" s="643"/>
      <c r="TOP41" s="643"/>
      <c r="TOQ41" s="643"/>
      <c r="TOR41" s="643"/>
      <c r="TOS41" s="643"/>
      <c r="TOT41" s="643"/>
      <c r="TOU41" s="643"/>
      <c r="TOV41" s="643"/>
      <c r="TOW41" s="643"/>
      <c r="TOX41" s="643"/>
      <c r="TOY41" s="643"/>
      <c r="TOZ41" s="643"/>
      <c r="TPA41" s="643"/>
      <c r="TPB41" s="643"/>
      <c r="TPC41" s="643"/>
      <c r="TPD41" s="643"/>
      <c r="TPE41" s="643"/>
      <c r="TPF41" s="643"/>
      <c r="TPG41" s="643"/>
      <c r="TPH41" s="643"/>
      <c r="TPI41" s="643"/>
      <c r="TPJ41" s="643"/>
      <c r="TPK41" s="643"/>
      <c r="TPL41" s="643"/>
      <c r="TPM41" s="643"/>
      <c r="TPN41" s="643"/>
      <c r="TPO41" s="643"/>
      <c r="TPP41" s="643"/>
      <c r="TPQ41" s="643"/>
      <c r="TPR41" s="643"/>
      <c r="TPS41" s="643"/>
      <c r="TPT41" s="643"/>
      <c r="TPU41" s="643"/>
      <c r="TPV41" s="643"/>
      <c r="TPW41" s="643"/>
      <c r="TPX41" s="643"/>
      <c r="TPY41" s="643"/>
      <c r="TPZ41" s="643"/>
      <c r="TQA41" s="643"/>
      <c r="TQB41" s="643"/>
      <c r="TQC41" s="643"/>
      <c r="TQD41" s="643"/>
      <c r="TQE41" s="643"/>
      <c r="TQF41" s="643"/>
      <c r="TQG41" s="643"/>
      <c r="TQH41" s="643"/>
      <c r="TQI41" s="643"/>
      <c r="TQJ41" s="643"/>
      <c r="TQK41" s="643"/>
      <c r="TQL41" s="643"/>
      <c r="TQM41" s="643"/>
      <c r="TQN41" s="643"/>
      <c r="TQO41" s="643"/>
      <c r="TQP41" s="643"/>
      <c r="TQQ41" s="643"/>
      <c r="TQR41" s="643"/>
      <c r="TQS41" s="643"/>
      <c r="TQT41" s="643"/>
      <c r="TQU41" s="643"/>
      <c r="TQV41" s="643"/>
      <c r="TQW41" s="643"/>
      <c r="TQX41" s="643"/>
      <c r="TQY41" s="643"/>
      <c r="TQZ41" s="643"/>
      <c r="TRA41" s="643"/>
      <c r="TRB41" s="643"/>
      <c r="TRC41" s="643"/>
      <c r="TRD41" s="643"/>
      <c r="TRE41" s="643"/>
      <c r="TRF41" s="643"/>
      <c r="TRG41" s="643"/>
      <c r="TRH41" s="643"/>
      <c r="TRI41" s="643"/>
      <c r="TRJ41" s="643"/>
      <c r="TRK41" s="643"/>
      <c r="TRL41" s="643"/>
      <c r="TRM41" s="643"/>
      <c r="TRN41" s="643"/>
      <c r="TRO41" s="643"/>
      <c r="TRP41" s="643"/>
      <c r="TRQ41" s="643"/>
      <c r="TRR41" s="643"/>
      <c r="TRS41" s="643"/>
      <c r="TRT41" s="643"/>
      <c r="TRU41" s="643"/>
      <c r="TRV41" s="643"/>
      <c r="TRW41" s="643"/>
      <c r="TRX41" s="643"/>
      <c r="TRY41" s="643"/>
      <c r="TRZ41" s="643"/>
      <c r="TSA41" s="643"/>
      <c r="TSB41" s="643"/>
      <c r="TSC41" s="643"/>
      <c r="TSD41" s="643"/>
      <c r="TSE41" s="643"/>
      <c r="TSF41" s="643"/>
      <c r="TSG41" s="643"/>
      <c r="TSH41" s="643"/>
      <c r="TSI41" s="643"/>
      <c r="TSJ41" s="643"/>
      <c r="TSK41" s="643"/>
      <c r="TSL41" s="643"/>
      <c r="TSM41" s="643"/>
      <c r="TSN41" s="643"/>
      <c r="TSO41" s="643"/>
      <c r="TSP41" s="643"/>
      <c r="TSQ41" s="643"/>
      <c r="TSR41" s="643"/>
      <c r="TSS41" s="643"/>
      <c r="TST41" s="643"/>
      <c r="TSU41" s="643"/>
      <c r="TSV41" s="643"/>
      <c r="TSW41" s="643"/>
      <c r="TSX41" s="643"/>
      <c r="TSY41" s="643"/>
      <c r="TSZ41" s="643"/>
      <c r="TTA41" s="643"/>
      <c r="TTB41" s="643"/>
      <c r="TTC41" s="643"/>
      <c r="TTD41" s="643"/>
      <c r="TTE41" s="643"/>
      <c r="TTF41" s="643"/>
      <c r="TTG41" s="643"/>
      <c r="TTH41" s="643"/>
      <c r="TTI41" s="643"/>
      <c r="TTJ41" s="643"/>
      <c r="TTK41" s="643"/>
      <c r="TTL41" s="643"/>
      <c r="TTM41" s="643"/>
      <c r="TTN41" s="643"/>
      <c r="TTO41" s="643"/>
      <c r="TTP41" s="643"/>
      <c r="TTQ41" s="643"/>
      <c r="TTR41" s="643"/>
      <c r="TTS41" s="643"/>
      <c r="TTT41" s="643"/>
      <c r="TTU41" s="643"/>
      <c r="TTV41" s="643"/>
      <c r="TTW41" s="643"/>
      <c r="TTX41" s="643"/>
      <c r="TTY41" s="643"/>
      <c r="TTZ41" s="643"/>
      <c r="TUA41" s="643"/>
      <c r="TUB41" s="643"/>
      <c r="TUC41" s="643"/>
      <c r="TUD41" s="643"/>
      <c r="TUE41" s="643"/>
      <c r="TUF41" s="643"/>
      <c r="TUG41" s="643"/>
      <c r="TUH41" s="643"/>
      <c r="TUI41" s="643"/>
      <c r="TUJ41" s="643"/>
      <c r="TUK41" s="643"/>
      <c r="TUL41" s="643"/>
      <c r="TUM41" s="643"/>
      <c r="TUN41" s="643"/>
      <c r="TUO41" s="643"/>
      <c r="TUP41" s="643"/>
      <c r="TUQ41" s="643"/>
      <c r="TUR41" s="643"/>
      <c r="TUS41" s="643"/>
      <c r="TUT41" s="643"/>
      <c r="TUU41" s="643"/>
      <c r="TUV41" s="643"/>
      <c r="TUW41" s="643"/>
      <c r="TUX41" s="643"/>
      <c r="TUY41" s="643"/>
      <c r="TUZ41" s="643"/>
      <c r="TVA41" s="643"/>
      <c r="TVB41" s="643"/>
      <c r="TVC41" s="643"/>
      <c r="TVD41" s="643"/>
      <c r="TVE41" s="643"/>
      <c r="TVF41" s="643"/>
      <c r="TVG41" s="643"/>
      <c r="TVH41" s="643"/>
      <c r="TVI41" s="643"/>
      <c r="TVJ41" s="643"/>
      <c r="TVK41" s="643"/>
      <c r="TVL41" s="643"/>
      <c r="TVM41" s="643"/>
      <c r="TVN41" s="643"/>
      <c r="TVO41" s="643"/>
      <c r="TVP41" s="643"/>
      <c r="TVQ41" s="643"/>
      <c r="TVR41" s="643"/>
      <c r="TVS41" s="643"/>
      <c r="TVT41" s="643"/>
      <c r="TVU41" s="643"/>
      <c r="TVV41" s="643"/>
      <c r="TVW41" s="643"/>
      <c r="TVX41" s="643"/>
      <c r="TVY41" s="643"/>
      <c r="TVZ41" s="643"/>
      <c r="TWA41" s="643"/>
      <c r="TWB41" s="643"/>
      <c r="TWC41" s="643"/>
      <c r="TWD41" s="643"/>
      <c r="TWE41" s="643"/>
      <c r="TWF41" s="643"/>
      <c r="TWG41" s="643"/>
      <c r="TWH41" s="643"/>
      <c r="TWI41" s="643"/>
      <c r="TWJ41" s="643"/>
      <c r="TWK41" s="643"/>
      <c r="TWL41" s="643"/>
      <c r="TWM41" s="643"/>
      <c r="TWN41" s="643"/>
      <c r="TWO41" s="643"/>
      <c r="TWP41" s="643"/>
      <c r="TWQ41" s="643"/>
      <c r="TWR41" s="643"/>
      <c r="TWS41" s="643"/>
      <c r="TWT41" s="643"/>
      <c r="TWU41" s="643"/>
      <c r="TWV41" s="643"/>
      <c r="TWW41" s="643"/>
      <c r="TWX41" s="643"/>
      <c r="TWY41" s="643"/>
      <c r="TWZ41" s="643"/>
      <c r="TXA41" s="643"/>
      <c r="TXB41" s="643"/>
      <c r="TXC41" s="643"/>
      <c r="TXD41" s="643"/>
      <c r="TXE41" s="643"/>
      <c r="TXF41" s="643"/>
      <c r="TXG41" s="643"/>
      <c r="TXH41" s="643"/>
      <c r="TXI41" s="643"/>
      <c r="TXJ41" s="643"/>
      <c r="TXK41" s="643"/>
      <c r="TXL41" s="643"/>
      <c r="TXM41" s="643"/>
      <c r="TXN41" s="643"/>
      <c r="TXO41" s="643"/>
      <c r="TXP41" s="643"/>
      <c r="TXQ41" s="643"/>
      <c r="TXR41" s="643"/>
      <c r="TXS41" s="643"/>
      <c r="TXT41" s="643"/>
      <c r="TXU41" s="643"/>
      <c r="TXV41" s="643"/>
      <c r="TXW41" s="643"/>
      <c r="TXX41" s="643"/>
      <c r="TXY41" s="643"/>
      <c r="TXZ41" s="643"/>
      <c r="TYA41" s="643"/>
      <c r="TYB41" s="643"/>
      <c r="TYC41" s="643"/>
      <c r="TYD41" s="643"/>
      <c r="TYE41" s="643"/>
      <c r="TYF41" s="643"/>
      <c r="TYG41" s="643"/>
      <c r="TYH41" s="643"/>
      <c r="TYI41" s="643"/>
      <c r="TYJ41" s="643"/>
      <c r="TYK41" s="643"/>
      <c r="TYL41" s="643"/>
      <c r="TYM41" s="643"/>
      <c r="TYN41" s="643"/>
      <c r="TYO41" s="643"/>
      <c r="TYP41" s="643"/>
      <c r="TYQ41" s="643"/>
      <c r="TYR41" s="643"/>
      <c r="TYS41" s="643"/>
      <c r="TYT41" s="643"/>
      <c r="TYU41" s="643"/>
      <c r="TYV41" s="643"/>
      <c r="TYW41" s="643"/>
      <c r="TYX41" s="643"/>
      <c r="TYY41" s="643"/>
      <c r="TYZ41" s="643"/>
      <c r="TZA41" s="643"/>
      <c r="TZB41" s="643"/>
      <c r="TZC41" s="643"/>
      <c r="TZD41" s="643"/>
      <c r="TZE41" s="643"/>
      <c r="TZF41" s="643"/>
      <c r="TZG41" s="643"/>
      <c r="TZH41" s="643"/>
      <c r="TZI41" s="643"/>
      <c r="TZJ41" s="643"/>
      <c r="TZK41" s="643"/>
      <c r="TZL41" s="643"/>
      <c r="TZM41" s="643"/>
      <c r="TZN41" s="643"/>
      <c r="TZO41" s="643"/>
      <c r="TZP41" s="643"/>
      <c r="TZQ41" s="643"/>
      <c r="TZR41" s="643"/>
      <c r="TZS41" s="643"/>
      <c r="TZT41" s="643"/>
      <c r="TZU41" s="643"/>
      <c r="TZV41" s="643"/>
      <c r="TZW41" s="643"/>
      <c r="TZX41" s="643"/>
      <c r="TZY41" s="643"/>
      <c r="TZZ41" s="643"/>
      <c r="UAA41" s="643"/>
      <c r="UAB41" s="643"/>
      <c r="UAC41" s="643"/>
      <c r="UAD41" s="643"/>
      <c r="UAE41" s="643"/>
      <c r="UAF41" s="643"/>
      <c r="UAG41" s="643"/>
      <c r="UAH41" s="643"/>
      <c r="UAI41" s="643"/>
      <c r="UAJ41" s="643"/>
      <c r="UAK41" s="643"/>
      <c r="UAL41" s="643"/>
      <c r="UAM41" s="643"/>
      <c r="UAN41" s="643"/>
      <c r="UAO41" s="643"/>
      <c r="UAP41" s="643"/>
      <c r="UAQ41" s="643"/>
      <c r="UAR41" s="643"/>
      <c r="UAS41" s="643"/>
      <c r="UAT41" s="643"/>
      <c r="UAU41" s="643"/>
      <c r="UAV41" s="643"/>
      <c r="UAW41" s="643"/>
      <c r="UAX41" s="643"/>
      <c r="UAY41" s="643"/>
      <c r="UAZ41" s="643"/>
      <c r="UBA41" s="643"/>
      <c r="UBB41" s="643"/>
      <c r="UBC41" s="643"/>
      <c r="UBD41" s="643"/>
      <c r="UBE41" s="643"/>
      <c r="UBF41" s="643"/>
      <c r="UBG41" s="643"/>
      <c r="UBH41" s="643"/>
      <c r="UBI41" s="643"/>
      <c r="UBJ41" s="643"/>
      <c r="UBK41" s="643"/>
      <c r="UBL41" s="643"/>
      <c r="UBM41" s="643"/>
      <c r="UBN41" s="643"/>
      <c r="UBO41" s="643"/>
      <c r="UBP41" s="643"/>
      <c r="UBQ41" s="643"/>
      <c r="UBR41" s="643"/>
      <c r="UBS41" s="643"/>
      <c r="UBT41" s="643"/>
      <c r="UBU41" s="643"/>
      <c r="UBV41" s="643"/>
      <c r="UBW41" s="643"/>
      <c r="UBX41" s="643"/>
      <c r="UBY41" s="643"/>
      <c r="UBZ41" s="643"/>
      <c r="UCA41" s="643"/>
      <c r="UCB41" s="643"/>
      <c r="UCC41" s="643"/>
      <c r="UCD41" s="643"/>
      <c r="UCE41" s="643"/>
      <c r="UCF41" s="643"/>
      <c r="UCG41" s="643"/>
      <c r="UCH41" s="643"/>
      <c r="UCI41" s="643"/>
      <c r="UCJ41" s="643"/>
      <c r="UCK41" s="643"/>
      <c r="UCL41" s="643"/>
      <c r="UCM41" s="643"/>
      <c r="UCN41" s="643"/>
      <c r="UCO41" s="643"/>
      <c r="UCP41" s="643"/>
      <c r="UCQ41" s="643"/>
      <c r="UCR41" s="643"/>
      <c r="UCS41" s="643"/>
      <c r="UCT41" s="643"/>
      <c r="UCU41" s="643"/>
      <c r="UCV41" s="643"/>
      <c r="UCW41" s="643"/>
      <c r="UCX41" s="643"/>
      <c r="UCY41" s="643"/>
      <c r="UCZ41" s="643"/>
      <c r="UDA41" s="643"/>
      <c r="UDB41" s="643"/>
      <c r="UDC41" s="643"/>
      <c r="UDD41" s="643"/>
      <c r="UDE41" s="643"/>
      <c r="UDF41" s="643"/>
      <c r="UDG41" s="643"/>
      <c r="UDH41" s="643"/>
      <c r="UDI41" s="643"/>
      <c r="UDJ41" s="643"/>
      <c r="UDK41" s="643"/>
      <c r="UDL41" s="643"/>
      <c r="UDM41" s="643"/>
      <c r="UDN41" s="643"/>
      <c r="UDO41" s="643"/>
      <c r="UDP41" s="643"/>
      <c r="UDQ41" s="643"/>
      <c r="UDR41" s="643"/>
      <c r="UDS41" s="643"/>
      <c r="UDT41" s="643"/>
      <c r="UDU41" s="643"/>
      <c r="UDV41" s="643"/>
      <c r="UDW41" s="643"/>
      <c r="UDX41" s="643"/>
      <c r="UDY41" s="643"/>
      <c r="UDZ41" s="643"/>
      <c r="UEA41" s="643"/>
      <c r="UEB41" s="643"/>
      <c r="UEC41" s="643"/>
      <c r="UED41" s="643"/>
      <c r="UEE41" s="643"/>
      <c r="UEF41" s="643"/>
      <c r="UEG41" s="643"/>
      <c r="UEH41" s="643"/>
      <c r="UEI41" s="643"/>
      <c r="UEJ41" s="643"/>
      <c r="UEK41" s="643"/>
      <c r="UEL41" s="643"/>
      <c r="UEM41" s="643"/>
      <c r="UEN41" s="643"/>
      <c r="UEO41" s="643"/>
      <c r="UEP41" s="643"/>
      <c r="UEQ41" s="643"/>
      <c r="UER41" s="643"/>
      <c r="UES41" s="643"/>
      <c r="UET41" s="643"/>
      <c r="UEU41" s="643"/>
      <c r="UEV41" s="643"/>
      <c r="UEW41" s="643"/>
      <c r="UEX41" s="643"/>
      <c r="UEY41" s="643"/>
      <c r="UEZ41" s="643"/>
      <c r="UFA41" s="643"/>
      <c r="UFB41" s="643"/>
      <c r="UFC41" s="643"/>
      <c r="UFD41" s="643"/>
      <c r="UFE41" s="643"/>
      <c r="UFF41" s="643"/>
      <c r="UFG41" s="643"/>
      <c r="UFH41" s="643"/>
      <c r="UFI41" s="643"/>
      <c r="UFJ41" s="643"/>
      <c r="UFK41" s="643"/>
      <c r="UFL41" s="643"/>
      <c r="UFM41" s="643"/>
      <c r="UFN41" s="643"/>
      <c r="UFO41" s="643"/>
      <c r="UFP41" s="643"/>
      <c r="UFQ41" s="643"/>
      <c r="UFR41" s="643"/>
      <c r="UFS41" s="643"/>
      <c r="UFT41" s="643"/>
      <c r="UFU41" s="643"/>
      <c r="UFV41" s="643"/>
      <c r="UFW41" s="643"/>
      <c r="UFX41" s="643"/>
      <c r="UFY41" s="643"/>
      <c r="UFZ41" s="643"/>
      <c r="UGA41" s="643"/>
      <c r="UGB41" s="643"/>
      <c r="UGC41" s="643"/>
      <c r="UGD41" s="643"/>
      <c r="UGE41" s="643"/>
      <c r="UGF41" s="643"/>
      <c r="UGG41" s="643"/>
      <c r="UGH41" s="643"/>
      <c r="UGI41" s="643"/>
      <c r="UGJ41" s="643"/>
      <c r="UGK41" s="643"/>
      <c r="UGL41" s="643"/>
      <c r="UGM41" s="643"/>
      <c r="UGN41" s="643"/>
      <c r="UGO41" s="643"/>
      <c r="UGP41" s="643"/>
      <c r="UGQ41" s="643"/>
      <c r="UGR41" s="643"/>
      <c r="UGS41" s="643"/>
      <c r="UGT41" s="643"/>
      <c r="UGU41" s="643"/>
      <c r="UGV41" s="643"/>
      <c r="UGW41" s="643"/>
      <c r="UGX41" s="643"/>
      <c r="UGY41" s="643"/>
      <c r="UGZ41" s="643"/>
      <c r="UHA41" s="643"/>
      <c r="UHB41" s="643"/>
      <c r="UHC41" s="643"/>
      <c r="UHD41" s="643"/>
      <c r="UHE41" s="643"/>
      <c r="UHF41" s="643"/>
      <c r="UHG41" s="643"/>
      <c r="UHH41" s="643"/>
      <c r="UHI41" s="643"/>
      <c r="UHJ41" s="643"/>
      <c r="UHK41" s="643"/>
      <c r="UHL41" s="643"/>
      <c r="UHM41" s="643"/>
      <c r="UHN41" s="643"/>
      <c r="UHO41" s="643"/>
      <c r="UHP41" s="643"/>
      <c r="UHQ41" s="643"/>
      <c r="UHR41" s="643"/>
      <c r="UHS41" s="643"/>
      <c r="UHT41" s="643"/>
      <c r="UHU41" s="643"/>
      <c r="UHV41" s="643"/>
      <c r="UHW41" s="643"/>
      <c r="UHX41" s="643"/>
      <c r="UHY41" s="643"/>
      <c r="UHZ41" s="643"/>
      <c r="UIA41" s="643"/>
      <c r="UIB41" s="643"/>
      <c r="UIC41" s="643"/>
      <c r="UID41" s="643"/>
      <c r="UIE41" s="643"/>
      <c r="UIF41" s="643"/>
      <c r="UIG41" s="643"/>
      <c r="UIH41" s="643"/>
      <c r="UII41" s="643"/>
      <c r="UIJ41" s="643"/>
      <c r="UIK41" s="643"/>
      <c r="UIL41" s="643"/>
      <c r="UIM41" s="643"/>
      <c r="UIN41" s="643"/>
      <c r="UIO41" s="643"/>
      <c r="UIP41" s="643"/>
      <c r="UIQ41" s="643"/>
      <c r="UIR41" s="643"/>
      <c r="UIS41" s="643"/>
      <c r="UIT41" s="643"/>
      <c r="UIU41" s="643"/>
      <c r="UIV41" s="643"/>
      <c r="UIW41" s="643"/>
      <c r="UIX41" s="643"/>
      <c r="UIY41" s="643"/>
      <c r="UIZ41" s="643"/>
      <c r="UJA41" s="643"/>
      <c r="UJB41" s="643"/>
      <c r="UJC41" s="643"/>
      <c r="UJD41" s="643"/>
      <c r="UJE41" s="643"/>
      <c r="UJF41" s="643"/>
      <c r="UJG41" s="643"/>
      <c r="UJH41" s="643"/>
      <c r="UJI41" s="643"/>
      <c r="UJJ41" s="643"/>
      <c r="UJK41" s="643"/>
      <c r="UJL41" s="643"/>
      <c r="UJM41" s="643"/>
      <c r="UJN41" s="643"/>
      <c r="UJO41" s="643"/>
      <c r="UJP41" s="643"/>
      <c r="UJQ41" s="643"/>
      <c r="UJR41" s="643"/>
      <c r="UJS41" s="643"/>
      <c r="UJT41" s="643"/>
      <c r="UJU41" s="643"/>
      <c r="UJV41" s="643"/>
      <c r="UJW41" s="643"/>
      <c r="UJX41" s="643"/>
      <c r="UJY41" s="643"/>
      <c r="UJZ41" s="643"/>
      <c r="UKA41" s="643"/>
      <c r="UKB41" s="643"/>
      <c r="UKC41" s="643"/>
      <c r="UKD41" s="643"/>
      <c r="UKE41" s="643"/>
      <c r="UKF41" s="643"/>
      <c r="UKG41" s="643"/>
      <c r="UKH41" s="643"/>
      <c r="UKI41" s="643"/>
      <c r="UKJ41" s="643"/>
      <c r="UKK41" s="643"/>
      <c r="UKL41" s="643"/>
      <c r="UKM41" s="643"/>
      <c r="UKN41" s="643"/>
      <c r="UKO41" s="643"/>
      <c r="UKP41" s="643"/>
      <c r="UKQ41" s="643"/>
      <c r="UKR41" s="643"/>
      <c r="UKS41" s="643"/>
      <c r="UKT41" s="643"/>
      <c r="UKU41" s="643"/>
      <c r="UKV41" s="643"/>
      <c r="UKW41" s="643"/>
      <c r="UKX41" s="643"/>
      <c r="UKY41" s="643"/>
      <c r="UKZ41" s="643"/>
      <c r="ULA41" s="643"/>
      <c r="ULB41" s="643"/>
      <c r="ULC41" s="643"/>
      <c r="ULD41" s="643"/>
      <c r="ULE41" s="643"/>
      <c r="ULF41" s="643"/>
      <c r="ULG41" s="643"/>
      <c r="ULH41" s="643"/>
      <c r="ULI41" s="643"/>
      <c r="ULJ41" s="643"/>
      <c r="ULK41" s="643"/>
      <c r="ULL41" s="643"/>
      <c r="ULM41" s="643"/>
      <c r="ULN41" s="643"/>
      <c r="ULO41" s="643"/>
      <c r="ULP41" s="643"/>
      <c r="ULQ41" s="643"/>
      <c r="ULR41" s="643"/>
      <c r="ULS41" s="643"/>
      <c r="ULT41" s="643"/>
      <c r="ULU41" s="643"/>
      <c r="ULV41" s="643"/>
      <c r="ULW41" s="643"/>
      <c r="ULX41" s="643"/>
      <c r="ULY41" s="643"/>
      <c r="ULZ41" s="643"/>
      <c r="UMA41" s="643"/>
      <c r="UMB41" s="643"/>
      <c r="UMC41" s="643"/>
      <c r="UMD41" s="643"/>
      <c r="UME41" s="643"/>
      <c r="UMF41" s="643"/>
      <c r="UMG41" s="643"/>
      <c r="UMH41" s="643"/>
      <c r="UMI41" s="643"/>
      <c r="UMJ41" s="643"/>
      <c r="UMK41" s="643"/>
      <c r="UML41" s="643"/>
      <c r="UMM41" s="643"/>
      <c r="UMN41" s="643"/>
      <c r="UMO41" s="643"/>
      <c r="UMP41" s="643"/>
      <c r="UMQ41" s="643"/>
      <c r="UMR41" s="643"/>
      <c r="UMS41" s="643"/>
      <c r="UMT41" s="643"/>
      <c r="UMU41" s="643"/>
      <c r="UMV41" s="643"/>
      <c r="UMW41" s="643"/>
      <c r="UMX41" s="643"/>
      <c r="UMY41" s="643"/>
      <c r="UMZ41" s="643"/>
      <c r="UNA41" s="643"/>
      <c r="UNB41" s="643"/>
      <c r="UNC41" s="643"/>
      <c r="UND41" s="643"/>
      <c r="UNE41" s="643"/>
      <c r="UNF41" s="643"/>
      <c r="UNG41" s="643"/>
      <c r="UNH41" s="643"/>
      <c r="UNI41" s="643"/>
      <c r="UNJ41" s="643"/>
      <c r="UNK41" s="643"/>
      <c r="UNL41" s="643"/>
      <c r="UNM41" s="643"/>
      <c r="UNN41" s="643"/>
      <c r="UNO41" s="643"/>
      <c r="UNP41" s="643"/>
      <c r="UNQ41" s="643"/>
      <c r="UNR41" s="643"/>
      <c r="UNS41" s="643"/>
      <c r="UNT41" s="643"/>
      <c r="UNU41" s="643"/>
      <c r="UNV41" s="643"/>
      <c r="UNW41" s="643"/>
      <c r="UNX41" s="643"/>
      <c r="UNY41" s="643"/>
      <c r="UNZ41" s="643"/>
      <c r="UOA41" s="643"/>
      <c r="UOB41" s="643"/>
      <c r="UOC41" s="643"/>
      <c r="UOD41" s="643"/>
      <c r="UOE41" s="643"/>
      <c r="UOF41" s="643"/>
      <c r="UOG41" s="643"/>
      <c r="UOH41" s="643"/>
      <c r="UOI41" s="643"/>
      <c r="UOJ41" s="643"/>
      <c r="UOK41" s="643"/>
      <c r="UOL41" s="643"/>
      <c r="UOM41" s="643"/>
      <c r="UON41" s="643"/>
      <c r="UOO41" s="643"/>
      <c r="UOP41" s="643"/>
      <c r="UOQ41" s="643"/>
      <c r="UOR41" s="643"/>
      <c r="UOS41" s="643"/>
      <c r="UOT41" s="643"/>
      <c r="UOU41" s="643"/>
      <c r="UOV41" s="643"/>
      <c r="UOW41" s="643"/>
      <c r="UOX41" s="643"/>
      <c r="UOY41" s="643"/>
      <c r="UOZ41" s="643"/>
      <c r="UPA41" s="643"/>
      <c r="UPB41" s="643"/>
      <c r="UPC41" s="643"/>
      <c r="UPD41" s="643"/>
      <c r="UPE41" s="643"/>
      <c r="UPF41" s="643"/>
      <c r="UPG41" s="643"/>
      <c r="UPH41" s="643"/>
      <c r="UPI41" s="643"/>
      <c r="UPJ41" s="643"/>
      <c r="UPK41" s="643"/>
      <c r="UPL41" s="643"/>
      <c r="UPM41" s="643"/>
      <c r="UPN41" s="643"/>
      <c r="UPO41" s="643"/>
      <c r="UPP41" s="643"/>
      <c r="UPQ41" s="643"/>
      <c r="UPR41" s="643"/>
      <c r="UPS41" s="643"/>
      <c r="UPT41" s="643"/>
      <c r="UPU41" s="643"/>
      <c r="UPV41" s="643"/>
      <c r="UPW41" s="643"/>
      <c r="UPX41" s="643"/>
      <c r="UPY41" s="643"/>
      <c r="UPZ41" s="643"/>
      <c r="UQA41" s="643"/>
      <c r="UQB41" s="643"/>
      <c r="UQC41" s="643"/>
      <c r="UQD41" s="643"/>
      <c r="UQE41" s="643"/>
      <c r="UQF41" s="643"/>
      <c r="UQG41" s="643"/>
      <c r="UQH41" s="643"/>
      <c r="UQI41" s="643"/>
      <c r="UQJ41" s="643"/>
      <c r="UQK41" s="643"/>
      <c r="UQL41" s="643"/>
      <c r="UQM41" s="643"/>
      <c r="UQN41" s="643"/>
      <c r="UQO41" s="643"/>
      <c r="UQP41" s="643"/>
      <c r="UQQ41" s="643"/>
      <c r="UQR41" s="643"/>
      <c r="UQS41" s="643"/>
      <c r="UQT41" s="643"/>
      <c r="UQU41" s="643"/>
      <c r="UQV41" s="643"/>
      <c r="UQW41" s="643"/>
      <c r="UQX41" s="643"/>
      <c r="UQY41" s="643"/>
      <c r="UQZ41" s="643"/>
      <c r="URA41" s="643"/>
      <c r="URB41" s="643"/>
      <c r="URC41" s="643"/>
      <c r="URD41" s="643"/>
      <c r="URE41" s="643"/>
      <c r="URF41" s="643"/>
      <c r="URG41" s="643"/>
      <c r="URH41" s="643"/>
      <c r="URI41" s="643"/>
      <c r="URJ41" s="643"/>
      <c r="URK41" s="643"/>
      <c r="URL41" s="643"/>
      <c r="URM41" s="643"/>
      <c r="URN41" s="643"/>
      <c r="URO41" s="643"/>
      <c r="URP41" s="643"/>
      <c r="URQ41" s="643"/>
      <c r="URR41" s="643"/>
      <c r="URS41" s="643"/>
      <c r="URT41" s="643"/>
      <c r="URU41" s="643"/>
      <c r="URV41" s="643"/>
      <c r="URW41" s="643"/>
      <c r="URX41" s="643"/>
      <c r="URY41" s="643"/>
      <c r="URZ41" s="643"/>
      <c r="USA41" s="643"/>
      <c r="USB41" s="643"/>
      <c r="USC41" s="643"/>
      <c r="USD41" s="643"/>
      <c r="USE41" s="643"/>
      <c r="USF41" s="643"/>
      <c r="USG41" s="643"/>
      <c r="USH41" s="643"/>
      <c r="USI41" s="643"/>
      <c r="USJ41" s="643"/>
      <c r="USK41" s="643"/>
      <c r="USL41" s="643"/>
      <c r="USM41" s="643"/>
      <c r="USN41" s="643"/>
      <c r="USO41" s="643"/>
      <c r="USP41" s="643"/>
      <c r="USQ41" s="643"/>
      <c r="USR41" s="643"/>
      <c r="USS41" s="643"/>
      <c r="UST41" s="643"/>
      <c r="USU41" s="643"/>
      <c r="USV41" s="643"/>
      <c r="USW41" s="643"/>
      <c r="USX41" s="643"/>
      <c r="USY41" s="643"/>
      <c r="USZ41" s="643"/>
      <c r="UTA41" s="643"/>
      <c r="UTB41" s="643"/>
      <c r="UTC41" s="643"/>
      <c r="UTD41" s="643"/>
      <c r="UTE41" s="643"/>
      <c r="UTF41" s="643"/>
      <c r="UTG41" s="643"/>
      <c r="UTH41" s="643"/>
      <c r="UTI41" s="643"/>
      <c r="UTJ41" s="643"/>
      <c r="UTK41" s="643"/>
      <c r="UTL41" s="643"/>
      <c r="UTM41" s="643"/>
      <c r="UTN41" s="643"/>
      <c r="UTO41" s="643"/>
      <c r="UTP41" s="643"/>
      <c r="UTQ41" s="643"/>
      <c r="UTR41" s="643"/>
      <c r="UTS41" s="643"/>
      <c r="UTT41" s="643"/>
      <c r="UTU41" s="643"/>
      <c r="UTV41" s="643"/>
      <c r="UTW41" s="643"/>
      <c r="UTX41" s="643"/>
      <c r="UTY41" s="643"/>
      <c r="UTZ41" s="643"/>
      <c r="UUA41" s="643"/>
      <c r="UUB41" s="643"/>
      <c r="UUC41" s="643"/>
      <c r="UUD41" s="643"/>
      <c r="UUE41" s="643"/>
      <c r="UUF41" s="643"/>
      <c r="UUG41" s="643"/>
      <c r="UUH41" s="643"/>
      <c r="UUI41" s="643"/>
      <c r="UUJ41" s="643"/>
      <c r="UUK41" s="643"/>
      <c r="UUL41" s="643"/>
      <c r="UUM41" s="643"/>
      <c r="UUN41" s="643"/>
      <c r="UUO41" s="643"/>
      <c r="UUP41" s="643"/>
      <c r="UUQ41" s="643"/>
      <c r="UUR41" s="643"/>
      <c r="UUS41" s="643"/>
      <c r="UUT41" s="643"/>
      <c r="UUU41" s="643"/>
      <c r="UUV41" s="643"/>
      <c r="UUW41" s="643"/>
      <c r="UUX41" s="643"/>
      <c r="UUY41" s="643"/>
      <c r="UUZ41" s="643"/>
      <c r="UVA41" s="643"/>
      <c r="UVB41" s="643"/>
      <c r="UVC41" s="643"/>
      <c r="UVD41" s="643"/>
      <c r="UVE41" s="643"/>
      <c r="UVF41" s="643"/>
      <c r="UVG41" s="643"/>
      <c r="UVH41" s="643"/>
      <c r="UVI41" s="643"/>
      <c r="UVJ41" s="643"/>
      <c r="UVK41" s="643"/>
      <c r="UVL41" s="643"/>
      <c r="UVM41" s="643"/>
      <c r="UVN41" s="643"/>
      <c r="UVO41" s="643"/>
      <c r="UVP41" s="643"/>
      <c r="UVQ41" s="643"/>
      <c r="UVR41" s="643"/>
      <c r="UVS41" s="643"/>
      <c r="UVT41" s="643"/>
      <c r="UVU41" s="643"/>
      <c r="UVV41" s="643"/>
      <c r="UVW41" s="643"/>
      <c r="UVX41" s="643"/>
      <c r="UVY41" s="643"/>
      <c r="UVZ41" s="643"/>
      <c r="UWA41" s="643"/>
      <c r="UWB41" s="643"/>
      <c r="UWC41" s="643"/>
      <c r="UWD41" s="643"/>
      <c r="UWE41" s="643"/>
      <c r="UWF41" s="643"/>
      <c r="UWG41" s="643"/>
      <c r="UWH41" s="643"/>
      <c r="UWI41" s="643"/>
      <c r="UWJ41" s="643"/>
      <c r="UWK41" s="643"/>
      <c r="UWL41" s="643"/>
      <c r="UWM41" s="643"/>
      <c r="UWN41" s="643"/>
      <c r="UWO41" s="643"/>
      <c r="UWP41" s="643"/>
      <c r="UWQ41" s="643"/>
      <c r="UWR41" s="643"/>
      <c r="UWS41" s="643"/>
      <c r="UWT41" s="643"/>
      <c r="UWU41" s="643"/>
      <c r="UWV41" s="643"/>
      <c r="UWW41" s="643"/>
      <c r="UWX41" s="643"/>
      <c r="UWY41" s="643"/>
      <c r="UWZ41" s="643"/>
      <c r="UXA41" s="643"/>
      <c r="UXB41" s="643"/>
      <c r="UXC41" s="643"/>
      <c r="UXD41" s="643"/>
      <c r="UXE41" s="643"/>
      <c r="UXF41" s="643"/>
      <c r="UXG41" s="643"/>
      <c r="UXH41" s="643"/>
      <c r="UXI41" s="643"/>
      <c r="UXJ41" s="643"/>
      <c r="UXK41" s="643"/>
      <c r="UXL41" s="643"/>
      <c r="UXM41" s="643"/>
      <c r="UXN41" s="643"/>
      <c r="UXO41" s="643"/>
      <c r="UXP41" s="643"/>
      <c r="UXQ41" s="643"/>
      <c r="UXR41" s="643"/>
      <c r="UXS41" s="643"/>
      <c r="UXT41" s="643"/>
      <c r="UXU41" s="643"/>
      <c r="UXV41" s="643"/>
      <c r="UXW41" s="643"/>
      <c r="UXX41" s="643"/>
      <c r="UXY41" s="643"/>
      <c r="UXZ41" s="643"/>
      <c r="UYA41" s="643"/>
      <c r="UYB41" s="643"/>
      <c r="UYC41" s="643"/>
      <c r="UYD41" s="643"/>
      <c r="UYE41" s="643"/>
      <c r="UYF41" s="643"/>
      <c r="UYG41" s="643"/>
      <c r="UYH41" s="643"/>
      <c r="UYI41" s="643"/>
      <c r="UYJ41" s="643"/>
      <c r="UYK41" s="643"/>
      <c r="UYL41" s="643"/>
      <c r="UYM41" s="643"/>
      <c r="UYN41" s="643"/>
      <c r="UYO41" s="643"/>
      <c r="UYP41" s="643"/>
      <c r="UYQ41" s="643"/>
      <c r="UYR41" s="643"/>
      <c r="UYS41" s="643"/>
      <c r="UYT41" s="643"/>
      <c r="UYU41" s="643"/>
      <c r="UYV41" s="643"/>
      <c r="UYW41" s="643"/>
      <c r="UYX41" s="643"/>
      <c r="UYY41" s="643"/>
      <c r="UYZ41" s="643"/>
      <c r="UZA41" s="643"/>
      <c r="UZB41" s="643"/>
      <c r="UZC41" s="643"/>
      <c r="UZD41" s="643"/>
      <c r="UZE41" s="643"/>
      <c r="UZF41" s="643"/>
      <c r="UZG41" s="643"/>
      <c r="UZH41" s="643"/>
      <c r="UZI41" s="643"/>
      <c r="UZJ41" s="643"/>
      <c r="UZK41" s="643"/>
      <c r="UZL41" s="643"/>
      <c r="UZM41" s="643"/>
      <c r="UZN41" s="643"/>
      <c r="UZO41" s="643"/>
      <c r="UZP41" s="643"/>
      <c r="UZQ41" s="643"/>
      <c r="UZR41" s="643"/>
      <c r="UZS41" s="643"/>
      <c r="UZT41" s="643"/>
      <c r="UZU41" s="643"/>
      <c r="UZV41" s="643"/>
      <c r="UZW41" s="643"/>
      <c r="UZX41" s="643"/>
      <c r="UZY41" s="643"/>
      <c r="UZZ41" s="643"/>
      <c r="VAA41" s="643"/>
      <c r="VAB41" s="643"/>
      <c r="VAC41" s="643"/>
      <c r="VAD41" s="643"/>
      <c r="VAE41" s="643"/>
      <c r="VAF41" s="643"/>
      <c r="VAG41" s="643"/>
      <c r="VAH41" s="643"/>
      <c r="VAI41" s="643"/>
      <c r="VAJ41" s="643"/>
      <c r="VAK41" s="643"/>
      <c r="VAL41" s="643"/>
      <c r="VAM41" s="643"/>
      <c r="VAN41" s="643"/>
      <c r="VAO41" s="643"/>
      <c r="VAP41" s="643"/>
      <c r="VAQ41" s="643"/>
      <c r="VAR41" s="643"/>
      <c r="VAS41" s="643"/>
      <c r="VAT41" s="643"/>
      <c r="VAU41" s="643"/>
      <c r="VAV41" s="643"/>
      <c r="VAW41" s="643"/>
      <c r="VAX41" s="643"/>
      <c r="VAY41" s="643"/>
      <c r="VAZ41" s="643"/>
      <c r="VBA41" s="643"/>
      <c r="VBB41" s="643"/>
      <c r="VBC41" s="643"/>
      <c r="VBD41" s="643"/>
      <c r="VBE41" s="643"/>
      <c r="VBF41" s="643"/>
      <c r="VBG41" s="643"/>
      <c r="VBH41" s="643"/>
      <c r="VBI41" s="643"/>
      <c r="VBJ41" s="643"/>
      <c r="VBK41" s="643"/>
      <c r="VBL41" s="643"/>
      <c r="VBM41" s="643"/>
      <c r="VBN41" s="643"/>
      <c r="VBO41" s="643"/>
      <c r="VBP41" s="643"/>
      <c r="VBQ41" s="643"/>
      <c r="VBR41" s="643"/>
      <c r="VBS41" s="643"/>
      <c r="VBT41" s="643"/>
      <c r="VBU41" s="643"/>
      <c r="VBV41" s="643"/>
      <c r="VBW41" s="643"/>
      <c r="VBX41" s="643"/>
      <c r="VBY41" s="643"/>
      <c r="VBZ41" s="643"/>
      <c r="VCA41" s="643"/>
      <c r="VCB41" s="643"/>
      <c r="VCC41" s="643"/>
      <c r="VCD41" s="643"/>
      <c r="VCE41" s="643"/>
      <c r="VCF41" s="643"/>
      <c r="VCG41" s="643"/>
      <c r="VCH41" s="643"/>
      <c r="VCI41" s="643"/>
      <c r="VCJ41" s="643"/>
      <c r="VCK41" s="643"/>
      <c r="VCL41" s="643"/>
      <c r="VCM41" s="643"/>
      <c r="VCN41" s="643"/>
      <c r="VCO41" s="643"/>
      <c r="VCP41" s="643"/>
      <c r="VCQ41" s="643"/>
      <c r="VCR41" s="643"/>
      <c r="VCS41" s="643"/>
      <c r="VCT41" s="643"/>
      <c r="VCU41" s="643"/>
      <c r="VCV41" s="643"/>
      <c r="VCW41" s="643"/>
      <c r="VCX41" s="643"/>
      <c r="VCY41" s="643"/>
      <c r="VCZ41" s="643"/>
      <c r="VDA41" s="643"/>
      <c r="VDB41" s="643"/>
      <c r="VDC41" s="643"/>
      <c r="VDD41" s="643"/>
      <c r="VDE41" s="643"/>
      <c r="VDF41" s="643"/>
      <c r="VDG41" s="643"/>
      <c r="VDH41" s="643"/>
      <c r="VDI41" s="643"/>
      <c r="VDJ41" s="643"/>
      <c r="VDK41" s="643"/>
      <c r="VDL41" s="643"/>
      <c r="VDM41" s="643"/>
      <c r="VDN41" s="643"/>
      <c r="VDO41" s="643"/>
      <c r="VDP41" s="643"/>
      <c r="VDQ41" s="643"/>
      <c r="VDR41" s="643"/>
      <c r="VDS41" s="643"/>
      <c r="VDT41" s="643"/>
      <c r="VDU41" s="643"/>
      <c r="VDV41" s="643"/>
      <c r="VDW41" s="643"/>
      <c r="VDX41" s="643"/>
      <c r="VDY41" s="643"/>
      <c r="VDZ41" s="643"/>
      <c r="VEA41" s="643"/>
      <c r="VEB41" s="643"/>
      <c r="VEC41" s="643"/>
      <c r="VED41" s="643"/>
      <c r="VEE41" s="643"/>
      <c r="VEF41" s="643"/>
      <c r="VEG41" s="643"/>
      <c r="VEH41" s="643"/>
      <c r="VEI41" s="643"/>
      <c r="VEJ41" s="643"/>
      <c r="VEK41" s="643"/>
      <c r="VEL41" s="643"/>
      <c r="VEM41" s="643"/>
      <c r="VEN41" s="643"/>
      <c r="VEO41" s="643"/>
      <c r="VEP41" s="643"/>
      <c r="VEQ41" s="643"/>
      <c r="VER41" s="643"/>
      <c r="VES41" s="643"/>
      <c r="VET41" s="643"/>
      <c r="VEU41" s="643"/>
      <c r="VEV41" s="643"/>
      <c r="VEW41" s="643"/>
      <c r="VEX41" s="643"/>
      <c r="VEY41" s="643"/>
      <c r="VEZ41" s="643"/>
      <c r="VFA41" s="643"/>
      <c r="VFB41" s="643"/>
      <c r="VFC41" s="643"/>
      <c r="VFD41" s="643"/>
      <c r="VFE41" s="643"/>
      <c r="VFF41" s="643"/>
      <c r="VFG41" s="643"/>
      <c r="VFH41" s="643"/>
      <c r="VFI41" s="643"/>
      <c r="VFJ41" s="643"/>
      <c r="VFK41" s="643"/>
      <c r="VFL41" s="643"/>
      <c r="VFM41" s="643"/>
      <c r="VFN41" s="643"/>
      <c r="VFO41" s="643"/>
      <c r="VFP41" s="643"/>
      <c r="VFQ41" s="643"/>
      <c r="VFR41" s="643"/>
      <c r="VFS41" s="643"/>
      <c r="VFT41" s="643"/>
      <c r="VFU41" s="643"/>
      <c r="VFV41" s="643"/>
      <c r="VFW41" s="643"/>
      <c r="VFX41" s="643"/>
      <c r="VFY41" s="643"/>
      <c r="VFZ41" s="643"/>
      <c r="VGA41" s="643"/>
      <c r="VGB41" s="643"/>
      <c r="VGC41" s="643"/>
      <c r="VGD41" s="643"/>
      <c r="VGE41" s="643"/>
      <c r="VGF41" s="643"/>
      <c r="VGG41" s="643"/>
      <c r="VGH41" s="643"/>
      <c r="VGI41" s="643"/>
      <c r="VGJ41" s="643"/>
      <c r="VGK41" s="643"/>
      <c r="VGL41" s="643"/>
      <c r="VGM41" s="643"/>
      <c r="VGN41" s="643"/>
      <c r="VGO41" s="643"/>
      <c r="VGP41" s="643"/>
      <c r="VGQ41" s="643"/>
      <c r="VGR41" s="643"/>
      <c r="VGS41" s="643"/>
      <c r="VGT41" s="643"/>
      <c r="VGU41" s="643"/>
      <c r="VGV41" s="643"/>
      <c r="VGW41" s="643"/>
      <c r="VGX41" s="643"/>
      <c r="VGY41" s="643"/>
      <c r="VGZ41" s="643"/>
      <c r="VHA41" s="643"/>
      <c r="VHB41" s="643"/>
      <c r="VHC41" s="643"/>
      <c r="VHD41" s="643"/>
      <c r="VHE41" s="643"/>
      <c r="VHF41" s="643"/>
      <c r="VHG41" s="643"/>
      <c r="VHH41" s="643"/>
      <c r="VHI41" s="643"/>
      <c r="VHJ41" s="643"/>
      <c r="VHK41" s="643"/>
      <c r="VHL41" s="643"/>
      <c r="VHM41" s="643"/>
      <c r="VHN41" s="643"/>
      <c r="VHO41" s="643"/>
      <c r="VHP41" s="643"/>
      <c r="VHQ41" s="643"/>
      <c r="VHR41" s="643"/>
      <c r="VHS41" s="643"/>
      <c r="VHT41" s="643"/>
      <c r="VHU41" s="643"/>
      <c r="VHV41" s="643"/>
      <c r="VHW41" s="643"/>
      <c r="VHX41" s="643"/>
      <c r="VHY41" s="643"/>
      <c r="VHZ41" s="643"/>
      <c r="VIA41" s="643"/>
      <c r="VIB41" s="643"/>
      <c r="VIC41" s="643"/>
      <c r="VID41" s="643"/>
      <c r="VIE41" s="643"/>
      <c r="VIF41" s="643"/>
      <c r="VIG41" s="643"/>
      <c r="VIH41" s="643"/>
      <c r="VII41" s="643"/>
      <c r="VIJ41" s="643"/>
      <c r="VIK41" s="643"/>
      <c r="VIL41" s="643"/>
      <c r="VIM41" s="643"/>
      <c r="VIN41" s="643"/>
      <c r="VIO41" s="643"/>
      <c r="VIP41" s="643"/>
      <c r="VIQ41" s="643"/>
      <c r="VIR41" s="643"/>
      <c r="VIS41" s="643"/>
      <c r="VIT41" s="643"/>
      <c r="VIU41" s="643"/>
      <c r="VIV41" s="643"/>
      <c r="VIW41" s="643"/>
      <c r="VIX41" s="643"/>
      <c r="VIY41" s="643"/>
      <c r="VIZ41" s="643"/>
      <c r="VJA41" s="643"/>
      <c r="VJB41" s="643"/>
      <c r="VJC41" s="643"/>
      <c r="VJD41" s="643"/>
      <c r="VJE41" s="643"/>
      <c r="VJF41" s="643"/>
      <c r="VJG41" s="643"/>
      <c r="VJH41" s="643"/>
      <c r="VJI41" s="643"/>
      <c r="VJJ41" s="643"/>
      <c r="VJK41" s="643"/>
      <c r="VJL41" s="643"/>
      <c r="VJM41" s="643"/>
      <c r="VJN41" s="643"/>
      <c r="VJO41" s="643"/>
      <c r="VJP41" s="643"/>
      <c r="VJQ41" s="643"/>
      <c r="VJR41" s="643"/>
      <c r="VJS41" s="643"/>
      <c r="VJT41" s="643"/>
      <c r="VJU41" s="643"/>
      <c r="VJV41" s="643"/>
      <c r="VJW41" s="643"/>
      <c r="VJX41" s="643"/>
      <c r="VJY41" s="643"/>
      <c r="VJZ41" s="643"/>
      <c r="VKA41" s="643"/>
      <c r="VKB41" s="643"/>
      <c r="VKC41" s="643"/>
      <c r="VKD41" s="643"/>
      <c r="VKE41" s="643"/>
      <c r="VKF41" s="643"/>
      <c r="VKG41" s="643"/>
      <c r="VKH41" s="643"/>
      <c r="VKI41" s="643"/>
      <c r="VKJ41" s="643"/>
      <c r="VKK41" s="643"/>
      <c r="VKL41" s="643"/>
      <c r="VKM41" s="643"/>
      <c r="VKN41" s="643"/>
      <c r="VKO41" s="643"/>
      <c r="VKP41" s="643"/>
      <c r="VKQ41" s="643"/>
      <c r="VKR41" s="643"/>
      <c r="VKS41" s="643"/>
      <c r="VKT41" s="643"/>
      <c r="VKU41" s="643"/>
      <c r="VKV41" s="643"/>
      <c r="VKW41" s="643"/>
      <c r="VKX41" s="643"/>
      <c r="VKY41" s="643"/>
      <c r="VKZ41" s="643"/>
      <c r="VLA41" s="643"/>
      <c r="VLB41" s="643"/>
      <c r="VLC41" s="643"/>
      <c r="VLD41" s="643"/>
      <c r="VLE41" s="643"/>
      <c r="VLF41" s="643"/>
      <c r="VLG41" s="643"/>
      <c r="VLH41" s="643"/>
      <c r="VLI41" s="643"/>
      <c r="VLJ41" s="643"/>
      <c r="VLK41" s="643"/>
      <c r="VLL41" s="643"/>
      <c r="VLM41" s="643"/>
      <c r="VLN41" s="643"/>
      <c r="VLO41" s="643"/>
      <c r="VLP41" s="643"/>
      <c r="VLQ41" s="643"/>
      <c r="VLR41" s="643"/>
      <c r="VLS41" s="643"/>
      <c r="VLT41" s="643"/>
      <c r="VLU41" s="643"/>
      <c r="VLV41" s="643"/>
      <c r="VLW41" s="643"/>
      <c r="VLX41" s="643"/>
      <c r="VLY41" s="643"/>
      <c r="VLZ41" s="643"/>
      <c r="VMA41" s="643"/>
      <c r="VMB41" s="643"/>
      <c r="VMC41" s="643"/>
      <c r="VMD41" s="643"/>
      <c r="VME41" s="643"/>
      <c r="VMF41" s="643"/>
      <c r="VMG41" s="643"/>
      <c r="VMH41" s="643"/>
      <c r="VMI41" s="643"/>
      <c r="VMJ41" s="643"/>
      <c r="VMK41" s="643"/>
      <c r="VML41" s="643"/>
      <c r="VMM41" s="643"/>
      <c r="VMN41" s="643"/>
      <c r="VMO41" s="643"/>
      <c r="VMP41" s="643"/>
      <c r="VMQ41" s="643"/>
      <c r="VMR41" s="643"/>
      <c r="VMS41" s="643"/>
      <c r="VMT41" s="643"/>
      <c r="VMU41" s="643"/>
      <c r="VMV41" s="643"/>
      <c r="VMW41" s="643"/>
      <c r="VMX41" s="643"/>
      <c r="VMY41" s="643"/>
      <c r="VMZ41" s="643"/>
      <c r="VNA41" s="643"/>
      <c r="VNB41" s="643"/>
      <c r="VNC41" s="643"/>
      <c r="VND41" s="643"/>
      <c r="VNE41" s="643"/>
      <c r="VNF41" s="643"/>
      <c r="VNG41" s="643"/>
      <c r="VNH41" s="643"/>
      <c r="VNI41" s="643"/>
      <c r="VNJ41" s="643"/>
      <c r="VNK41" s="643"/>
      <c r="VNL41" s="643"/>
      <c r="VNM41" s="643"/>
      <c r="VNN41" s="643"/>
      <c r="VNO41" s="643"/>
      <c r="VNP41" s="643"/>
      <c r="VNQ41" s="643"/>
      <c r="VNR41" s="643"/>
      <c r="VNS41" s="643"/>
      <c r="VNT41" s="643"/>
      <c r="VNU41" s="643"/>
      <c r="VNV41" s="643"/>
      <c r="VNW41" s="643"/>
      <c r="VNX41" s="643"/>
      <c r="VNY41" s="643"/>
      <c r="VNZ41" s="643"/>
      <c r="VOA41" s="643"/>
      <c r="VOB41" s="643"/>
      <c r="VOC41" s="643"/>
      <c r="VOD41" s="643"/>
      <c r="VOE41" s="643"/>
      <c r="VOF41" s="643"/>
      <c r="VOG41" s="643"/>
      <c r="VOH41" s="643"/>
      <c r="VOI41" s="643"/>
      <c r="VOJ41" s="643"/>
      <c r="VOK41" s="643"/>
      <c r="VOL41" s="643"/>
      <c r="VOM41" s="643"/>
      <c r="VON41" s="643"/>
      <c r="VOO41" s="643"/>
      <c r="VOP41" s="643"/>
      <c r="VOQ41" s="643"/>
      <c r="VOR41" s="643"/>
      <c r="VOS41" s="643"/>
      <c r="VOT41" s="643"/>
      <c r="VOU41" s="643"/>
      <c r="VOV41" s="643"/>
      <c r="VOW41" s="643"/>
      <c r="VOX41" s="643"/>
      <c r="VOY41" s="643"/>
      <c r="VOZ41" s="643"/>
      <c r="VPA41" s="643"/>
      <c r="VPB41" s="643"/>
      <c r="VPC41" s="643"/>
      <c r="VPD41" s="643"/>
      <c r="VPE41" s="643"/>
      <c r="VPF41" s="643"/>
      <c r="VPG41" s="643"/>
      <c r="VPH41" s="643"/>
      <c r="VPI41" s="643"/>
      <c r="VPJ41" s="643"/>
      <c r="VPK41" s="643"/>
      <c r="VPL41" s="643"/>
      <c r="VPM41" s="643"/>
      <c r="VPN41" s="643"/>
      <c r="VPO41" s="643"/>
      <c r="VPP41" s="643"/>
      <c r="VPQ41" s="643"/>
      <c r="VPR41" s="643"/>
      <c r="VPS41" s="643"/>
      <c r="VPT41" s="643"/>
      <c r="VPU41" s="643"/>
      <c r="VPV41" s="643"/>
      <c r="VPW41" s="643"/>
      <c r="VPX41" s="643"/>
      <c r="VPY41" s="643"/>
      <c r="VPZ41" s="643"/>
      <c r="VQA41" s="643"/>
      <c r="VQB41" s="643"/>
      <c r="VQC41" s="643"/>
      <c r="VQD41" s="643"/>
      <c r="VQE41" s="643"/>
      <c r="VQF41" s="643"/>
      <c r="VQG41" s="643"/>
      <c r="VQH41" s="643"/>
      <c r="VQI41" s="643"/>
      <c r="VQJ41" s="643"/>
      <c r="VQK41" s="643"/>
      <c r="VQL41" s="643"/>
      <c r="VQM41" s="643"/>
      <c r="VQN41" s="643"/>
      <c r="VQO41" s="643"/>
      <c r="VQP41" s="643"/>
      <c r="VQQ41" s="643"/>
      <c r="VQR41" s="643"/>
      <c r="VQS41" s="643"/>
      <c r="VQT41" s="643"/>
      <c r="VQU41" s="643"/>
      <c r="VQV41" s="643"/>
      <c r="VQW41" s="643"/>
      <c r="VQX41" s="643"/>
      <c r="VQY41" s="643"/>
      <c r="VQZ41" s="643"/>
      <c r="VRA41" s="643"/>
      <c r="VRB41" s="643"/>
      <c r="VRC41" s="643"/>
      <c r="VRD41" s="643"/>
      <c r="VRE41" s="643"/>
      <c r="VRF41" s="643"/>
      <c r="VRG41" s="643"/>
      <c r="VRH41" s="643"/>
      <c r="VRI41" s="643"/>
      <c r="VRJ41" s="643"/>
      <c r="VRK41" s="643"/>
      <c r="VRL41" s="643"/>
      <c r="VRM41" s="643"/>
      <c r="VRN41" s="643"/>
      <c r="VRO41" s="643"/>
      <c r="VRP41" s="643"/>
      <c r="VRQ41" s="643"/>
      <c r="VRR41" s="643"/>
      <c r="VRS41" s="643"/>
      <c r="VRT41" s="643"/>
      <c r="VRU41" s="643"/>
      <c r="VRV41" s="643"/>
      <c r="VRW41" s="643"/>
      <c r="VRX41" s="643"/>
      <c r="VRY41" s="643"/>
      <c r="VRZ41" s="643"/>
      <c r="VSA41" s="643"/>
      <c r="VSB41" s="643"/>
      <c r="VSC41" s="643"/>
      <c r="VSD41" s="643"/>
      <c r="VSE41" s="643"/>
      <c r="VSF41" s="643"/>
      <c r="VSG41" s="643"/>
      <c r="VSH41" s="643"/>
      <c r="VSI41" s="643"/>
      <c r="VSJ41" s="643"/>
      <c r="VSK41" s="643"/>
      <c r="VSL41" s="643"/>
      <c r="VSM41" s="643"/>
      <c r="VSN41" s="643"/>
      <c r="VSO41" s="643"/>
      <c r="VSP41" s="643"/>
      <c r="VSQ41" s="643"/>
      <c r="VSR41" s="643"/>
      <c r="VSS41" s="643"/>
      <c r="VST41" s="643"/>
      <c r="VSU41" s="643"/>
      <c r="VSV41" s="643"/>
      <c r="VSW41" s="643"/>
      <c r="VSX41" s="643"/>
      <c r="VSY41" s="643"/>
      <c r="VSZ41" s="643"/>
      <c r="VTA41" s="643"/>
      <c r="VTB41" s="643"/>
      <c r="VTC41" s="643"/>
      <c r="VTD41" s="643"/>
      <c r="VTE41" s="643"/>
      <c r="VTF41" s="643"/>
      <c r="VTG41" s="643"/>
      <c r="VTH41" s="643"/>
      <c r="VTI41" s="643"/>
      <c r="VTJ41" s="643"/>
      <c r="VTK41" s="643"/>
      <c r="VTL41" s="643"/>
      <c r="VTM41" s="643"/>
      <c r="VTN41" s="643"/>
      <c r="VTO41" s="643"/>
      <c r="VTP41" s="643"/>
      <c r="VTQ41" s="643"/>
      <c r="VTR41" s="643"/>
      <c r="VTS41" s="643"/>
      <c r="VTT41" s="643"/>
      <c r="VTU41" s="643"/>
      <c r="VTV41" s="643"/>
      <c r="VTW41" s="643"/>
      <c r="VTX41" s="643"/>
      <c r="VTY41" s="643"/>
      <c r="VTZ41" s="643"/>
      <c r="VUA41" s="643"/>
      <c r="VUB41" s="643"/>
      <c r="VUC41" s="643"/>
      <c r="VUD41" s="643"/>
      <c r="VUE41" s="643"/>
      <c r="VUF41" s="643"/>
      <c r="VUG41" s="643"/>
      <c r="VUH41" s="643"/>
      <c r="VUI41" s="643"/>
      <c r="VUJ41" s="643"/>
      <c r="VUK41" s="643"/>
      <c r="VUL41" s="643"/>
      <c r="VUM41" s="643"/>
      <c r="VUN41" s="643"/>
      <c r="VUO41" s="643"/>
      <c r="VUP41" s="643"/>
      <c r="VUQ41" s="643"/>
      <c r="VUR41" s="643"/>
      <c r="VUS41" s="643"/>
      <c r="VUT41" s="643"/>
      <c r="VUU41" s="643"/>
      <c r="VUV41" s="643"/>
      <c r="VUW41" s="643"/>
      <c r="VUX41" s="643"/>
      <c r="VUY41" s="643"/>
      <c r="VUZ41" s="643"/>
      <c r="VVA41" s="643"/>
      <c r="VVB41" s="643"/>
      <c r="VVC41" s="643"/>
      <c r="VVD41" s="643"/>
      <c r="VVE41" s="643"/>
      <c r="VVF41" s="643"/>
      <c r="VVG41" s="643"/>
      <c r="VVH41" s="643"/>
      <c r="VVI41" s="643"/>
      <c r="VVJ41" s="643"/>
      <c r="VVK41" s="643"/>
      <c r="VVL41" s="643"/>
      <c r="VVM41" s="643"/>
      <c r="VVN41" s="643"/>
      <c r="VVO41" s="643"/>
      <c r="VVP41" s="643"/>
      <c r="VVQ41" s="643"/>
      <c r="VVR41" s="643"/>
      <c r="VVS41" s="643"/>
      <c r="VVT41" s="643"/>
      <c r="VVU41" s="643"/>
      <c r="VVV41" s="643"/>
      <c r="VVW41" s="643"/>
      <c r="VVX41" s="643"/>
      <c r="VVY41" s="643"/>
      <c r="VVZ41" s="643"/>
      <c r="VWA41" s="643"/>
      <c r="VWB41" s="643"/>
      <c r="VWC41" s="643"/>
      <c r="VWD41" s="643"/>
      <c r="VWE41" s="643"/>
      <c r="VWF41" s="643"/>
      <c r="VWG41" s="643"/>
      <c r="VWH41" s="643"/>
      <c r="VWI41" s="643"/>
      <c r="VWJ41" s="643"/>
      <c r="VWK41" s="643"/>
      <c r="VWL41" s="643"/>
      <c r="VWM41" s="643"/>
      <c r="VWN41" s="643"/>
      <c r="VWO41" s="643"/>
      <c r="VWP41" s="643"/>
      <c r="VWQ41" s="643"/>
      <c r="VWR41" s="643"/>
      <c r="VWS41" s="643"/>
      <c r="VWT41" s="643"/>
      <c r="VWU41" s="643"/>
      <c r="VWV41" s="643"/>
      <c r="VWW41" s="643"/>
      <c r="VWX41" s="643"/>
      <c r="VWY41" s="643"/>
      <c r="VWZ41" s="643"/>
      <c r="VXA41" s="643"/>
      <c r="VXB41" s="643"/>
      <c r="VXC41" s="643"/>
      <c r="VXD41" s="643"/>
      <c r="VXE41" s="643"/>
      <c r="VXF41" s="643"/>
      <c r="VXG41" s="643"/>
      <c r="VXH41" s="643"/>
      <c r="VXI41" s="643"/>
      <c r="VXJ41" s="643"/>
      <c r="VXK41" s="643"/>
      <c r="VXL41" s="643"/>
      <c r="VXM41" s="643"/>
      <c r="VXN41" s="643"/>
      <c r="VXO41" s="643"/>
      <c r="VXP41" s="643"/>
      <c r="VXQ41" s="643"/>
      <c r="VXR41" s="643"/>
      <c r="VXS41" s="643"/>
      <c r="VXT41" s="643"/>
      <c r="VXU41" s="643"/>
      <c r="VXV41" s="643"/>
      <c r="VXW41" s="643"/>
      <c r="VXX41" s="643"/>
      <c r="VXY41" s="643"/>
      <c r="VXZ41" s="643"/>
      <c r="VYA41" s="643"/>
      <c r="VYB41" s="643"/>
      <c r="VYC41" s="643"/>
      <c r="VYD41" s="643"/>
      <c r="VYE41" s="643"/>
      <c r="VYF41" s="643"/>
      <c r="VYG41" s="643"/>
      <c r="VYH41" s="643"/>
      <c r="VYI41" s="643"/>
      <c r="VYJ41" s="643"/>
      <c r="VYK41" s="643"/>
      <c r="VYL41" s="643"/>
      <c r="VYM41" s="643"/>
      <c r="VYN41" s="643"/>
      <c r="VYO41" s="643"/>
      <c r="VYP41" s="643"/>
      <c r="VYQ41" s="643"/>
      <c r="VYR41" s="643"/>
      <c r="VYS41" s="643"/>
      <c r="VYT41" s="643"/>
      <c r="VYU41" s="643"/>
      <c r="VYV41" s="643"/>
      <c r="VYW41" s="643"/>
      <c r="VYX41" s="643"/>
      <c r="VYY41" s="643"/>
      <c r="VYZ41" s="643"/>
      <c r="VZA41" s="643"/>
      <c r="VZB41" s="643"/>
      <c r="VZC41" s="643"/>
      <c r="VZD41" s="643"/>
      <c r="VZE41" s="643"/>
      <c r="VZF41" s="643"/>
      <c r="VZG41" s="643"/>
      <c r="VZH41" s="643"/>
      <c r="VZI41" s="643"/>
      <c r="VZJ41" s="643"/>
      <c r="VZK41" s="643"/>
      <c r="VZL41" s="643"/>
      <c r="VZM41" s="643"/>
      <c r="VZN41" s="643"/>
      <c r="VZO41" s="643"/>
      <c r="VZP41" s="643"/>
      <c r="VZQ41" s="643"/>
      <c r="VZR41" s="643"/>
      <c r="VZS41" s="643"/>
      <c r="VZT41" s="643"/>
      <c r="VZU41" s="643"/>
      <c r="VZV41" s="643"/>
      <c r="VZW41" s="643"/>
      <c r="VZX41" s="643"/>
      <c r="VZY41" s="643"/>
      <c r="VZZ41" s="643"/>
      <c r="WAA41" s="643"/>
      <c r="WAB41" s="643"/>
      <c r="WAC41" s="643"/>
      <c r="WAD41" s="643"/>
      <c r="WAE41" s="643"/>
      <c r="WAF41" s="643"/>
      <c r="WAG41" s="643"/>
      <c r="WAH41" s="643"/>
      <c r="WAI41" s="643"/>
      <c r="WAJ41" s="643"/>
      <c r="WAK41" s="643"/>
      <c r="WAL41" s="643"/>
      <c r="WAM41" s="643"/>
      <c r="WAN41" s="643"/>
      <c r="WAO41" s="643"/>
      <c r="WAP41" s="643"/>
      <c r="WAQ41" s="643"/>
      <c r="WAR41" s="643"/>
      <c r="WAS41" s="643"/>
      <c r="WAT41" s="643"/>
      <c r="WAU41" s="643"/>
      <c r="WAV41" s="643"/>
      <c r="WAW41" s="643"/>
      <c r="WAX41" s="643"/>
      <c r="WAY41" s="643"/>
      <c r="WAZ41" s="643"/>
      <c r="WBA41" s="643"/>
      <c r="WBB41" s="643"/>
      <c r="WBC41" s="643"/>
      <c r="WBD41" s="643"/>
      <c r="WBE41" s="643"/>
      <c r="WBF41" s="643"/>
      <c r="WBG41" s="643"/>
      <c r="WBH41" s="643"/>
      <c r="WBI41" s="643"/>
      <c r="WBJ41" s="643"/>
      <c r="WBK41" s="643"/>
      <c r="WBL41" s="643"/>
      <c r="WBM41" s="643"/>
      <c r="WBN41" s="643"/>
      <c r="WBO41" s="643"/>
      <c r="WBP41" s="643"/>
      <c r="WBQ41" s="643"/>
      <c r="WBR41" s="643"/>
      <c r="WBS41" s="643"/>
      <c r="WBT41" s="643"/>
      <c r="WBU41" s="643"/>
      <c r="WBV41" s="643"/>
      <c r="WBW41" s="643"/>
      <c r="WBX41" s="643"/>
      <c r="WBY41" s="643"/>
      <c r="WBZ41" s="643"/>
      <c r="WCA41" s="643"/>
      <c r="WCB41" s="643"/>
      <c r="WCC41" s="643"/>
      <c r="WCD41" s="643"/>
      <c r="WCE41" s="643"/>
      <c r="WCF41" s="643"/>
      <c r="WCG41" s="643"/>
      <c r="WCH41" s="643"/>
      <c r="WCI41" s="643"/>
      <c r="WCJ41" s="643"/>
      <c r="WCK41" s="643"/>
      <c r="WCL41" s="643"/>
      <c r="WCM41" s="643"/>
      <c r="WCN41" s="643"/>
      <c r="WCO41" s="643"/>
      <c r="WCP41" s="643"/>
      <c r="WCQ41" s="643"/>
      <c r="WCR41" s="643"/>
      <c r="WCS41" s="643"/>
      <c r="WCT41" s="643"/>
      <c r="WCU41" s="643"/>
      <c r="WCV41" s="643"/>
      <c r="WCW41" s="643"/>
      <c r="WCX41" s="643"/>
      <c r="WCY41" s="643"/>
      <c r="WCZ41" s="643"/>
      <c r="WDA41" s="643"/>
      <c r="WDB41" s="643"/>
      <c r="WDC41" s="643"/>
      <c r="WDD41" s="643"/>
      <c r="WDE41" s="643"/>
      <c r="WDF41" s="643"/>
      <c r="WDG41" s="643"/>
      <c r="WDH41" s="643"/>
      <c r="WDI41" s="643"/>
      <c r="WDJ41" s="643"/>
      <c r="WDK41" s="643"/>
      <c r="WDL41" s="643"/>
      <c r="WDM41" s="643"/>
      <c r="WDN41" s="643"/>
      <c r="WDO41" s="643"/>
      <c r="WDP41" s="643"/>
      <c r="WDQ41" s="643"/>
      <c r="WDR41" s="643"/>
      <c r="WDS41" s="643"/>
      <c r="WDT41" s="643"/>
      <c r="WDU41" s="643"/>
      <c r="WDV41" s="643"/>
      <c r="WDW41" s="643"/>
      <c r="WDX41" s="643"/>
      <c r="WDY41" s="643"/>
      <c r="WDZ41" s="643"/>
      <c r="WEA41" s="643"/>
      <c r="WEB41" s="643"/>
      <c r="WEC41" s="643"/>
      <c r="WED41" s="643"/>
      <c r="WEE41" s="643"/>
      <c r="WEF41" s="643"/>
      <c r="WEG41" s="643"/>
      <c r="WEH41" s="643"/>
      <c r="WEI41" s="643"/>
      <c r="WEJ41" s="643"/>
      <c r="WEK41" s="643"/>
      <c r="WEL41" s="643"/>
      <c r="WEM41" s="643"/>
      <c r="WEN41" s="643"/>
      <c r="WEO41" s="643"/>
      <c r="WEP41" s="643"/>
      <c r="WEQ41" s="643"/>
      <c r="WER41" s="643"/>
      <c r="WES41" s="643"/>
      <c r="WET41" s="643"/>
      <c r="WEU41" s="643"/>
      <c r="WEV41" s="643"/>
      <c r="WEW41" s="643"/>
      <c r="WEX41" s="643"/>
      <c r="WEY41" s="643"/>
      <c r="WEZ41" s="643"/>
      <c r="WFA41" s="643"/>
      <c r="WFB41" s="643"/>
      <c r="WFC41" s="643"/>
      <c r="WFD41" s="643"/>
      <c r="WFE41" s="643"/>
      <c r="WFF41" s="643"/>
      <c r="WFG41" s="643"/>
      <c r="WFH41" s="643"/>
      <c r="WFI41" s="643"/>
      <c r="WFJ41" s="643"/>
      <c r="WFK41" s="643"/>
      <c r="WFL41" s="643"/>
      <c r="WFM41" s="643"/>
      <c r="WFN41" s="643"/>
      <c r="WFO41" s="643"/>
      <c r="WFP41" s="643"/>
      <c r="WFQ41" s="643"/>
      <c r="WFR41" s="643"/>
      <c r="WFS41" s="643"/>
      <c r="WFT41" s="643"/>
      <c r="WFU41" s="643"/>
      <c r="WFV41" s="643"/>
      <c r="WFW41" s="643"/>
      <c r="WFX41" s="643"/>
      <c r="WFY41" s="643"/>
      <c r="WFZ41" s="643"/>
      <c r="WGA41" s="643"/>
      <c r="WGB41" s="643"/>
      <c r="WGC41" s="643"/>
      <c r="WGD41" s="643"/>
      <c r="WGE41" s="643"/>
      <c r="WGF41" s="643"/>
      <c r="WGG41" s="643"/>
      <c r="WGH41" s="643"/>
      <c r="WGI41" s="643"/>
      <c r="WGJ41" s="643"/>
      <c r="WGK41" s="643"/>
      <c r="WGL41" s="643"/>
      <c r="WGM41" s="643"/>
      <c r="WGN41" s="643"/>
      <c r="WGO41" s="643"/>
      <c r="WGP41" s="643"/>
      <c r="WGQ41" s="643"/>
      <c r="WGR41" s="643"/>
      <c r="WGS41" s="643"/>
      <c r="WGT41" s="643"/>
      <c r="WGU41" s="643"/>
      <c r="WGV41" s="643"/>
      <c r="WGW41" s="643"/>
      <c r="WGX41" s="643"/>
      <c r="WGY41" s="643"/>
      <c r="WGZ41" s="643"/>
      <c r="WHA41" s="643"/>
      <c r="WHB41" s="643"/>
      <c r="WHC41" s="643"/>
      <c r="WHD41" s="643"/>
      <c r="WHE41" s="643"/>
      <c r="WHF41" s="643"/>
      <c r="WHG41" s="643"/>
      <c r="WHH41" s="643"/>
      <c r="WHI41" s="643"/>
      <c r="WHJ41" s="643"/>
      <c r="WHK41" s="643"/>
      <c r="WHL41" s="643"/>
      <c r="WHM41" s="643"/>
      <c r="WHN41" s="643"/>
      <c r="WHO41" s="643"/>
      <c r="WHP41" s="643"/>
      <c r="WHQ41" s="643"/>
      <c r="WHR41" s="643"/>
      <c r="WHS41" s="643"/>
      <c r="WHT41" s="643"/>
      <c r="WHU41" s="643"/>
      <c r="WHV41" s="643"/>
      <c r="WHW41" s="643"/>
      <c r="WHX41" s="643"/>
      <c r="WHY41" s="643"/>
      <c r="WHZ41" s="643"/>
      <c r="WIA41" s="643"/>
      <c r="WIB41" s="643"/>
      <c r="WIC41" s="643"/>
      <c r="WID41" s="643"/>
      <c r="WIE41" s="643"/>
      <c r="WIF41" s="643"/>
      <c r="WIG41" s="643"/>
      <c r="WIH41" s="643"/>
      <c r="WII41" s="643"/>
      <c r="WIJ41" s="643"/>
      <c r="WIK41" s="643"/>
      <c r="WIL41" s="643"/>
      <c r="WIM41" s="643"/>
      <c r="WIN41" s="643"/>
      <c r="WIO41" s="643"/>
      <c r="WIP41" s="643"/>
      <c r="WIQ41" s="643"/>
      <c r="WIR41" s="643"/>
      <c r="WIS41" s="643"/>
      <c r="WIT41" s="643"/>
      <c r="WIU41" s="643"/>
      <c r="WIV41" s="643"/>
      <c r="WIW41" s="643"/>
      <c r="WIX41" s="643"/>
      <c r="WIY41" s="643"/>
      <c r="WIZ41" s="643"/>
      <c r="WJA41" s="643"/>
      <c r="WJB41" s="643"/>
      <c r="WJC41" s="643"/>
      <c r="WJD41" s="643"/>
      <c r="WJE41" s="643"/>
      <c r="WJF41" s="643"/>
      <c r="WJG41" s="643"/>
      <c r="WJH41" s="643"/>
      <c r="WJI41" s="643"/>
      <c r="WJJ41" s="643"/>
      <c r="WJK41" s="643"/>
      <c r="WJL41" s="643"/>
      <c r="WJM41" s="643"/>
      <c r="WJN41" s="643"/>
      <c r="WJO41" s="643"/>
      <c r="WJP41" s="643"/>
      <c r="WJQ41" s="643"/>
      <c r="WJR41" s="643"/>
      <c r="WJS41" s="643"/>
      <c r="WJT41" s="643"/>
      <c r="WJU41" s="643"/>
      <c r="WJV41" s="643"/>
      <c r="WJW41" s="643"/>
      <c r="WJX41" s="643"/>
      <c r="WJY41" s="643"/>
      <c r="WJZ41" s="643"/>
      <c r="WKA41" s="643"/>
      <c r="WKB41" s="643"/>
      <c r="WKC41" s="643"/>
      <c r="WKD41" s="643"/>
      <c r="WKE41" s="643"/>
      <c r="WKF41" s="643"/>
      <c r="WKG41" s="643"/>
      <c r="WKH41" s="643"/>
      <c r="WKI41" s="643"/>
      <c r="WKJ41" s="643"/>
      <c r="WKK41" s="643"/>
      <c r="WKL41" s="643"/>
      <c r="WKM41" s="643"/>
      <c r="WKN41" s="643"/>
      <c r="WKO41" s="643"/>
      <c r="WKP41" s="643"/>
      <c r="WKQ41" s="643"/>
      <c r="WKR41" s="643"/>
      <c r="WKS41" s="643"/>
      <c r="WKT41" s="643"/>
      <c r="WKU41" s="643"/>
      <c r="WKV41" s="643"/>
      <c r="WKW41" s="643"/>
      <c r="WKX41" s="643"/>
      <c r="WKY41" s="643"/>
      <c r="WKZ41" s="643"/>
      <c r="WLA41" s="643"/>
      <c r="WLB41" s="643"/>
      <c r="WLC41" s="643"/>
      <c r="WLD41" s="643"/>
      <c r="WLE41" s="643"/>
      <c r="WLF41" s="643"/>
      <c r="WLG41" s="643"/>
      <c r="WLH41" s="643"/>
      <c r="WLI41" s="643"/>
      <c r="WLJ41" s="643"/>
      <c r="WLK41" s="643"/>
      <c r="WLL41" s="643"/>
      <c r="WLM41" s="643"/>
      <c r="WLN41" s="643"/>
      <c r="WLO41" s="643"/>
      <c r="WLP41" s="643"/>
      <c r="WLQ41" s="643"/>
      <c r="WLR41" s="643"/>
      <c r="WLS41" s="643"/>
      <c r="WLT41" s="643"/>
      <c r="WLU41" s="643"/>
      <c r="WLV41" s="643"/>
      <c r="WLW41" s="643"/>
      <c r="WLX41" s="643"/>
      <c r="WLY41" s="643"/>
      <c r="WLZ41" s="643"/>
      <c r="WMA41" s="643"/>
      <c r="WMB41" s="643"/>
      <c r="WMC41" s="643"/>
      <c r="WMD41" s="643"/>
      <c r="WME41" s="643"/>
      <c r="WMF41" s="643"/>
      <c r="WMG41" s="643"/>
      <c r="WMH41" s="643"/>
      <c r="WMI41" s="643"/>
      <c r="WMJ41" s="643"/>
      <c r="WMK41" s="643"/>
      <c r="WML41" s="643"/>
      <c r="WMM41" s="643"/>
      <c r="WMN41" s="643"/>
      <c r="WMO41" s="643"/>
      <c r="WMP41" s="643"/>
      <c r="WMQ41" s="643"/>
      <c r="WMR41" s="643"/>
      <c r="WMS41" s="643"/>
      <c r="WMT41" s="643"/>
      <c r="WMU41" s="643"/>
      <c r="WMV41" s="643"/>
      <c r="WMW41" s="643"/>
      <c r="WMX41" s="643"/>
      <c r="WMY41" s="643"/>
      <c r="WMZ41" s="643"/>
      <c r="WNA41" s="643"/>
      <c r="WNB41" s="643"/>
      <c r="WNC41" s="643"/>
      <c r="WND41" s="643"/>
      <c r="WNE41" s="643"/>
      <c r="WNF41" s="643"/>
      <c r="WNG41" s="643"/>
      <c r="WNH41" s="643"/>
      <c r="WNI41" s="643"/>
      <c r="WNJ41" s="643"/>
      <c r="WNK41" s="643"/>
      <c r="WNL41" s="643"/>
      <c r="WNM41" s="643"/>
      <c r="WNN41" s="643"/>
      <c r="WNO41" s="643"/>
      <c r="WNP41" s="643"/>
      <c r="WNQ41" s="643"/>
      <c r="WNR41" s="643"/>
      <c r="WNS41" s="643"/>
      <c r="WNT41" s="643"/>
      <c r="WNU41" s="643"/>
      <c r="WNV41" s="643"/>
      <c r="WNW41" s="643"/>
      <c r="WNX41" s="643"/>
      <c r="WNY41" s="643"/>
      <c r="WNZ41" s="643"/>
      <c r="WOA41" s="643"/>
      <c r="WOB41" s="643"/>
      <c r="WOC41" s="643"/>
      <c r="WOD41" s="643"/>
      <c r="WOE41" s="643"/>
      <c r="WOF41" s="643"/>
      <c r="WOG41" s="643"/>
      <c r="WOH41" s="643"/>
      <c r="WOI41" s="643"/>
      <c r="WOJ41" s="643"/>
      <c r="WOK41" s="643"/>
      <c r="WOL41" s="643"/>
      <c r="WOM41" s="643"/>
      <c r="WON41" s="643"/>
      <c r="WOO41" s="643"/>
      <c r="WOP41" s="643"/>
      <c r="WOQ41" s="643"/>
      <c r="WOR41" s="643"/>
      <c r="WOS41" s="643"/>
      <c r="WOT41" s="643"/>
      <c r="WOU41" s="643"/>
      <c r="WOV41" s="643"/>
      <c r="WOW41" s="643"/>
      <c r="WOX41" s="643"/>
      <c r="WOY41" s="643"/>
      <c r="WOZ41" s="643"/>
      <c r="WPA41" s="643"/>
      <c r="WPB41" s="643"/>
      <c r="WPC41" s="643"/>
      <c r="WPD41" s="643"/>
      <c r="WPE41" s="643"/>
      <c r="WPF41" s="643"/>
      <c r="WPG41" s="643"/>
      <c r="WPH41" s="643"/>
      <c r="WPI41" s="643"/>
      <c r="WPJ41" s="643"/>
      <c r="WPK41" s="643"/>
      <c r="WPL41" s="643"/>
      <c r="WPM41" s="643"/>
      <c r="WPN41" s="643"/>
      <c r="WPO41" s="643"/>
      <c r="WPP41" s="643"/>
      <c r="WPQ41" s="643"/>
      <c r="WPR41" s="643"/>
      <c r="WPS41" s="643"/>
      <c r="WPT41" s="643"/>
      <c r="WPU41" s="643"/>
      <c r="WPV41" s="643"/>
      <c r="WPW41" s="643"/>
      <c r="WPX41" s="643"/>
      <c r="WPY41" s="643"/>
      <c r="WPZ41" s="643"/>
      <c r="WQA41" s="643"/>
      <c r="WQB41" s="643"/>
      <c r="WQC41" s="643"/>
      <c r="WQD41" s="643"/>
      <c r="WQE41" s="643"/>
      <c r="WQF41" s="643"/>
      <c r="WQG41" s="643"/>
      <c r="WQH41" s="643"/>
      <c r="WQI41" s="643"/>
      <c r="WQJ41" s="643"/>
      <c r="WQK41" s="643"/>
      <c r="WQL41" s="643"/>
      <c r="WQM41" s="643"/>
      <c r="WQN41" s="643"/>
      <c r="WQO41" s="643"/>
      <c r="WQP41" s="643"/>
      <c r="WQQ41" s="643"/>
      <c r="WQR41" s="643"/>
      <c r="WQS41" s="643"/>
      <c r="WQT41" s="643"/>
      <c r="WQU41" s="643"/>
      <c r="WQV41" s="643"/>
      <c r="WQW41" s="643"/>
      <c r="WQX41" s="643"/>
      <c r="WQY41" s="643"/>
      <c r="WQZ41" s="643"/>
      <c r="WRA41" s="643"/>
      <c r="WRB41" s="643"/>
      <c r="WRC41" s="643"/>
      <c r="WRD41" s="643"/>
      <c r="WRE41" s="643"/>
      <c r="WRF41" s="643"/>
      <c r="WRG41" s="643"/>
      <c r="WRH41" s="643"/>
      <c r="WRI41" s="643"/>
      <c r="WRJ41" s="643"/>
      <c r="WRK41" s="643"/>
      <c r="WRL41" s="643"/>
      <c r="WRM41" s="643"/>
      <c r="WRN41" s="643"/>
      <c r="WRO41" s="643"/>
      <c r="WRP41" s="643"/>
      <c r="WRQ41" s="643"/>
      <c r="WRR41" s="643"/>
      <c r="WRS41" s="643"/>
      <c r="WRT41" s="643"/>
      <c r="WRU41" s="643"/>
      <c r="WRV41" s="643"/>
      <c r="WRW41" s="643"/>
      <c r="WRX41" s="643"/>
      <c r="WRY41" s="643"/>
      <c r="WRZ41" s="643"/>
      <c r="WSA41" s="643"/>
      <c r="WSB41" s="643"/>
      <c r="WSC41" s="643"/>
      <c r="WSD41" s="643"/>
      <c r="WSE41" s="643"/>
      <c r="WSF41" s="643"/>
      <c r="WSG41" s="643"/>
      <c r="WSH41" s="643"/>
      <c r="WSI41" s="643"/>
      <c r="WSJ41" s="643"/>
      <c r="WSK41" s="643"/>
      <c r="WSL41" s="643"/>
      <c r="WSM41" s="643"/>
      <c r="WSN41" s="643"/>
      <c r="WSO41" s="643"/>
      <c r="WSP41" s="643"/>
      <c r="WSQ41" s="643"/>
      <c r="WSR41" s="643"/>
      <c r="WSS41" s="643"/>
      <c r="WST41" s="643"/>
      <c r="WSU41" s="643"/>
      <c r="WSV41" s="643"/>
      <c r="WSW41" s="643"/>
      <c r="WSX41" s="643"/>
      <c r="WSY41" s="643"/>
      <c r="WSZ41" s="643"/>
      <c r="WTA41" s="643"/>
      <c r="WTB41" s="643"/>
      <c r="WTC41" s="643"/>
      <c r="WTD41" s="643"/>
      <c r="WTE41" s="643"/>
      <c r="WTF41" s="643"/>
      <c r="WTG41" s="643"/>
      <c r="WTH41" s="643"/>
      <c r="WTI41" s="643"/>
      <c r="WTJ41" s="643"/>
      <c r="WTK41" s="643"/>
      <c r="WTL41" s="643"/>
      <c r="WTM41" s="643"/>
      <c r="WTN41" s="643"/>
      <c r="WTO41" s="643"/>
      <c r="WTP41" s="643"/>
      <c r="WTQ41" s="643"/>
      <c r="WTR41" s="643"/>
      <c r="WTS41" s="643"/>
      <c r="WTT41" s="643"/>
      <c r="WTU41" s="643"/>
      <c r="WTV41" s="643"/>
      <c r="WTW41" s="643"/>
      <c r="WTX41" s="643"/>
      <c r="WTY41" s="643"/>
      <c r="WTZ41" s="643"/>
      <c r="WUA41" s="643"/>
      <c r="WUB41" s="643"/>
      <c r="WUC41" s="643"/>
      <c r="WUD41" s="643"/>
      <c r="WUE41" s="643"/>
      <c r="WUF41" s="643"/>
      <c r="WUG41" s="643"/>
      <c r="WUH41" s="643"/>
      <c r="WUI41" s="643"/>
      <c r="WUJ41" s="643"/>
      <c r="WUK41" s="643"/>
      <c r="WUL41" s="643"/>
      <c r="WUM41" s="643"/>
      <c r="WUN41" s="643"/>
      <c r="WUO41" s="643"/>
      <c r="WUP41" s="643"/>
      <c r="WUQ41" s="643"/>
      <c r="WUR41" s="643"/>
      <c r="WUS41" s="643"/>
      <c r="WUT41" s="643"/>
      <c r="WUU41" s="643"/>
      <c r="WUV41" s="643"/>
      <c r="WUW41" s="643"/>
      <c r="WUX41" s="643"/>
      <c r="WUY41" s="643"/>
      <c r="WUZ41" s="643"/>
      <c r="WVA41" s="643"/>
      <c r="WVB41" s="643"/>
      <c r="WVC41" s="643"/>
      <c r="WVD41" s="643"/>
      <c r="WVE41" s="643"/>
      <c r="WVF41" s="643"/>
      <c r="WVG41" s="643"/>
      <c r="WVH41" s="643"/>
      <c r="WVI41" s="643"/>
      <c r="WVJ41" s="643"/>
      <c r="WVK41" s="643"/>
      <c r="WVL41" s="643"/>
      <c r="WVM41" s="643"/>
      <c r="WVN41" s="643"/>
      <c r="WVO41" s="643"/>
      <c r="WVP41" s="643"/>
      <c r="WVQ41" s="643"/>
      <c r="WVR41" s="643"/>
      <c r="WVS41" s="643"/>
      <c r="WVT41" s="643"/>
      <c r="WVU41" s="643"/>
      <c r="WVV41" s="643"/>
      <c r="WVW41" s="643"/>
      <c r="WVX41" s="643"/>
      <c r="WVY41" s="643"/>
      <c r="WVZ41" s="643"/>
      <c r="WWA41" s="643"/>
      <c r="WWB41" s="643"/>
      <c r="WWC41" s="643"/>
      <c r="WWD41" s="643"/>
      <c r="WWE41" s="643"/>
      <c r="WWF41" s="643"/>
      <c r="WWG41" s="643"/>
      <c r="WWH41" s="643"/>
      <c r="WWI41" s="643"/>
      <c r="WWJ41" s="643"/>
      <c r="WWK41" s="643"/>
      <c r="WWL41" s="643"/>
      <c r="WWM41" s="643"/>
      <c r="WWN41" s="643"/>
      <c r="WWO41" s="643"/>
      <c r="WWP41" s="643"/>
      <c r="WWQ41" s="643"/>
      <c r="WWR41" s="643"/>
      <c r="WWS41" s="643"/>
      <c r="WWT41" s="643"/>
      <c r="WWU41" s="643"/>
      <c r="WWV41" s="643"/>
      <c r="WWW41" s="643"/>
      <c r="WWX41" s="643"/>
      <c r="WWY41" s="643"/>
      <c r="WWZ41" s="643"/>
      <c r="WXA41" s="643"/>
      <c r="WXB41" s="643"/>
      <c r="WXC41" s="643"/>
      <c r="WXD41" s="643"/>
      <c r="WXE41" s="643"/>
      <c r="WXF41" s="643"/>
      <c r="WXG41" s="643"/>
      <c r="WXH41" s="643"/>
      <c r="WXI41" s="643"/>
      <c r="WXJ41" s="643"/>
      <c r="WXK41" s="643"/>
      <c r="WXL41" s="643"/>
      <c r="WXM41" s="643"/>
      <c r="WXN41" s="643"/>
      <c r="WXO41" s="643"/>
      <c r="WXP41" s="643"/>
      <c r="WXQ41" s="643"/>
      <c r="WXR41" s="643"/>
      <c r="WXS41" s="643"/>
      <c r="WXT41" s="643"/>
      <c r="WXU41" s="643"/>
      <c r="WXV41" s="643"/>
      <c r="WXW41" s="643"/>
      <c r="WXX41" s="643"/>
      <c r="WXY41" s="643"/>
      <c r="WXZ41" s="643"/>
      <c r="WYA41" s="643"/>
      <c r="WYB41" s="643"/>
      <c r="WYC41" s="643"/>
      <c r="WYD41" s="643"/>
      <c r="WYE41" s="643"/>
      <c r="WYF41" s="643"/>
      <c r="WYG41" s="643"/>
      <c r="WYH41" s="643"/>
      <c r="WYI41" s="643"/>
      <c r="WYJ41" s="643"/>
      <c r="WYK41" s="643"/>
      <c r="WYL41" s="643"/>
      <c r="WYM41" s="643"/>
      <c r="WYN41" s="643"/>
      <c r="WYO41" s="643"/>
      <c r="WYP41" s="643"/>
      <c r="WYQ41" s="643"/>
      <c r="WYR41" s="643"/>
      <c r="WYS41" s="643"/>
      <c r="WYT41" s="643"/>
      <c r="WYU41" s="643"/>
      <c r="WYV41" s="643"/>
      <c r="WYW41" s="643"/>
      <c r="WYX41" s="643"/>
      <c r="WYY41" s="643"/>
      <c r="WYZ41" s="643"/>
      <c r="WZA41" s="643"/>
      <c r="WZB41" s="643"/>
      <c r="WZC41" s="643"/>
      <c r="WZD41" s="643"/>
      <c r="WZE41" s="643"/>
      <c r="WZF41" s="643"/>
      <c r="WZG41" s="643"/>
      <c r="WZH41" s="643"/>
      <c r="WZI41" s="643"/>
      <c r="WZJ41" s="643"/>
      <c r="WZK41" s="643"/>
      <c r="WZL41" s="643"/>
      <c r="WZM41" s="643"/>
      <c r="WZN41" s="643"/>
      <c r="WZO41" s="643"/>
      <c r="WZP41" s="643"/>
      <c r="WZQ41" s="643"/>
      <c r="WZR41" s="643"/>
      <c r="WZS41" s="643"/>
      <c r="WZT41" s="643"/>
      <c r="WZU41" s="643"/>
      <c r="WZV41" s="643"/>
      <c r="WZW41" s="643"/>
      <c r="WZX41" s="643"/>
      <c r="WZY41" s="643"/>
      <c r="WZZ41" s="643"/>
      <c r="XAA41" s="643"/>
      <c r="XAB41" s="643"/>
      <c r="XAC41" s="643"/>
      <c r="XAD41" s="643"/>
      <c r="XAE41" s="643"/>
      <c r="XAF41" s="643"/>
      <c r="XAG41" s="643"/>
      <c r="XAH41" s="643"/>
      <c r="XAI41" s="643"/>
      <c r="XAJ41" s="643"/>
      <c r="XAK41" s="643"/>
      <c r="XAL41" s="643"/>
      <c r="XAM41" s="643"/>
      <c r="XAN41" s="643"/>
      <c r="XAO41" s="643"/>
      <c r="XAP41" s="643"/>
      <c r="XAQ41" s="643"/>
      <c r="XAR41" s="643"/>
      <c r="XAS41" s="643"/>
      <c r="XAT41" s="643"/>
      <c r="XAU41" s="643"/>
      <c r="XAV41" s="643"/>
      <c r="XAW41" s="643"/>
      <c r="XAX41" s="643"/>
      <c r="XAY41" s="643"/>
      <c r="XAZ41" s="643"/>
      <c r="XBA41" s="643"/>
      <c r="XBB41" s="643"/>
      <c r="XBC41" s="643"/>
      <c r="XBD41" s="643"/>
      <c r="XBE41" s="643"/>
      <c r="XBF41" s="643"/>
      <c r="XBG41" s="643"/>
      <c r="XBH41" s="643"/>
      <c r="XBI41" s="643"/>
      <c r="XBJ41" s="643"/>
      <c r="XBK41" s="643"/>
      <c r="XBL41" s="643"/>
      <c r="XBM41" s="643"/>
      <c r="XBN41" s="643"/>
      <c r="XBO41" s="643"/>
      <c r="XBP41" s="643"/>
      <c r="XBQ41" s="643"/>
      <c r="XBR41" s="643"/>
      <c r="XBS41" s="643"/>
      <c r="XBT41" s="643"/>
      <c r="XBU41" s="643"/>
      <c r="XBV41" s="643"/>
      <c r="XBW41" s="643"/>
      <c r="XBX41" s="643"/>
      <c r="XBY41" s="643"/>
      <c r="XBZ41" s="643"/>
      <c r="XCA41" s="643"/>
      <c r="XCB41" s="643"/>
      <c r="XCC41" s="643"/>
      <c r="XCD41" s="643"/>
      <c r="XCE41" s="643"/>
      <c r="XCF41" s="643"/>
      <c r="XCG41" s="643"/>
      <c r="XCH41" s="643"/>
      <c r="XCI41" s="643"/>
      <c r="XCJ41" s="643"/>
      <c r="XCK41" s="643"/>
      <c r="XCL41" s="643"/>
      <c r="XCM41" s="643"/>
      <c r="XCN41" s="643"/>
      <c r="XCO41" s="643"/>
      <c r="XCP41" s="643"/>
      <c r="XCQ41" s="643"/>
      <c r="XCR41" s="643"/>
      <c r="XCS41" s="643"/>
      <c r="XCT41" s="643"/>
      <c r="XCU41" s="643"/>
      <c r="XCV41" s="643"/>
      <c r="XCW41" s="643"/>
      <c r="XCX41" s="643"/>
      <c r="XCY41" s="643"/>
      <c r="XCZ41" s="643"/>
      <c r="XDA41" s="643"/>
      <c r="XDB41" s="643"/>
      <c r="XDC41" s="643"/>
      <c r="XDD41" s="643"/>
      <c r="XDE41" s="643"/>
      <c r="XDF41" s="643"/>
      <c r="XDG41" s="643"/>
      <c r="XDH41" s="643"/>
      <c r="XDI41" s="643"/>
      <c r="XDJ41" s="643"/>
      <c r="XDK41" s="643"/>
      <c r="XDL41" s="643"/>
      <c r="XDM41" s="643"/>
      <c r="XDN41" s="643"/>
      <c r="XDO41" s="643"/>
      <c r="XDP41" s="643"/>
      <c r="XDQ41" s="643"/>
      <c r="XDR41" s="643"/>
      <c r="XDS41" s="643"/>
      <c r="XDT41" s="643"/>
      <c r="XDU41" s="643"/>
      <c r="XDV41" s="643"/>
      <c r="XDW41" s="643"/>
      <c r="XDX41" s="643"/>
      <c r="XDY41" s="643"/>
      <c r="XDZ41" s="643"/>
      <c r="XEA41" s="643"/>
      <c r="XEB41" s="643"/>
      <c r="XEC41" s="643"/>
      <c r="XED41" s="643"/>
      <c r="XEE41" s="643"/>
      <c r="XEF41" s="643"/>
      <c r="XEG41" s="643"/>
      <c r="XEH41" s="643"/>
      <c r="XEI41" s="643"/>
      <c r="XEJ41" s="643"/>
      <c r="XEK41" s="643"/>
      <c r="XEL41" s="643"/>
      <c r="XEM41" s="643"/>
      <c r="XEN41" s="643"/>
      <c r="XEO41" s="643"/>
      <c r="XEP41" s="643"/>
      <c r="XEQ41" s="643"/>
      <c r="XER41" s="643"/>
      <c r="XES41" s="643"/>
      <c r="XET41" s="643"/>
      <c r="XEU41" s="643"/>
      <c r="XEV41" s="643"/>
      <c r="XEW41" s="643"/>
      <c r="XEX41" s="643"/>
      <c r="XEY41" s="643"/>
      <c r="XEZ41" s="643"/>
      <c r="XFA41" s="643"/>
      <c r="XFB41" s="643"/>
      <c r="XFC41" s="643"/>
      <c r="XFD41" s="643"/>
    </row>
    <row r="42" spans="1:16384">
      <c r="A42" s="643" t="s">
        <v>3750</v>
      </c>
      <c r="B42"/>
      <c r="M42" s="804">
        <v>20</v>
      </c>
      <c r="N42" s="805" t="str">
        <f>IF(M43="none selected","Enter windspeed",VLOOKUP(M43,B163:P437,15,FALSE))</f>
        <v>Enter windspeed</v>
      </c>
      <c r="O42" s="747" t="s">
        <v>3286</v>
      </c>
      <c r="Q42" s="747" t="s">
        <v>3287</v>
      </c>
      <c r="R42" s="741" t="str">
        <f>IF(M10=1,IF(M42="","",IF(M42&gt;38,"Warning: wind speed is outside of model limits. Efficiency result could be erroneous. Proceed with caution. Model wind speed limits: 4.5 to 38 mph",IF(M42&lt;4.5,"Warning: wind speed is outside of model limits. Efficiency result could be erroneous. Proceed with caution. Model wind speed limits: 4.5 to 38 mph",""))),"")</f>
        <v/>
      </c>
    </row>
    <row r="43" spans="1:16384">
      <c r="B43" t="s">
        <v>3736</v>
      </c>
      <c r="M43" s="789" t="s">
        <v>3709</v>
      </c>
      <c r="R43" s="741" t="s">
        <v>3749</v>
      </c>
    </row>
    <row r="44" spans="1:16384">
      <c r="B44"/>
    </row>
    <row r="45" spans="1:16384">
      <c r="B45"/>
    </row>
    <row r="46" spans="1:16384" s="338" customFormat="1" ht="15.75">
      <c r="A46" s="338" t="s">
        <v>3687</v>
      </c>
    </row>
    <row r="48" spans="1:16384">
      <c r="A48" s="651" t="s">
        <v>3737</v>
      </c>
      <c r="M48" s="786">
        <f>IF(M10=0,95,T164)</f>
        <v>95</v>
      </c>
      <c r="N48" s="643" t="s">
        <v>166</v>
      </c>
      <c r="O48" s="643"/>
      <c r="Q48" s="747" t="s">
        <v>3738</v>
      </c>
      <c r="R48" s="746" t="str">
        <f>IF(M48&gt;100,"Note: Calculated efficiency is higher than experimental bounds for low velocity flares. Assumed value of 99.8% efficient combustion used. Experimental efficiency limits: 64% to 99.9%",IF(M48&lt;64,"Warning: Calculated efficiency is outside of experimental bounds. Efficiency result could be erroneous. Proceed with caution. Experimental efficiency limits: 64% to 99.9%",""))</f>
        <v/>
      </c>
    </row>
    <row r="49" spans="1:14" customFormat="1">
      <c r="M49" s="747"/>
    </row>
    <row r="50" spans="1:14" customFormat="1">
      <c r="A50" t="s">
        <v>3690</v>
      </c>
      <c r="M50" s="786">
        <f>M53+M59</f>
        <v>1856.1733192937249</v>
      </c>
      <c r="N50" t="s">
        <v>1076</v>
      </c>
    </row>
    <row r="51" spans="1:14" customFormat="1">
      <c r="M51" s="651"/>
    </row>
    <row r="52" spans="1:14" customFormat="1">
      <c r="B52" t="s">
        <v>3691</v>
      </c>
      <c r="M52" s="786">
        <f>M15*M48/100</f>
        <v>21.092555997904142</v>
      </c>
      <c r="N52" t="s">
        <v>273</v>
      </c>
    </row>
    <row r="53" spans="1:14" customFormat="1">
      <c r="C53" t="s">
        <v>3693</v>
      </c>
      <c r="M53" s="786">
        <f>SUM(M54:M56)/1000000</f>
        <v>1160.0296950915756</v>
      </c>
      <c r="N53" t="s">
        <v>1076</v>
      </c>
    </row>
    <row r="54" spans="1:14" customFormat="1" ht="19.5">
      <c r="D54" t="s">
        <v>3858</v>
      </c>
      <c r="M54" s="806">
        <f>'Gas Balance'!N13*1000000*'Input data'!D83</f>
        <v>8291147.0021165917</v>
      </c>
      <c r="N54" t="s">
        <v>747</v>
      </c>
    </row>
    <row r="55" spans="1:14" customFormat="1" ht="19.5">
      <c r="D55" t="s">
        <v>3859</v>
      </c>
      <c r="M55" s="806">
        <f>'Gas Balance'!N14*1000000*'Input data'!D84*44/16</f>
        <v>1125444078.7312527</v>
      </c>
      <c r="N55" t="s">
        <v>747</v>
      </c>
    </row>
    <row r="56" spans="1:14" customFormat="1" ht="19.5">
      <c r="D56" t="s">
        <v>3860</v>
      </c>
      <c r="M56" s="806">
        <f>1000000*('Gas Balance'!N15*'Input data'!D85*44*2/30+'Gas Balance'!N16*'Input data'!D86*44*3/44+'Gas Balance'!N17*'Input data'!D87*44*4/58)</f>
        <v>26294469.358206339</v>
      </c>
      <c r="N56" t="s">
        <v>747</v>
      </c>
    </row>
    <row r="57" spans="1:14" customFormat="1">
      <c r="M57" s="651"/>
    </row>
    <row r="58" spans="1:14" customFormat="1">
      <c r="B58" t="s">
        <v>3692</v>
      </c>
      <c r="M58" s="786">
        <f>M15*(100-M48)/100</f>
        <v>1.1101345262054811</v>
      </c>
      <c r="N58" t="s">
        <v>273</v>
      </c>
    </row>
    <row r="59" spans="1:14" customFormat="1">
      <c r="C59" t="s">
        <v>3694</v>
      </c>
      <c r="M59" s="786">
        <f>(M60+M61*'Input data'!C73+M62*'Input data'!C74)/1000000</f>
        <v>696.14362420214923</v>
      </c>
      <c r="N59" t="s">
        <v>1076</v>
      </c>
    </row>
    <row r="60" spans="1:14" customFormat="1" ht="19.5">
      <c r="D60" t="s">
        <v>3861</v>
      </c>
      <c r="M60" s="806">
        <f>M58*1000000*'Gas Balance'!E30/100*'Input data'!D83</f>
        <v>414557.35010582657</v>
      </c>
      <c r="N60" t="s">
        <v>747</v>
      </c>
    </row>
    <row r="61" spans="1:14" customFormat="1" ht="19.5">
      <c r="D61" t="s">
        <v>3862</v>
      </c>
      <c r="M61" s="806">
        <f>M58*1000000*'Gas Balance'!E31/100*'Input data'!D84</f>
        <v>20462619.613295395</v>
      </c>
      <c r="N61" t="s">
        <v>747</v>
      </c>
    </row>
    <row r="62" spans="1:14" customFormat="1">
      <c r="D62" t="s">
        <v>3695</v>
      </c>
      <c r="M62" s="806">
        <f>M58*1000000*('Gas Balance'!E32/100*'Input data'!D85+'Gas Balance'!E33/100*'Input data'!D86+'Gas Balance'!E34/100*'Input data'!D87)</f>
        <v>441777.72949770704</v>
      </c>
      <c r="N62" t="s">
        <v>747</v>
      </c>
    </row>
    <row r="63" spans="1:14" customFormat="1">
      <c r="A63" s="747"/>
      <c r="B63" s="747"/>
      <c r="C63" s="747"/>
      <c r="D63" s="747"/>
      <c r="E63" s="747"/>
      <c r="F63" s="747"/>
      <c r="G63" s="747"/>
      <c r="H63" s="747"/>
      <c r="I63" s="747"/>
      <c r="J63" s="747"/>
      <c r="K63" s="747"/>
      <c r="L63" s="747"/>
      <c r="M63" s="747"/>
    </row>
    <row r="64" spans="1:14" customFormat="1">
      <c r="A64" s="747" t="s">
        <v>3739</v>
      </c>
      <c r="B64" s="747"/>
      <c r="C64" s="747"/>
      <c r="D64" s="747"/>
      <c r="E64" s="747"/>
      <c r="F64" s="747"/>
      <c r="G64" s="747"/>
      <c r="H64" s="747"/>
      <c r="I64" s="747"/>
      <c r="J64" s="747"/>
      <c r="K64" s="747"/>
      <c r="L64" s="747"/>
      <c r="M64" s="747"/>
    </row>
    <row r="65" spans="1:13" customFormat="1">
      <c r="A65" s="747"/>
      <c r="B65" s="747"/>
      <c r="C65" s="747"/>
      <c r="D65" s="747"/>
      <c r="E65" s="747"/>
      <c r="F65" s="747"/>
      <c r="G65" s="747"/>
      <c r="H65" s="747"/>
      <c r="I65" s="747"/>
      <c r="J65" s="747"/>
      <c r="K65" s="747"/>
      <c r="L65" s="747"/>
      <c r="M65" s="747"/>
    </row>
    <row r="66" spans="1:13">
      <c r="B66" s="747" t="s">
        <v>3740</v>
      </c>
    </row>
    <row r="68" spans="1:13">
      <c r="B68" s="807" t="s">
        <v>776</v>
      </c>
      <c r="C68" s="808"/>
      <c r="D68" s="808"/>
      <c r="E68" s="809"/>
      <c r="F68" s="810" t="s">
        <v>628</v>
      </c>
      <c r="G68" s="810" t="s">
        <v>444</v>
      </c>
      <c r="H68" s="810" t="s">
        <v>550</v>
      </c>
      <c r="I68" s="810" t="s">
        <v>551</v>
      </c>
      <c r="J68" s="72" t="s">
        <v>613</v>
      </c>
    </row>
    <row r="69" spans="1:13">
      <c r="B69" s="807"/>
      <c r="C69" s="808"/>
      <c r="D69" s="808"/>
      <c r="E69" s="809"/>
      <c r="F69" s="810" t="s">
        <v>769</v>
      </c>
      <c r="G69" s="810" t="s">
        <v>724</v>
      </c>
      <c r="H69" s="810" t="s">
        <v>771</v>
      </c>
      <c r="I69" s="810" t="s">
        <v>771</v>
      </c>
      <c r="J69" s="643"/>
      <c r="L69" s="643"/>
    </row>
    <row r="70" spans="1:13">
      <c r="B70" s="811" t="s">
        <v>639</v>
      </c>
      <c r="C70" s="812"/>
      <c r="D70" s="812"/>
      <c r="E70" s="813"/>
      <c r="F70" s="814">
        <f>SUM(F71:F73)</f>
        <v>677503.26154220966</v>
      </c>
      <c r="G70" s="814">
        <f>SUM(G71:G73)</f>
        <v>8103.9820413000125</v>
      </c>
      <c r="H70" s="815">
        <f>SUM(H71:H73)</f>
        <v>8038325.8381148763</v>
      </c>
      <c r="I70" s="814">
        <f>SUM(I71:I73)</f>
        <v>7247744.0008159392</v>
      </c>
      <c r="J70" s="643"/>
      <c r="L70" s="643"/>
    </row>
    <row r="71" spans="1:13">
      <c r="B71" s="811"/>
      <c r="C71" s="812" t="s">
        <v>773</v>
      </c>
      <c r="D71" s="812"/>
      <c r="E71" s="813"/>
      <c r="F71" s="814">
        <v>0</v>
      </c>
      <c r="G71" s="814">
        <v>0</v>
      </c>
      <c r="H71" s="814">
        <v>0</v>
      </c>
      <c r="I71" s="814">
        <v>0</v>
      </c>
      <c r="J71" s="72" t="s">
        <v>779</v>
      </c>
      <c r="L71" s="643"/>
    </row>
    <row r="72" spans="1:13">
      <c r="B72" s="811"/>
      <c r="C72" s="812" t="s">
        <v>774</v>
      </c>
      <c r="D72" s="812"/>
      <c r="E72" s="813"/>
      <c r="F72" s="814">
        <f>$M$50*365</f>
        <v>677503.26154220966</v>
      </c>
      <c r="G72" s="814">
        <f>$M$15*365</f>
        <v>8103.9820413000125</v>
      </c>
      <c r="H72" s="747">
        <f>'Gas Balance'!$I$14*('Gas Balance'!$E$37/'Gas Balance'!$E$23)*365</f>
        <v>8038325.8381148763</v>
      </c>
      <c r="I72" s="815">
        <f>'Gas Balance'!$I$14*('Gas Balance'!$E$38/'Gas Balance'!$E$23)*365</f>
        <v>7247744.0008159392</v>
      </c>
      <c r="J72" s="72" t="s">
        <v>777</v>
      </c>
      <c r="L72" s="643"/>
    </row>
    <row r="73" spans="1:13">
      <c r="B73" s="811"/>
      <c r="C73" s="812" t="s">
        <v>775</v>
      </c>
      <c r="D73" s="812"/>
      <c r="E73" s="813"/>
      <c r="F73" s="814">
        <v>0</v>
      </c>
      <c r="G73" s="814">
        <v>0</v>
      </c>
      <c r="H73" s="814">
        <v>0</v>
      </c>
      <c r="I73" s="814">
        <v>0</v>
      </c>
      <c r="J73" s="72" t="s">
        <v>778</v>
      </c>
      <c r="L73" s="643"/>
    </row>
    <row r="74" spans="1:13">
      <c r="L74" s="643"/>
    </row>
    <row r="75" spans="1:13">
      <c r="B75" s="747" t="s">
        <v>3741</v>
      </c>
    </row>
    <row r="77" spans="1:13">
      <c r="B77" s="807" t="s">
        <v>776</v>
      </c>
      <c r="C77" s="808"/>
      <c r="D77" s="808"/>
      <c r="E77" s="809"/>
      <c r="F77" s="810" t="s">
        <v>628</v>
      </c>
      <c r="G77" s="810" t="s">
        <v>444</v>
      </c>
      <c r="H77" s="810" t="s">
        <v>550</v>
      </c>
      <c r="I77" s="810" t="s">
        <v>551</v>
      </c>
      <c r="J77" s="72" t="s">
        <v>613</v>
      </c>
    </row>
    <row r="78" spans="1:13">
      <c r="B78" s="807"/>
      <c r="C78" s="808"/>
      <c r="D78" s="808"/>
      <c r="E78" s="809"/>
      <c r="F78" s="810" t="s">
        <v>769</v>
      </c>
      <c r="G78" s="810" t="s">
        <v>724</v>
      </c>
      <c r="H78" s="810" t="s">
        <v>771</v>
      </c>
      <c r="I78" s="810" t="s">
        <v>771</v>
      </c>
      <c r="J78" s="643"/>
    </row>
    <row r="79" spans="1:13">
      <c r="B79" s="811" t="s">
        <v>639</v>
      </c>
      <c r="C79" s="812"/>
      <c r="D79" s="812"/>
      <c r="E79" s="813"/>
      <c r="F79" s="814">
        <f>SUM(F80:F82)</f>
        <v>677503.26154220966</v>
      </c>
      <c r="G79" s="814">
        <f>SUM(G80:G82)</f>
        <v>8103.9820413000125</v>
      </c>
      <c r="H79" s="815">
        <f>SUM(H80:H82)</f>
        <v>8038325.8381148763</v>
      </c>
      <c r="I79" s="814">
        <f>SUM(I80:I82)</f>
        <v>7247744.0008159392</v>
      </c>
      <c r="J79" s="72" t="s">
        <v>3585</v>
      </c>
    </row>
    <row r="80" spans="1:13">
      <c r="B80" s="811"/>
      <c r="C80" s="812" t="s">
        <v>773</v>
      </c>
      <c r="D80" s="812"/>
      <c r="E80" s="813"/>
      <c r="F80" s="814">
        <v>0</v>
      </c>
      <c r="G80" s="814">
        <v>0</v>
      </c>
      <c r="H80" s="814">
        <v>0</v>
      </c>
      <c r="I80" s="814">
        <v>0</v>
      </c>
      <c r="J80" s="72"/>
    </row>
    <row r="81" spans="1:39">
      <c r="B81" s="811"/>
      <c r="C81" s="812" t="s">
        <v>774</v>
      </c>
      <c r="D81" s="812"/>
      <c r="E81" s="813"/>
      <c r="F81" s="814">
        <f>$M$50*365</f>
        <v>677503.26154220966</v>
      </c>
      <c r="G81" s="814">
        <f>$M$15*365</f>
        <v>8103.9820413000125</v>
      </c>
      <c r="H81" s="747">
        <f>'Gas Balance'!$I$14*('Gas Balance'!$E$37/'Gas Balance'!$E$23)*365</f>
        <v>8038325.8381148763</v>
      </c>
      <c r="I81" s="815">
        <f>'Gas Balance'!$I$14*('Gas Balance'!$E$38/'Gas Balance'!$E$23)*365</f>
        <v>7247744.0008159392</v>
      </c>
      <c r="J81" s="72"/>
    </row>
    <row r="82" spans="1:39">
      <c r="B82" s="811"/>
      <c r="C82" s="812" t="s">
        <v>775</v>
      </c>
      <c r="D82" s="812"/>
      <c r="E82" s="813"/>
      <c r="F82" s="814">
        <v>0</v>
      </c>
      <c r="G82" s="814">
        <v>0</v>
      </c>
      <c r="H82" s="814">
        <v>0</v>
      </c>
      <c r="I82" s="814">
        <v>0</v>
      </c>
      <c r="J82" s="72"/>
    </row>
    <row r="87" spans="1:39" s="338" customFormat="1" ht="15.75">
      <c r="A87" s="338" t="s">
        <v>3688</v>
      </c>
    </row>
    <row r="89" spans="1:39" s="643" customFormat="1">
      <c r="E89" s="782"/>
      <c r="F89" s="722"/>
      <c r="Y89" s="747"/>
      <c r="Z89" s="747"/>
      <c r="AA89" s="747"/>
      <c r="AB89" s="747"/>
      <c r="AC89" s="747"/>
      <c r="AG89" s="666"/>
      <c r="AH89" s="666"/>
      <c r="AI89" s="666"/>
      <c r="AJ89" s="666"/>
      <c r="AK89" s="666"/>
      <c r="AL89" s="666"/>
      <c r="AM89" s="666"/>
    </row>
    <row r="90" spans="1:39" s="643" customFormat="1">
      <c r="B90" s="666" t="s">
        <v>3696</v>
      </c>
      <c r="C90" s="666"/>
      <c r="D90" s="666"/>
      <c r="E90" s="784"/>
      <c r="F90" s="722"/>
      <c r="Y90" s="747"/>
      <c r="Z90" s="747"/>
      <c r="AA90" s="747"/>
      <c r="AB90" s="747"/>
      <c r="AC90" s="747"/>
      <c r="AG90" s="666"/>
      <c r="AH90" s="666"/>
      <c r="AI90" s="666"/>
      <c r="AJ90" s="666"/>
      <c r="AK90" s="666"/>
      <c r="AL90" s="666"/>
      <c r="AM90" s="666"/>
    </row>
    <row r="91" spans="1:39" s="643" customFormat="1">
      <c r="B91" s="807" t="s">
        <v>2149</v>
      </c>
      <c r="C91" s="809"/>
      <c r="D91" s="810" t="s">
        <v>3676</v>
      </c>
      <c r="E91" s="1084" t="s">
        <v>3677</v>
      </c>
      <c r="F91" s="1085"/>
      <c r="G91" s="1086"/>
      <c r="H91" s="810" t="s">
        <v>3678</v>
      </c>
      <c r="I91" s="1084" t="s">
        <v>3679</v>
      </c>
      <c r="J91" s="1085"/>
      <c r="K91" s="1086"/>
      <c r="P91" s="736"/>
      <c r="S91" s="816"/>
      <c r="T91" s="816"/>
      <c r="U91" s="816"/>
      <c r="V91" s="816"/>
      <c r="W91" s="816"/>
      <c r="X91" s="816"/>
      <c r="Y91" s="747"/>
      <c r="Z91" s="816"/>
      <c r="AA91" s="816"/>
      <c r="AB91" s="816"/>
      <c r="AC91" s="816"/>
      <c r="AD91" s="816"/>
      <c r="AE91" s="816"/>
      <c r="AG91" s="817"/>
      <c r="AH91" s="817"/>
      <c r="AI91" s="817"/>
      <c r="AJ91" s="817"/>
      <c r="AK91" s="817"/>
      <c r="AL91" s="817"/>
      <c r="AM91" s="666"/>
    </row>
    <row r="92" spans="1:39" s="643" customFormat="1">
      <c r="B92" s="811"/>
      <c r="C92" s="813"/>
      <c r="D92" s="814" t="s">
        <v>742</v>
      </c>
      <c r="E92" s="818" t="s">
        <v>738</v>
      </c>
      <c r="F92" s="811" t="s">
        <v>724</v>
      </c>
      <c r="G92" s="818" t="s">
        <v>739</v>
      </c>
      <c r="H92" s="814" t="s">
        <v>742</v>
      </c>
      <c r="I92" s="818" t="s">
        <v>738</v>
      </c>
      <c r="J92" s="811" t="s">
        <v>724</v>
      </c>
      <c r="K92" s="818" t="s">
        <v>739</v>
      </c>
      <c r="Y92" s="747"/>
      <c r="Z92" s="747"/>
      <c r="AA92" s="747"/>
      <c r="AB92" s="747"/>
      <c r="AC92" s="747"/>
      <c r="AG92" s="666"/>
      <c r="AH92" s="666"/>
      <c r="AI92" s="666"/>
      <c r="AJ92" s="666"/>
      <c r="AK92" s="666"/>
      <c r="AL92" s="666"/>
      <c r="AM92" s="666"/>
    </row>
    <row r="93" spans="1:39" s="643" customFormat="1">
      <c r="B93" s="824" t="s">
        <v>1842</v>
      </c>
      <c r="C93" s="825"/>
      <c r="D93" s="840">
        <v>1540</v>
      </c>
      <c r="E93" s="821">
        <v>5.2768795379999993</v>
      </c>
      <c r="F93" s="822">
        <f>E93*'Input data'!$E$39*1000</f>
        <v>186351.24210051994</v>
      </c>
      <c r="G93" s="823">
        <f>F93/(D93*1000*365)</f>
        <v>3.3152684949389776E-4</v>
      </c>
      <c r="H93" s="840">
        <v>1540</v>
      </c>
      <c r="I93" s="821">
        <v>4.9853217259999996</v>
      </c>
      <c r="J93" s="822">
        <f>I93*'Input data'!$E$39*1000</f>
        <v>176054.97514595868</v>
      </c>
      <c r="K93" s="823">
        <f>J93/(H93*1000*365)</f>
        <v>3.1320934912997455E-4</v>
      </c>
      <c r="Y93" s="747"/>
      <c r="Z93" s="747"/>
      <c r="AA93" s="747"/>
      <c r="AB93" s="747"/>
      <c r="AC93" s="747"/>
      <c r="AG93" s="666"/>
      <c r="AH93" s="666"/>
      <c r="AI93" s="666"/>
      <c r="AJ93" s="666"/>
      <c r="AK93" s="666"/>
      <c r="AL93" s="666"/>
      <c r="AM93" s="666"/>
    </row>
    <row r="94" spans="1:39" s="643" customFormat="1">
      <c r="B94" s="824" t="s">
        <v>1805</v>
      </c>
      <c r="C94" s="825"/>
      <c r="D94" s="840">
        <v>1938.52055</v>
      </c>
      <c r="E94" s="821">
        <v>4.0912459839999995</v>
      </c>
      <c r="F94" s="822">
        <f>E94*'Input data'!$E$39*1000</f>
        <v>144480.98831267349</v>
      </c>
      <c r="G94" s="823">
        <f t="shared" ref="G94:G150" si="0">F94/(D94*1000*365)</f>
        <v>2.0419609384296231E-4</v>
      </c>
      <c r="H94" s="840">
        <v>1785.61644</v>
      </c>
      <c r="I94" s="821">
        <v>4.1157233040000003</v>
      </c>
      <c r="J94" s="822">
        <f>I94*'Input data'!$E$39*1000</f>
        <v>145345.39671018277</v>
      </c>
      <c r="K94" s="823">
        <f t="shared" ref="K94:K150" si="1">J94/(H94*1000*365)</f>
        <v>2.230078965498704E-4</v>
      </c>
      <c r="P94" s="816"/>
      <c r="S94" s="826"/>
      <c r="T94" s="826"/>
      <c r="U94" s="826"/>
      <c r="V94" s="826"/>
      <c r="W94" s="826"/>
      <c r="X94" s="826"/>
      <c r="Y94" s="747"/>
      <c r="Z94" s="747"/>
      <c r="AA94" s="747"/>
      <c r="AB94" s="747"/>
      <c r="AC94" s="747"/>
    </row>
    <row r="95" spans="1:39" s="643" customFormat="1">
      <c r="B95" s="824" t="s">
        <v>1806</v>
      </c>
      <c r="C95" s="825"/>
      <c r="D95" s="840">
        <v>626.05613000000005</v>
      </c>
      <c r="E95" s="821">
        <v>0.3143882462</v>
      </c>
      <c r="F95" s="822">
        <f>E95*'Input data'!$E$39*1000</f>
        <v>11102.516128950541</v>
      </c>
      <c r="G95" s="823">
        <f t="shared" si="0"/>
        <v>4.8586462060652095E-5</v>
      </c>
      <c r="H95" s="840">
        <v>581.43262000000004</v>
      </c>
      <c r="I95" s="821">
        <v>0.31077115160000002</v>
      </c>
      <c r="J95" s="822">
        <f>I95*'Input data'!$E$39*1000</f>
        <v>10974.779638729171</v>
      </c>
      <c r="K95" s="823">
        <f t="shared" si="1"/>
        <v>5.1713454641013792E-5</v>
      </c>
      <c r="L95" s="785"/>
      <c r="Y95" s="747"/>
      <c r="Z95" s="747"/>
      <c r="AA95" s="747"/>
      <c r="AB95" s="747"/>
      <c r="AC95" s="747"/>
    </row>
    <row r="96" spans="1:39" s="643" customFormat="1">
      <c r="B96" s="824" t="s">
        <v>1807</v>
      </c>
      <c r="C96" s="825"/>
      <c r="D96" s="840">
        <v>484.16986000000003</v>
      </c>
      <c r="E96" s="821">
        <v>0.33447770999999998</v>
      </c>
      <c r="F96" s="822">
        <f>E96*'Input data'!$E$39*1000</f>
        <v>11811.968847229256</v>
      </c>
      <c r="G96" s="823">
        <f t="shared" si="0"/>
        <v>6.6839266875388747E-5</v>
      </c>
      <c r="H96" s="840">
        <v>409.67397</v>
      </c>
      <c r="I96" s="821">
        <v>0.31161620699999998</v>
      </c>
      <c r="J96" s="822">
        <f>I96*'Input data'!$E$39*1000</f>
        <v>11004.622488523206</v>
      </c>
      <c r="K96" s="823">
        <f t="shared" si="1"/>
        <v>7.3594255093845082E-5</v>
      </c>
      <c r="Y96" s="747"/>
      <c r="Z96" s="747"/>
      <c r="AA96" s="747"/>
      <c r="AB96" s="747"/>
      <c r="AC96" s="747"/>
      <c r="AD96" s="747"/>
      <c r="AE96" s="747"/>
    </row>
    <row r="97" spans="2:31" s="643" customFormat="1">
      <c r="B97" s="824" t="s">
        <v>1808</v>
      </c>
      <c r="C97" s="825"/>
      <c r="D97" s="840">
        <v>1034.6274000000001</v>
      </c>
      <c r="E97" s="821">
        <v>0.12625733624000002</v>
      </c>
      <c r="F97" s="822">
        <f>E97*'Input data'!$E$39*1000</f>
        <v>4458.7357477454316</v>
      </c>
      <c r="G97" s="823">
        <f t="shared" si="0"/>
        <v>1.1806873061147176E-5</v>
      </c>
      <c r="H97" s="840">
        <v>982.99451999999997</v>
      </c>
      <c r="I97" s="821">
        <v>0.25263044099999998</v>
      </c>
      <c r="J97" s="822">
        <f>I97*'Input data'!$E$39*1000</f>
        <v>8921.5598221890141</v>
      </c>
      <c r="K97" s="823">
        <f t="shared" si="1"/>
        <v>2.4865479056620697E-5</v>
      </c>
      <c r="Y97" s="747"/>
      <c r="Z97" s="747"/>
      <c r="AA97" s="747"/>
      <c r="AB97" s="747"/>
      <c r="AC97" s="747"/>
      <c r="AD97" s="747"/>
      <c r="AE97" s="747"/>
    </row>
    <row r="98" spans="2:31" s="643" customFormat="1">
      <c r="B98" s="824" t="s">
        <v>1809</v>
      </c>
      <c r="C98" s="825"/>
      <c r="D98" s="840">
        <v>34.541670000000003</v>
      </c>
      <c r="E98" s="821">
        <v>7.7654739259999994E-2</v>
      </c>
      <c r="F98" s="822">
        <f>E98*'Input data'!$E$39*1000</f>
        <v>2742.351234642304</v>
      </c>
      <c r="G98" s="823">
        <f t="shared" si="0"/>
        <v>2.1751383340222201E-4</v>
      </c>
      <c r="H98" s="840">
        <v>35.515070000000001</v>
      </c>
      <c r="I98" s="821">
        <v>8.9109760600000004E-2</v>
      </c>
      <c r="J98" s="822">
        <f>I98*'Input data'!$E$39*1000</f>
        <v>3146.8814953057918</v>
      </c>
      <c r="K98" s="823">
        <f t="shared" si="1"/>
        <v>2.4275872574161015E-4</v>
      </c>
      <c r="Y98" s="747"/>
      <c r="Z98" s="747"/>
      <c r="AA98" s="747"/>
      <c r="AB98" s="747"/>
      <c r="AC98" s="747"/>
      <c r="AD98" s="747"/>
      <c r="AE98" s="747"/>
    </row>
    <row r="99" spans="2:31" s="643" customFormat="1">
      <c r="B99" s="824" t="s">
        <v>1810</v>
      </c>
      <c r="C99" s="825"/>
      <c r="D99" s="840">
        <v>2054.6679899999999</v>
      </c>
      <c r="E99" s="821">
        <v>1.1199478332000001</v>
      </c>
      <c r="F99" s="822">
        <f>E99*'Input data'!$E$39*1000</f>
        <v>39550.584450845192</v>
      </c>
      <c r="G99" s="823">
        <f t="shared" si="0"/>
        <v>5.273736007283296E-5</v>
      </c>
      <c r="H99" s="840">
        <v>2105.40798</v>
      </c>
      <c r="I99" s="821">
        <v>0.97375609520000006</v>
      </c>
      <c r="J99" s="822">
        <f>I99*'Input data'!$E$39*1000</f>
        <v>34387.871949081469</v>
      </c>
      <c r="K99" s="823">
        <f t="shared" si="1"/>
        <v>4.4748261952394921E-5</v>
      </c>
      <c r="Y99" s="747"/>
      <c r="Z99" s="747"/>
      <c r="AA99" s="747"/>
      <c r="AB99" s="747"/>
      <c r="AC99" s="747"/>
      <c r="AD99" s="747"/>
      <c r="AE99" s="747"/>
    </row>
    <row r="100" spans="2:31" s="643" customFormat="1">
      <c r="B100" s="824" t="s">
        <v>1811</v>
      </c>
      <c r="C100" s="825"/>
      <c r="D100" s="840">
        <v>136.16164000000001</v>
      </c>
      <c r="E100" s="821">
        <v>0.15861495678000001</v>
      </c>
      <c r="F100" s="822">
        <f>E100*'Input data'!$E$39*1000</f>
        <v>5601.4343323206049</v>
      </c>
      <c r="G100" s="823">
        <f t="shared" si="0"/>
        <v>1.1270718706836488E-4</v>
      </c>
      <c r="H100" s="840">
        <v>125.93425000000001</v>
      </c>
      <c r="I100" s="821">
        <v>0.16774364053999999</v>
      </c>
      <c r="J100" s="822">
        <f>I100*'Input data'!$E$39*1000</f>
        <v>5923.8107567147072</v>
      </c>
      <c r="K100" s="823">
        <f t="shared" si="1"/>
        <v>1.2887374571688912E-4</v>
      </c>
      <c r="Y100" s="747"/>
      <c r="Z100" s="747"/>
      <c r="AA100" s="747"/>
      <c r="AB100" s="747"/>
      <c r="AC100" s="747"/>
      <c r="AD100" s="747"/>
      <c r="AE100" s="747"/>
    </row>
    <row r="101" spans="2:31" s="643" customFormat="1" ht="17.25">
      <c r="B101" s="824" t="s">
        <v>1812</v>
      </c>
      <c r="C101" s="825"/>
      <c r="D101" s="840">
        <v>65</v>
      </c>
      <c r="E101" s="821">
        <v>0.99544065459999997</v>
      </c>
      <c r="F101" s="822">
        <f>E101*'Input data'!$E$39*1000</f>
        <v>35153.654936828818</v>
      </c>
      <c r="G101" s="823">
        <f t="shared" si="0"/>
        <v>1.481713590593417E-3</v>
      </c>
      <c r="H101" s="840">
        <v>61.660269999999997</v>
      </c>
      <c r="I101" s="821">
        <v>0.83239289559999996</v>
      </c>
      <c r="J101" s="822">
        <f>I101*'Input data'!$E$39*1000</f>
        <v>29395.677671561891</v>
      </c>
      <c r="K101" s="823">
        <f t="shared" si="1"/>
        <v>1.306126346993917E-3</v>
      </c>
      <c r="N101" s="844"/>
      <c r="O101" s="844"/>
      <c r="P101" s="844"/>
      <c r="Q101" s="844"/>
      <c r="R101" s="844"/>
      <c r="S101" s="844"/>
      <c r="T101" s="844"/>
      <c r="Y101" s="747"/>
      <c r="Z101" s="747"/>
      <c r="AA101" s="747"/>
      <c r="AB101" s="747"/>
      <c r="AC101" s="747"/>
      <c r="AD101" s="747"/>
      <c r="AE101" s="747"/>
    </row>
    <row r="102" spans="2:31" s="643" customFormat="1" ht="17.25">
      <c r="B102" s="824" t="s">
        <v>1843</v>
      </c>
      <c r="C102" s="825"/>
      <c r="D102" s="840">
        <v>2731.5313999999998</v>
      </c>
      <c r="E102" s="821">
        <v>2.5417811146</v>
      </c>
      <c r="F102" s="822">
        <f>E102*'Input data'!$E$39*1000</f>
        <v>89762.152886453492</v>
      </c>
      <c r="G102" s="823">
        <f t="shared" si="0"/>
        <v>9.0031440436023812E-5</v>
      </c>
      <c r="H102" s="840">
        <v>2904.1616399999998</v>
      </c>
      <c r="I102" s="821">
        <v>2.4489203017999999</v>
      </c>
      <c r="J102" s="822">
        <f>I102*'Input data'!$E$39*1000</f>
        <v>86482.804232930386</v>
      </c>
      <c r="K102" s="823">
        <f t="shared" si="1"/>
        <v>8.1586088878737948E-5</v>
      </c>
      <c r="N102" s="844"/>
      <c r="O102" s="844"/>
      <c r="P102" s="844"/>
      <c r="Q102" s="844"/>
      <c r="R102" s="844"/>
      <c r="S102" s="844"/>
      <c r="T102" s="844"/>
      <c r="Y102" s="747"/>
      <c r="Z102" s="747"/>
      <c r="AA102" s="747"/>
      <c r="AB102" s="747"/>
      <c r="AC102" s="747"/>
      <c r="AD102" s="747"/>
      <c r="AE102" s="747"/>
    </row>
    <row r="103" spans="2:31" s="643" customFormat="1">
      <c r="B103" s="824" t="s">
        <v>1813</v>
      </c>
      <c r="C103" s="825"/>
      <c r="D103" s="840">
        <v>126.16986</v>
      </c>
      <c r="E103" s="821">
        <v>5.1912238139999997E-2</v>
      </c>
      <c r="F103" s="822">
        <f>E103*'Input data'!$E$39*1000</f>
        <v>1833.2633875651277</v>
      </c>
      <c r="G103" s="823">
        <f t="shared" si="0"/>
        <v>3.9808551883838592E-5</v>
      </c>
      <c r="H103" s="840">
        <v>123.65752999999999</v>
      </c>
      <c r="I103" s="821">
        <v>5.4549367459999991E-2</v>
      </c>
      <c r="J103" s="822">
        <f>I103*'Input data'!$E$39*1000</f>
        <v>1926.392730545725</v>
      </c>
      <c r="K103" s="823">
        <f t="shared" si="1"/>
        <v>4.2680686755307175E-5</v>
      </c>
      <c r="N103"/>
      <c r="O103"/>
      <c r="P103"/>
      <c r="Q103"/>
      <c r="R103"/>
      <c r="S103"/>
      <c r="T103"/>
      <c r="Y103" s="747"/>
      <c r="Z103" s="747"/>
      <c r="AA103" s="747"/>
      <c r="AB103" s="747"/>
      <c r="AC103" s="747"/>
      <c r="AD103" s="747"/>
      <c r="AE103" s="747"/>
    </row>
    <row r="104" spans="2:31" s="643" customFormat="1">
      <c r="B104" s="824" t="s">
        <v>1814</v>
      </c>
      <c r="C104" s="825"/>
      <c r="D104" s="840">
        <v>4.1643800000000004</v>
      </c>
      <c r="E104" s="821">
        <v>4.3333158259999997E-2</v>
      </c>
      <c r="F104" s="822">
        <f>E104*'Input data'!$E$39*1000</f>
        <v>1530.2960410102517</v>
      </c>
      <c r="G104" s="823">
        <f t="shared" si="0"/>
        <v>1.0067745722481551E-3</v>
      </c>
      <c r="H104" s="840">
        <v>4.5862999999999996</v>
      </c>
      <c r="I104" s="821">
        <v>2.1384133946E-2</v>
      </c>
      <c r="J104" s="822">
        <f>I104*'Input data'!$E$39*1000</f>
        <v>755.17356297114566</v>
      </c>
      <c r="K104" s="823">
        <f t="shared" si="1"/>
        <v>4.5111934798734753E-4</v>
      </c>
      <c r="N104"/>
      <c r="O104"/>
      <c r="P104"/>
      <c r="Q104"/>
      <c r="R104"/>
      <c r="S104"/>
      <c r="T104"/>
      <c r="Y104" s="747"/>
      <c r="Z104" s="747"/>
      <c r="AA104" s="747"/>
      <c r="AB104" s="747"/>
      <c r="AC104" s="747"/>
      <c r="AD104" s="747"/>
      <c r="AE104" s="747"/>
    </row>
    <row r="105" spans="2:31" s="643" customFormat="1">
      <c r="B105" s="824" t="s">
        <v>1844</v>
      </c>
      <c r="C105" s="825"/>
      <c r="D105" s="840">
        <v>4078.3602700000001</v>
      </c>
      <c r="E105" s="821">
        <v>2.4975493046000001</v>
      </c>
      <c r="F105" s="822">
        <f>E105*'Input data'!$E$39*1000</f>
        <v>88200.121258765779</v>
      </c>
      <c r="G105" s="823">
        <f t="shared" si="0"/>
        <v>5.9250324109359526E-5</v>
      </c>
      <c r="H105" s="840">
        <v>4058.6852100000001</v>
      </c>
      <c r="I105" s="821">
        <v>2.6047115010000002</v>
      </c>
      <c r="J105" s="822">
        <f>I105*'Input data'!$E$39*1000</f>
        <v>91984.518507471716</v>
      </c>
      <c r="K105" s="823">
        <f t="shared" si="1"/>
        <v>6.2092122555256079E-5</v>
      </c>
      <c r="N105"/>
      <c r="O105"/>
      <c r="P105"/>
      <c r="Q105"/>
      <c r="R105"/>
      <c r="S105"/>
      <c r="T105"/>
      <c r="Y105" s="747"/>
      <c r="Z105" s="747"/>
      <c r="AA105" s="747"/>
      <c r="AB105" s="747"/>
      <c r="AC105" s="747"/>
      <c r="AD105" s="747"/>
      <c r="AE105" s="747"/>
    </row>
    <row r="106" spans="2:31" s="643" customFormat="1">
      <c r="B106" s="824" t="s">
        <v>1815</v>
      </c>
      <c r="C106" s="825"/>
      <c r="D106" s="840">
        <v>785.52621999999997</v>
      </c>
      <c r="E106" s="821">
        <v>0.73444480619999997</v>
      </c>
      <c r="F106" s="822">
        <f>E106*'Input data'!$E$39*1000</f>
        <v>25936.67354049909</v>
      </c>
      <c r="G106" s="823">
        <f t="shared" si="0"/>
        <v>9.0460862736079271E-5</v>
      </c>
      <c r="H106" s="840">
        <v>914.25441999999998</v>
      </c>
      <c r="I106" s="821">
        <v>0.73696728420000002</v>
      </c>
      <c r="J106" s="822">
        <f>I106*'Input data'!$E$39*1000</f>
        <v>26025.754010327171</v>
      </c>
      <c r="K106" s="823">
        <f t="shared" si="1"/>
        <v>7.799080221535269E-5</v>
      </c>
      <c r="Y106" s="747"/>
      <c r="Z106" s="747"/>
      <c r="AA106" s="747"/>
      <c r="AB106" s="747"/>
      <c r="AC106" s="747"/>
      <c r="AD106" s="747"/>
      <c r="AE106" s="747"/>
    </row>
    <row r="107" spans="2:31" s="643" customFormat="1">
      <c r="B107" s="824" t="s">
        <v>1816</v>
      </c>
      <c r="C107" s="825"/>
      <c r="D107" s="840">
        <v>326</v>
      </c>
      <c r="E107" s="821">
        <v>1.7747215696</v>
      </c>
      <c r="F107" s="822">
        <f>E107*'Input data'!$E$39*1000</f>
        <v>62673.700715724852</v>
      </c>
      <c r="G107" s="823">
        <f t="shared" si="0"/>
        <v>5.2671401559563704E-4</v>
      </c>
      <c r="H107" s="840">
        <v>310.16163999999998</v>
      </c>
      <c r="I107" s="821">
        <v>1.4120110452000001</v>
      </c>
      <c r="J107" s="822">
        <f>I107*'Input data'!$E$39*1000</f>
        <v>49864.699437956631</v>
      </c>
      <c r="K107" s="823">
        <f t="shared" si="1"/>
        <v>4.4046586450378374E-4</v>
      </c>
      <c r="Y107" s="747"/>
      <c r="Z107" s="747"/>
      <c r="AA107" s="747"/>
      <c r="AB107" s="747"/>
      <c r="AC107" s="747"/>
      <c r="AD107" s="747"/>
      <c r="AE107" s="747"/>
    </row>
    <row r="108" spans="2:31" s="643" customFormat="1">
      <c r="B108" s="824" t="s">
        <v>1817</v>
      </c>
      <c r="C108" s="825"/>
      <c r="D108" s="840">
        <v>245.35943</v>
      </c>
      <c r="E108" s="821">
        <v>8.0580603599999995E-2</v>
      </c>
      <c r="F108" s="822">
        <f>E108*'Input data'!$E$39*1000</f>
        <v>2845.6771586188197</v>
      </c>
      <c r="G108" s="823">
        <f t="shared" si="0"/>
        <v>3.1775325599011464E-5</v>
      </c>
      <c r="H108" s="840">
        <v>221.14635000000001</v>
      </c>
      <c r="I108" s="821">
        <v>0.10005869566</v>
      </c>
      <c r="J108" s="822">
        <f>I108*'Input data'!$E$39*1000</f>
        <v>3533.5394876696364</v>
      </c>
      <c r="K108" s="823">
        <f t="shared" si="1"/>
        <v>4.37761242869461E-5</v>
      </c>
      <c r="Y108" s="747"/>
      <c r="Z108" s="747"/>
      <c r="AA108" s="747"/>
      <c r="AB108" s="747"/>
      <c r="AC108" s="747"/>
      <c r="AD108" s="747"/>
      <c r="AE108" s="747"/>
    </row>
    <row r="109" spans="2:31" s="643" customFormat="1">
      <c r="B109" s="824" t="s">
        <v>1818</v>
      </c>
      <c r="C109" s="825"/>
      <c r="D109" s="840">
        <v>486.08701000000002</v>
      </c>
      <c r="E109" s="827">
        <v>1.4149592562</v>
      </c>
      <c r="F109" s="822">
        <f>E109*'Input data'!$E$39*1000</f>
        <v>49968.814526782902</v>
      </c>
      <c r="G109" s="823">
        <f t="shared" si="0"/>
        <v>2.8163859329878701E-4</v>
      </c>
      <c r="H109" s="840">
        <v>499.51301999999998</v>
      </c>
      <c r="I109" s="821">
        <v>1.3135262209999998</v>
      </c>
      <c r="J109" s="822">
        <f>I109*'Input data'!$E$39*1000</f>
        <v>46386.740696325534</v>
      </c>
      <c r="K109" s="823">
        <f t="shared" si="1"/>
        <v>2.5442171820036003E-4</v>
      </c>
      <c r="Y109" s="747"/>
      <c r="Z109" s="747"/>
      <c r="AA109" s="747"/>
      <c r="AB109" s="747"/>
      <c r="AC109" s="747"/>
      <c r="AD109" s="747"/>
      <c r="AE109" s="747"/>
    </row>
    <row r="110" spans="2:31" s="643" customFormat="1">
      <c r="B110" s="824" t="s">
        <v>1819</v>
      </c>
      <c r="C110" s="825"/>
      <c r="D110" s="840">
        <v>575.15067999999997</v>
      </c>
      <c r="E110" s="821">
        <v>1.6019373062</v>
      </c>
      <c r="F110" s="822">
        <f>E110*'Input data'!$E$39*1000</f>
        <v>56571.882042748839</v>
      </c>
      <c r="G110" s="823">
        <f t="shared" si="0"/>
        <v>2.6947974338023333E-4</v>
      </c>
      <c r="H110" s="840">
        <v>566.47397000000001</v>
      </c>
      <c r="I110" s="821">
        <v>1.6148853616000001</v>
      </c>
      <c r="J110" s="822">
        <f>I110*'Input data'!$E$39*1000</f>
        <v>57029.138303612977</v>
      </c>
      <c r="K110" s="823">
        <f t="shared" si="1"/>
        <v>2.75818877486015E-4</v>
      </c>
      <c r="Y110" s="747"/>
      <c r="Z110" s="747"/>
      <c r="AA110" s="747"/>
      <c r="AB110" s="747"/>
      <c r="AC110" s="747"/>
      <c r="AD110" s="747"/>
      <c r="AE110" s="747"/>
    </row>
    <row r="111" spans="2:31" s="643" customFormat="1">
      <c r="B111" s="824" t="s">
        <v>1820</v>
      </c>
      <c r="C111" s="825"/>
      <c r="D111" s="840">
        <v>297.78073999999998</v>
      </c>
      <c r="E111" s="821">
        <v>1.1241975023999999</v>
      </c>
      <c r="F111" s="822">
        <f>E111*'Input data'!$E$39*1000</f>
        <v>39700.660102228445</v>
      </c>
      <c r="G111" s="823">
        <f t="shared" si="0"/>
        <v>3.6526516720633865E-4</v>
      </c>
      <c r="H111" s="840">
        <v>276.87022000000002</v>
      </c>
      <c r="I111" s="821">
        <v>1.0401631814000001</v>
      </c>
      <c r="J111" s="822">
        <f>I111*'Input data'!$E$39*1000</f>
        <v>36733.016064752643</v>
      </c>
      <c r="K111" s="823">
        <f t="shared" si="1"/>
        <v>3.6348582443212742E-4</v>
      </c>
      <c r="Y111" s="747"/>
      <c r="Z111" s="747"/>
      <c r="AA111" s="747"/>
      <c r="AB111" s="747"/>
      <c r="AC111" s="747"/>
      <c r="AD111" s="747"/>
      <c r="AE111" s="747"/>
    </row>
    <row r="112" spans="2:31" s="643" customFormat="1">
      <c r="B112" s="824" t="s">
        <v>1821</v>
      </c>
      <c r="C112" s="825"/>
      <c r="D112" s="840">
        <v>245.87671</v>
      </c>
      <c r="E112" s="827">
        <v>1.6627296111999998</v>
      </c>
      <c r="F112" s="822">
        <f>E112*'Input data'!$E$39*1000</f>
        <v>58718.742031748574</v>
      </c>
      <c r="G112" s="823">
        <f t="shared" si="0"/>
        <v>6.5428427865496931E-4</v>
      </c>
      <c r="H112" s="840">
        <v>244.72328999999999</v>
      </c>
      <c r="I112" s="821">
        <v>1.4217138474</v>
      </c>
      <c r="J112" s="822">
        <f>I112*'Input data'!$E$39*1000</f>
        <v>50207.350663705656</v>
      </c>
      <c r="K112" s="823">
        <f t="shared" si="1"/>
        <v>5.6208130162035453E-4</v>
      </c>
      <c r="Y112" s="747"/>
      <c r="Z112" s="747"/>
      <c r="AA112" s="747"/>
      <c r="AB112" s="747"/>
      <c r="AC112" s="747"/>
      <c r="AD112" s="747"/>
      <c r="AE112" s="747"/>
    </row>
    <row r="113" spans="2:31" s="643" customFormat="1">
      <c r="B113" s="824" t="s">
        <v>1822</v>
      </c>
      <c r="C113" s="825"/>
      <c r="D113" s="840">
        <v>7.1890400000000003</v>
      </c>
      <c r="E113" s="827">
        <v>2.7380034359999996E-2</v>
      </c>
      <c r="F113" s="822">
        <f>E113*'Input data'!$E$39*1000</f>
        <v>966.91678765794757</v>
      </c>
      <c r="G113" s="823">
        <f t="shared" si="0"/>
        <v>3.6848968561502352E-4</v>
      </c>
      <c r="H113" s="840">
        <v>76.512330000000006</v>
      </c>
      <c r="I113" s="821">
        <v>0.18406691141999998</v>
      </c>
      <c r="J113" s="822">
        <f>I113*'Input data'!$E$39*1000</f>
        <v>6500.2616272957221</v>
      </c>
      <c r="K113" s="823">
        <f t="shared" si="1"/>
        <v>2.3275903328514187E-4</v>
      </c>
      <c r="Y113" s="747"/>
      <c r="Z113" s="747"/>
      <c r="AA113" s="747"/>
      <c r="AB113" s="747"/>
      <c r="AC113" s="747"/>
      <c r="AD113" s="747"/>
      <c r="AE113" s="747"/>
    </row>
    <row r="114" spans="2:31" s="643" customFormat="1">
      <c r="B114" s="824" t="s">
        <v>1823</v>
      </c>
      <c r="C114" s="825"/>
      <c r="D114" s="840">
        <v>751.30002999999999</v>
      </c>
      <c r="E114" s="827">
        <v>0.89603437979999989</v>
      </c>
      <c r="F114" s="822">
        <f>E114*'Input data'!$E$39*1000</f>
        <v>31643.155474378204</v>
      </c>
      <c r="G114" s="823">
        <f t="shared" si="0"/>
        <v>1.1539141911405496E-4</v>
      </c>
      <c r="H114" s="840">
        <v>782.34082999999998</v>
      </c>
      <c r="I114" s="821">
        <v>0.89969110839999999</v>
      </c>
      <c r="J114" s="822">
        <f>I114*'Input data'!$E$39*1000</f>
        <v>31772.291626099566</v>
      </c>
      <c r="K114" s="823">
        <f t="shared" si="1"/>
        <v>1.1126528359523433E-4</v>
      </c>
      <c r="Y114" s="747"/>
      <c r="Z114" s="747"/>
      <c r="AA114" s="747"/>
      <c r="AB114" s="747"/>
      <c r="AC114" s="747"/>
      <c r="AD114" s="747"/>
      <c r="AE114" s="747"/>
    </row>
    <row r="115" spans="2:31" s="643" customFormat="1">
      <c r="B115" s="824" t="s">
        <v>1845</v>
      </c>
      <c r="C115" s="825"/>
      <c r="D115" s="840">
        <v>953.14795000000004</v>
      </c>
      <c r="E115" s="821">
        <v>2.209435102</v>
      </c>
      <c r="F115" s="822">
        <f>E115*'Input data'!$E$39*1000</f>
        <v>78025.46422241049</v>
      </c>
      <c r="G115" s="823">
        <f t="shared" si="0"/>
        <v>2.2427619461374464E-4</v>
      </c>
      <c r="H115" s="840">
        <v>917.91781000000003</v>
      </c>
      <c r="I115" s="821">
        <v>2.1904436595999996</v>
      </c>
      <c r="J115" s="822">
        <f>I115*'Input data'!$E$39*1000</f>
        <v>77354.787763902234</v>
      </c>
      <c r="K115" s="823">
        <f t="shared" si="1"/>
        <v>2.3088224574328069E-4</v>
      </c>
      <c r="Y115" s="747"/>
      <c r="Z115" s="747"/>
      <c r="AA115" s="747"/>
      <c r="AB115" s="747"/>
      <c r="AC115" s="747"/>
      <c r="AD115" s="747"/>
      <c r="AE115" s="747"/>
    </row>
    <row r="116" spans="2:31" s="643" customFormat="1">
      <c r="B116" s="824" t="s">
        <v>1846</v>
      </c>
      <c r="C116" s="825"/>
      <c r="D116" s="840">
        <v>4080.4189500000002</v>
      </c>
      <c r="E116" s="821">
        <v>11.3321054</v>
      </c>
      <c r="F116" s="822">
        <f>E116*'Input data'!$E$39*1000</f>
        <v>400189.52521027013</v>
      </c>
      <c r="G116" s="823">
        <f t="shared" si="0"/>
        <v>2.6870026620926489E-4</v>
      </c>
      <c r="H116" s="840">
        <v>4054</v>
      </c>
      <c r="I116" s="821">
        <v>11.354927667999998</v>
      </c>
      <c r="J116" s="822">
        <f>I116*'Input data'!$E$39*1000</f>
        <v>400995.48599802819</v>
      </c>
      <c r="K116" s="823">
        <f t="shared" si="1"/>
        <v>2.7099599651149767E-4</v>
      </c>
      <c r="Y116" s="747"/>
      <c r="Z116" s="747"/>
      <c r="AA116" s="747"/>
      <c r="AB116" s="747"/>
      <c r="AC116" s="747"/>
      <c r="AD116" s="747"/>
      <c r="AE116" s="747"/>
    </row>
    <row r="117" spans="2:31" s="643" customFormat="1">
      <c r="B117" s="824" t="s">
        <v>1847</v>
      </c>
      <c r="C117" s="825"/>
      <c r="D117" s="840">
        <v>2399.3025299999999</v>
      </c>
      <c r="E117" s="821">
        <v>9.0498948259999992</v>
      </c>
      <c r="F117" s="822">
        <f>E117*'Input data'!$E$39*1000</f>
        <v>319594.01945024444</v>
      </c>
      <c r="G117" s="823">
        <f t="shared" si="0"/>
        <v>3.6493941149153084E-4</v>
      </c>
      <c r="H117" s="840">
        <v>2625.6849299999999</v>
      </c>
      <c r="I117" s="821">
        <v>9.3534143919999995</v>
      </c>
      <c r="J117" s="822">
        <f>I117*'Input data'!$E$39*1000</f>
        <v>330312.71176046313</v>
      </c>
      <c r="K117" s="823">
        <f t="shared" si="1"/>
        <v>3.4465914902832991E-4</v>
      </c>
      <c r="Y117" s="747"/>
      <c r="Z117" s="747"/>
      <c r="AA117" s="747"/>
      <c r="AB117" s="747"/>
      <c r="AC117" s="747"/>
      <c r="AD117" s="747"/>
      <c r="AE117" s="747"/>
    </row>
    <row r="118" spans="2:31" s="643" customFormat="1">
      <c r="B118" s="824" t="s">
        <v>1848</v>
      </c>
      <c r="C118" s="825"/>
      <c r="D118" s="840">
        <v>1525.19866</v>
      </c>
      <c r="E118" s="821">
        <v>3.8228764559999999</v>
      </c>
      <c r="F118" s="822">
        <f>E118*'Input data'!$E$39*1000</f>
        <v>135003.60787891719</v>
      </c>
      <c r="G118" s="823">
        <f t="shared" si="0"/>
        <v>2.4250801420085385E-4</v>
      </c>
      <c r="H118" s="840">
        <v>1552.9369899999999</v>
      </c>
      <c r="I118" s="821">
        <v>4.681958302</v>
      </c>
      <c r="J118" s="822">
        <f>I118*'Input data'!$E$39*1000</f>
        <v>165341.79693842793</v>
      </c>
      <c r="K118" s="823">
        <f t="shared" si="1"/>
        <v>2.9169968093093309E-4</v>
      </c>
      <c r="Y118" s="747"/>
      <c r="Z118" s="747"/>
      <c r="AA118" s="747"/>
      <c r="AB118" s="747"/>
      <c r="AC118" s="747"/>
      <c r="AD118" s="747"/>
      <c r="AE118" s="747"/>
    </row>
    <row r="119" spans="2:31" s="643" customFormat="1">
      <c r="B119" s="824" t="s">
        <v>1849</v>
      </c>
      <c r="C119" s="825"/>
      <c r="D119" s="840">
        <v>2300.4109600000002</v>
      </c>
      <c r="E119" s="821">
        <v>1.4604294557999999</v>
      </c>
      <c r="F119" s="822">
        <f>E119*'Input data'!$E$39*1000</f>
        <v>51574.579470439377</v>
      </c>
      <c r="G119" s="823">
        <f t="shared" si="0"/>
        <v>6.1423902156696025E-5</v>
      </c>
      <c r="H119" s="840">
        <v>2530.13699</v>
      </c>
      <c r="I119" s="821">
        <v>1.3844662131999999</v>
      </c>
      <c r="J119" s="822">
        <f>I119*'Input data'!$E$39*1000</f>
        <v>48891.96287656913</v>
      </c>
      <c r="K119" s="823">
        <f t="shared" si="1"/>
        <v>5.2942027942715106E-5</v>
      </c>
      <c r="Y119" s="747"/>
      <c r="Z119" s="747"/>
      <c r="AA119" s="747"/>
      <c r="AB119" s="747"/>
      <c r="AC119" s="747"/>
      <c r="AD119" s="747"/>
      <c r="AE119" s="747"/>
    </row>
    <row r="120" spans="2:31" s="643" customFormat="1">
      <c r="B120" s="824" t="s">
        <v>1850</v>
      </c>
      <c r="C120" s="825"/>
      <c r="D120" s="840">
        <v>1650</v>
      </c>
      <c r="E120" s="821">
        <v>3.8317845299999997</v>
      </c>
      <c r="F120" s="822">
        <f>E120*'Input data'!$E$39*1000</f>
        <v>135318.19354316613</v>
      </c>
      <c r="G120" s="823">
        <f t="shared" si="0"/>
        <v>2.2468774353369219E-4</v>
      </c>
      <c r="H120" s="840">
        <v>465.39726000000002</v>
      </c>
      <c r="I120" s="821">
        <v>2.2258811638</v>
      </c>
      <c r="J120" s="822">
        <f>I120*'Input data'!$E$39*1000</f>
        <v>78606.251413405102</v>
      </c>
      <c r="K120" s="823">
        <f t="shared" si="1"/>
        <v>4.6274357720421178E-4</v>
      </c>
      <c r="Y120" s="747"/>
      <c r="Z120" s="747"/>
      <c r="AA120" s="747"/>
      <c r="AB120" s="747"/>
      <c r="AC120" s="747"/>
      <c r="AD120" s="747"/>
      <c r="AE120" s="747"/>
    </row>
    <row r="121" spans="2:31" s="643" customFormat="1">
      <c r="B121" s="824" t="s">
        <v>1851</v>
      </c>
      <c r="C121" s="825"/>
      <c r="D121" s="840">
        <v>553.95964000000004</v>
      </c>
      <c r="E121" s="821">
        <v>1.4661674482</v>
      </c>
      <c r="F121" s="822">
        <f>E121*'Input data'!$E$39*1000</f>
        <v>51777.214759572511</v>
      </c>
      <c r="G121" s="823">
        <f t="shared" si="0"/>
        <v>2.5607530343354687E-4</v>
      </c>
      <c r="H121" s="840">
        <v>511.94520999999997</v>
      </c>
      <c r="I121" s="821">
        <v>1.6211937910000001</v>
      </c>
      <c r="J121" s="822">
        <f>I121*'Input data'!$E$39*1000</f>
        <v>57251.918385274461</v>
      </c>
      <c r="K121" s="823">
        <f t="shared" si="1"/>
        <v>3.0638937107851873E-4</v>
      </c>
      <c r="Y121" s="747"/>
      <c r="Z121" s="747"/>
      <c r="AA121" s="747"/>
      <c r="AB121" s="747"/>
      <c r="AC121" s="747"/>
      <c r="AD121" s="747"/>
      <c r="AE121" s="747"/>
    </row>
    <row r="122" spans="2:31" s="643" customFormat="1">
      <c r="B122" s="824" t="s">
        <v>1824</v>
      </c>
      <c r="C122" s="825"/>
      <c r="D122" s="840">
        <v>8.2322299999999995</v>
      </c>
      <c r="E122" s="821">
        <v>2.5009128213999997E-2</v>
      </c>
      <c r="F122" s="822">
        <f>E122*'Input data'!$E$39*1000</f>
        <v>883.18902733497612</v>
      </c>
      <c r="G122" s="823">
        <f t="shared" si="0"/>
        <v>2.9392958715940937E-4</v>
      </c>
      <c r="H122" s="840">
        <v>7.7376399999999999</v>
      </c>
      <c r="I122" s="821">
        <v>2.507141903E-2</v>
      </c>
      <c r="J122" s="822">
        <f>I122*'Input data'!$E$39*1000</f>
        <v>885.38880674048721</v>
      </c>
      <c r="K122" s="823">
        <f t="shared" si="1"/>
        <v>3.1349646121984429E-4</v>
      </c>
      <c r="Y122" s="747"/>
      <c r="Z122" s="747"/>
      <c r="AA122" s="747"/>
      <c r="AB122" s="747"/>
      <c r="AC122" s="747"/>
      <c r="AD122" s="747"/>
      <c r="AE122" s="747"/>
    </row>
    <row r="123" spans="2:31" s="643" customFormat="1">
      <c r="B123" s="824" t="s">
        <v>1852</v>
      </c>
      <c r="C123" s="825"/>
      <c r="D123" s="840">
        <v>2621.1388999999999</v>
      </c>
      <c r="E123" s="821">
        <v>2.8101828019999999</v>
      </c>
      <c r="F123" s="822">
        <f>E123*'Input data'!$E$39*1000</f>
        <v>99240.669018702072</v>
      </c>
      <c r="G123" s="823">
        <f t="shared" si="0"/>
        <v>1.0373057447922924E-4</v>
      </c>
      <c r="H123" s="840">
        <v>2596.2309100000002</v>
      </c>
      <c r="I123" s="821">
        <v>2.0897115344000001</v>
      </c>
      <c r="J123" s="822">
        <f>I123*'Input data'!$E$39*1000</f>
        <v>73797.466336481579</v>
      </c>
      <c r="K123" s="823">
        <f t="shared" si="1"/>
        <v>7.7876293090598677E-5</v>
      </c>
      <c r="Y123" s="747"/>
      <c r="Z123" s="747"/>
      <c r="AA123" s="747"/>
      <c r="AB123" s="747"/>
      <c r="AC123" s="747"/>
      <c r="AD123" s="747"/>
      <c r="AE123" s="747"/>
    </row>
    <row r="124" spans="2:31" s="643" customFormat="1">
      <c r="B124" s="824" t="s">
        <v>1825</v>
      </c>
      <c r="C124" s="825"/>
      <c r="D124" s="840">
        <v>20.328769999999999</v>
      </c>
      <c r="E124" s="821">
        <v>2.7820328199999998E-2</v>
      </c>
      <c r="F124" s="822">
        <f>E124*'Input data'!$E$39*1000</f>
        <v>982.46561786761072</v>
      </c>
      <c r="G124" s="823">
        <f t="shared" si="0"/>
        <v>1.3240774647432305E-4</v>
      </c>
      <c r="H124" s="840">
        <v>20</v>
      </c>
      <c r="I124" s="821">
        <v>3.056824386E-2</v>
      </c>
      <c r="J124" s="822">
        <f>I124*'Input data'!$E$39*1000</f>
        <v>1079.5073435202214</v>
      </c>
      <c r="K124" s="823">
        <f t="shared" si="1"/>
        <v>1.4787771829044129E-4</v>
      </c>
      <c r="Y124" s="747"/>
      <c r="Z124" s="747"/>
      <c r="AA124" s="747"/>
      <c r="AB124" s="747"/>
      <c r="AC124" s="747"/>
      <c r="AD124" s="747"/>
      <c r="AE124" s="747"/>
    </row>
    <row r="125" spans="2:31" s="643" customFormat="1">
      <c r="B125" s="824" t="s">
        <v>1826</v>
      </c>
      <c r="C125" s="825"/>
      <c r="D125" s="840">
        <v>53.038359999999997</v>
      </c>
      <c r="E125" s="821">
        <v>5.528083022E-2</v>
      </c>
      <c r="F125" s="822">
        <f>E125*'Input data'!$E$39*1000</f>
        <v>1952.2240941185876</v>
      </c>
      <c r="G125" s="823">
        <f t="shared" si="0"/>
        <v>1.0084322294220133E-4</v>
      </c>
      <c r="H125" s="840">
        <v>46.32329</v>
      </c>
      <c r="I125" s="821">
        <v>5.3967465860000001E-2</v>
      </c>
      <c r="J125" s="822">
        <f>I125*'Input data'!$E$39*1000</f>
        <v>1905.8430694895287</v>
      </c>
      <c r="K125" s="823">
        <f t="shared" si="1"/>
        <v>1.1271841576052018E-4</v>
      </c>
      <c r="Y125" s="747"/>
      <c r="Z125" s="747"/>
      <c r="AA125" s="747"/>
      <c r="AB125" s="747"/>
      <c r="AC125" s="747"/>
      <c r="AD125" s="747"/>
      <c r="AE125" s="747"/>
    </row>
    <row r="126" spans="2:31" s="643" customFormat="1">
      <c r="B126" s="824" t="s">
        <v>1853</v>
      </c>
      <c r="C126" s="825"/>
      <c r="D126" s="840">
        <v>2455.2602700000002</v>
      </c>
      <c r="E126" s="821">
        <v>16.468299999999999</v>
      </c>
      <c r="F126" s="822">
        <f>E126*'Input data'!$E$39*1000</f>
        <v>581572.52561560995</v>
      </c>
      <c r="G126" s="823">
        <f t="shared" si="0"/>
        <v>6.4895335322159007E-4</v>
      </c>
      <c r="H126" s="840">
        <v>2550.34521</v>
      </c>
      <c r="I126" s="821">
        <v>17.5291</v>
      </c>
      <c r="J126" s="822">
        <f>I126*'Input data'!$E$39*1000</f>
        <v>619034.32405096991</v>
      </c>
      <c r="K126" s="823">
        <f t="shared" si="1"/>
        <v>6.6500191535039761E-4</v>
      </c>
      <c r="L126" s="643" t="s">
        <v>3782</v>
      </c>
      <c r="Y126" s="747"/>
      <c r="Z126" s="747"/>
      <c r="AA126" s="747"/>
      <c r="AB126" s="747"/>
      <c r="AC126" s="747"/>
      <c r="AD126" s="747"/>
      <c r="AE126" s="747"/>
    </row>
    <row r="127" spans="2:31" s="643" customFormat="1">
      <c r="B127" s="824" t="s">
        <v>1827</v>
      </c>
      <c r="C127" s="825"/>
      <c r="D127" s="840">
        <v>1869.2821899999999</v>
      </c>
      <c r="E127" s="821">
        <v>0.31979381839999999</v>
      </c>
      <c r="F127" s="822">
        <f>E127*'Input data'!$E$39*1000</f>
        <v>11293.412109516325</v>
      </c>
      <c r="G127" s="823">
        <f t="shared" si="0"/>
        <v>1.6552265495326455E-5</v>
      </c>
      <c r="H127" s="840">
        <v>1752.2411</v>
      </c>
      <c r="I127" s="821">
        <v>0.32660046579999996</v>
      </c>
      <c r="J127" s="822">
        <f>I127*'Input data'!$E$39*1000</f>
        <v>11533.786593791745</v>
      </c>
      <c r="K127" s="823">
        <f t="shared" si="1"/>
        <v>1.8033714267663758E-5</v>
      </c>
      <c r="Y127" s="747"/>
      <c r="Z127" s="747"/>
      <c r="AA127" s="747"/>
      <c r="AB127" s="747"/>
      <c r="AC127" s="747"/>
      <c r="AD127" s="747"/>
      <c r="AE127" s="747"/>
    </row>
    <row r="128" spans="2:31" s="643" customFormat="1">
      <c r="B128" s="824" t="s">
        <v>1854</v>
      </c>
      <c r="C128" s="825"/>
      <c r="D128" s="840">
        <v>864.58789999999999</v>
      </c>
      <c r="E128" s="821">
        <v>1.6200825228</v>
      </c>
      <c r="F128" s="822">
        <f>E128*'Input data'!$E$39*1000</f>
        <v>57212.674319177146</v>
      </c>
      <c r="G128" s="823">
        <f t="shared" si="0"/>
        <v>1.8129683856233988E-4</v>
      </c>
      <c r="H128" s="840">
        <v>885.68191999999999</v>
      </c>
      <c r="I128" s="821">
        <v>1.6208241308</v>
      </c>
      <c r="J128" s="822">
        <f>I128*'Input data'!$E$39*1000</f>
        <v>57238.8639585192</v>
      </c>
      <c r="K128" s="823">
        <f t="shared" si="1"/>
        <v>1.7705996004277249E-4</v>
      </c>
      <c r="Y128" s="747"/>
      <c r="Z128" s="747"/>
      <c r="AA128" s="747"/>
      <c r="AB128" s="747"/>
      <c r="AC128" s="747"/>
      <c r="AD128" s="747"/>
      <c r="AE128" s="747"/>
    </row>
    <row r="129" spans="2:31" s="643" customFormat="1">
      <c r="B129" s="824" t="s">
        <v>1828</v>
      </c>
      <c r="C129" s="825"/>
      <c r="D129" s="840">
        <v>72.688410000000005</v>
      </c>
      <c r="E129" s="821">
        <v>9.5857353340000007E-2</v>
      </c>
      <c r="F129" s="822">
        <f>E129*'Input data'!$E$39*1000</f>
        <v>3385.1704839462313</v>
      </c>
      <c r="G129" s="823">
        <f t="shared" si="0"/>
        <v>1.2759172586172224E-4</v>
      </c>
      <c r="H129" s="840">
        <v>69.544060000000002</v>
      </c>
      <c r="I129" s="821">
        <v>6.4149158499999998E-2</v>
      </c>
      <c r="J129" s="822">
        <f>I129*'Input data'!$E$39*1000</f>
        <v>2265.4061515129715</v>
      </c>
      <c r="K129" s="823">
        <f t="shared" si="1"/>
        <v>8.9246906147353921E-5</v>
      </c>
      <c r="Y129" s="747"/>
      <c r="Z129" s="747"/>
      <c r="AA129" s="747"/>
      <c r="AB129" s="747"/>
      <c r="AC129" s="747"/>
      <c r="AD129" s="747"/>
      <c r="AE129" s="747"/>
    </row>
    <row r="130" spans="2:31" s="643" customFormat="1">
      <c r="B130" s="824" t="s">
        <v>1829</v>
      </c>
      <c r="C130" s="825"/>
      <c r="D130" s="840">
        <v>32.945210000000003</v>
      </c>
      <c r="E130" s="821">
        <v>5.6762750800000004E-2</v>
      </c>
      <c r="F130" s="822">
        <f>E130*'Input data'!$E$39*1000</f>
        <v>2004.5576254771581</v>
      </c>
      <c r="G130" s="823">
        <f t="shared" si="0"/>
        <v>1.6669915596037843E-4</v>
      </c>
      <c r="H130" s="840">
        <v>26.643840000000001</v>
      </c>
      <c r="I130" s="821">
        <v>7.229109132E-2</v>
      </c>
      <c r="J130" s="822">
        <f>I130*'Input data'!$E$39*1000</f>
        <v>2552.9357953450631</v>
      </c>
      <c r="K130" s="823">
        <f t="shared" si="1"/>
        <v>2.625126349948429E-4</v>
      </c>
      <c r="Y130" s="747"/>
      <c r="Z130" s="747"/>
      <c r="AA130" s="747"/>
      <c r="AB130" s="747"/>
      <c r="AC130" s="747"/>
      <c r="AD130" s="747"/>
      <c r="AE130" s="747"/>
    </row>
    <row r="131" spans="2:31" s="643" customFormat="1">
      <c r="B131" s="824" t="s">
        <v>1855</v>
      </c>
      <c r="C131" s="825"/>
      <c r="D131" s="840">
        <v>1126.74296</v>
      </c>
      <c r="E131" s="821">
        <v>1.8472201355999998</v>
      </c>
      <c r="F131" s="822">
        <f>E131*'Input data'!$E$39*1000</f>
        <v>65233.963410242795</v>
      </c>
      <c r="G131" s="823">
        <f t="shared" si="0"/>
        <v>1.5861930694940641E-4</v>
      </c>
      <c r="H131" s="840">
        <v>1295.9178099999999</v>
      </c>
      <c r="I131" s="821">
        <v>1.6989639184000001</v>
      </c>
      <c r="J131" s="822">
        <f>I131*'Input data'!$E$39*1000</f>
        <v>59998.344513621996</v>
      </c>
      <c r="K131" s="823">
        <f t="shared" si="1"/>
        <v>1.2684371246099151E-4</v>
      </c>
      <c r="Y131" s="747"/>
      <c r="Z131" s="747"/>
      <c r="AA131" s="747"/>
      <c r="AB131" s="747"/>
      <c r="AC131" s="747"/>
      <c r="AD131" s="747"/>
      <c r="AE131" s="747"/>
    </row>
    <row r="132" spans="2:31" s="643" customFormat="1">
      <c r="B132" s="824" t="s">
        <v>1830</v>
      </c>
      <c r="C132" s="825"/>
      <c r="D132" s="840">
        <v>88.138949999999994</v>
      </c>
      <c r="E132" s="821">
        <v>1.9917820916000001E-2</v>
      </c>
      <c r="F132" s="822">
        <f>E132*'Input data'!$E$39*1000</f>
        <v>703.39120703882861</v>
      </c>
      <c r="G132" s="823">
        <f t="shared" si="0"/>
        <v>2.186433123342919E-5</v>
      </c>
      <c r="H132" s="840">
        <v>86.864000000000004</v>
      </c>
      <c r="I132" s="821">
        <v>1.8931118654E-2</v>
      </c>
      <c r="J132" s="822">
        <f>I132*'Input data'!$E$39*1000</f>
        <v>668.54614552416263</v>
      </c>
      <c r="K132" s="823">
        <f t="shared" si="1"/>
        <v>2.1086218403581056E-5</v>
      </c>
      <c r="Y132" s="747"/>
      <c r="Z132" s="747"/>
      <c r="AA132" s="747"/>
      <c r="AB132" s="747"/>
      <c r="AC132" s="747"/>
      <c r="AD132" s="747"/>
      <c r="AE132" s="747"/>
    </row>
    <row r="133" spans="2:31" s="643" customFormat="1">
      <c r="B133" s="824" t="s">
        <v>1856</v>
      </c>
      <c r="C133" s="825"/>
      <c r="D133" s="840">
        <v>9694.1144700000004</v>
      </c>
      <c r="E133" s="821">
        <v>35.61</v>
      </c>
      <c r="F133" s="822">
        <f>E133*'Input data'!$E$39*1000</f>
        <v>1257555.2811869998</v>
      </c>
      <c r="G133" s="823">
        <f t="shared" si="0"/>
        <v>3.5540708183518112E-4</v>
      </c>
      <c r="H133" s="840">
        <v>9773.5178099999994</v>
      </c>
      <c r="I133" s="821">
        <v>37.369999999999997</v>
      </c>
      <c r="J133" s="822">
        <f>I133*'Input data'!$E$39*1000</f>
        <v>1319709.0945789998</v>
      </c>
      <c r="K133" s="823">
        <f t="shared" si="1"/>
        <v>3.6994267829660389E-4</v>
      </c>
      <c r="Y133" s="747"/>
      <c r="Z133" s="747"/>
      <c r="AA133" s="747"/>
      <c r="AB133" s="747"/>
      <c r="AC133" s="747"/>
      <c r="AD133" s="747"/>
      <c r="AE133" s="747"/>
    </row>
    <row r="134" spans="2:31" s="643" customFormat="1">
      <c r="B134" s="824" t="s">
        <v>1857</v>
      </c>
      <c r="C134" s="825"/>
      <c r="D134" s="840">
        <v>8900</v>
      </c>
      <c r="E134" s="821">
        <v>3.1683116360000003</v>
      </c>
      <c r="F134" s="822">
        <f>E134*'Input data'!$E$39*1000</f>
        <v>111887.86942707172</v>
      </c>
      <c r="G134" s="823">
        <f t="shared" si="0"/>
        <v>3.4442933485322989E-5</v>
      </c>
      <c r="H134" s="840">
        <v>9458.3561599999994</v>
      </c>
      <c r="I134" s="821">
        <v>3.2540410419999999</v>
      </c>
      <c r="J134" s="822">
        <f>I134*'Input data'!$E$39*1000</f>
        <v>114915.37482635069</v>
      </c>
      <c r="K134" s="823">
        <f t="shared" si="1"/>
        <v>3.3286613237438598E-5</v>
      </c>
      <c r="Y134" s="747"/>
      <c r="Z134" s="747"/>
      <c r="AA134" s="747"/>
      <c r="AB134" s="747"/>
      <c r="AC134" s="747"/>
      <c r="AD134" s="747"/>
      <c r="AE134" s="747"/>
    </row>
    <row r="135" spans="2:31" s="643" customFormat="1">
      <c r="B135" s="828" t="s">
        <v>1831</v>
      </c>
      <c r="C135" s="829"/>
      <c r="D135" s="840">
        <v>3.49315</v>
      </c>
      <c r="E135" s="821">
        <v>0.10128998305999999</v>
      </c>
      <c r="F135" s="822">
        <f>E135*'Input data'!$E$39*1000</f>
        <v>3577.0219918125458</v>
      </c>
      <c r="G135" s="823">
        <f t="shared" si="0"/>
        <v>2.8055079946584663E-3</v>
      </c>
      <c r="H135" s="840">
        <v>4</v>
      </c>
      <c r="I135" s="821">
        <v>8.6462480719999998E-2</v>
      </c>
      <c r="J135" s="822">
        <f>I135*'Input data'!$E$39*1000</f>
        <v>3053.3936886819756</v>
      </c>
      <c r="K135" s="823">
        <f t="shared" si="1"/>
        <v>2.0913655401931341E-3</v>
      </c>
      <c r="Y135" s="747"/>
      <c r="Z135" s="747"/>
      <c r="AA135" s="747"/>
      <c r="AB135" s="747"/>
      <c r="AC135" s="747"/>
      <c r="AD135" s="747"/>
      <c r="AE135" s="747"/>
    </row>
    <row r="136" spans="2:31" s="643" customFormat="1">
      <c r="B136" s="828" t="s">
        <v>1832</v>
      </c>
      <c r="C136" s="829"/>
      <c r="D136" s="840">
        <v>511.32877000000002</v>
      </c>
      <c r="E136" s="821">
        <v>0.369047868</v>
      </c>
      <c r="F136" s="822">
        <f>E136*'Input data'!$E$39*1000</f>
        <v>13032.802454765595</v>
      </c>
      <c r="G136" s="823">
        <f t="shared" si="0"/>
        <v>6.9830430420037191E-5</v>
      </c>
      <c r="H136" s="840">
        <v>452.01369999999997</v>
      </c>
      <c r="I136" s="821">
        <v>0.3013981362</v>
      </c>
      <c r="J136" s="822">
        <f>I136*'Input data'!$E$39*1000</f>
        <v>10643.774723904204</v>
      </c>
      <c r="K136" s="823">
        <f t="shared" si="1"/>
        <v>6.4513590275766956E-5</v>
      </c>
      <c r="Y136" s="747"/>
      <c r="Z136" s="747"/>
      <c r="AA136" s="747"/>
      <c r="AB136" s="747"/>
      <c r="AC136" s="747"/>
      <c r="AD136" s="747"/>
      <c r="AE136" s="747"/>
    </row>
    <row r="137" spans="2:31" s="643" customFormat="1">
      <c r="B137" s="824" t="s">
        <v>1833</v>
      </c>
      <c r="C137" s="829"/>
      <c r="D137" s="840">
        <v>367.12828000000002</v>
      </c>
      <c r="E137" s="821">
        <v>1.0218614770000001</v>
      </c>
      <c r="F137" s="822">
        <f>E137*'Input data'!$E$39*1000</f>
        <v>36086.697473824715</v>
      </c>
      <c r="G137" s="823">
        <f t="shared" si="0"/>
        <v>2.6930005041248396E-4</v>
      </c>
      <c r="H137" s="840">
        <v>300.20548000000002</v>
      </c>
      <c r="I137" s="821">
        <v>0.86100593039999995</v>
      </c>
      <c r="J137" s="822">
        <f>I137*'Input data'!$E$39*1000</f>
        <v>30406.137458799392</v>
      </c>
      <c r="K137" s="823">
        <f t="shared" si="1"/>
        <v>2.7749155741091559E-4</v>
      </c>
      <c r="Y137" s="747"/>
      <c r="Z137" s="747"/>
      <c r="AA137" s="747"/>
      <c r="AB137" s="747"/>
      <c r="AC137" s="747"/>
      <c r="AD137" s="747"/>
      <c r="AE137" s="747"/>
    </row>
    <row r="138" spans="2:31" s="643" customFormat="1">
      <c r="B138" s="824" t="s">
        <v>1834</v>
      </c>
      <c r="C138" s="829"/>
      <c r="D138" s="840">
        <v>241.80126000000001</v>
      </c>
      <c r="E138" s="821">
        <v>0.20684149626000001</v>
      </c>
      <c r="F138" s="822">
        <f>E138*'Input data'!$E$39*1000</f>
        <v>7304.5385001511959</v>
      </c>
      <c r="G138" s="823">
        <f t="shared" si="0"/>
        <v>8.2763978347298839E-5</v>
      </c>
      <c r="H138" s="840">
        <v>224.12791000000001</v>
      </c>
      <c r="I138" s="821">
        <v>0.2258243442</v>
      </c>
      <c r="J138" s="822">
        <f>I138*'Input data'!$E$39*1000</f>
        <v>7974.9114481690776</v>
      </c>
      <c r="K138" s="823">
        <f t="shared" si="1"/>
        <v>9.7484835604531346E-5</v>
      </c>
      <c r="Y138" s="747"/>
      <c r="Z138" s="747"/>
      <c r="AA138" s="747"/>
      <c r="AB138" s="747"/>
      <c r="AC138" s="747"/>
      <c r="AD138" s="747"/>
      <c r="AE138" s="747"/>
    </row>
    <row r="139" spans="2:31" s="643" customFormat="1">
      <c r="B139" s="824" t="s">
        <v>1835</v>
      </c>
      <c r="C139" s="825"/>
      <c r="D139" s="840">
        <v>98.245739999999998</v>
      </c>
      <c r="E139" s="821">
        <v>6.2408286919999993E-2</v>
      </c>
      <c r="F139" s="822">
        <f>E139*'Input data'!$E$39*1000</f>
        <v>2203.927851897769</v>
      </c>
      <c r="G139" s="823">
        <f t="shared" si="0"/>
        <v>6.145974877231372E-5</v>
      </c>
      <c r="H139" s="840">
        <v>91.918689999999998</v>
      </c>
      <c r="I139" s="821">
        <v>8.5021138439999991E-2</v>
      </c>
      <c r="J139" s="822">
        <f>I139*'Input data'!$E$39*1000</f>
        <v>3002.4931664631572</v>
      </c>
      <c r="K139" s="823">
        <f t="shared" si="1"/>
        <v>8.9492231397570243E-5</v>
      </c>
      <c r="Y139" s="747"/>
      <c r="Z139" s="747"/>
      <c r="AA139" s="747"/>
      <c r="AB139" s="747"/>
      <c r="AC139" s="747"/>
      <c r="AD139" s="747"/>
      <c r="AE139" s="747"/>
    </row>
    <row r="140" spans="2:31" s="643" customFormat="1">
      <c r="B140" s="824" t="s">
        <v>1836</v>
      </c>
      <c r="C140" s="829"/>
      <c r="D140" s="840">
        <v>80.13973</v>
      </c>
      <c r="E140" s="821">
        <v>0.38671641259999995</v>
      </c>
      <c r="F140" s="822">
        <f>E140*'Input data'!$E$39*1000</f>
        <v>13656.761218388678</v>
      </c>
      <c r="G140" s="823">
        <f t="shared" si="0"/>
        <v>4.6688183451540181E-4</v>
      </c>
      <c r="H140" s="840">
        <v>67.482190000000003</v>
      </c>
      <c r="I140" s="821">
        <v>0.42008704359999999</v>
      </c>
      <c r="J140" s="822">
        <f>I140*'Input data'!$E$39*1000</f>
        <v>14835.233929722366</v>
      </c>
      <c r="K140" s="823">
        <f t="shared" si="1"/>
        <v>6.0229931067422825E-4</v>
      </c>
      <c r="Y140" s="747"/>
      <c r="Z140" s="747"/>
      <c r="AA140" s="747"/>
      <c r="AB140" s="747"/>
      <c r="AC140" s="747"/>
      <c r="AD140" s="747"/>
      <c r="AE140" s="747"/>
    </row>
    <row r="141" spans="2:31" s="643" customFormat="1">
      <c r="B141" s="824" t="s">
        <v>1837</v>
      </c>
      <c r="C141" s="829"/>
      <c r="D141" s="840">
        <v>178.18767</v>
      </c>
      <c r="E141" s="821">
        <v>1.2136178445999999</v>
      </c>
      <c r="F141" s="822">
        <f>E141*'Input data'!$E$39*1000</f>
        <v>42858.509683221382</v>
      </c>
      <c r="G141" s="823">
        <f t="shared" si="0"/>
        <v>6.5897137817997806E-4</v>
      </c>
      <c r="H141" s="840">
        <v>196.73698999999999</v>
      </c>
      <c r="I141" s="821">
        <v>1.2905821515999998</v>
      </c>
      <c r="J141" s="822">
        <f>I141*'Input data'!$E$39*1000</f>
        <v>45576.47853272286</v>
      </c>
      <c r="K141" s="823">
        <f t="shared" si="1"/>
        <v>6.3469032678203181E-4</v>
      </c>
      <c r="M141" s="843"/>
      <c r="N141" s="843"/>
      <c r="Y141" s="747"/>
      <c r="Z141" s="747"/>
      <c r="AA141" s="747"/>
      <c r="AB141" s="747"/>
      <c r="AC141" s="747"/>
      <c r="AD141" s="747"/>
      <c r="AE141" s="747"/>
    </row>
    <row r="142" spans="2:31" s="643" customFormat="1">
      <c r="B142" s="824" t="s">
        <v>1804</v>
      </c>
      <c r="C142" s="829"/>
      <c r="D142" s="840">
        <v>2414.6558</v>
      </c>
      <c r="E142" s="821">
        <v>0.88870012139999999</v>
      </c>
      <c r="F142" s="822">
        <f>E142*'Input data'!$E$39*1000</f>
        <v>31384.148583490536</v>
      </c>
      <c r="G142" s="823">
        <f t="shared" si="0"/>
        <v>3.5609203068152358E-5</v>
      </c>
      <c r="H142" s="840">
        <v>2679.1780800000001</v>
      </c>
      <c r="I142" s="821">
        <v>0.92892631719999996</v>
      </c>
      <c r="J142" s="822">
        <f>I142*'Input data'!$E$39*1000</f>
        <v>32804.723280776474</v>
      </c>
      <c r="K142" s="823">
        <f t="shared" si="1"/>
        <v>3.3546091939475761E-5</v>
      </c>
      <c r="L142" s="843"/>
      <c r="M142" s="843"/>
      <c r="N142" s="843"/>
      <c r="O142" s="843"/>
      <c r="Y142" s="747"/>
      <c r="Z142" s="747"/>
      <c r="AA142" s="747"/>
      <c r="AB142" s="747"/>
      <c r="AC142" s="747"/>
      <c r="AD142" s="747"/>
      <c r="AE142" s="747"/>
    </row>
    <row r="143" spans="2:31" s="643" customFormat="1">
      <c r="B143" s="824" t="s">
        <v>1838</v>
      </c>
      <c r="C143" s="825"/>
      <c r="D143" s="840">
        <v>1233.18694</v>
      </c>
      <c r="E143" s="821">
        <v>0.99414260119999998</v>
      </c>
      <c r="F143" s="822">
        <f>E143*'Input data'!$E$39*1000</f>
        <v>35107.814613649018</v>
      </c>
      <c r="G143" s="823">
        <f t="shared" si="0"/>
        <v>7.7997739306298613E-5</v>
      </c>
      <c r="H143" s="840">
        <v>1026.4301399999999</v>
      </c>
      <c r="I143" s="821">
        <v>0.94811071600000008</v>
      </c>
      <c r="J143" s="822">
        <f>I143*'Input data'!$E$39*1000</f>
        <v>33482.213930238358</v>
      </c>
      <c r="K143" s="823">
        <f t="shared" si="1"/>
        <v>8.9370030540565729E-5</v>
      </c>
      <c r="L143" s="843"/>
      <c r="M143" s="843"/>
      <c r="N143" s="843"/>
      <c r="O143" s="843"/>
      <c r="Y143" s="747"/>
      <c r="Z143" s="747"/>
      <c r="AA143" s="747"/>
      <c r="AB143" s="747"/>
      <c r="AC143" s="747"/>
      <c r="AD143" s="747"/>
      <c r="AE143" s="747"/>
    </row>
    <row r="144" spans="2:31" s="643" customFormat="1">
      <c r="B144" s="824" t="s">
        <v>2148</v>
      </c>
      <c r="C144" s="825"/>
      <c r="D144" s="842">
        <v>4567.7</v>
      </c>
      <c r="E144" s="821">
        <v>0.58444357579999995</v>
      </c>
      <c r="F144" s="822">
        <f>E144*'Input data'!$E$39*1000</f>
        <v>20639.43008433318</v>
      </c>
      <c r="G144" s="823">
        <f t="shared" si="0"/>
        <v>1.2379618581056909E-5</v>
      </c>
      <c r="H144" s="841">
        <v>4672</v>
      </c>
      <c r="I144" s="821">
        <v>0.78454172999999994</v>
      </c>
      <c r="J144" s="822">
        <f>I144*'Input data'!$E$39*1000</f>
        <v>27705.829707191388</v>
      </c>
      <c r="K144" s="823">
        <f t="shared" si="1"/>
        <v>1.6247085350905063E-5</v>
      </c>
      <c r="L144" s="843"/>
      <c r="M144" s="843"/>
      <c r="N144" s="843"/>
      <c r="O144" s="843"/>
      <c r="Y144" s="747"/>
      <c r="Z144" s="747"/>
      <c r="AA144" s="747"/>
      <c r="AB144" s="747"/>
      <c r="AC144" s="747"/>
      <c r="AD144" s="747"/>
      <c r="AE144" s="747"/>
    </row>
    <row r="145" spans="2:31" s="643" customFormat="1">
      <c r="B145" s="824" t="s">
        <v>3766</v>
      </c>
      <c r="C145" s="825"/>
      <c r="D145" s="820">
        <v>310</v>
      </c>
      <c r="E145" s="821">
        <v>0.96289999999999998</v>
      </c>
      <c r="F145" s="822">
        <f>E145*'Input data'!$E$39*1000</f>
        <v>34004.492565430002</v>
      </c>
      <c r="G145" s="823">
        <f>F145/(D145*1000*365)</f>
        <v>3.0052578493530713E-4</v>
      </c>
      <c r="H145" s="820">
        <v>419</v>
      </c>
      <c r="I145" s="821">
        <v>1.6445000000000001</v>
      </c>
      <c r="J145" s="822">
        <f>I145*'Input data'!$E$39*1000</f>
        <v>58074.969388149992</v>
      </c>
      <c r="K145" s="823">
        <f>J145/(H145*1000*365)</f>
        <v>3.7973628919573668E-4</v>
      </c>
      <c r="L145" s="76" t="s">
        <v>3781</v>
      </c>
      <c r="M145" s="843"/>
      <c r="N145" s="843"/>
      <c r="O145" s="843"/>
      <c r="Y145" s="747"/>
      <c r="Z145" s="747"/>
      <c r="AA145" s="747"/>
      <c r="AB145" s="747"/>
      <c r="AC145" s="747"/>
      <c r="AD145" s="747"/>
      <c r="AE145" s="747"/>
    </row>
    <row r="146" spans="2:31" s="643" customFormat="1">
      <c r="B146" s="819" t="s">
        <v>3767</v>
      </c>
      <c r="C146" s="813"/>
      <c r="D146" s="842">
        <v>589</v>
      </c>
      <c r="E146" s="821">
        <v>0.2601</v>
      </c>
      <c r="F146" s="822">
        <f>E146*'Input data'!$E$39*1000</f>
        <v>9185.3448086699991</v>
      </c>
      <c r="G146" s="823">
        <f>F146/(D146*1000*365)</f>
        <v>4.2725514843686762E-5</v>
      </c>
      <c r="H146" s="842">
        <v>545</v>
      </c>
      <c r="I146" s="821">
        <v>0.28489999999999999</v>
      </c>
      <c r="J146" s="822">
        <f>I146*'Input data'!$E$39*1000</f>
        <v>10061.148542829998</v>
      </c>
      <c r="K146" s="823">
        <f>J146/(H146*1000*365)</f>
        <v>5.0577597299635534E-5</v>
      </c>
      <c r="L146" s="76" t="s">
        <v>3780</v>
      </c>
      <c r="M146" s="843"/>
      <c r="N146" s="843"/>
      <c r="O146" s="843"/>
      <c r="Y146" s="747"/>
      <c r="Z146" s="747"/>
      <c r="AA146" s="747"/>
      <c r="AB146" s="747"/>
      <c r="AC146" s="747"/>
      <c r="AD146" s="747"/>
      <c r="AE146" s="747"/>
    </row>
    <row r="147" spans="2:31" s="643" customFormat="1">
      <c r="B147" s="824" t="s">
        <v>1839</v>
      </c>
      <c r="C147" s="829"/>
      <c r="D147" s="840">
        <v>60</v>
      </c>
      <c r="E147" s="821">
        <v>1.8196377976</v>
      </c>
      <c r="F147" s="822">
        <f>E147*'Input data'!$E$39*1000</f>
        <v>64259.90233696605</v>
      </c>
      <c r="G147" s="823">
        <f t="shared" si="0"/>
        <v>2.9342421158431984E-3</v>
      </c>
      <c r="H147" s="840">
        <v>60</v>
      </c>
      <c r="I147" s="821">
        <v>1.6605462566</v>
      </c>
      <c r="J147" s="822">
        <f>I147*'Input data'!$E$39*1000</f>
        <v>58641.637591761675</v>
      </c>
      <c r="K147" s="823">
        <f t="shared" si="1"/>
        <v>2.6777003466557842E-3</v>
      </c>
      <c r="Y147" s="747"/>
      <c r="Z147" s="747"/>
      <c r="AA147" s="747"/>
      <c r="AB147" s="747"/>
      <c r="AC147" s="747"/>
      <c r="AD147" s="747"/>
      <c r="AE147" s="747"/>
    </row>
    <row r="148" spans="2:31" s="643" customFormat="1">
      <c r="B148" s="824" t="s">
        <v>1858</v>
      </c>
      <c r="C148" s="825"/>
      <c r="D148" s="840">
        <v>2145.75342</v>
      </c>
      <c r="E148" s="821">
        <v>2.8198210459999999</v>
      </c>
      <c r="F148" s="822">
        <f>E148*'Input data'!$E$39*1000</f>
        <v>99581.04039313535</v>
      </c>
      <c r="G148" s="823">
        <f t="shared" si="0"/>
        <v>1.2714637462881025E-4</v>
      </c>
      <c r="H148" s="840">
        <v>2240</v>
      </c>
      <c r="I148" s="821">
        <v>3.5023044279999995</v>
      </c>
      <c r="J148" s="822">
        <f>I148*'Input data'!$E$39*1000</f>
        <v>123682.71355675413</v>
      </c>
      <c r="K148" s="823">
        <f t="shared" si="1"/>
        <v>1.5127533458507111E-4</v>
      </c>
      <c r="Z148" s="747"/>
      <c r="AA148" s="747"/>
      <c r="AB148" s="747"/>
      <c r="AC148" s="747"/>
      <c r="AD148" s="747"/>
      <c r="AE148" s="747"/>
    </row>
    <row r="149" spans="2:31" s="643" customFormat="1">
      <c r="B149" s="824" t="s">
        <v>1840</v>
      </c>
      <c r="C149" s="829"/>
      <c r="D149" s="840">
        <v>318.17808000000002</v>
      </c>
      <c r="E149" s="827">
        <v>0.51770337779999998</v>
      </c>
      <c r="F149" s="822">
        <f>E149*'Input data'!$E$39*1000</f>
        <v>18282.522236471177</v>
      </c>
      <c r="G149" s="823">
        <f t="shared" si="0"/>
        <v>1.5742474157154148E-4</v>
      </c>
      <c r="H149" s="840">
        <v>309.12329</v>
      </c>
      <c r="I149" s="821">
        <v>0.51989322279999994</v>
      </c>
      <c r="J149" s="822">
        <f>I149*'Input data'!$E$39*1000</f>
        <v>18359.855882770837</v>
      </c>
      <c r="K149" s="823">
        <f t="shared" si="1"/>
        <v>1.6272140161710223E-4</v>
      </c>
      <c r="Z149" s="747"/>
      <c r="AA149" s="747"/>
      <c r="AB149" s="747"/>
      <c r="AC149" s="747"/>
      <c r="AD149" s="747"/>
      <c r="AE149" s="747"/>
    </row>
    <row r="150" spans="2:31" s="643" customFormat="1">
      <c r="B150" s="824" t="s">
        <v>1841</v>
      </c>
      <c r="C150" s="829"/>
      <c r="D150" s="840">
        <v>257.40649999999999</v>
      </c>
      <c r="E150" s="827">
        <v>1.3104082222</v>
      </c>
      <c r="F150" s="822">
        <f>E150*'Input data'!$E$39*1000</f>
        <v>46276.629607932533</v>
      </c>
      <c r="G150" s="823">
        <f t="shared" si="0"/>
        <v>4.9254889288761333E-4</v>
      </c>
      <c r="H150" s="840">
        <v>162.07670999999999</v>
      </c>
      <c r="I150" s="821">
        <v>1.1014740001999999</v>
      </c>
      <c r="J150" s="822">
        <f>I150*'Input data'!$E$39*1000</f>
        <v>38898.187195778723</v>
      </c>
      <c r="K150" s="823">
        <f t="shared" si="1"/>
        <v>6.575304735569091E-4</v>
      </c>
      <c r="Z150" s="747"/>
      <c r="AA150" s="747"/>
      <c r="AB150" s="747"/>
      <c r="AC150" s="747"/>
      <c r="AD150" s="747"/>
      <c r="AE150" s="747"/>
    </row>
    <row r="151" spans="2:31" s="643" customFormat="1">
      <c r="B151" s="824" t="s">
        <v>208</v>
      </c>
      <c r="C151" s="829"/>
      <c r="D151" s="820">
        <f>AVERAGE(D93:D150)</f>
        <v>1262.4031665517241</v>
      </c>
      <c r="E151" s="830">
        <f>AVERAGE(E93:E150)</f>
        <v>2.3407472472132751</v>
      </c>
      <c r="F151" s="822">
        <f>E151*'Input data'!$E$39*1000</f>
        <v>82662.70886427931</v>
      </c>
      <c r="G151" s="823">
        <f>F151/(D151*1000*365)</f>
        <v>1.7939845286450256E-4</v>
      </c>
      <c r="H151" s="820">
        <f>AVERAGE(H93:H150)</f>
        <v>1263.5868618965517</v>
      </c>
      <c r="I151" s="821">
        <f>AVERAGE(I93:I150)</f>
        <v>2.3707551182105169</v>
      </c>
      <c r="J151" s="822">
        <f>I151*'Input data'!$E$39*1000</f>
        <v>83722.426826923489</v>
      </c>
      <c r="K151" s="823">
        <f>J151/(H151*1000*365)</f>
        <v>1.8152809179284083E-4</v>
      </c>
      <c r="Z151" s="747"/>
      <c r="AA151" s="747"/>
      <c r="AB151" s="747"/>
      <c r="AC151" s="747"/>
      <c r="AD151" s="747"/>
      <c r="AE151" s="747"/>
    </row>
    <row r="152" spans="2:31" s="643" customFormat="1">
      <c r="Z152" s="747"/>
      <c r="AA152" s="747"/>
      <c r="AB152" s="747"/>
      <c r="AC152" s="747"/>
      <c r="AD152" s="747"/>
      <c r="AE152" s="747"/>
    </row>
    <row r="153" spans="2:31" s="643" customFormat="1">
      <c r="B153" s="72"/>
      <c r="G153" s="785"/>
      <c r="Z153" s="747"/>
      <c r="AA153" s="747"/>
      <c r="AB153" s="747"/>
      <c r="AC153" s="747"/>
      <c r="AD153" s="747"/>
      <c r="AE153" s="747"/>
    </row>
    <row r="154" spans="2:31" s="643" customFormat="1">
      <c r="B154" s="72"/>
      <c r="G154" s="785"/>
      <c r="Z154" s="747"/>
      <c r="AA154" s="747"/>
      <c r="AB154" s="747"/>
      <c r="AC154" s="747"/>
      <c r="AD154" s="747"/>
      <c r="AE154" s="747"/>
    </row>
    <row r="155" spans="2:31" s="643" customFormat="1">
      <c r="B155" s="72"/>
      <c r="G155" s="785"/>
      <c r="Z155" s="747"/>
      <c r="AA155" s="747"/>
      <c r="AB155" s="747"/>
      <c r="AC155" s="747"/>
      <c r="AD155" s="747"/>
      <c r="AE155" s="747"/>
    </row>
    <row r="156" spans="2:31" s="643" customFormat="1">
      <c r="B156" s="72"/>
      <c r="G156" s="785"/>
      <c r="Z156" s="747"/>
      <c r="AA156" s="747"/>
      <c r="AB156" s="747"/>
      <c r="AC156" s="747"/>
      <c r="AD156" s="747"/>
      <c r="AE156" s="747"/>
    </row>
    <row r="157" spans="2:31" s="643" customFormat="1">
      <c r="B157" s="72"/>
      <c r="G157" s="785"/>
      <c r="Z157" s="747"/>
      <c r="AA157" s="747"/>
      <c r="AB157" s="747"/>
      <c r="AC157" s="747"/>
      <c r="AD157" s="747"/>
      <c r="AE157" s="747"/>
    </row>
    <row r="158" spans="2:31" s="643" customFormat="1">
      <c r="B158" s="72"/>
      <c r="G158" s="785"/>
      <c r="R158" s="747" t="s">
        <v>3726</v>
      </c>
      <c r="Z158" s="747"/>
      <c r="AA158" s="747"/>
      <c r="AB158" s="747"/>
      <c r="AC158" s="747"/>
      <c r="AD158" s="747"/>
      <c r="AE158" s="747"/>
    </row>
    <row r="159" spans="2:31" s="643" customFormat="1">
      <c r="B159" s="72"/>
      <c r="G159" s="785"/>
      <c r="Z159" s="747"/>
      <c r="AA159" s="747"/>
      <c r="AB159" s="747"/>
      <c r="AC159" s="747"/>
      <c r="AD159" s="747"/>
      <c r="AE159" s="747"/>
    </row>
    <row r="160" spans="2:31" s="643" customFormat="1">
      <c r="T160" s="747" t="s">
        <v>164</v>
      </c>
      <c r="U160" s="747" t="s">
        <v>165</v>
      </c>
      <c r="V160" s="643" t="s">
        <v>424</v>
      </c>
      <c r="Y160" s="643" t="s">
        <v>348</v>
      </c>
      <c r="Z160" s="747"/>
      <c r="AA160" s="747"/>
      <c r="AB160" s="747"/>
      <c r="AC160" s="747"/>
      <c r="AD160" s="747"/>
      <c r="AE160" s="747"/>
    </row>
    <row r="161" spans="1:31" s="643" customFormat="1">
      <c r="A161" s="747"/>
      <c r="B161" s="666" t="s">
        <v>3689</v>
      </c>
      <c r="C161" s="666"/>
      <c r="D161" s="666"/>
      <c r="E161" s="784"/>
      <c r="F161" s="722"/>
      <c r="Q161" s="747"/>
      <c r="R161" s="643" t="s">
        <v>3751</v>
      </c>
      <c r="T161" s="786" t="str">
        <f>M37</f>
        <v>NA</v>
      </c>
      <c r="U161" s="747" t="s">
        <v>3743</v>
      </c>
      <c r="Z161" s="747"/>
      <c r="AA161" s="747"/>
      <c r="AB161" s="747"/>
      <c r="AC161" s="747"/>
      <c r="AD161" s="747"/>
      <c r="AE161" s="747"/>
    </row>
    <row r="162" spans="1:31" s="643" customFormat="1">
      <c r="A162" s="747"/>
      <c r="B162" s="831" t="s">
        <v>3291</v>
      </c>
      <c r="C162" s="831" t="s">
        <v>3292</v>
      </c>
      <c r="D162" s="831" t="s">
        <v>3293</v>
      </c>
      <c r="E162" s="832" t="s">
        <v>3294</v>
      </c>
      <c r="F162" s="831" t="s">
        <v>3295</v>
      </c>
      <c r="G162" s="832" t="s">
        <v>3296</v>
      </c>
      <c r="H162" s="831" t="s">
        <v>3297</v>
      </c>
      <c r="I162" s="832" t="s">
        <v>3298</v>
      </c>
      <c r="J162" s="831" t="s">
        <v>3299</v>
      </c>
      <c r="K162" s="832" t="s">
        <v>3300</v>
      </c>
      <c r="L162" s="831" t="s">
        <v>3301</v>
      </c>
      <c r="M162" s="832" t="s">
        <v>3302</v>
      </c>
      <c r="N162" s="831" t="s">
        <v>3303</v>
      </c>
      <c r="O162" s="832" t="s">
        <v>3304</v>
      </c>
      <c r="P162" s="831" t="s">
        <v>3305</v>
      </c>
      <c r="Q162" s="747"/>
      <c r="R162" s="643" t="s">
        <v>3757</v>
      </c>
      <c r="T162" s="786">
        <v>30</v>
      </c>
      <c r="U162" s="747" t="s">
        <v>3286</v>
      </c>
      <c r="Z162" s="747"/>
      <c r="AA162" s="747"/>
      <c r="AB162" s="747"/>
      <c r="AC162" s="747"/>
      <c r="AD162" s="747"/>
      <c r="AE162" s="747"/>
    </row>
    <row r="163" spans="1:31" s="643" customFormat="1">
      <c r="A163" s="747"/>
      <c r="B163" s="833" t="s">
        <v>3709</v>
      </c>
      <c r="C163" s="834"/>
      <c r="D163" s="834"/>
      <c r="E163" s="834"/>
      <c r="F163" s="834"/>
      <c r="G163" s="834"/>
      <c r="H163" s="834"/>
      <c r="I163" s="834"/>
      <c r="J163" s="834"/>
      <c r="K163" s="834"/>
      <c r="L163" s="834"/>
      <c r="M163" s="834"/>
      <c r="N163" s="834"/>
      <c r="O163" s="834"/>
      <c r="P163" s="834"/>
      <c r="Q163" s="747"/>
      <c r="R163" s="643" t="s">
        <v>3752</v>
      </c>
      <c r="T163" s="786" t="e">
        <f>100*(1-(156.4*EXP(0.318*(T162/2.23694)/((9.8*T161*($M$39*0.0254))^(1/3))))/($M$16^3))</f>
        <v>#VALUE!</v>
      </c>
      <c r="U163" s="747" t="s">
        <v>166</v>
      </c>
      <c r="V163" s="643" t="s">
        <v>3747</v>
      </c>
      <c r="Y163" s="643" t="s">
        <v>3746</v>
      </c>
      <c r="Z163" s="747"/>
      <c r="AA163" s="747"/>
      <c r="AB163" s="747"/>
      <c r="AC163" s="747"/>
      <c r="AD163" s="747"/>
      <c r="AE163" s="747"/>
    </row>
    <row r="164" spans="1:31" s="643" customFormat="1">
      <c r="A164" s="747"/>
      <c r="B164" s="833" t="s">
        <v>3306</v>
      </c>
      <c r="C164" s="834">
        <v>59</v>
      </c>
      <c r="D164" s="834">
        <v>8.1</v>
      </c>
      <c r="E164" s="834">
        <v>8.6999999999999993</v>
      </c>
      <c r="F164" s="834">
        <v>9</v>
      </c>
      <c r="G164" s="834">
        <v>8.1999999999999993</v>
      </c>
      <c r="H164" s="834">
        <v>6.8</v>
      </c>
      <c r="I164" s="834">
        <v>6</v>
      </c>
      <c r="J164" s="834">
        <v>5.7</v>
      </c>
      <c r="K164" s="834">
        <v>5.4</v>
      </c>
      <c r="L164" s="834">
        <v>6.3</v>
      </c>
      <c r="M164" s="834">
        <v>6.2</v>
      </c>
      <c r="N164" s="834">
        <v>7.2</v>
      </c>
      <c r="O164" s="834">
        <v>7.7</v>
      </c>
      <c r="P164" s="834">
        <v>7.1</v>
      </c>
      <c r="Q164" s="747"/>
      <c r="R164" s="643" t="s">
        <v>3753</v>
      </c>
      <c r="T164" s="786" t="e">
        <f>SUMPRODUCT(T170:T249,U170:U249)</f>
        <v>#VALUE!</v>
      </c>
      <c r="U164" s="748" t="s">
        <v>166</v>
      </c>
      <c r="V164" s="643" t="s">
        <v>3748</v>
      </c>
      <c r="Y164" s="643" t="s">
        <v>3745</v>
      </c>
      <c r="Z164" s="747"/>
      <c r="AA164" s="747"/>
      <c r="AB164" s="747"/>
      <c r="AC164" s="747"/>
      <c r="AD164" s="747"/>
      <c r="AE164" s="747"/>
    </row>
    <row r="165" spans="1:31" s="643" customFormat="1">
      <c r="A165" s="747"/>
      <c r="B165" s="833" t="s">
        <v>3307</v>
      </c>
      <c r="C165" s="834">
        <v>35</v>
      </c>
      <c r="D165" s="834">
        <v>9</v>
      </c>
      <c r="E165" s="834">
        <v>9.4</v>
      </c>
      <c r="F165" s="834">
        <v>9.8000000000000007</v>
      </c>
      <c r="G165" s="834">
        <v>9.1999999999999993</v>
      </c>
      <c r="H165" s="834">
        <v>7.9</v>
      </c>
      <c r="I165" s="834">
        <v>6.9</v>
      </c>
      <c r="J165" s="834">
        <v>6</v>
      </c>
      <c r="K165" s="834">
        <v>5.8</v>
      </c>
      <c r="L165" s="834">
        <v>6.7</v>
      </c>
      <c r="M165" s="834">
        <v>7.3</v>
      </c>
      <c r="N165" s="834">
        <v>8.1</v>
      </c>
      <c r="O165" s="834">
        <v>9</v>
      </c>
      <c r="P165" s="834">
        <v>7.9</v>
      </c>
      <c r="Q165" s="747"/>
      <c r="U165" s="747"/>
      <c r="Z165" s="747"/>
      <c r="AA165" s="747"/>
      <c r="AB165" s="747"/>
      <c r="AC165" s="747"/>
      <c r="AD165" s="747"/>
      <c r="AE165" s="747"/>
    </row>
    <row r="166" spans="1:31" s="643" customFormat="1">
      <c r="A166" s="747"/>
      <c r="B166" s="833" t="s">
        <v>3308</v>
      </c>
      <c r="C166" s="834">
        <v>54</v>
      </c>
      <c r="D166" s="834">
        <v>10.1</v>
      </c>
      <c r="E166" s="834">
        <v>10.3</v>
      </c>
      <c r="F166" s="834">
        <v>10.7</v>
      </c>
      <c r="G166" s="834">
        <v>10.1</v>
      </c>
      <c r="H166" s="834">
        <v>8.6999999999999993</v>
      </c>
      <c r="I166" s="834">
        <v>7.5</v>
      </c>
      <c r="J166" s="834">
        <v>6.9</v>
      </c>
      <c r="K166" s="834">
        <v>6.7</v>
      </c>
      <c r="L166" s="834">
        <v>7.7</v>
      </c>
      <c r="M166" s="834">
        <v>8</v>
      </c>
      <c r="N166" s="834">
        <v>8.9</v>
      </c>
      <c r="O166" s="834">
        <v>9.6</v>
      </c>
      <c r="P166" s="834">
        <v>8.8000000000000007</v>
      </c>
      <c r="Q166" s="747"/>
      <c r="R166" s="643" t="s">
        <v>3754</v>
      </c>
      <c r="T166" s="786">
        <f>T162/(SQRT(3.1415/2))</f>
        <v>23.936889806691649</v>
      </c>
      <c r="U166" s="787" t="s">
        <v>3286</v>
      </c>
      <c r="V166" s="747" t="s">
        <v>3748</v>
      </c>
      <c r="Y166" s="643" t="s">
        <v>3742</v>
      </c>
      <c r="Z166" s="747"/>
      <c r="AA166" s="747"/>
      <c r="AB166" s="747"/>
      <c r="AC166" s="747"/>
      <c r="AD166" s="747"/>
      <c r="AE166" s="747"/>
    </row>
    <row r="167" spans="1:31" s="643" customFormat="1">
      <c r="A167" s="747"/>
      <c r="B167" s="833" t="s">
        <v>3309</v>
      </c>
      <c r="C167" s="834">
        <v>58</v>
      </c>
      <c r="D167" s="834">
        <v>7.7</v>
      </c>
      <c r="E167" s="834">
        <v>8.1999999999999993</v>
      </c>
      <c r="F167" s="834">
        <v>8.3000000000000007</v>
      </c>
      <c r="G167" s="834">
        <v>7.3</v>
      </c>
      <c r="H167" s="834">
        <v>6.1</v>
      </c>
      <c r="I167" s="834">
        <v>5.8</v>
      </c>
      <c r="J167" s="834">
        <v>5.7</v>
      </c>
      <c r="K167" s="834">
        <v>5.2</v>
      </c>
      <c r="L167" s="834">
        <v>5.9</v>
      </c>
      <c r="M167" s="834">
        <v>5.7</v>
      </c>
      <c r="N167" s="834">
        <v>6.5</v>
      </c>
      <c r="O167" s="834">
        <v>7.1</v>
      </c>
      <c r="P167" s="834">
        <v>6.6</v>
      </c>
      <c r="Q167" s="747"/>
      <c r="Z167" s="747"/>
      <c r="AA167" s="747"/>
      <c r="AB167" s="747"/>
      <c r="AC167" s="747"/>
      <c r="AD167" s="747"/>
      <c r="AE167" s="747"/>
    </row>
    <row r="168" spans="1:31" s="643" customFormat="1">
      <c r="A168" s="747"/>
      <c r="B168" s="833" t="s">
        <v>3310</v>
      </c>
      <c r="C168" s="834">
        <v>49</v>
      </c>
      <c r="D168" s="834">
        <v>6.4</v>
      </c>
      <c r="E168" s="834">
        <v>6.8</v>
      </c>
      <c r="F168" s="834">
        <v>7.1</v>
      </c>
      <c r="G168" s="834">
        <v>7.3</v>
      </c>
      <c r="H168" s="834">
        <v>8.5</v>
      </c>
      <c r="I168" s="834">
        <v>8.4</v>
      </c>
      <c r="J168" s="834">
        <v>7.3</v>
      </c>
      <c r="K168" s="834">
        <v>6.9</v>
      </c>
      <c r="L168" s="834">
        <v>6.7</v>
      </c>
      <c r="M168" s="834">
        <v>6.7</v>
      </c>
      <c r="N168" s="834">
        <v>6.4</v>
      </c>
      <c r="O168" s="834">
        <v>6.3</v>
      </c>
      <c r="P168" s="834">
        <v>7.1</v>
      </c>
      <c r="Q168" s="747"/>
      <c r="R168" s="643" t="s">
        <v>3755</v>
      </c>
      <c r="U168" s="747"/>
      <c r="Y168" s="643" t="s">
        <v>3756</v>
      </c>
      <c r="Z168" s="747"/>
      <c r="AA168" s="747"/>
      <c r="AB168" s="747"/>
      <c r="AC168" s="747"/>
      <c r="AD168" s="747"/>
      <c r="AE168" s="747"/>
    </row>
    <row r="169" spans="1:31" s="643" customFormat="1">
      <c r="A169" s="747"/>
      <c r="B169" s="833" t="s">
        <v>3311</v>
      </c>
      <c r="C169" s="834">
        <v>38</v>
      </c>
      <c r="D169" s="834">
        <v>11.6</v>
      </c>
      <c r="E169" s="834">
        <v>11.8</v>
      </c>
      <c r="F169" s="834">
        <v>10.5</v>
      </c>
      <c r="G169" s="834">
        <v>10.6</v>
      </c>
      <c r="H169" s="834">
        <v>9</v>
      </c>
      <c r="I169" s="834">
        <v>8.5</v>
      </c>
      <c r="J169" s="834">
        <v>7.7</v>
      </c>
      <c r="K169" s="834">
        <v>8.1</v>
      </c>
      <c r="L169" s="834">
        <v>8.8000000000000007</v>
      </c>
      <c r="M169" s="834">
        <v>11.2</v>
      </c>
      <c r="N169" s="834">
        <v>11.7</v>
      </c>
      <c r="O169" s="834">
        <v>12</v>
      </c>
      <c r="P169" s="834">
        <v>10.1</v>
      </c>
      <c r="Q169" s="747"/>
      <c r="S169" s="835" t="s">
        <v>3744</v>
      </c>
      <c r="T169" s="835" t="s">
        <v>3724</v>
      </c>
      <c r="U169" s="835" t="s">
        <v>3725</v>
      </c>
      <c r="Z169" s="747"/>
      <c r="AA169" s="747"/>
      <c r="AB169" s="747"/>
      <c r="AC169" s="747"/>
      <c r="AD169" s="747"/>
      <c r="AE169" s="747"/>
    </row>
    <row r="170" spans="1:31" s="643" customFormat="1">
      <c r="A170" s="747"/>
      <c r="B170" s="833" t="s">
        <v>3312</v>
      </c>
      <c r="C170" s="834">
        <v>69</v>
      </c>
      <c r="D170" s="834">
        <v>11.9</v>
      </c>
      <c r="E170" s="834">
        <v>11.3</v>
      </c>
      <c r="F170" s="834">
        <v>11.3</v>
      </c>
      <c r="G170" s="834">
        <v>11.5</v>
      </c>
      <c r="H170" s="834">
        <v>12</v>
      </c>
      <c r="I170" s="834">
        <v>11.5</v>
      </c>
      <c r="J170" s="834">
        <v>11.7</v>
      </c>
      <c r="K170" s="834">
        <v>12.4</v>
      </c>
      <c r="L170" s="834">
        <v>13.2</v>
      </c>
      <c r="M170" s="834">
        <v>13.3</v>
      </c>
      <c r="N170" s="834">
        <v>12.5</v>
      </c>
      <c r="O170" s="834">
        <v>11.7</v>
      </c>
      <c r="P170" s="834">
        <v>12</v>
      </c>
      <c r="Q170" s="747"/>
      <c r="S170" s="789">
        <v>1</v>
      </c>
      <c r="T170" s="788">
        <f t="shared" ref="T170:T201" si="2">(S170/($T$166^2))*EXP(((-(S170^2))/(2*($T$166^2))))</f>
        <v>1.7437554448370427E-3</v>
      </c>
      <c r="U170" s="786" t="e">
        <f t="shared" ref="U170:U201" si="3">IF(100*(1-(156.4*EXP(0.318*($S170/2.23694)/((9.8*$T$161*($M$39*0.0254))^(1/3))))/($M$16^3))&gt;=0,100*(1-(156.4*EXP(0.318*($S170/2.23694)/((9.8*$T$161*($M$39*0.0254))^(1/3))))/($M$16^3)),0)</f>
        <v>#VALUE!</v>
      </c>
      <c r="Z170" s="747"/>
      <c r="AA170" s="747"/>
      <c r="AB170" s="747"/>
      <c r="AC170" s="747"/>
      <c r="AD170" s="747"/>
      <c r="AE170" s="747"/>
    </row>
    <row r="171" spans="1:31" s="643" customFormat="1">
      <c r="A171" s="747"/>
      <c r="B171" s="833" t="s">
        <v>3313</v>
      </c>
      <c r="C171" s="834">
        <v>33</v>
      </c>
      <c r="D171" s="834">
        <v>15.1</v>
      </c>
      <c r="E171" s="834">
        <v>14.4</v>
      </c>
      <c r="F171" s="834">
        <v>13.7</v>
      </c>
      <c r="G171" s="834">
        <v>12</v>
      </c>
      <c r="H171" s="834">
        <v>12.7</v>
      </c>
      <c r="I171" s="834">
        <v>11.6</v>
      </c>
      <c r="J171" s="834">
        <v>10.9</v>
      </c>
      <c r="K171" s="834">
        <v>11.8</v>
      </c>
      <c r="L171" s="834">
        <v>13.2</v>
      </c>
      <c r="M171" s="834">
        <v>14.8</v>
      </c>
      <c r="N171" s="834">
        <v>14.9</v>
      </c>
      <c r="O171" s="834">
        <v>13.9</v>
      </c>
      <c r="P171" s="834">
        <v>13.2</v>
      </c>
      <c r="Q171" s="747"/>
      <c r="S171" s="789">
        <v>2</v>
      </c>
      <c r="T171" s="788">
        <f t="shared" si="2"/>
        <v>3.4783928171753563E-3</v>
      </c>
      <c r="U171" s="786" t="e">
        <f t="shared" si="3"/>
        <v>#VALUE!</v>
      </c>
      <c r="Z171" s="747"/>
      <c r="AA171" s="747"/>
      <c r="AB171" s="747"/>
      <c r="AC171" s="747"/>
      <c r="AD171" s="747"/>
      <c r="AE171" s="747"/>
    </row>
    <row r="172" spans="1:31" s="643" customFormat="1">
      <c r="A172" s="747"/>
      <c r="B172" s="833" t="s">
        <v>3314</v>
      </c>
      <c r="C172" s="834">
        <v>44</v>
      </c>
      <c r="D172" s="834">
        <v>14.5</v>
      </c>
      <c r="E172" s="834">
        <v>14.7</v>
      </c>
      <c r="F172" s="834">
        <v>13.7</v>
      </c>
      <c r="G172" s="834">
        <v>12.9</v>
      </c>
      <c r="H172" s="834">
        <v>11.5</v>
      </c>
      <c r="I172" s="834">
        <v>11</v>
      </c>
      <c r="J172" s="834">
        <v>10.6</v>
      </c>
      <c r="K172" s="834">
        <v>11</v>
      </c>
      <c r="L172" s="834">
        <v>11.6</v>
      </c>
      <c r="M172" s="834">
        <v>12.3</v>
      </c>
      <c r="N172" s="834">
        <v>13.2</v>
      </c>
      <c r="O172" s="834">
        <v>13.6</v>
      </c>
      <c r="P172" s="834">
        <v>12.6</v>
      </c>
      <c r="Q172" s="747"/>
      <c r="S172" s="789">
        <v>3</v>
      </c>
      <c r="T172" s="788">
        <f t="shared" si="2"/>
        <v>5.1948734621241844E-3</v>
      </c>
      <c r="U172" s="786" t="e">
        <f t="shared" si="3"/>
        <v>#VALUE!</v>
      </c>
      <c r="Z172" s="747"/>
      <c r="AA172" s="747"/>
      <c r="AB172" s="747"/>
      <c r="AC172" s="747"/>
      <c r="AD172" s="747"/>
      <c r="AE172" s="747"/>
    </row>
    <row r="173" spans="1:31" s="643" customFormat="1">
      <c r="A173" s="747"/>
      <c r="B173" s="833" t="s">
        <v>3315</v>
      </c>
      <c r="C173" s="834">
        <v>27</v>
      </c>
      <c r="D173" s="834">
        <v>5.8</v>
      </c>
      <c r="E173" s="834">
        <v>6.3</v>
      </c>
      <c r="F173" s="834">
        <v>7</v>
      </c>
      <c r="G173" s="834">
        <v>7.4</v>
      </c>
      <c r="H173" s="834">
        <v>7.2</v>
      </c>
      <c r="I173" s="834">
        <v>6.8</v>
      </c>
      <c r="J173" s="834">
        <v>6.5</v>
      </c>
      <c r="K173" s="834">
        <v>6.2</v>
      </c>
      <c r="L173" s="834">
        <v>6.4</v>
      </c>
      <c r="M173" s="834">
        <v>6.4</v>
      </c>
      <c r="N173" s="834">
        <v>5.8</v>
      </c>
      <c r="O173" s="834">
        <v>5.6</v>
      </c>
      <c r="P173" s="834">
        <v>6.5</v>
      </c>
      <c r="Q173" s="747"/>
      <c r="S173" s="789">
        <v>4</v>
      </c>
      <c r="T173" s="788">
        <f t="shared" si="2"/>
        <v>6.8843165921627656E-3</v>
      </c>
      <c r="U173" s="786" t="e">
        <f t="shared" si="3"/>
        <v>#VALUE!</v>
      </c>
      <c r="Z173" s="747"/>
      <c r="AA173" s="747"/>
      <c r="AB173" s="747"/>
      <c r="AC173" s="747"/>
      <c r="AD173" s="747"/>
      <c r="AE173" s="747"/>
    </row>
    <row r="174" spans="1:31" s="643" customFormat="1">
      <c r="A174" s="747"/>
      <c r="B174" s="833" t="s">
        <v>3316</v>
      </c>
      <c r="C174" s="834">
        <v>26</v>
      </c>
      <c r="D174" s="834">
        <v>11.2</v>
      </c>
      <c r="E174" s="834">
        <v>10.199999999999999</v>
      </c>
      <c r="F174" s="834">
        <v>8.8000000000000007</v>
      </c>
      <c r="G174" s="834">
        <v>8</v>
      </c>
      <c r="H174" s="834">
        <v>8.1999999999999993</v>
      </c>
      <c r="I174" s="834">
        <v>6.9</v>
      </c>
      <c r="J174" s="834">
        <v>6.1</v>
      </c>
      <c r="K174" s="834">
        <v>6.6</v>
      </c>
      <c r="L174" s="834">
        <v>7.6</v>
      </c>
      <c r="M174" s="834">
        <v>8.6999999999999993</v>
      </c>
      <c r="N174" s="834">
        <v>10.199999999999999</v>
      </c>
      <c r="O174" s="834">
        <v>10</v>
      </c>
      <c r="P174" s="834">
        <v>8.5</v>
      </c>
      <c r="Q174" s="747"/>
      <c r="S174" s="789">
        <v>5</v>
      </c>
      <c r="T174" s="788">
        <f t="shared" si="2"/>
        <v>8.5380758163665985E-3</v>
      </c>
      <c r="U174" s="786" t="e">
        <f t="shared" si="3"/>
        <v>#VALUE!</v>
      </c>
      <c r="Z174" s="747"/>
      <c r="AA174" s="747"/>
      <c r="AB174" s="747"/>
      <c r="AC174" s="747"/>
      <c r="AD174" s="747"/>
      <c r="AE174" s="747"/>
    </row>
    <row r="175" spans="1:31" s="643" customFormat="1">
      <c r="A175" s="747"/>
      <c r="B175" s="833" t="s">
        <v>3317</v>
      </c>
      <c r="C175" s="834">
        <v>47</v>
      </c>
      <c r="D175" s="834">
        <v>17.5</v>
      </c>
      <c r="E175" s="834">
        <v>17.899999999999999</v>
      </c>
      <c r="F175" s="834">
        <v>17.399999999999999</v>
      </c>
      <c r="G175" s="834">
        <v>17.5</v>
      </c>
      <c r="H175" s="834">
        <v>16.2</v>
      </c>
      <c r="I175" s="834">
        <v>15.8</v>
      </c>
      <c r="J175" s="834">
        <v>15.6</v>
      </c>
      <c r="K175" s="834">
        <v>16.2</v>
      </c>
      <c r="L175" s="834">
        <v>16.2</v>
      </c>
      <c r="M175" s="834">
        <v>16.600000000000001</v>
      </c>
      <c r="N175" s="834">
        <v>17.5</v>
      </c>
      <c r="O175" s="834">
        <v>17.5</v>
      </c>
      <c r="P175" s="834">
        <v>16.8</v>
      </c>
      <c r="Q175" s="747"/>
      <c r="S175" s="789">
        <v>6</v>
      </c>
      <c r="T175" s="788">
        <f t="shared" si="2"/>
        <v>1.014781282643039E-2</v>
      </c>
      <c r="U175" s="786" t="e">
        <f t="shared" si="3"/>
        <v>#VALUE!</v>
      </c>
      <c r="Z175" s="747"/>
      <c r="AA175" s="747"/>
      <c r="AB175" s="747"/>
      <c r="AC175" s="747"/>
      <c r="AD175" s="747"/>
      <c r="AE175" s="747"/>
    </row>
    <row r="176" spans="1:31" s="643" customFormat="1">
      <c r="A176" s="747"/>
      <c r="B176" s="833" t="s">
        <v>3318</v>
      </c>
      <c r="C176" s="834">
        <v>51</v>
      </c>
      <c r="D176" s="834">
        <v>3</v>
      </c>
      <c r="E176" s="834">
        <v>3.9</v>
      </c>
      <c r="F176" s="834">
        <v>5.3</v>
      </c>
      <c r="G176" s="834">
        <v>6.6</v>
      </c>
      <c r="H176" s="834">
        <v>7.7</v>
      </c>
      <c r="I176" s="834">
        <v>7.1</v>
      </c>
      <c r="J176" s="834">
        <v>6.6</v>
      </c>
      <c r="K176" s="834">
        <v>6.1</v>
      </c>
      <c r="L176" s="834">
        <v>6</v>
      </c>
      <c r="M176" s="834">
        <v>5.3</v>
      </c>
      <c r="N176" s="834">
        <v>3.8</v>
      </c>
      <c r="O176" s="834">
        <v>3</v>
      </c>
      <c r="P176" s="834">
        <v>5.4</v>
      </c>
      <c r="Q176" s="747"/>
      <c r="S176" s="789">
        <v>7</v>
      </c>
      <c r="T176" s="788">
        <f t="shared" si="2"/>
        <v>1.1705567361135472E-2</v>
      </c>
      <c r="U176" s="786" t="e">
        <f t="shared" si="3"/>
        <v>#VALUE!</v>
      </c>
      <c r="Z176" s="747"/>
      <c r="AA176" s="747"/>
      <c r="AB176" s="747"/>
      <c r="AC176" s="747"/>
      <c r="AD176" s="747"/>
      <c r="AE176" s="747"/>
    </row>
    <row r="177" spans="1:21" s="643" customFormat="1">
      <c r="A177" s="747"/>
      <c r="B177" s="833" t="s">
        <v>3319</v>
      </c>
      <c r="C177" s="834">
        <v>14</v>
      </c>
      <c r="D177" s="834">
        <v>5</v>
      </c>
      <c r="E177" s="834">
        <v>4.9000000000000004</v>
      </c>
      <c r="F177" s="834">
        <v>6.3</v>
      </c>
      <c r="G177" s="834">
        <v>8.5</v>
      </c>
      <c r="H177" s="834">
        <v>8.6999999999999993</v>
      </c>
      <c r="I177" s="834">
        <v>8.1</v>
      </c>
      <c r="J177" s="834">
        <v>7.7</v>
      </c>
      <c r="K177" s="834">
        <v>7.7</v>
      </c>
      <c r="L177" s="834">
        <v>7.3</v>
      </c>
      <c r="M177" s="834">
        <v>6</v>
      </c>
      <c r="N177" s="834">
        <v>4.0999999999999996</v>
      </c>
      <c r="O177" s="834">
        <v>3.3</v>
      </c>
      <c r="P177" s="834">
        <v>6.5</v>
      </c>
      <c r="Q177" s="747"/>
      <c r="S177" s="789">
        <v>8</v>
      </c>
      <c r="T177" s="788">
        <f t="shared" si="2"/>
        <v>1.3203822628673822E-2</v>
      </c>
      <c r="U177" s="786" t="e">
        <f t="shared" si="3"/>
        <v>#VALUE!</v>
      </c>
    </row>
    <row r="178" spans="1:21" s="643" customFormat="1">
      <c r="A178" s="747"/>
      <c r="B178" s="833" t="s">
        <v>3320</v>
      </c>
      <c r="C178" s="834">
        <v>28</v>
      </c>
      <c r="D178" s="834">
        <v>7.8</v>
      </c>
      <c r="E178" s="834">
        <v>7.7</v>
      </c>
      <c r="F178" s="834">
        <v>7.8</v>
      </c>
      <c r="G178" s="834">
        <v>8.1</v>
      </c>
      <c r="H178" s="834">
        <v>8.1999999999999993</v>
      </c>
      <c r="I178" s="834">
        <v>7.8</v>
      </c>
      <c r="J178" s="834">
        <v>7.1</v>
      </c>
      <c r="K178" s="834">
        <v>6.6</v>
      </c>
      <c r="L178" s="834">
        <v>7</v>
      </c>
      <c r="M178" s="834">
        <v>7.3</v>
      </c>
      <c r="N178" s="834">
        <v>7.7</v>
      </c>
      <c r="O178" s="834">
        <v>7.8</v>
      </c>
      <c r="P178" s="834">
        <v>7.6</v>
      </c>
      <c r="Q178" s="747"/>
      <c r="S178" s="789">
        <v>9</v>
      </c>
      <c r="T178" s="788">
        <f t="shared" si="2"/>
        <v>1.4635565436359368E-2</v>
      </c>
      <c r="U178" s="786" t="e">
        <f t="shared" si="3"/>
        <v>#VALUE!</v>
      </c>
    </row>
    <row r="179" spans="1:21" s="643" customFormat="1">
      <c r="A179" s="747"/>
      <c r="B179" s="833" t="s">
        <v>3321</v>
      </c>
      <c r="C179" s="834">
        <v>57</v>
      </c>
      <c r="D179" s="834">
        <v>8.1</v>
      </c>
      <c r="E179" s="834">
        <v>8.1999999999999993</v>
      </c>
      <c r="F179" s="834">
        <v>8.4</v>
      </c>
      <c r="G179" s="834">
        <v>8.5</v>
      </c>
      <c r="H179" s="834">
        <v>8.3000000000000007</v>
      </c>
      <c r="I179" s="834">
        <v>7.7</v>
      </c>
      <c r="J179" s="834">
        <v>7.5</v>
      </c>
      <c r="K179" s="834">
        <v>7.4</v>
      </c>
      <c r="L179" s="834">
        <v>8</v>
      </c>
      <c r="M179" s="834">
        <v>9.5</v>
      </c>
      <c r="N179" s="834">
        <v>8.4</v>
      </c>
      <c r="O179" s="834">
        <v>8.8000000000000007</v>
      </c>
      <c r="P179" s="834">
        <v>8.1999999999999993</v>
      </c>
      <c r="Q179" s="747"/>
      <c r="S179" s="789">
        <v>10</v>
      </c>
      <c r="T179" s="788">
        <f t="shared" si="2"/>
        <v>1.5994340358407771E-2</v>
      </c>
      <c r="U179" s="786" t="e">
        <f t="shared" si="3"/>
        <v>#VALUE!</v>
      </c>
    </row>
    <row r="180" spans="1:21" s="643" customFormat="1">
      <c r="A180" s="747"/>
      <c r="B180" s="833" t="s">
        <v>3322</v>
      </c>
      <c r="C180" s="834">
        <v>47</v>
      </c>
      <c r="D180" s="834">
        <v>10.5</v>
      </c>
      <c r="E180" s="834">
        <v>11</v>
      </c>
      <c r="F180" s="834">
        <v>11.3</v>
      </c>
      <c r="G180" s="834">
        <v>10.9</v>
      </c>
      <c r="H180" s="834">
        <v>11</v>
      </c>
      <c r="I180" s="834">
        <v>10.5</v>
      </c>
      <c r="J180" s="834">
        <v>9.9</v>
      </c>
      <c r="K180" s="834">
        <v>10</v>
      </c>
      <c r="L180" s="834">
        <v>10.4</v>
      </c>
      <c r="M180" s="834">
        <v>10.3</v>
      </c>
      <c r="N180" s="834">
        <v>10.4</v>
      </c>
      <c r="O180" s="834">
        <v>10.1</v>
      </c>
      <c r="P180" s="834">
        <v>10.5</v>
      </c>
      <c r="Q180" s="747"/>
      <c r="S180" s="789">
        <v>11</v>
      </c>
      <c r="T180" s="788">
        <f t="shared" si="2"/>
        <v>1.7274297363128494E-2</v>
      </c>
      <c r="U180" s="786" t="e">
        <f t="shared" si="3"/>
        <v>#VALUE!</v>
      </c>
    </row>
    <row r="181" spans="1:21" s="643" customFormat="1">
      <c r="A181" s="747"/>
      <c r="B181" s="833" t="s">
        <v>3323</v>
      </c>
      <c r="C181" s="834">
        <v>49</v>
      </c>
      <c r="D181" s="834">
        <v>12.7</v>
      </c>
      <c r="E181" s="834">
        <v>12.5</v>
      </c>
      <c r="F181" s="834">
        <v>12.5</v>
      </c>
      <c r="G181" s="834">
        <v>11.6</v>
      </c>
      <c r="H181" s="834">
        <v>10.6</v>
      </c>
      <c r="I181" s="834">
        <v>9.3000000000000007</v>
      </c>
      <c r="J181" s="834">
        <v>7.7</v>
      </c>
      <c r="K181" s="834">
        <v>8.4</v>
      </c>
      <c r="L181" s="834">
        <v>9.6999999999999993</v>
      </c>
      <c r="M181" s="834">
        <v>11.4</v>
      </c>
      <c r="N181" s="834">
        <v>12.5</v>
      </c>
      <c r="O181" s="834">
        <v>12.6</v>
      </c>
      <c r="P181" s="834">
        <v>11</v>
      </c>
      <c r="Q181" s="747"/>
      <c r="S181" s="789">
        <v>12</v>
      </c>
      <c r="T181" s="788">
        <f t="shared" si="2"/>
        <v>1.847023241936481E-2</v>
      </c>
      <c r="U181" s="786" t="e">
        <f t="shared" si="3"/>
        <v>#VALUE!</v>
      </c>
    </row>
    <row r="182" spans="1:21">
      <c r="B182" s="833" t="s">
        <v>3324</v>
      </c>
      <c r="C182" s="834">
        <v>56</v>
      </c>
      <c r="D182" s="834">
        <v>13.9</v>
      </c>
      <c r="E182" s="834">
        <v>13</v>
      </c>
      <c r="F182" s="834">
        <v>11.9</v>
      </c>
      <c r="G182" s="834">
        <v>12</v>
      </c>
      <c r="H182" s="834">
        <v>10.7</v>
      </c>
      <c r="I182" s="834">
        <v>11.9</v>
      </c>
      <c r="J182" s="834">
        <v>12.7</v>
      </c>
      <c r="K182" s="834">
        <v>13.2</v>
      </c>
      <c r="L182" s="834">
        <v>13.2</v>
      </c>
      <c r="M182" s="834">
        <v>13.5</v>
      </c>
      <c r="N182" s="834">
        <v>14.4</v>
      </c>
      <c r="O182" s="834">
        <v>12.9</v>
      </c>
      <c r="P182" s="834">
        <v>12.8</v>
      </c>
      <c r="S182" s="789">
        <v>13</v>
      </c>
      <c r="T182" s="788">
        <f t="shared" si="2"/>
        <v>1.9577620706527167E-2</v>
      </c>
      <c r="U182" s="786" t="e">
        <f t="shared" si="3"/>
        <v>#VALUE!</v>
      </c>
    </row>
    <row r="183" spans="1:21">
      <c r="B183" s="833" t="s">
        <v>3325</v>
      </c>
      <c r="C183" s="834">
        <v>52</v>
      </c>
      <c r="D183" s="834">
        <v>3.2</v>
      </c>
      <c r="E183" s="834">
        <v>4.2</v>
      </c>
      <c r="F183" s="834">
        <v>5.3</v>
      </c>
      <c r="G183" s="834">
        <v>6.5</v>
      </c>
      <c r="H183" s="834">
        <v>6.7</v>
      </c>
      <c r="I183" s="834">
        <v>6.4</v>
      </c>
      <c r="J183" s="834">
        <v>5.9</v>
      </c>
      <c r="K183" s="834">
        <v>5.8</v>
      </c>
      <c r="L183" s="834">
        <v>5.9</v>
      </c>
      <c r="M183" s="834">
        <v>5.4</v>
      </c>
      <c r="N183" s="834">
        <v>3.7</v>
      </c>
      <c r="O183" s="834">
        <v>3.2</v>
      </c>
      <c r="P183" s="834">
        <v>5.2</v>
      </c>
      <c r="S183" s="789">
        <v>14</v>
      </c>
      <c r="T183" s="788">
        <f t="shared" si="2"/>
        <v>2.0592642161195728E-2</v>
      </c>
      <c r="U183" s="786" t="e">
        <f t="shared" si="3"/>
        <v>#VALUE!</v>
      </c>
    </row>
    <row r="184" spans="1:21">
      <c r="B184" s="833" t="s">
        <v>3326</v>
      </c>
      <c r="C184" s="834">
        <v>55</v>
      </c>
      <c r="D184" s="834">
        <v>10.8</v>
      </c>
      <c r="E184" s="834">
        <v>11</v>
      </c>
      <c r="F184" s="834">
        <v>10.1</v>
      </c>
      <c r="G184" s="834">
        <v>10.1</v>
      </c>
      <c r="H184" s="834">
        <v>9.9</v>
      </c>
      <c r="I184" s="834">
        <v>9.6999999999999993</v>
      </c>
      <c r="J184" s="834">
        <v>9.6999999999999993</v>
      </c>
      <c r="K184" s="834">
        <v>10.4</v>
      </c>
      <c r="L184" s="834">
        <v>11</v>
      </c>
      <c r="M184" s="834">
        <v>10.5</v>
      </c>
      <c r="N184" s="834">
        <v>11.5</v>
      </c>
      <c r="O184" s="834">
        <v>10.3</v>
      </c>
      <c r="P184" s="834">
        <v>10.4</v>
      </c>
      <c r="S184" s="789">
        <v>15</v>
      </c>
      <c r="T184" s="788">
        <f t="shared" si="2"/>
        <v>2.151219920407289E-2</v>
      </c>
      <c r="U184" s="786" t="e">
        <f t="shared" si="3"/>
        <v>#VALUE!</v>
      </c>
    </row>
    <row r="185" spans="1:21">
      <c r="B185" s="833" t="s">
        <v>3327</v>
      </c>
      <c r="C185" s="834">
        <v>28</v>
      </c>
      <c r="D185" s="834">
        <v>19.899999999999999</v>
      </c>
      <c r="E185" s="834">
        <v>20</v>
      </c>
      <c r="F185" s="834">
        <v>18.8</v>
      </c>
      <c r="G185" s="834">
        <v>17.399999999999999</v>
      </c>
      <c r="H185" s="834">
        <v>14.9</v>
      </c>
      <c r="I185" s="834">
        <v>13.6</v>
      </c>
      <c r="J185" s="834">
        <v>12.1</v>
      </c>
      <c r="K185" s="834">
        <v>13.7</v>
      </c>
      <c r="L185" s="834">
        <v>15.4</v>
      </c>
      <c r="M185" s="834">
        <v>17.399999999999999</v>
      </c>
      <c r="N185" s="834">
        <v>20</v>
      </c>
      <c r="O185" s="834">
        <v>20.100000000000001</v>
      </c>
      <c r="P185" s="834">
        <v>16.899999999999999</v>
      </c>
      <c r="S185" s="789">
        <v>16</v>
      </c>
      <c r="T185" s="788">
        <f t="shared" si="2"/>
        <v>2.2333926602095638E-2</v>
      </c>
      <c r="U185" s="786" t="e">
        <f t="shared" si="3"/>
        <v>#VALUE!</v>
      </c>
    </row>
    <row r="186" spans="1:21">
      <c r="B186" s="833" t="s">
        <v>3328</v>
      </c>
      <c r="C186" s="834">
        <v>19</v>
      </c>
      <c r="D186" s="834">
        <v>6</v>
      </c>
      <c r="E186" s="834">
        <v>5.5</v>
      </c>
      <c r="F186" s="834">
        <v>5.5</v>
      </c>
      <c r="G186" s="834">
        <v>4.7</v>
      </c>
      <c r="H186" s="834">
        <v>4.9000000000000004</v>
      </c>
      <c r="I186" s="834">
        <v>5.0999999999999996</v>
      </c>
      <c r="J186" s="834">
        <v>4.2</v>
      </c>
      <c r="K186" s="834">
        <v>3.7</v>
      </c>
      <c r="L186" s="834">
        <v>3.7</v>
      </c>
      <c r="M186" s="834">
        <v>3.8</v>
      </c>
      <c r="N186" s="834">
        <v>5</v>
      </c>
      <c r="O186" s="834">
        <v>4.9000000000000004</v>
      </c>
      <c r="P186" s="834">
        <v>4.8</v>
      </c>
      <c r="S186" s="789">
        <v>17</v>
      </c>
      <c r="T186" s="788">
        <f t="shared" si="2"/>
        <v>2.305619352985374E-2</v>
      </c>
      <c r="U186" s="786" t="e">
        <f t="shared" si="3"/>
        <v>#VALUE!</v>
      </c>
    </row>
    <row r="187" spans="1:21">
      <c r="B187" s="833" t="s">
        <v>3329</v>
      </c>
      <c r="C187" s="834">
        <v>22</v>
      </c>
      <c r="D187" s="834">
        <v>7.5</v>
      </c>
      <c r="E187" s="834">
        <v>7.8</v>
      </c>
      <c r="F187" s="834">
        <v>6.7</v>
      </c>
      <c r="G187" s="834">
        <v>5.2</v>
      </c>
      <c r="H187" s="834">
        <v>5.8</v>
      </c>
      <c r="I187" s="834">
        <v>5.9</v>
      </c>
      <c r="J187" s="834">
        <v>4.9000000000000004</v>
      </c>
      <c r="K187" s="834">
        <v>4.2</v>
      </c>
      <c r="L187" s="834">
        <v>4.3</v>
      </c>
      <c r="M187" s="834">
        <v>6.3</v>
      </c>
      <c r="N187" s="834">
        <v>7.5</v>
      </c>
      <c r="O187" s="834">
        <v>7</v>
      </c>
      <c r="P187" s="834">
        <v>6.1</v>
      </c>
      <c r="S187" s="789">
        <v>18</v>
      </c>
      <c r="T187" s="788">
        <f t="shared" si="2"/>
        <v>2.3678098000259305E-2</v>
      </c>
      <c r="U187" s="786" t="e">
        <f t="shared" si="3"/>
        <v>#VALUE!</v>
      </c>
    </row>
    <row r="188" spans="1:21">
      <c r="B188" s="833" t="s">
        <v>3330</v>
      </c>
      <c r="C188" s="834">
        <v>54</v>
      </c>
      <c r="D188" s="834">
        <v>7.2</v>
      </c>
      <c r="E188" s="834">
        <v>7.3</v>
      </c>
      <c r="F188" s="834">
        <v>7</v>
      </c>
      <c r="G188" s="834">
        <v>7.1</v>
      </c>
      <c r="H188" s="834">
        <v>7.5</v>
      </c>
      <c r="I188" s="834">
        <v>6.9</v>
      </c>
      <c r="J188" s="834">
        <v>6.6</v>
      </c>
      <c r="K188" s="834">
        <v>6.3</v>
      </c>
      <c r="L188" s="834">
        <v>6.9</v>
      </c>
      <c r="M188" s="834">
        <v>7.8</v>
      </c>
      <c r="N188" s="834">
        <v>7.2</v>
      </c>
      <c r="O188" s="834">
        <v>7.8</v>
      </c>
      <c r="P188" s="834">
        <v>7.1</v>
      </c>
      <c r="S188" s="789">
        <v>19</v>
      </c>
      <c r="T188" s="788">
        <f t="shared" si="2"/>
        <v>2.4199453934943469E-2</v>
      </c>
      <c r="U188" s="786" t="e">
        <f t="shared" si="3"/>
        <v>#VALUE!</v>
      </c>
    </row>
    <row r="189" spans="1:21">
      <c r="B189" s="833" t="s">
        <v>3331</v>
      </c>
      <c r="C189" s="834">
        <v>35</v>
      </c>
      <c r="D189" s="834">
        <v>6.5</v>
      </c>
      <c r="E189" s="834">
        <v>6.6</v>
      </c>
      <c r="F189" s="834">
        <v>7.1</v>
      </c>
      <c r="G189" s="834">
        <v>7.6</v>
      </c>
      <c r="H189" s="834">
        <v>7.3</v>
      </c>
      <c r="I189" s="834">
        <v>7</v>
      </c>
      <c r="J189" s="834">
        <v>5.5</v>
      </c>
      <c r="K189" s="834">
        <v>5</v>
      </c>
      <c r="L189" s="834">
        <v>5.6</v>
      </c>
      <c r="M189" s="834">
        <v>5.8</v>
      </c>
      <c r="N189" s="834">
        <v>6.6</v>
      </c>
      <c r="O189" s="834">
        <v>6.6</v>
      </c>
      <c r="P189" s="834">
        <v>6.4</v>
      </c>
      <c r="S189" s="789">
        <v>20</v>
      </c>
      <c r="T189" s="788">
        <f t="shared" si="2"/>
        <v>2.4620771238525047E-2</v>
      </c>
      <c r="U189" s="786" t="e">
        <f t="shared" si="3"/>
        <v>#VALUE!</v>
      </c>
    </row>
    <row r="190" spans="1:21">
      <c r="B190" s="833" t="s">
        <v>3332</v>
      </c>
      <c r="C190" s="834">
        <v>57</v>
      </c>
      <c r="D190" s="834">
        <v>5.3</v>
      </c>
      <c r="E190" s="834">
        <v>5.8</v>
      </c>
      <c r="F190" s="834">
        <v>6.6</v>
      </c>
      <c r="G190" s="834">
        <v>6.9</v>
      </c>
      <c r="H190" s="834">
        <v>7</v>
      </c>
      <c r="I190" s="834">
        <v>6.7</v>
      </c>
      <c r="J190" s="834">
        <v>7.1</v>
      </c>
      <c r="K190" s="834">
        <v>6.6</v>
      </c>
      <c r="L190" s="834">
        <v>6.3</v>
      </c>
      <c r="M190" s="834">
        <v>5.8</v>
      </c>
      <c r="N190" s="834">
        <v>5.3</v>
      </c>
      <c r="O190" s="834">
        <v>5.0999999999999996</v>
      </c>
      <c r="P190" s="834">
        <v>6.2</v>
      </c>
      <c r="S190" s="789">
        <v>21</v>
      </c>
      <c r="T190" s="788">
        <f t="shared" si="2"/>
        <v>2.4943229326285836E-2</v>
      </c>
      <c r="U190" s="786" t="e">
        <f t="shared" si="3"/>
        <v>#VALUE!</v>
      </c>
    </row>
    <row r="191" spans="1:21">
      <c r="B191" s="833" t="s">
        <v>3333</v>
      </c>
      <c r="C191" s="834">
        <v>57</v>
      </c>
      <c r="D191" s="834">
        <v>7.9</v>
      </c>
      <c r="E191" s="834">
        <v>8.1</v>
      </c>
      <c r="F191" s="834">
        <v>8.6</v>
      </c>
      <c r="G191" s="834">
        <v>8.9</v>
      </c>
      <c r="H191" s="834">
        <v>8.8000000000000007</v>
      </c>
      <c r="I191" s="834">
        <v>8.6999999999999993</v>
      </c>
      <c r="J191" s="834">
        <v>8.4</v>
      </c>
      <c r="K191" s="834">
        <v>7.9</v>
      </c>
      <c r="L191" s="834">
        <v>8.3000000000000007</v>
      </c>
      <c r="M191" s="834">
        <v>8.1999999999999993</v>
      </c>
      <c r="N191" s="834">
        <v>8.1</v>
      </c>
      <c r="O191" s="834">
        <v>7.8</v>
      </c>
      <c r="P191" s="834">
        <v>8.3000000000000007</v>
      </c>
      <c r="S191" s="789">
        <v>22</v>
      </c>
      <c r="T191" s="788">
        <f t="shared" si="2"/>
        <v>2.5168644630675144E-2</v>
      </c>
      <c r="U191" s="786" t="e">
        <f t="shared" si="3"/>
        <v>#VALUE!</v>
      </c>
    </row>
    <row r="192" spans="1:21">
      <c r="B192" s="833" t="s">
        <v>3334</v>
      </c>
      <c r="C192" s="834">
        <v>42</v>
      </c>
      <c r="D192" s="834">
        <v>7.1</v>
      </c>
      <c r="E192" s="834">
        <v>8.5</v>
      </c>
      <c r="F192" s="834">
        <v>10.3</v>
      </c>
      <c r="G192" s="834">
        <v>11.3</v>
      </c>
      <c r="H192" s="834">
        <v>10.7</v>
      </c>
      <c r="I192" s="834">
        <v>10.6</v>
      </c>
      <c r="J192" s="834">
        <v>9</v>
      </c>
      <c r="K192" s="834">
        <v>8.4</v>
      </c>
      <c r="L192" s="834">
        <v>8.1</v>
      </c>
      <c r="M192" s="834">
        <v>7.6</v>
      </c>
      <c r="N192" s="834">
        <v>7.3</v>
      </c>
      <c r="O192" s="834">
        <v>6.7</v>
      </c>
      <c r="P192" s="834">
        <v>8.8000000000000007</v>
      </c>
      <c r="S192" s="789">
        <v>23</v>
      </c>
      <c r="T192" s="788">
        <f t="shared" si="2"/>
        <v>2.5299432677445489E-2</v>
      </c>
      <c r="U192" s="786" t="e">
        <f t="shared" si="3"/>
        <v>#VALUE!</v>
      </c>
    </row>
    <row r="193" spans="2:21">
      <c r="B193" s="833" t="s">
        <v>3335</v>
      </c>
      <c r="C193" s="834">
        <v>28</v>
      </c>
      <c r="D193" s="834">
        <v>7.3</v>
      </c>
      <c r="E193" s="834">
        <v>7.4</v>
      </c>
      <c r="F193" s="834">
        <v>7.9</v>
      </c>
      <c r="G193" s="834">
        <v>8.3000000000000007</v>
      </c>
      <c r="H193" s="834">
        <v>8.3000000000000007</v>
      </c>
      <c r="I193" s="834">
        <v>8.5</v>
      </c>
      <c r="J193" s="834">
        <v>9.5</v>
      </c>
      <c r="K193" s="834">
        <v>8.9</v>
      </c>
      <c r="L193" s="834">
        <v>7.3</v>
      </c>
      <c r="M193" s="834">
        <v>6.6</v>
      </c>
      <c r="N193" s="834">
        <v>6.9</v>
      </c>
      <c r="O193" s="834">
        <v>7.2</v>
      </c>
      <c r="P193" s="834">
        <v>7.8</v>
      </c>
      <c r="S193" s="789">
        <v>24</v>
      </c>
      <c r="T193" s="788">
        <f t="shared" si="2"/>
        <v>2.5338565376315247E-2</v>
      </c>
      <c r="U193" s="786" t="e">
        <f t="shared" si="3"/>
        <v>#VALUE!</v>
      </c>
    </row>
    <row r="194" spans="2:21">
      <c r="B194" s="833" t="s">
        <v>3336</v>
      </c>
      <c r="C194" s="834">
        <v>57</v>
      </c>
      <c r="D194" s="834">
        <v>8.1999999999999993</v>
      </c>
      <c r="E194" s="834">
        <v>8.5</v>
      </c>
      <c r="F194" s="834">
        <v>9.4</v>
      </c>
      <c r="G194" s="834">
        <v>8.9</v>
      </c>
      <c r="H194" s="834">
        <v>7.7</v>
      </c>
      <c r="I194" s="834">
        <v>6.7</v>
      </c>
      <c r="J194" s="834">
        <v>6.3</v>
      </c>
      <c r="K194" s="834">
        <v>6.3</v>
      </c>
      <c r="L194" s="834">
        <v>6.6</v>
      </c>
      <c r="M194" s="834">
        <v>6.8</v>
      </c>
      <c r="N194" s="834">
        <v>7.8</v>
      </c>
      <c r="O194" s="834">
        <v>8.1</v>
      </c>
      <c r="P194" s="834">
        <v>7.6</v>
      </c>
      <c r="S194" s="789">
        <v>25</v>
      </c>
      <c r="T194" s="788">
        <f t="shared" si="2"/>
        <v>2.5289524213324487E-2</v>
      </c>
      <c r="U194" s="786" t="e">
        <f t="shared" si="3"/>
        <v>#VALUE!</v>
      </c>
    </row>
    <row r="195" spans="2:21">
      <c r="B195" s="833" t="s">
        <v>3337</v>
      </c>
      <c r="C195" s="834">
        <v>60</v>
      </c>
      <c r="D195" s="834">
        <v>8.4</v>
      </c>
      <c r="E195" s="834">
        <v>8.9</v>
      </c>
      <c r="F195" s="834">
        <v>9.6</v>
      </c>
      <c r="G195" s="834">
        <v>9</v>
      </c>
      <c r="H195" s="834">
        <v>7.6</v>
      </c>
      <c r="I195" s="834">
        <v>7.1</v>
      </c>
      <c r="J195" s="834">
        <v>6.7</v>
      </c>
      <c r="K195" s="834">
        <v>6.3</v>
      </c>
      <c r="L195" s="834">
        <v>6.6</v>
      </c>
      <c r="M195" s="834">
        <v>6.8</v>
      </c>
      <c r="N195" s="834">
        <v>8</v>
      </c>
      <c r="O195" s="834">
        <v>8.1</v>
      </c>
      <c r="P195" s="834">
        <v>7.8</v>
      </c>
      <c r="S195" s="789">
        <v>26</v>
      </c>
      <c r="T195" s="788">
        <f t="shared" si="2"/>
        <v>2.515625006219888E-2</v>
      </c>
      <c r="U195" s="786" t="e">
        <f t="shared" si="3"/>
        <v>#VALUE!</v>
      </c>
    </row>
    <row r="196" spans="2:21">
      <c r="B196" s="833" t="s">
        <v>3338</v>
      </c>
      <c r="C196" s="834">
        <v>50</v>
      </c>
      <c r="D196" s="834">
        <v>5.2</v>
      </c>
      <c r="E196" s="834">
        <v>5.8</v>
      </c>
      <c r="F196" s="834">
        <v>6.5</v>
      </c>
      <c r="G196" s="834">
        <v>7.1</v>
      </c>
      <c r="H196" s="834">
        <v>7.9</v>
      </c>
      <c r="I196" s="834">
        <v>7.9</v>
      </c>
      <c r="J196" s="834">
        <v>7.2</v>
      </c>
      <c r="K196" s="834">
        <v>6.8</v>
      </c>
      <c r="L196" s="834">
        <v>6.2</v>
      </c>
      <c r="M196" s="834">
        <v>5.5</v>
      </c>
      <c r="N196" s="834">
        <v>5.0999999999999996</v>
      </c>
      <c r="O196" s="834">
        <v>5</v>
      </c>
      <c r="P196" s="834">
        <v>6.4</v>
      </c>
      <c r="S196" s="789">
        <v>27</v>
      </c>
      <c r="T196" s="788">
        <f t="shared" si="2"/>
        <v>2.49430903500059E-2</v>
      </c>
      <c r="U196" s="786" t="e">
        <f t="shared" si="3"/>
        <v>#VALUE!</v>
      </c>
    </row>
    <row r="197" spans="2:21">
      <c r="B197" s="833" t="s">
        <v>3339</v>
      </c>
      <c r="C197" s="834">
        <v>50</v>
      </c>
      <c r="D197" s="834">
        <v>7.8</v>
      </c>
      <c r="E197" s="834">
        <v>7.7</v>
      </c>
      <c r="F197" s="834">
        <v>7.4</v>
      </c>
      <c r="G197" s="834">
        <v>6.5</v>
      </c>
      <c r="H197" s="834">
        <v>6.5</v>
      </c>
      <c r="I197" s="834">
        <v>6.3</v>
      </c>
      <c r="J197" s="834">
        <v>5.8</v>
      </c>
      <c r="K197" s="834">
        <v>5.9</v>
      </c>
      <c r="L197" s="834">
        <v>6.4</v>
      </c>
      <c r="M197" s="834">
        <v>6.8</v>
      </c>
      <c r="N197" s="834">
        <v>6.6</v>
      </c>
      <c r="O197" s="834">
        <v>6.7</v>
      </c>
      <c r="P197" s="834">
        <v>6.7</v>
      </c>
      <c r="S197" s="789">
        <v>28</v>
      </c>
      <c r="T197" s="788">
        <f t="shared" si="2"/>
        <v>2.4654744318348753E-2</v>
      </c>
      <c r="U197" s="786" t="e">
        <f t="shared" si="3"/>
        <v>#VALUE!</v>
      </c>
    </row>
    <row r="198" spans="2:21">
      <c r="B198" s="833" t="s">
        <v>3340</v>
      </c>
      <c r="C198" s="834">
        <v>54</v>
      </c>
      <c r="D198" s="834">
        <v>6.9</v>
      </c>
      <c r="E198" s="834">
        <v>7.2</v>
      </c>
      <c r="F198" s="834">
        <v>7.6</v>
      </c>
      <c r="G198" s="834">
        <v>8</v>
      </c>
      <c r="H198" s="834">
        <v>7.9</v>
      </c>
      <c r="I198" s="834">
        <v>7.4</v>
      </c>
      <c r="J198" s="834">
        <v>6.8</v>
      </c>
      <c r="K198" s="834">
        <v>5.8</v>
      </c>
      <c r="L198" s="834">
        <v>5.5</v>
      </c>
      <c r="M198" s="834">
        <v>5.6</v>
      </c>
      <c r="N198" s="834">
        <v>6</v>
      </c>
      <c r="O198" s="834">
        <v>6.4</v>
      </c>
      <c r="P198" s="834">
        <v>6.8</v>
      </c>
      <c r="S198" s="789">
        <v>29</v>
      </c>
      <c r="T198" s="788">
        <f t="shared" si="2"/>
        <v>2.4296207115687269E-2</v>
      </c>
      <c r="U198" s="786" t="e">
        <f t="shared" si="3"/>
        <v>#VALUE!</v>
      </c>
    </row>
    <row r="199" spans="2:21">
      <c r="B199" s="833" t="s">
        <v>3341</v>
      </c>
      <c r="C199" s="834">
        <v>53</v>
      </c>
      <c r="D199" s="834">
        <v>5.2</v>
      </c>
      <c r="E199" s="834">
        <v>5.7</v>
      </c>
      <c r="F199" s="834">
        <v>6.7</v>
      </c>
      <c r="G199" s="834">
        <v>7.4</v>
      </c>
      <c r="H199" s="834">
        <v>8.1</v>
      </c>
      <c r="I199" s="834">
        <v>8.3000000000000007</v>
      </c>
      <c r="J199" s="834">
        <v>7.4</v>
      </c>
      <c r="K199" s="834">
        <v>6.8</v>
      </c>
      <c r="L199" s="834">
        <v>6.1</v>
      </c>
      <c r="M199" s="834">
        <v>5.2</v>
      </c>
      <c r="N199" s="834">
        <v>4.7</v>
      </c>
      <c r="O199" s="834">
        <v>4.9000000000000004</v>
      </c>
      <c r="P199" s="834">
        <v>6.4</v>
      </c>
      <c r="S199" s="789">
        <v>30</v>
      </c>
      <c r="T199" s="788">
        <f t="shared" si="2"/>
        <v>2.3872713439693209E-2</v>
      </c>
      <c r="U199" s="786" t="e">
        <f t="shared" si="3"/>
        <v>#VALUE!</v>
      </c>
    </row>
    <row r="200" spans="2:21">
      <c r="B200" s="833" t="s">
        <v>3342</v>
      </c>
      <c r="C200" s="834">
        <v>33</v>
      </c>
      <c r="D200" s="834">
        <v>5.2</v>
      </c>
      <c r="E200" s="834">
        <v>6</v>
      </c>
      <c r="F200" s="834">
        <v>6.7</v>
      </c>
      <c r="G200" s="834">
        <v>7.4</v>
      </c>
      <c r="H200" s="834">
        <v>7.1</v>
      </c>
      <c r="I200" s="834">
        <v>7</v>
      </c>
      <c r="J200" s="834">
        <v>6.8</v>
      </c>
      <c r="K200" s="834">
        <v>6.6</v>
      </c>
      <c r="L200" s="834">
        <v>6.2</v>
      </c>
      <c r="M200" s="834">
        <v>5.6</v>
      </c>
      <c r="N200" s="834">
        <v>5.2</v>
      </c>
      <c r="O200" s="834">
        <v>5</v>
      </c>
      <c r="P200" s="834">
        <v>6.2</v>
      </c>
      <c r="S200" s="789">
        <v>31</v>
      </c>
      <c r="T200" s="788">
        <f t="shared" si="2"/>
        <v>2.3389681421611946E-2</v>
      </c>
      <c r="U200" s="786" t="e">
        <f t="shared" si="3"/>
        <v>#VALUE!</v>
      </c>
    </row>
    <row r="201" spans="2:21">
      <c r="B201" s="833" t="s">
        <v>3343</v>
      </c>
      <c r="C201" s="834">
        <v>54</v>
      </c>
      <c r="D201" s="834">
        <v>6.7</v>
      </c>
      <c r="E201" s="834">
        <v>7.4</v>
      </c>
      <c r="F201" s="834">
        <v>8.1</v>
      </c>
      <c r="G201" s="834">
        <v>8.5</v>
      </c>
      <c r="H201" s="834">
        <v>8.4</v>
      </c>
      <c r="I201" s="834">
        <v>8</v>
      </c>
      <c r="J201" s="834">
        <v>7.9</v>
      </c>
      <c r="K201" s="834">
        <v>7.7</v>
      </c>
      <c r="L201" s="834">
        <v>7.3</v>
      </c>
      <c r="M201" s="834">
        <v>6.9</v>
      </c>
      <c r="N201" s="834">
        <v>6.7</v>
      </c>
      <c r="O201" s="834">
        <v>6.6</v>
      </c>
      <c r="P201" s="834">
        <v>7.5</v>
      </c>
      <c r="S201" s="789">
        <v>32</v>
      </c>
      <c r="T201" s="788">
        <f t="shared" si="2"/>
        <v>2.2852657408343031E-2</v>
      </c>
      <c r="U201" s="786" t="e">
        <f t="shared" si="3"/>
        <v>#VALUE!</v>
      </c>
    </row>
    <row r="202" spans="2:21">
      <c r="B202" s="833" t="s">
        <v>3344</v>
      </c>
      <c r="C202" s="834">
        <v>28</v>
      </c>
      <c r="D202" s="834">
        <v>6.2</v>
      </c>
      <c r="E202" s="834">
        <v>6.4</v>
      </c>
      <c r="F202" s="834">
        <v>6.5</v>
      </c>
      <c r="G202" s="834">
        <v>6.3</v>
      </c>
      <c r="H202" s="834">
        <v>6</v>
      </c>
      <c r="I202" s="834">
        <v>5.4</v>
      </c>
      <c r="J202" s="834">
        <v>5</v>
      </c>
      <c r="K202" s="834">
        <v>4.9000000000000004</v>
      </c>
      <c r="L202" s="834">
        <v>5.0999999999999996</v>
      </c>
      <c r="M202" s="834">
        <v>5.2</v>
      </c>
      <c r="N202" s="834">
        <v>5.8</v>
      </c>
      <c r="O202" s="834">
        <v>5.8</v>
      </c>
      <c r="P202" s="834">
        <v>5.7</v>
      </c>
      <c r="S202" s="789">
        <v>33</v>
      </c>
      <c r="T202" s="788">
        <f t="shared" ref="T202:T233" si="4">(S202/($T$166^2))*EXP(((-(S202^2))/(2*($T$166^2))))</f>
        <v>2.2267262253428254E-2</v>
      </c>
      <c r="U202" s="786" t="e">
        <f t="shared" ref="U202:U233" si="5">IF(100*(1-(156.4*EXP(0.318*($S202/2.23694)/((9.8*$T$161*($M$39*0.0254))^(1/3))))/($M$16^3))&gt;=0,100*(1-(156.4*EXP(0.318*($S202/2.23694)/((9.8*$T$161*($M$39*0.0254))^(1/3))))/($M$16^3)),0)</f>
        <v>#VALUE!</v>
      </c>
    </row>
    <row r="203" spans="2:21">
      <c r="B203" s="833" t="s">
        <v>3345</v>
      </c>
      <c r="C203" s="834">
        <v>3</v>
      </c>
      <c r="D203" s="834">
        <v>5</v>
      </c>
      <c r="E203" s="834">
        <v>5.2</v>
      </c>
      <c r="F203" s="834">
        <v>5.8</v>
      </c>
      <c r="G203" s="834">
        <v>6.2</v>
      </c>
      <c r="H203" s="834">
        <v>5.4</v>
      </c>
      <c r="I203" s="834">
        <v>5.4</v>
      </c>
      <c r="J203" s="834">
        <v>4.4000000000000004</v>
      </c>
      <c r="K203" s="834">
        <v>4.2</v>
      </c>
      <c r="L203" s="834">
        <v>4.5999999999999996</v>
      </c>
      <c r="M203" s="834">
        <v>4.2</v>
      </c>
      <c r="N203" s="834">
        <v>5.2</v>
      </c>
      <c r="O203" s="834">
        <v>5.4</v>
      </c>
      <c r="P203" s="834">
        <v>5.0999999999999996</v>
      </c>
      <c r="S203" s="789">
        <v>34</v>
      </c>
      <c r="T203" s="788">
        <f t="shared" si="4"/>
        <v>2.1639139676510807E-2</v>
      </c>
      <c r="U203" s="786" t="e">
        <f t="shared" si="5"/>
        <v>#VALUE!</v>
      </c>
    </row>
    <row r="204" spans="2:21">
      <c r="B204" s="833" t="s">
        <v>3346</v>
      </c>
      <c r="C204" s="834">
        <v>16</v>
      </c>
      <c r="D204" s="834">
        <v>6.2</v>
      </c>
      <c r="E204" s="834">
        <v>7.1</v>
      </c>
      <c r="F204" s="834">
        <v>7.3</v>
      </c>
      <c r="G204" s="834">
        <v>7</v>
      </c>
      <c r="H204" s="834">
        <v>7.3</v>
      </c>
      <c r="I204" s="834">
        <v>7.5</v>
      </c>
      <c r="J204" s="834">
        <v>6.6</v>
      </c>
      <c r="K204" s="834">
        <v>6.1</v>
      </c>
      <c r="L204" s="834">
        <v>6</v>
      </c>
      <c r="M204" s="834">
        <v>6</v>
      </c>
      <c r="N204" s="834">
        <v>5.7</v>
      </c>
      <c r="O204" s="834">
        <v>6.4</v>
      </c>
      <c r="P204" s="834">
        <v>6.6</v>
      </c>
      <c r="S204" s="789">
        <v>35</v>
      </c>
      <c r="T204" s="788">
        <f t="shared" si="4"/>
        <v>2.0973907193339705E-2</v>
      </c>
      <c r="U204" s="786" t="e">
        <f t="shared" si="5"/>
        <v>#VALUE!</v>
      </c>
    </row>
    <row r="205" spans="2:21">
      <c r="B205" s="833" t="s">
        <v>3347</v>
      </c>
      <c r="C205" s="834">
        <v>52</v>
      </c>
      <c r="D205" s="834">
        <v>7.1</v>
      </c>
      <c r="E205" s="834">
        <v>7.3</v>
      </c>
      <c r="F205" s="834">
        <v>8.4</v>
      </c>
      <c r="G205" s="834">
        <v>8.6</v>
      </c>
      <c r="H205" s="834">
        <v>9</v>
      </c>
      <c r="I205" s="834">
        <v>9.6</v>
      </c>
      <c r="J205" s="834">
        <v>8.9</v>
      </c>
      <c r="K205" s="834">
        <v>8.4</v>
      </c>
      <c r="L205" s="834">
        <v>7.4</v>
      </c>
      <c r="M205" s="834">
        <v>6.4</v>
      </c>
      <c r="N205" s="834">
        <v>6</v>
      </c>
      <c r="O205" s="834">
        <v>6.4</v>
      </c>
      <c r="P205" s="834">
        <v>7.8</v>
      </c>
      <c r="S205" s="789">
        <v>36</v>
      </c>
      <c r="T205" s="788">
        <f t="shared" si="4"/>
        <v>2.0277110056322351E-2</v>
      </c>
      <c r="U205" s="786" t="e">
        <f t="shared" si="5"/>
        <v>#VALUE!</v>
      </c>
    </row>
    <row r="206" spans="2:21">
      <c r="B206" s="833" t="s">
        <v>3348</v>
      </c>
      <c r="C206" s="834">
        <v>62</v>
      </c>
      <c r="D206" s="834">
        <v>6</v>
      </c>
      <c r="E206" s="834">
        <v>6.6</v>
      </c>
      <c r="F206" s="834">
        <v>7.5</v>
      </c>
      <c r="G206" s="834">
        <v>7.8</v>
      </c>
      <c r="H206" s="834">
        <v>7.9</v>
      </c>
      <c r="I206" s="834">
        <v>7.8</v>
      </c>
      <c r="J206" s="834">
        <v>7.5</v>
      </c>
      <c r="K206" s="834">
        <v>7.4</v>
      </c>
      <c r="L206" s="834">
        <v>7.1</v>
      </c>
      <c r="M206" s="834">
        <v>6.5</v>
      </c>
      <c r="N206" s="834">
        <v>5.9</v>
      </c>
      <c r="O206" s="834">
        <v>5.6</v>
      </c>
      <c r="P206" s="834">
        <v>7</v>
      </c>
      <c r="S206" s="789">
        <v>37</v>
      </c>
      <c r="T206" s="788">
        <f t="shared" si="4"/>
        <v>1.9554178580274237E-2</v>
      </c>
      <c r="U206" s="786" t="e">
        <f t="shared" si="5"/>
        <v>#VALUE!</v>
      </c>
    </row>
    <row r="207" spans="2:21">
      <c r="B207" s="833" t="s">
        <v>3349</v>
      </c>
      <c r="C207" s="834">
        <v>75</v>
      </c>
      <c r="D207" s="834">
        <v>7.2</v>
      </c>
      <c r="E207" s="834">
        <v>8.6</v>
      </c>
      <c r="F207" s="834">
        <v>10.5</v>
      </c>
      <c r="G207" s="834">
        <v>12.2</v>
      </c>
      <c r="H207" s="834">
        <v>13.4</v>
      </c>
      <c r="I207" s="834">
        <v>14</v>
      </c>
      <c r="J207" s="834">
        <v>13.6</v>
      </c>
      <c r="K207" s="834">
        <v>12.8</v>
      </c>
      <c r="L207" s="834">
        <v>11.1</v>
      </c>
      <c r="M207" s="834">
        <v>9.4</v>
      </c>
      <c r="N207" s="834">
        <v>7.5</v>
      </c>
      <c r="O207" s="834">
        <v>7.1</v>
      </c>
      <c r="P207" s="834">
        <v>10.6</v>
      </c>
      <c r="S207" s="789">
        <v>38</v>
      </c>
      <c r="T207" s="788">
        <f t="shared" si="4"/>
        <v>1.881038916066656E-2</v>
      </c>
      <c r="U207" s="786" t="e">
        <f t="shared" si="5"/>
        <v>#VALUE!</v>
      </c>
    </row>
    <row r="208" spans="2:21">
      <c r="B208" s="833" t="s">
        <v>3350</v>
      </c>
      <c r="C208" s="834">
        <v>28</v>
      </c>
      <c r="D208" s="834">
        <v>6.7</v>
      </c>
      <c r="E208" s="834">
        <v>7.5</v>
      </c>
      <c r="F208" s="834">
        <v>8.5</v>
      </c>
      <c r="G208" s="834">
        <v>9.5</v>
      </c>
      <c r="H208" s="834">
        <v>10.4</v>
      </c>
      <c r="I208" s="834">
        <v>10.9</v>
      </c>
      <c r="J208" s="834">
        <v>11.2</v>
      </c>
      <c r="K208" s="834">
        <v>10.5</v>
      </c>
      <c r="L208" s="834">
        <v>9.1</v>
      </c>
      <c r="M208" s="834">
        <v>7.6</v>
      </c>
      <c r="N208" s="834">
        <v>6.3</v>
      </c>
      <c r="O208" s="834">
        <v>6.5</v>
      </c>
      <c r="P208" s="834">
        <v>8.6999999999999993</v>
      </c>
      <c r="S208" s="789">
        <v>39</v>
      </c>
      <c r="T208" s="788">
        <f t="shared" si="4"/>
        <v>1.8050829223583347E-2</v>
      </c>
      <c r="U208" s="786" t="e">
        <f t="shared" si="5"/>
        <v>#VALUE!</v>
      </c>
    </row>
    <row r="209" spans="2:21">
      <c r="B209" s="833" t="s">
        <v>3351</v>
      </c>
      <c r="C209" s="834">
        <v>31</v>
      </c>
      <c r="D209" s="834">
        <v>5.0999999999999996</v>
      </c>
      <c r="E209" s="834">
        <v>5.9</v>
      </c>
      <c r="F209" s="834">
        <v>6.7</v>
      </c>
      <c r="G209" s="834">
        <v>7.6</v>
      </c>
      <c r="H209" s="834">
        <v>7</v>
      </c>
      <c r="I209" s="834">
        <v>6.7</v>
      </c>
      <c r="J209" s="834">
        <v>6.5</v>
      </c>
      <c r="K209" s="834">
        <v>6.1</v>
      </c>
      <c r="L209" s="834">
        <v>5.5</v>
      </c>
      <c r="M209" s="834">
        <v>5.5</v>
      </c>
      <c r="N209" s="834">
        <v>5.2</v>
      </c>
      <c r="O209" s="834">
        <v>4.4000000000000004</v>
      </c>
      <c r="P209" s="834">
        <v>6</v>
      </c>
      <c r="S209" s="789">
        <v>40</v>
      </c>
      <c r="T209" s="788">
        <f t="shared" si="4"/>
        <v>1.7280366278962126E-2</v>
      </c>
      <c r="U209" s="786" t="e">
        <f t="shared" si="5"/>
        <v>#VALUE!</v>
      </c>
    </row>
    <row r="210" spans="2:21">
      <c r="B210" s="833" t="s">
        <v>3352</v>
      </c>
      <c r="C210" s="834">
        <v>22</v>
      </c>
      <c r="D210" s="834">
        <v>6.4</v>
      </c>
      <c r="E210" s="834">
        <v>7.2</v>
      </c>
      <c r="F210" s="834">
        <v>8.1</v>
      </c>
      <c r="G210" s="834">
        <v>8</v>
      </c>
      <c r="H210" s="834">
        <v>8.1999999999999993</v>
      </c>
      <c r="I210" s="834">
        <v>7.8</v>
      </c>
      <c r="J210" s="834">
        <v>6.5</v>
      </c>
      <c r="K210" s="834">
        <v>6.3</v>
      </c>
      <c r="L210" s="834">
        <v>5.9</v>
      </c>
      <c r="M210" s="834">
        <v>6</v>
      </c>
      <c r="N210" s="834">
        <v>6.4</v>
      </c>
      <c r="O210" s="834">
        <v>6.2</v>
      </c>
      <c r="P210" s="834">
        <v>6.9</v>
      </c>
      <c r="S210" s="789">
        <v>41</v>
      </c>
      <c r="T210" s="788">
        <f t="shared" si="4"/>
        <v>1.6503621182620293E-2</v>
      </c>
      <c r="U210" s="786" t="e">
        <f t="shared" si="5"/>
        <v>#VALUE!</v>
      </c>
    </row>
    <row r="211" spans="2:21">
      <c r="B211" s="833" t="s">
        <v>3285</v>
      </c>
      <c r="C211" s="834">
        <v>42</v>
      </c>
      <c r="D211" s="834">
        <v>6.7</v>
      </c>
      <c r="E211" s="834">
        <v>7</v>
      </c>
      <c r="F211" s="834">
        <v>7.7</v>
      </c>
      <c r="G211" s="834">
        <v>8.4</v>
      </c>
      <c r="H211" s="834">
        <v>9.1999999999999993</v>
      </c>
      <c r="I211" s="834">
        <v>9.1999999999999993</v>
      </c>
      <c r="J211" s="834">
        <v>8.1999999999999993</v>
      </c>
      <c r="K211" s="834">
        <v>7.7</v>
      </c>
      <c r="L211" s="834">
        <v>7.1</v>
      </c>
      <c r="M211" s="834">
        <v>6.4</v>
      </c>
      <c r="N211" s="834">
        <v>5.8</v>
      </c>
      <c r="O211" s="834">
        <v>6.4</v>
      </c>
      <c r="P211" s="834">
        <v>7.5</v>
      </c>
      <c r="S211" s="789">
        <v>42</v>
      </c>
      <c r="T211" s="788">
        <f t="shared" si="4"/>
        <v>1.5724945649078392E-2</v>
      </c>
      <c r="U211" s="786" t="e">
        <f t="shared" si="5"/>
        <v>#VALUE!</v>
      </c>
    </row>
    <row r="212" spans="2:21">
      <c r="B212" s="833" t="s">
        <v>3353</v>
      </c>
      <c r="C212" s="834">
        <v>11</v>
      </c>
      <c r="D212" s="834">
        <v>5.6</v>
      </c>
      <c r="E212" s="834">
        <v>6.6</v>
      </c>
      <c r="F212" s="834">
        <v>8.4</v>
      </c>
      <c r="G212" s="834">
        <v>10.3</v>
      </c>
      <c r="H212" s="834">
        <v>9.6999999999999993</v>
      </c>
      <c r="I212" s="834">
        <v>9</v>
      </c>
      <c r="J212" s="834">
        <v>7</v>
      </c>
      <c r="K212" s="834">
        <v>6.2</v>
      </c>
      <c r="L212" s="834">
        <v>6.5</v>
      </c>
      <c r="M212" s="834">
        <v>6.4</v>
      </c>
      <c r="N212" s="834">
        <v>5.6</v>
      </c>
      <c r="O212" s="834">
        <v>4.9000000000000004</v>
      </c>
      <c r="P212" s="834">
        <v>7.2</v>
      </c>
      <c r="S212" s="789">
        <v>43</v>
      </c>
      <c r="T212" s="788">
        <f t="shared" si="4"/>
        <v>1.4948403997185387E-2</v>
      </c>
      <c r="U212" s="786" t="e">
        <f t="shared" si="5"/>
        <v>#VALUE!</v>
      </c>
    </row>
    <row r="213" spans="2:21">
      <c r="B213" s="833" t="s">
        <v>3354</v>
      </c>
      <c r="C213" s="834">
        <v>54</v>
      </c>
      <c r="D213" s="834">
        <v>9.4</v>
      </c>
      <c r="E213" s="834">
        <v>10</v>
      </c>
      <c r="F213" s="834">
        <v>11.1</v>
      </c>
      <c r="G213" s="834">
        <v>11.6</v>
      </c>
      <c r="H213" s="834">
        <v>11.2</v>
      </c>
      <c r="I213" s="834">
        <v>10.4</v>
      </c>
      <c r="J213" s="834">
        <v>9.3000000000000007</v>
      </c>
      <c r="K213" s="834">
        <v>8.9</v>
      </c>
      <c r="L213" s="834">
        <v>9.4</v>
      </c>
      <c r="M213" s="834">
        <v>9.6</v>
      </c>
      <c r="N213" s="834">
        <v>9.5</v>
      </c>
      <c r="O213" s="834">
        <v>9.4</v>
      </c>
      <c r="P213" s="834">
        <v>10</v>
      </c>
      <c r="S213" s="789">
        <v>44</v>
      </c>
      <c r="T213" s="788">
        <f t="shared" si="4"/>
        <v>1.4177759054810304E-2</v>
      </c>
      <c r="U213" s="786" t="e">
        <f t="shared" si="5"/>
        <v>#VALUE!</v>
      </c>
    </row>
    <row r="214" spans="2:21">
      <c r="B214" s="833" t="s">
        <v>3355</v>
      </c>
      <c r="C214" s="834">
        <v>47</v>
      </c>
      <c r="D214" s="834">
        <v>8.6</v>
      </c>
      <c r="E214" s="834">
        <v>8.6999999999999993</v>
      </c>
      <c r="F214" s="834">
        <v>9.6</v>
      </c>
      <c r="G214" s="834">
        <v>10</v>
      </c>
      <c r="H214" s="834">
        <v>9.3000000000000007</v>
      </c>
      <c r="I214" s="834">
        <v>8.8000000000000007</v>
      </c>
      <c r="J214" s="834">
        <v>8.3000000000000007</v>
      </c>
      <c r="K214" s="834">
        <v>8</v>
      </c>
      <c r="L214" s="834">
        <v>7.9</v>
      </c>
      <c r="M214" s="834">
        <v>7.8</v>
      </c>
      <c r="N214" s="834">
        <v>8.1999999999999993</v>
      </c>
      <c r="O214" s="834">
        <v>8.4</v>
      </c>
      <c r="P214" s="834">
        <v>8.6</v>
      </c>
      <c r="S214" s="789">
        <v>45</v>
      </c>
      <c r="T214" s="788">
        <f t="shared" si="4"/>
        <v>1.3416462098038668E-2</v>
      </c>
      <c r="U214" s="786" t="e">
        <f t="shared" si="5"/>
        <v>#VALUE!</v>
      </c>
    </row>
    <row r="215" spans="2:21">
      <c r="B215" s="833" t="s">
        <v>3356</v>
      </c>
      <c r="C215" s="834">
        <v>56</v>
      </c>
      <c r="D215" s="834">
        <v>5.7</v>
      </c>
      <c r="E215" s="834">
        <v>6.7</v>
      </c>
      <c r="F215" s="834">
        <v>8.4</v>
      </c>
      <c r="G215" s="834">
        <v>9.4</v>
      </c>
      <c r="H215" s="834">
        <v>9.6</v>
      </c>
      <c r="I215" s="834">
        <v>9.8000000000000007</v>
      </c>
      <c r="J215" s="834">
        <v>9.4</v>
      </c>
      <c r="K215" s="834">
        <v>9.1</v>
      </c>
      <c r="L215" s="834">
        <v>9</v>
      </c>
      <c r="M215" s="834">
        <v>7.9</v>
      </c>
      <c r="N215" s="834">
        <v>6.8</v>
      </c>
      <c r="O215" s="834">
        <v>6</v>
      </c>
      <c r="P215" s="834">
        <v>8.1999999999999993</v>
      </c>
      <c r="S215" s="789">
        <v>46</v>
      </c>
      <c r="T215" s="788">
        <f t="shared" si="4"/>
        <v>1.266764665491622E-2</v>
      </c>
      <c r="U215" s="786" t="e">
        <f t="shared" si="5"/>
        <v>#VALUE!</v>
      </c>
    </row>
    <row r="216" spans="2:21">
      <c r="B216" s="833" t="s">
        <v>3357</v>
      </c>
      <c r="C216" s="834">
        <v>47</v>
      </c>
      <c r="D216" s="834">
        <v>7.8</v>
      </c>
      <c r="E216" s="834">
        <v>8.5</v>
      </c>
      <c r="F216" s="834">
        <v>9.6</v>
      </c>
      <c r="G216" s="834">
        <v>10.3</v>
      </c>
      <c r="H216" s="834">
        <v>9.6999999999999993</v>
      </c>
      <c r="I216" s="834">
        <v>9.3000000000000007</v>
      </c>
      <c r="J216" s="834">
        <v>8.6999999999999993</v>
      </c>
      <c r="K216" s="834">
        <v>7.9</v>
      </c>
      <c r="L216" s="834">
        <v>7.9</v>
      </c>
      <c r="M216" s="834">
        <v>7.4</v>
      </c>
      <c r="N216" s="834">
        <v>7.5</v>
      </c>
      <c r="O216" s="834">
        <v>7.7</v>
      </c>
      <c r="P216" s="834">
        <v>8.5</v>
      </c>
      <c r="S216" s="789">
        <v>47</v>
      </c>
      <c r="T216" s="788">
        <f t="shared" si="4"/>
        <v>1.1934125964194195E-2</v>
      </c>
      <c r="U216" s="786" t="e">
        <f t="shared" si="5"/>
        <v>#VALUE!</v>
      </c>
    </row>
    <row r="217" spans="2:21">
      <c r="B217" s="833" t="s">
        <v>3358</v>
      </c>
      <c r="C217" s="834">
        <v>30</v>
      </c>
      <c r="D217" s="834">
        <v>12.5</v>
      </c>
      <c r="E217" s="834">
        <v>12.9</v>
      </c>
      <c r="F217" s="834">
        <v>13</v>
      </c>
      <c r="G217" s="834">
        <v>12.4</v>
      </c>
      <c r="H217" s="834">
        <v>11.1</v>
      </c>
      <c r="I217" s="834">
        <v>9.9</v>
      </c>
      <c r="J217" s="834">
        <v>9.4</v>
      </c>
      <c r="K217" s="834">
        <v>9.5</v>
      </c>
      <c r="L217" s="834">
        <v>10.5</v>
      </c>
      <c r="M217" s="834">
        <v>11.3</v>
      </c>
      <c r="N217" s="834">
        <v>12</v>
      </c>
      <c r="O217" s="834">
        <v>12.1</v>
      </c>
      <c r="P217" s="834">
        <v>11.4</v>
      </c>
      <c r="S217" s="789">
        <v>48</v>
      </c>
      <c r="T217" s="788">
        <f t="shared" si="4"/>
        <v>1.1218393845995043E-2</v>
      </c>
      <c r="U217" s="786" t="e">
        <f t="shared" si="5"/>
        <v>#VALUE!</v>
      </c>
    </row>
    <row r="218" spans="2:21">
      <c r="B218" s="833" t="s">
        <v>3359</v>
      </c>
      <c r="C218" s="834">
        <v>48</v>
      </c>
      <c r="D218" s="834">
        <v>8.9</v>
      </c>
      <c r="E218" s="834">
        <v>9.4</v>
      </c>
      <c r="F218" s="834">
        <v>9.9</v>
      </c>
      <c r="G218" s="834">
        <v>9.8000000000000007</v>
      </c>
      <c r="H218" s="834">
        <v>8.6999999999999993</v>
      </c>
      <c r="I218" s="834">
        <v>8</v>
      </c>
      <c r="J218" s="834">
        <v>7.3</v>
      </c>
      <c r="K218" s="834">
        <v>7</v>
      </c>
      <c r="L218" s="834">
        <v>7.3</v>
      </c>
      <c r="M218" s="834">
        <v>7.8</v>
      </c>
      <c r="N218" s="834">
        <v>8.4</v>
      </c>
      <c r="O218" s="834">
        <v>8.6999999999999993</v>
      </c>
      <c r="P218" s="834">
        <v>8.4</v>
      </c>
      <c r="S218" s="789">
        <v>49</v>
      </c>
      <c r="T218" s="788">
        <f t="shared" si="4"/>
        <v>1.0522628713949272E-2</v>
      </c>
      <c r="U218" s="786" t="e">
        <f t="shared" si="5"/>
        <v>#VALUE!</v>
      </c>
    </row>
    <row r="219" spans="2:21">
      <c r="B219" s="833" t="s">
        <v>3360</v>
      </c>
      <c r="C219" s="834">
        <v>54</v>
      </c>
      <c r="D219" s="834">
        <v>9.8000000000000007</v>
      </c>
      <c r="E219" s="834">
        <v>10.3</v>
      </c>
      <c r="F219" s="834">
        <v>11</v>
      </c>
      <c r="G219" s="834">
        <v>10.4</v>
      </c>
      <c r="H219" s="834">
        <v>9</v>
      </c>
      <c r="I219" s="834">
        <v>8.3000000000000007</v>
      </c>
      <c r="J219" s="834">
        <v>7.8</v>
      </c>
      <c r="K219" s="834">
        <v>7.4</v>
      </c>
      <c r="L219" s="834">
        <v>7.8</v>
      </c>
      <c r="M219" s="834">
        <v>8.1</v>
      </c>
      <c r="N219" s="834">
        <v>9.1999999999999993</v>
      </c>
      <c r="O219" s="834">
        <v>9.3000000000000007</v>
      </c>
      <c r="P219" s="834">
        <v>9</v>
      </c>
      <c r="S219" s="789">
        <v>50</v>
      </c>
      <c r="T219" s="788">
        <f t="shared" si="4"/>
        <v>9.8487004371462794E-3</v>
      </c>
      <c r="U219" s="786" t="e">
        <f t="shared" si="5"/>
        <v>#VALUE!</v>
      </c>
    </row>
    <row r="220" spans="2:21">
      <c r="B220" s="833" t="s">
        <v>3361</v>
      </c>
      <c r="C220" s="834">
        <v>40</v>
      </c>
      <c r="D220" s="834">
        <v>8.1</v>
      </c>
      <c r="E220" s="834">
        <v>8.6</v>
      </c>
      <c r="F220" s="834">
        <v>9</v>
      </c>
      <c r="G220" s="834">
        <v>8.8000000000000007</v>
      </c>
      <c r="H220" s="834">
        <v>7.4</v>
      </c>
      <c r="I220" s="834">
        <v>6.8</v>
      </c>
      <c r="J220" s="834">
        <v>6.2</v>
      </c>
      <c r="K220" s="834">
        <v>5.8</v>
      </c>
      <c r="L220" s="834">
        <v>6.2</v>
      </c>
      <c r="M220" s="834">
        <v>6.6</v>
      </c>
      <c r="N220" s="834">
        <v>7.6</v>
      </c>
      <c r="O220" s="834">
        <v>7.7</v>
      </c>
      <c r="P220" s="834">
        <v>7.4</v>
      </c>
      <c r="S220" s="789">
        <v>51</v>
      </c>
      <c r="T220" s="788">
        <f t="shared" si="4"/>
        <v>9.1981797450742375E-3</v>
      </c>
      <c r="U220" s="786" t="e">
        <f t="shared" si="5"/>
        <v>#VALUE!</v>
      </c>
    </row>
    <row r="221" spans="2:21">
      <c r="B221" s="833" t="s">
        <v>3362</v>
      </c>
      <c r="C221" s="834">
        <v>54</v>
      </c>
      <c r="D221" s="834">
        <v>10</v>
      </c>
      <c r="E221" s="834">
        <v>10.3</v>
      </c>
      <c r="F221" s="834">
        <v>10.9</v>
      </c>
      <c r="G221" s="834">
        <v>10.5</v>
      </c>
      <c r="H221" s="834">
        <v>9.3000000000000007</v>
      </c>
      <c r="I221" s="834">
        <v>8.9</v>
      </c>
      <c r="J221" s="834">
        <v>8.3000000000000007</v>
      </c>
      <c r="K221" s="834">
        <v>8.1</v>
      </c>
      <c r="L221" s="834">
        <v>8.3000000000000007</v>
      </c>
      <c r="M221" s="834">
        <v>8.6999999999999993</v>
      </c>
      <c r="N221" s="834">
        <v>9.4</v>
      </c>
      <c r="O221" s="834">
        <v>9.6</v>
      </c>
      <c r="P221" s="834">
        <v>9.4</v>
      </c>
      <c r="S221" s="789">
        <v>52</v>
      </c>
      <c r="T221" s="788">
        <f t="shared" si="4"/>
        <v>8.5723498593752376E-3</v>
      </c>
      <c r="U221" s="786" t="e">
        <f t="shared" si="5"/>
        <v>#VALUE!</v>
      </c>
    </row>
    <row r="222" spans="2:21">
      <c r="B222" s="833" t="s">
        <v>3363</v>
      </c>
      <c r="C222" s="834">
        <v>54</v>
      </c>
      <c r="D222" s="834">
        <v>8.3000000000000007</v>
      </c>
      <c r="E222" s="834">
        <v>8.6999999999999993</v>
      </c>
      <c r="F222" s="834">
        <v>8.9</v>
      </c>
      <c r="G222" s="834">
        <v>8.5</v>
      </c>
      <c r="H222" s="834">
        <v>7.7</v>
      </c>
      <c r="I222" s="834">
        <v>7.1</v>
      </c>
      <c r="J222" s="834">
        <v>6.4</v>
      </c>
      <c r="K222" s="834">
        <v>6.4</v>
      </c>
      <c r="L222" s="834">
        <v>7.8</v>
      </c>
      <c r="M222" s="834">
        <v>8</v>
      </c>
      <c r="N222" s="834">
        <v>8</v>
      </c>
      <c r="O222" s="834">
        <v>8</v>
      </c>
      <c r="P222" s="834">
        <v>7.8</v>
      </c>
      <c r="S222" s="789">
        <v>53</v>
      </c>
      <c r="T222" s="788">
        <f t="shared" si="4"/>
        <v>7.9722200324003033E-3</v>
      </c>
      <c r="U222" s="786" t="e">
        <f t="shared" si="5"/>
        <v>#VALUE!</v>
      </c>
    </row>
    <row r="223" spans="2:21">
      <c r="B223" s="833" t="s">
        <v>3364</v>
      </c>
      <c r="C223" s="834">
        <v>57</v>
      </c>
      <c r="D223" s="834">
        <v>8.8000000000000007</v>
      </c>
      <c r="E223" s="834">
        <v>9.3000000000000007</v>
      </c>
      <c r="F223" s="834">
        <v>9.8000000000000007</v>
      </c>
      <c r="G223" s="834">
        <v>9.4</v>
      </c>
      <c r="H223" s="834">
        <v>8.9</v>
      </c>
      <c r="I223" s="834">
        <v>8</v>
      </c>
      <c r="J223" s="834">
        <v>7.3</v>
      </c>
      <c r="K223" s="834">
        <v>7</v>
      </c>
      <c r="L223" s="834">
        <v>8</v>
      </c>
      <c r="M223" s="834">
        <v>8.9</v>
      </c>
      <c r="N223" s="834">
        <v>8.3000000000000007</v>
      </c>
      <c r="O223" s="834">
        <v>8.3000000000000007</v>
      </c>
      <c r="P223" s="834">
        <v>8.5</v>
      </c>
      <c r="S223" s="789">
        <v>54</v>
      </c>
      <c r="T223" s="788">
        <f t="shared" si="4"/>
        <v>7.3985406738284647E-3</v>
      </c>
      <c r="U223" s="786" t="e">
        <f t="shared" si="5"/>
        <v>#VALUE!</v>
      </c>
    </row>
    <row r="224" spans="2:21">
      <c r="B224" s="833" t="s">
        <v>3365</v>
      </c>
      <c r="C224" s="834">
        <v>57</v>
      </c>
      <c r="D224" s="834">
        <v>8.3000000000000007</v>
      </c>
      <c r="E224" s="834">
        <v>8.9</v>
      </c>
      <c r="F224" s="834">
        <v>9.3000000000000007</v>
      </c>
      <c r="G224" s="834">
        <v>8.8000000000000007</v>
      </c>
      <c r="H224" s="834">
        <v>8</v>
      </c>
      <c r="I224" s="834">
        <v>7.2</v>
      </c>
      <c r="J224" s="834">
        <v>6.6</v>
      </c>
      <c r="K224" s="834">
        <v>6.7</v>
      </c>
      <c r="L224" s="834">
        <v>7.4</v>
      </c>
      <c r="M224" s="834">
        <v>8.4</v>
      </c>
      <c r="N224" s="834">
        <v>8.1</v>
      </c>
      <c r="O224" s="834">
        <v>7.9</v>
      </c>
      <c r="P224" s="834">
        <v>8</v>
      </c>
      <c r="S224" s="789">
        <v>55</v>
      </c>
      <c r="T224" s="788">
        <f t="shared" si="4"/>
        <v>6.8518197525656108E-3</v>
      </c>
      <c r="U224" s="786" t="e">
        <f t="shared" si="5"/>
        <v>#VALUE!</v>
      </c>
    </row>
    <row r="225" spans="2:21">
      <c r="B225" s="833" t="s">
        <v>3366</v>
      </c>
      <c r="C225" s="834">
        <v>19</v>
      </c>
      <c r="D225" s="834">
        <v>6.9</v>
      </c>
      <c r="E225" s="834">
        <v>7.4</v>
      </c>
      <c r="F225" s="834">
        <v>7.8</v>
      </c>
      <c r="G225" s="834">
        <v>7.2</v>
      </c>
      <c r="H225" s="834">
        <v>6.9</v>
      </c>
      <c r="I225" s="834">
        <v>6.1</v>
      </c>
      <c r="J225" s="834">
        <v>5.6</v>
      </c>
      <c r="K225" s="834">
        <v>5.4</v>
      </c>
      <c r="L225" s="834">
        <v>5.8</v>
      </c>
      <c r="M225" s="834">
        <v>6.3</v>
      </c>
      <c r="N225" s="834">
        <v>6.2</v>
      </c>
      <c r="O225" s="834">
        <v>6</v>
      </c>
      <c r="P225" s="834">
        <v>6.5</v>
      </c>
      <c r="S225" s="789">
        <v>56</v>
      </c>
      <c r="T225" s="788">
        <f t="shared" si="4"/>
        <v>6.3323401712662474E-3</v>
      </c>
      <c r="U225" s="786" t="e">
        <f t="shared" si="5"/>
        <v>#VALUE!</v>
      </c>
    </row>
    <row r="226" spans="2:21">
      <c r="B226" s="833" t="s">
        <v>3367</v>
      </c>
      <c r="C226" s="834">
        <v>53</v>
      </c>
      <c r="D226" s="834">
        <v>8.1</v>
      </c>
      <c r="E226" s="834">
        <v>8.6999999999999993</v>
      </c>
      <c r="F226" s="834">
        <v>9.1</v>
      </c>
      <c r="G226" s="834">
        <v>8.5</v>
      </c>
      <c r="H226" s="834">
        <v>7.9</v>
      </c>
      <c r="I226" s="834">
        <v>7.7</v>
      </c>
      <c r="J226" s="834">
        <v>7</v>
      </c>
      <c r="K226" s="834">
        <v>6.7</v>
      </c>
      <c r="L226" s="834">
        <v>7.4</v>
      </c>
      <c r="M226" s="834">
        <v>7.8</v>
      </c>
      <c r="N226" s="834">
        <v>7.6</v>
      </c>
      <c r="O226" s="834">
        <v>7.6</v>
      </c>
      <c r="P226" s="834">
        <v>7.8</v>
      </c>
      <c r="S226" s="789">
        <v>57</v>
      </c>
      <c r="T226" s="788">
        <f t="shared" si="4"/>
        <v>5.8401778245937286E-3</v>
      </c>
      <c r="U226" s="786" t="e">
        <f t="shared" si="5"/>
        <v>#VALUE!</v>
      </c>
    </row>
    <row r="227" spans="2:21">
      <c r="B227" s="833" t="s">
        <v>3368</v>
      </c>
      <c r="C227" s="834">
        <v>49</v>
      </c>
      <c r="D227" s="834">
        <v>11.8</v>
      </c>
      <c r="E227" s="834">
        <v>12</v>
      </c>
      <c r="F227" s="834">
        <v>12.1</v>
      </c>
      <c r="G227" s="834">
        <v>12.2</v>
      </c>
      <c r="H227" s="834">
        <v>10.5</v>
      </c>
      <c r="I227" s="834">
        <v>9.6</v>
      </c>
      <c r="J227" s="834">
        <v>9.4</v>
      </c>
      <c r="K227" s="834">
        <v>9.1999999999999993</v>
      </c>
      <c r="L227" s="834">
        <v>9.6</v>
      </c>
      <c r="M227" s="834">
        <v>10.8</v>
      </c>
      <c r="N227" s="834">
        <v>12</v>
      </c>
      <c r="O227" s="834">
        <v>11.8</v>
      </c>
      <c r="P227" s="834">
        <v>10.9</v>
      </c>
      <c r="S227" s="789">
        <v>58</v>
      </c>
      <c r="T227" s="788">
        <f t="shared" si="4"/>
        <v>5.3752200692020738E-3</v>
      </c>
      <c r="U227" s="786" t="e">
        <f t="shared" si="5"/>
        <v>#VALUE!</v>
      </c>
    </row>
    <row r="228" spans="2:21">
      <c r="B228" s="833" t="s">
        <v>3369</v>
      </c>
      <c r="C228" s="834">
        <v>53</v>
      </c>
      <c r="D228" s="834">
        <v>9.5</v>
      </c>
      <c r="E228" s="834">
        <v>10</v>
      </c>
      <c r="F228" s="834">
        <v>10.5</v>
      </c>
      <c r="G228" s="834">
        <v>10.5</v>
      </c>
      <c r="H228" s="834">
        <v>9.5</v>
      </c>
      <c r="I228" s="834">
        <v>8.3000000000000007</v>
      </c>
      <c r="J228" s="834">
        <v>7.9</v>
      </c>
      <c r="K228" s="834">
        <v>7.9</v>
      </c>
      <c r="L228" s="834">
        <v>8.1999999999999993</v>
      </c>
      <c r="M228" s="834">
        <v>9.1999999999999993</v>
      </c>
      <c r="N228" s="834">
        <v>9.6999999999999993</v>
      </c>
      <c r="O228" s="834">
        <v>9.1</v>
      </c>
      <c r="P228" s="834">
        <v>9.1999999999999993</v>
      </c>
      <c r="S228" s="789">
        <v>59</v>
      </c>
      <c r="T228" s="788">
        <f t="shared" si="4"/>
        <v>4.9371843528264372E-3</v>
      </c>
      <c r="U228" s="786" t="e">
        <f t="shared" si="5"/>
        <v>#VALUE!</v>
      </c>
    </row>
    <row r="229" spans="2:21">
      <c r="B229" s="833" t="s">
        <v>3370</v>
      </c>
      <c r="C229" s="834">
        <v>54</v>
      </c>
      <c r="D229" s="834">
        <v>9</v>
      </c>
      <c r="E229" s="834">
        <v>9.6</v>
      </c>
      <c r="F229" s="834">
        <v>9.9</v>
      </c>
      <c r="G229" s="834">
        <v>9.4</v>
      </c>
      <c r="H229" s="834">
        <v>8.8000000000000007</v>
      </c>
      <c r="I229" s="834">
        <v>8</v>
      </c>
      <c r="J229" s="834">
        <v>7.3</v>
      </c>
      <c r="K229" s="834">
        <v>7.2</v>
      </c>
      <c r="L229" s="834">
        <v>7.6</v>
      </c>
      <c r="M229" s="834">
        <v>8.6</v>
      </c>
      <c r="N229" s="834">
        <v>8.6</v>
      </c>
      <c r="O229" s="834">
        <v>8.5</v>
      </c>
      <c r="P229" s="834">
        <v>8.5</v>
      </c>
      <c r="S229" s="789">
        <v>60</v>
      </c>
      <c r="T229" s="788">
        <f t="shared" si="4"/>
        <v>4.5256367712559866E-3</v>
      </c>
      <c r="U229" s="786" t="e">
        <f t="shared" si="5"/>
        <v>#VALUE!</v>
      </c>
    </row>
    <row r="230" spans="2:21">
      <c r="B230" s="833" t="s">
        <v>3371</v>
      </c>
      <c r="C230" s="834">
        <v>38</v>
      </c>
      <c r="D230" s="834">
        <v>9</v>
      </c>
      <c r="E230" s="834">
        <v>9.3000000000000007</v>
      </c>
      <c r="F230" s="834">
        <v>9.8000000000000007</v>
      </c>
      <c r="G230" s="834">
        <v>9.5</v>
      </c>
      <c r="H230" s="834">
        <v>8.6</v>
      </c>
      <c r="I230" s="834">
        <v>7.6</v>
      </c>
      <c r="J230" s="834">
        <v>6.9</v>
      </c>
      <c r="K230" s="834">
        <v>6.7</v>
      </c>
      <c r="L230" s="834">
        <v>7.6</v>
      </c>
      <c r="M230" s="834">
        <v>7.9</v>
      </c>
      <c r="N230" s="834">
        <v>8.1999999999999993</v>
      </c>
      <c r="O230" s="834">
        <v>8.8000000000000007</v>
      </c>
      <c r="P230" s="834">
        <v>8.3000000000000007</v>
      </c>
      <c r="S230" s="789">
        <v>61</v>
      </c>
      <c r="T230" s="788">
        <f t="shared" si="4"/>
        <v>4.140010344793537E-3</v>
      </c>
      <c r="U230" s="786" t="e">
        <f t="shared" si="5"/>
        <v>#VALUE!</v>
      </c>
    </row>
    <row r="231" spans="2:21">
      <c r="B231" s="833" t="s">
        <v>3372</v>
      </c>
      <c r="C231" s="834">
        <v>41</v>
      </c>
      <c r="D231" s="834">
        <v>6.7</v>
      </c>
      <c r="E231" s="834">
        <v>7.1</v>
      </c>
      <c r="F231" s="834">
        <v>7.5</v>
      </c>
      <c r="G231" s="834">
        <v>6.8</v>
      </c>
      <c r="H231" s="834">
        <v>6.2</v>
      </c>
      <c r="I231" s="834">
        <v>5.7</v>
      </c>
      <c r="J231" s="834">
        <v>5</v>
      </c>
      <c r="K231" s="834">
        <v>5</v>
      </c>
      <c r="L231" s="834">
        <v>5.9</v>
      </c>
      <c r="M231" s="834">
        <v>6.3</v>
      </c>
      <c r="N231" s="834">
        <v>5.9</v>
      </c>
      <c r="O231" s="834">
        <v>6.3</v>
      </c>
      <c r="P231" s="834">
        <v>6.2</v>
      </c>
      <c r="S231" s="789">
        <v>62</v>
      </c>
      <c r="T231" s="788">
        <f t="shared" si="4"/>
        <v>3.7796228295658347E-3</v>
      </c>
      <c r="U231" s="786" t="e">
        <f t="shared" si="5"/>
        <v>#VALUE!</v>
      </c>
    </row>
    <row r="232" spans="2:21">
      <c r="B232" s="833" t="s">
        <v>3373</v>
      </c>
      <c r="C232" s="834">
        <v>56</v>
      </c>
      <c r="D232" s="834">
        <v>8.6</v>
      </c>
      <c r="E232" s="834">
        <v>9.1</v>
      </c>
      <c r="F232" s="834">
        <v>9.4</v>
      </c>
      <c r="G232" s="834">
        <v>9.1999999999999993</v>
      </c>
      <c r="H232" s="834">
        <v>8.6</v>
      </c>
      <c r="I232" s="834">
        <v>7.9</v>
      </c>
      <c r="J232" s="834">
        <v>7.1</v>
      </c>
      <c r="K232" s="834">
        <v>6.9</v>
      </c>
      <c r="L232" s="834">
        <v>7.6</v>
      </c>
      <c r="M232" s="834">
        <v>8.3000000000000007</v>
      </c>
      <c r="N232" s="834">
        <v>8.1999999999999993</v>
      </c>
      <c r="O232" s="834">
        <v>8.3000000000000007</v>
      </c>
      <c r="P232" s="834">
        <v>8.3000000000000007</v>
      </c>
      <c r="S232" s="789">
        <v>63</v>
      </c>
      <c r="T232" s="788">
        <f t="shared" si="4"/>
        <v>3.4436939032543102E-3</v>
      </c>
      <c r="U232" s="786" t="e">
        <f t="shared" si="5"/>
        <v>#VALUE!</v>
      </c>
    </row>
    <row r="233" spans="2:21">
      <c r="B233" s="833" t="s">
        <v>3374</v>
      </c>
      <c r="C233" s="834">
        <v>19</v>
      </c>
      <c r="D233" s="834">
        <v>8.6999999999999993</v>
      </c>
      <c r="E233" s="834">
        <v>9</v>
      </c>
      <c r="F233" s="834">
        <v>9.9</v>
      </c>
      <c r="G233" s="834">
        <v>9.5</v>
      </c>
      <c r="H233" s="834">
        <v>9.1</v>
      </c>
      <c r="I233" s="834">
        <v>7.7</v>
      </c>
      <c r="J233" s="834">
        <v>6.9</v>
      </c>
      <c r="K233" s="834">
        <v>6.5</v>
      </c>
      <c r="L233" s="834">
        <v>7.3</v>
      </c>
      <c r="M233" s="834">
        <v>8.6</v>
      </c>
      <c r="N233" s="834">
        <v>8.6</v>
      </c>
      <c r="O233" s="834">
        <v>8</v>
      </c>
      <c r="P233" s="834">
        <v>8.3000000000000007</v>
      </c>
      <c r="S233" s="789">
        <v>64</v>
      </c>
      <c r="T233" s="788">
        <f t="shared" si="4"/>
        <v>3.1313615890247132E-3</v>
      </c>
      <c r="U233" s="786" t="e">
        <f t="shared" si="5"/>
        <v>#VALUE!</v>
      </c>
    </row>
    <row r="234" spans="2:21">
      <c r="B234" s="833" t="s">
        <v>3375</v>
      </c>
      <c r="C234" s="834">
        <v>60</v>
      </c>
      <c r="D234" s="834">
        <v>10.1</v>
      </c>
      <c r="E234" s="834">
        <v>10.5</v>
      </c>
      <c r="F234" s="834">
        <v>11</v>
      </c>
      <c r="G234" s="834">
        <v>10.9</v>
      </c>
      <c r="H234" s="834">
        <v>9.9</v>
      </c>
      <c r="I234" s="834">
        <v>8.3000000000000007</v>
      </c>
      <c r="J234" s="834">
        <v>7.7</v>
      </c>
      <c r="K234" s="834">
        <v>7.7</v>
      </c>
      <c r="L234" s="834">
        <v>8.6999999999999993</v>
      </c>
      <c r="M234" s="834">
        <v>10</v>
      </c>
      <c r="N234" s="834">
        <v>10.4</v>
      </c>
      <c r="O234" s="834">
        <v>10</v>
      </c>
      <c r="P234" s="834">
        <v>9.6</v>
      </c>
      <c r="S234" s="789">
        <v>65</v>
      </c>
      <c r="T234" s="788">
        <f t="shared" ref="T234:T249" si="6">(S234/($T$166^2))*EXP(((-(S234^2))/(2*($T$166^2))))</f>
        <v>2.8416978052447591E-3</v>
      </c>
      <c r="U234" s="786" t="e">
        <f t="shared" ref="U234:U249" si="7">IF(100*(1-(156.4*EXP(0.318*($S234/2.23694)/((9.8*$T$161*($M$39*0.0254))^(1/3))))/($M$16^3))&gt;=0,100*(1-(156.4*EXP(0.318*($S234/2.23694)/((9.8*$T$161*($M$39*0.0254))^(1/3))))/($M$16^3)),0)</f>
        <v>#VALUE!</v>
      </c>
    </row>
    <row r="235" spans="2:21">
      <c r="B235" s="833" t="s">
        <v>3376</v>
      </c>
      <c r="C235" s="834">
        <v>47</v>
      </c>
      <c r="D235" s="834">
        <v>8.3000000000000007</v>
      </c>
      <c r="E235" s="834">
        <v>8.6</v>
      </c>
      <c r="F235" s="834">
        <v>8.6999999999999993</v>
      </c>
      <c r="G235" s="834">
        <v>8.3000000000000007</v>
      </c>
      <c r="H235" s="834">
        <v>7.1</v>
      </c>
      <c r="I235" s="834">
        <v>6.6</v>
      </c>
      <c r="J235" s="834">
        <v>6.3</v>
      </c>
      <c r="K235" s="834">
        <v>5.8</v>
      </c>
      <c r="L235" s="834">
        <v>6.4</v>
      </c>
      <c r="M235" s="834">
        <v>6.6</v>
      </c>
      <c r="N235" s="834">
        <v>7.3</v>
      </c>
      <c r="O235" s="834">
        <v>8</v>
      </c>
      <c r="P235" s="834">
        <v>7.3</v>
      </c>
      <c r="S235" s="789">
        <v>66</v>
      </c>
      <c r="T235" s="788">
        <f t="shared" si="6"/>
        <v>2.5737229516390203E-3</v>
      </c>
      <c r="U235" s="786" t="e">
        <f t="shared" si="7"/>
        <v>#VALUE!</v>
      </c>
    </row>
    <row r="236" spans="2:21">
      <c r="B236" s="833" t="s">
        <v>3377</v>
      </c>
      <c r="C236" s="834">
        <v>64</v>
      </c>
      <c r="D236" s="834">
        <v>10.4</v>
      </c>
      <c r="E236" s="834">
        <v>10.6</v>
      </c>
      <c r="F236" s="834">
        <v>10.9</v>
      </c>
      <c r="G236" s="834">
        <v>10.1</v>
      </c>
      <c r="H236" s="834">
        <v>8.6999999999999993</v>
      </c>
      <c r="I236" s="834">
        <v>8.1</v>
      </c>
      <c r="J236" s="834">
        <v>7.7</v>
      </c>
      <c r="K236" s="834">
        <v>7.3</v>
      </c>
      <c r="L236" s="834">
        <v>8</v>
      </c>
      <c r="M236" s="834">
        <v>8.5</v>
      </c>
      <c r="N236" s="834">
        <v>9.1</v>
      </c>
      <c r="O236" s="834">
        <v>9.8000000000000007</v>
      </c>
      <c r="P236" s="834">
        <v>9.1</v>
      </c>
      <c r="S236" s="789">
        <v>67</v>
      </c>
      <c r="T236" s="788">
        <f t="shared" si="6"/>
        <v>2.3264194645361471E-3</v>
      </c>
      <c r="U236" s="786" t="e">
        <f t="shared" si="7"/>
        <v>#VALUE!</v>
      </c>
    </row>
    <row r="237" spans="2:21">
      <c r="B237" s="833" t="s">
        <v>3378</v>
      </c>
      <c r="C237" s="834">
        <v>51</v>
      </c>
      <c r="D237" s="834">
        <v>6.9</v>
      </c>
      <c r="E237" s="834">
        <v>7.5</v>
      </c>
      <c r="F237" s="834">
        <v>7.9</v>
      </c>
      <c r="G237" s="834">
        <v>7.4</v>
      </c>
      <c r="H237" s="834">
        <v>6.4</v>
      </c>
      <c r="I237" s="834">
        <v>6</v>
      </c>
      <c r="J237" s="834">
        <v>5.8</v>
      </c>
      <c r="K237" s="834">
        <v>5.3</v>
      </c>
      <c r="L237" s="834">
        <v>5.4</v>
      </c>
      <c r="M237" s="834">
        <v>5.6</v>
      </c>
      <c r="N237" s="834">
        <v>5.9</v>
      </c>
      <c r="O237" s="834">
        <v>6.5</v>
      </c>
      <c r="P237" s="834">
        <v>6.4</v>
      </c>
      <c r="S237" s="789">
        <v>68</v>
      </c>
      <c r="T237" s="788">
        <f t="shared" si="6"/>
        <v>2.0987442945622115E-3</v>
      </c>
      <c r="U237" s="786" t="e">
        <f t="shared" si="7"/>
        <v>#VALUE!</v>
      </c>
    </row>
    <row r="238" spans="2:21">
      <c r="B238" s="833" t="s">
        <v>3379</v>
      </c>
      <c r="C238" s="834">
        <v>44</v>
      </c>
      <c r="D238" s="834">
        <v>7.2</v>
      </c>
      <c r="E238" s="834">
        <v>7.7</v>
      </c>
      <c r="F238" s="834">
        <v>8</v>
      </c>
      <c r="G238" s="834">
        <v>7.2</v>
      </c>
      <c r="H238" s="834">
        <v>6.6</v>
      </c>
      <c r="I238" s="834">
        <v>6.1</v>
      </c>
      <c r="J238" s="834">
        <v>5.8</v>
      </c>
      <c r="K238" s="834">
        <v>5.5</v>
      </c>
      <c r="L238" s="834">
        <v>6.4</v>
      </c>
      <c r="M238" s="834">
        <v>6.3</v>
      </c>
      <c r="N238" s="834">
        <v>6.4</v>
      </c>
      <c r="O238" s="834">
        <v>6.9</v>
      </c>
      <c r="P238" s="834">
        <v>6.7</v>
      </c>
      <c r="S238" s="789">
        <v>69</v>
      </c>
      <c r="T238" s="788">
        <f t="shared" si="6"/>
        <v>1.8896402793224924E-3</v>
      </c>
      <c r="U238" s="786" t="e">
        <f t="shared" si="7"/>
        <v>#VALUE!</v>
      </c>
    </row>
    <row r="239" spans="2:21">
      <c r="B239" s="833" t="s">
        <v>3380</v>
      </c>
      <c r="C239" s="834">
        <v>54</v>
      </c>
      <c r="D239" s="834">
        <v>8</v>
      </c>
      <c r="E239" s="834">
        <v>8.4</v>
      </c>
      <c r="F239" s="834">
        <v>8.8000000000000007</v>
      </c>
      <c r="G239" s="834">
        <v>8.3000000000000007</v>
      </c>
      <c r="H239" s="834">
        <v>7.4</v>
      </c>
      <c r="I239" s="834">
        <v>7</v>
      </c>
      <c r="J239" s="834">
        <v>6.7</v>
      </c>
      <c r="K239" s="834">
        <v>6.2</v>
      </c>
      <c r="L239" s="834">
        <v>6.7</v>
      </c>
      <c r="M239" s="834">
        <v>6.5</v>
      </c>
      <c r="N239" s="834">
        <v>6.9</v>
      </c>
      <c r="O239" s="834">
        <v>7.5</v>
      </c>
      <c r="P239" s="834">
        <v>7.4</v>
      </c>
      <c r="S239" s="789">
        <v>70</v>
      </c>
      <c r="T239" s="788">
        <f t="shared" si="6"/>
        <v>1.6980464011386318E-3</v>
      </c>
      <c r="U239" s="786" t="e">
        <f t="shared" si="7"/>
        <v>#VALUE!</v>
      </c>
    </row>
    <row r="240" spans="2:21">
      <c r="B240" s="833" t="s">
        <v>3381</v>
      </c>
      <c r="C240" s="834">
        <v>52</v>
      </c>
      <c r="D240" s="834">
        <v>8.1999999999999993</v>
      </c>
      <c r="E240" s="834">
        <v>8.6</v>
      </c>
      <c r="F240" s="834">
        <v>9.1</v>
      </c>
      <c r="G240" s="834">
        <v>8.6</v>
      </c>
      <c r="H240" s="834">
        <v>7.6</v>
      </c>
      <c r="I240" s="834">
        <v>7.4</v>
      </c>
      <c r="J240" s="834">
        <v>6.9</v>
      </c>
      <c r="K240" s="834">
        <v>6.7</v>
      </c>
      <c r="L240" s="834">
        <v>7.2</v>
      </c>
      <c r="M240" s="834">
        <v>7.3</v>
      </c>
      <c r="N240" s="834">
        <v>7.2</v>
      </c>
      <c r="O240" s="834">
        <v>7.6</v>
      </c>
      <c r="P240" s="834">
        <v>7.7</v>
      </c>
      <c r="S240" s="789">
        <v>71</v>
      </c>
      <c r="T240" s="788">
        <f t="shared" si="6"/>
        <v>1.5229069356612859E-3</v>
      </c>
      <c r="U240" s="786" t="e">
        <f t="shared" si="7"/>
        <v>#VALUE!</v>
      </c>
    </row>
    <row r="241" spans="2:21">
      <c r="B241" s="833" t="s">
        <v>3382</v>
      </c>
      <c r="C241" s="834">
        <v>53</v>
      </c>
      <c r="D241" s="834">
        <v>7.4</v>
      </c>
      <c r="E241" s="834">
        <v>7.7</v>
      </c>
      <c r="F241" s="834">
        <v>7.7</v>
      </c>
      <c r="G241" s="834">
        <v>7.5</v>
      </c>
      <c r="H241" s="834">
        <v>7.4</v>
      </c>
      <c r="I241" s="834">
        <v>7.1</v>
      </c>
      <c r="J241" s="834">
        <v>6.9</v>
      </c>
      <c r="K241" s="834">
        <v>6.8</v>
      </c>
      <c r="L241" s="834">
        <v>6.8</v>
      </c>
      <c r="M241" s="834">
        <v>6.7</v>
      </c>
      <c r="N241" s="834">
        <v>6.8</v>
      </c>
      <c r="O241" s="834">
        <v>7.2</v>
      </c>
      <c r="P241" s="834">
        <v>7.2</v>
      </c>
      <c r="S241" s="789">
        <v>72</v>
      </c>
      <c r="T241" s="788">
        <f t="shared" si="6"/>
        <v>1.3631795110969633E-3</v>
      </c>
      <c r="U241" s="786" t="e">
        <f t="shared" si="7"/>
        <v>#VALUE!</v>
      </c>
    </row>
    <row r="242" spans="2:21">
      <c r="B242" s="833" t="s">
        <v>3383</v>
      </c>
      <c r="C242" s="834">
        <v>53</v>
      </c>
      <c r="D242" s="834">
        <v>9.4</v>
      </c>
      <c r="E242" s="834">
        <v>10.1</v>
      </c>
      <c r="F242" s="834">
        <v>11.3</v>
      </c>
      <c r="G242" s="834">
        <v>11.6</v>
      </c>
      <c r="H242" s="834">
        <v>11.6</v>
      </c>
      <c r="I242" s="834">
        <v>12.6</v>
      </c>
      <c r="J242" s="834">
        <v>13.1</v>
      </c>
      <c r="K242" s="834">
        <v>12.8</v>
      </c>
      <c r="L242" s="834">
        <v>11.2</v>
      </c>
      <c r="M242" s="834">
        <v>10.5</v>
      </c>
      <c r="N242" s="834">
        <v>10.7</v>
      </c>
      <c r="O242" s="834">
        <v>10.4</v>
      </c>
      <c r="P242" s="834">
        <v>11.3</v>
      </c>
      <c r="S242" s="789">
        <v>73</v>
      </c>
      <c r="T242" s="788">
        <f t="shared" si="6"/>
        <v>1.2178421098479884E-3</v>
      </c>
      <c r="U242" s="786" t="e">
        <f t="shared" si="7"/>
        <v>#VALUE!</v>
      </c>
    </row>
    <row r="243" spans="2:21">
      <c r="B243" s="833" t="s">
        <v>3384</v>
      </c>
      <c r="C243" s="834">
        <v>30</v>
      </c>
      <c r="D243" s="834">
        <v>10.8</v>
      </c>
      <c r="E243" s="834">
        <v>11.2</v>
      </c>
      <c r="F243" s="834">
        <v>12.2</v>
      </c>
      <c r="G243" s="834">
        <v>13.4</v>
      </c>
      <c r="H243" s="834">
        <v>13</v>
      </c>
      <c r="I243" s="834">
        <v>14.9</v>
      </c>
      <c r="J243" s="834">
        <v>15.5</v>
      </c>
      <c r="K243" s="834">
        <v>14.7</v>
      </c>
      <c r="L243" s="834">
        <v>13</v>
      </c>
      <c r="M243" s="834">
        <v>12.2</v>
      </c>
      <c r="N243" s="834">
        <v>11.8</v>
      </c>
      <c r="O243" s="834">
        <v>11.3</v>
      </c>
      <c r="P243" s="834">
        <v>12.8</v>
      </c>
      <c r="S243" s="789">
        <v>74</v>
      </c>
      <c r="T243" s="788">
        <f t="shared" si="6"/>
        <v>1.0858990545796483E-3</v>
      </c>
      <c r="U243" s="786" t="e">
        <f t="shared" si="7"/>
        <v>#VALUE!</v>
      </c>
    </row>
    <row r="244" spans="2:21">
      <c r="B244" s="833" t="s">
        <v>3385</v>
      </c>
      <c r="C244" s="834">
        <v>52</v>
      </c>
      <c r="D244" s="834">
        <v>11.1</v>
      </c>
      <c r="E244" s="834">
        <v>11.7</v>
      </c>
      <c r="F244" s="834">
        <v>12.7</v>
      </c>
      <c r="G244" s="834">
        <v>13.5</v>
      </c>
      <c r="H244" s="834">
        <v>12.8</v>
      </c>
      <c r="I244" s="834">
        <v>13.2</v>
      </c>
      <c r="J244" s="834">
        <v>13.7</v>
      </c>
      <c r="K244" s="834">
        <v>13.1</v>
      </c>
      <c r="L244" s="834">
        <v>11.7</v>
      </c>
      <c r="M244" s="834">
        <v>11.8</v>
      </c>
      <c r="N244" s="834">
        <v>12.4</v>
      </c>
      <c r="O244" s="834">
        <v>12</v>
      </c>
      <c r="P244" s="834">
        <v>12.5</v>
      </c>
      <c r="S244" s="789">
        <v>75</v>
      </c>
      <c r="T244" s="788">
        <f t="shared" si="6"/>
        <v>9.6638602914286213E-4</v>
      </c>
      <c r="U244" s="786" t="e">
        <f t="shared" si="7"/>
        <v>#VALUE!</v>
      </c>
    </row>
    <row r="245" spans="2:21">
      <c r="B245" s="833" t="s">
        <v>3386</v>
      </c>
      <c r="C245" s="834">
        <v>63</v>
      </c>
      <c r="D245" s="834">
        <v>7.9</v>
      </c>
      <c r="E245" s="834">
        <v>8.9</v>
      </c>
      <c r="F245" s="834">
        <v>9.9</v>
      </c>
      <c r="G245" s="834">
        <v>9.9</v>
      </c>
      <c r="H245" s="834">
        <v>9.4</v>
      </c>
      <c r="I245" s="834">
        <v>9</v>
      </c>
      <c r="J245" s="834">
        <v>8.4</v>
      </c>
      <c r="K245" s="834">
        <v>8.1999999999999993</v>
      </c>
      <c r="L245" s="834">
        <v>8.1999999999999993</v>
      </c>
      <c r="M245" s="834">
        <v>8.3000000000000007</v>
      </c>
      <c r="N245" s="834">
        <v>8.4</v>
      </c>
      <c r="O245" s="834">
        <v>8.1</v>
      </c>
      <c r="P245" s="834">
        <v>8.6999999999999993</v>
      </c>
      <c r="S245" s="789">
        <v>76</v>
      </c>
      <c r="T245" s="788">
        <f t="shared" si="6"/>
        <v>8.5837419146619659E-4</v>
      </c>
      <c r="U245" s="786" t="e">
        <f t="shared" si="7"/>
        <v>#VALUE!</v>
      </c>
    </row>
    <row r="246" spans="2:21">
      <c r="B246" s="833" t="s">
        <v>3387</v>
      </c>
      <c r="C246" s="834">
        <v>50</v>
      </c>
      <c r="D246" s="834">
        <v>10.5</v>
      </c>
      <c r="E246" s="834">
        <v>10.5</v>
      </c>
      <c r="F246" s="834">
        <v>11.1</v>
      </c>
      <c r="G246" s="834">
        <v>11.6</v>
      </c>
      <c r="H246" s="834">
        <v>10.5</v>
      </c>
      <c r="I246" s="834">
        <v>10.1</v>
      </c>
      <c r="J246" s="834">
        <v>9.1</v>
      </c>
      <c r="K246" s="834">
        <v>8.9</v>
      </c>
      <c r="L246" s="834">
        <v>9</v>
      </c>
      <c r="M246" s="834">
        <v>9.5</v>
      </c>
      <c r="N246" s="834">
        <v>10.1</v>
      </c>
      <c r="O246" s="834">
        <v>9.9</v>
      </c>
      <c r="P246" s="834">
        <v>10.1</v>
      </c>
      <c r="S246" s="789">
        <v>77</v>
      </c>
      <c r="T246" s="788">
        <f t="shared" si="6"/>
        <v>7.609734405822924E-4</v>
      </c>
      <c r="U246" s="786" t="e">
        <f t="shared" si="7"/>
        <v>#VALUE!</v>
      </c>
    </row>
    <row r="247" spans="2:21">
      <c r="B247" s="833" t="s">
        <v>3388</v>
      </c>
      <c r="C247" s="834">
        <v>22</v>
      </c>
      <c r="D247" s="834">
        <v>9.8000000000000007</v>
      </c>
      <c r="E247" s="834">
        <v>9.8000000000000007</v>
      </c>
      <c r="F247" s="834">
        <v>10.6</v>
      </c>
      <c r="G247" s="834">
        <v>10.199999999999999</v>
      </c>
      <c r="H247" s="834">
        <v>8.1999999999999993</v>
      </c>
      <c r="I247" s="834">
        <v>7.4</v>
      </c>
      <c r="J247" s="834">
        <v>6.5</v>
      </c>
      <c r="K247" s="834">
        <v>6.2</v>
      </c>
      <c r="L247" s="834">
        <v>7</v>
      </c>
      <c r="M247" s="834">
        <v>7.3</v>
      </c>
      <c r="N247" s="834">
        <v>9.1</v>
      </c>
      <c r="O247" s="834">
        <v>9.3000000000000007</v>
      </c>
      <c r="P247" s="834">
        <v>8.5</v>
      </c>
      <c r="S247" s="789">
        <v>78</v>
      </c>
      <c r="T247" s="788">
        <f t="shared" si="6"/>
        <v>6.7333490348340901E-4</v>
      </c>
      <c r="U247" s="786" t="e">
        <f t="shared" si="7"/>
        <v>#VALUE!</v>
      </c>
    </row>
    <row r="248" spans="2:21">
      <c r="B248" s="833" t="s">
        <v>3389</v>
      </c>
      <c r="C248" s="834">
        <v>44</v>
      </c>
      <c r="D248" s="834">
        <v>11.6</v>
      </c>
      <c r="E248" s="834">
        <v>11.4</v>
      </c>
      <c r="F248" s="834">
        <v>11.8</v>
      </c>
      <c r="G248" s="834">
        <v>11.9</v>
      </c>
      <c r="H248" s="834">
        <v>10.5</v>
      </c>
      <c r="I248" s="834">
        <v>9.3000000000000007</v>
      </c>
      <c r="J248" s="834">
        <v>8.4</v>
      </c>
      <c r="K248" s="834">
        <v>8.1999999999999993</v>
      </c>
      <c r="L248" s="834">
        <v>8.9</v>
      </c>
      <c r="M248" s="834">
        <v>10.1</v>
      </c>
      <c r="N248" s="834">
        <v>11.1</v>
      </c>
      <c r="O248" s="834">
        <v>11</v>
      </c>
      <c r="P248" s="834">
        <v>10.3</v>
      </c>
      <c r="S248" s="789">
        <v>79</v>
      </c>
      <c r="T248" s="788">
        <f t="shared" si="6"/>
        <v>5.9465270963539687E-4</v>
      </c>
      <c r="U248" s="786" t="e">
        <f t="shared" si="7"/>
        <v>#VALUE!</v>
      </c>
    </row>
    <row r="249" spans="2:21">
      <c r="B249" s="833" t="s">
        <v>3390</v>
      </c>
      <c r="C249" s="834">
        <v>59</v>
      </c>
      <c r="D249" s="834">
        <v>10.7</v>
      </c>
      <c r="E249" s="834">
        <v>10.6</v>
      </c>
      <c r="F249" s="834">
        <v>11.7</v>
      </c>
      <c r="G249" s="834">
        <v>11.8</v>
      </c>
      <c r="H249" s="834">
        <v>10.1</v>
      </c>
      <c r="I249" s="834">
        <v>8.8000000000000007</v>
      </c>
      <c r="J249" s="834">
        <v>7.5</v>
      </c>
      <c r="K249" s="834">
        <v>7.1</v>
      </c>
      <c r="L249" s="834">
        <v>8</v>
      </c>
      <c r="M249" s="834">
        <v>9.1999999999999993</v>
      </c>
      <c r="N249" s="834">
        <v>10.6</v>
      </c>
      <c r="O249" s="834">
        <v>10.3</v>
      </c>
      <c r="P249" s="834">
        <v>9.6999999999999993</v>
      </c>
      <c r="S249" s="789">
        <v>80</v>
      </c>
      <c r="T249" s="788">
        <f t="shared" si="6"/>
        <v>5.2416512185510646E-4</v>
      </c>
      <c r="U249" s="786" t="e">
        <f t="shared" si="7"/>
        <v>#VALUE!</v>
      </c>
    </row>
    <row r="250" spans="2:21">
      <c r="B250" s="833" t="s">
        <v>3391</v>
      </c>
      <c r="C250" s="834">
        <v>59</v>
      </c>
      <c r="D250" s="834">
        <v>10.9</v>
      </c>
      <c r="E250" s="834">
        <v>10.9</v>
      </c>
      <c r="F250" s="834">
        <v>11.7</v>
      </c>
      <c r="G250" s="834">
        <v>11.6</v>
      </c>
      <c r="H250" s="834">
        <v>9.9</v>
      </c>
      <c r="I250" s="834">
        <v>8.9</v>
      </c>
      <c r="J250" s="834">
        <v>7.8</v>
      </c>
      <c r="K250" s="834">
        <v>7.3</v>
      </c>
      <c r="L250" s="834">
        <v>8.3000000000000007</v>
      </c>
      <c r="M250" s="834">
        <v>9.3000000000000007</v>
      </c>
      <c r="N250" s="834">
        <v>10.6</v>
      </c>
      <c r="O250" s="834">
        <v>10.6</v>
      </c>
      <c r="P250" s="834">
        <v>9.8000000000000007</v>
      </c>
      <c r="T250" s="788">
        <f>SUM(T170:T249)</f>
        <v>0.99635691138741711</v>
      </c>
    </row>
    <row r="251" spans="2:21">
      <c r="B251" s="833" t="s">
        <v>3392</v>
      </c>
      <c r="C251" s="834">
        <v>52</v>
      </c>
      <c r="D251" s="834">
        <v>10.5</v>
      </c>
      <c r="E251" s="834">
        <v>10.6</v>
      </c>
      <c r="F251" s="834">
        <v>11.6</v>
      </c>
      <c r="G251" s="834">
        <v>11.8</v>
      </c>
      <c r="H251" s="834">
        <v>10.4</v>
      </c>
      <c r="I251" s="834">
        <v>9.3000000000000007</v>
      </c>
      <c r="J251" s="834">
        <v>8.1</v>
      </c>
      <c r="K251" s="834">
        <v>7.7</v>
      </c>
      <c r="L251" s="834">
        <v>8.4</v>
      </c>
      <c r="M251" s="834">
        <v>9.5</v>
      </c>
      <c r="N251" s="834">
        <v>10.6</v>
      </c>
      <c r="O251" s="834">
        <v>10.4</v>
      </c>
      <c r="P251" s="834">
        <v>9.9</v>
      </c>
    </row>
    <row r="252" spans="2:21">
      <c r="B252" s="833" t="s">
        <v>3393</v>
      </c>
      <c r="C252" s="834">
        <v>55</v>
      </c>
      <c r="D252" s="834">
        <v>12.2</v>
      </c>
      <c r="E252" s="834">
        <v>12.2</v>
      </c>
      <c r="F252" s="834">
        <v>13.2</v>
      </c>
      <c r="G252" s="834">
        <v>13</v>
      </c>
      <c r="H252" s="834">
        <v>11.1</v>
      </c>
      <c r="I252" s="834">
        <v>9.6</v>
      </c>
      <c r="J252" s="834">
        <v>8.3000000000000007</v>
      </c>
      <c r="K252" s="834">
        <v>7.9</v>
      </c>
      <c r="L252" s="834">
        <v>8.6999999999999993</v>
      </c>
      <c r="M252" s="834">
        <v>10.1</v>
      </c>
      <c r="N252" s="834">
        <v>12.2</v>
      </c>
      <c r="O252" s="834">
        <v>12</v>
      </c>
      <c r="P252" s="834">
        <v>10.9</v>
      </c>
    </row>
    <row r="253" spans="2:21">
      <c r="B253" s="833" t="s">
        <v>3394</v>
      </c>
      <c r="C253" s="834">
        <v>62</v>
      </c>
      <c r="D253" s="834">
        <v>9.1999999999999993</v>
      </c>
      <c r="E253" s="834">
        <v>9.3000000000000007</v>
      </c>
      <c r="F253" s="834">
        <v>10</v>
      </c>
      <c r="G253" s="834">
        <v>9.6</v>
      </c>
      <c r="H253" s="834">
        <v>7.9</v>
      </c>
      <c r="I253" s="834">
        <v>7.1</v>
      </c>
      <c r="J253" s="834">
        <v>6.2</v>
      </c>
      <c r="K253" s="834">
        <v>5.8</v>
      </c>
      <c r="L253" s="834">
        <v>6.4</v>
      </c>
      <c r="M253" s="834">
        <v>6.9</v>
      </c>
      <c r="N253" s="834">
        <v>8.6999999999999993</v>
      </c>
      <c r="O253" s="834">
        <v>8.9</v>
      </c>
      <c r="P253" s="834">
        <v>8</v>
      </c>
    </row>
    <row r="254" spans="2:21">
      <c r="B254" s="833" t="s">
        <v>3395</v>
      </c>
      <c r="C254" s="834">
        <v>56</v>
      </c>
      <c r="D254" s="834">
        <v>11.5</v>
      </c>
      <c r="E254" s="834">
        <v>11</v>
      </c>
      <c r="F254" s="834">
        <v>11.7</v>
      </c>
      <c r="G254" s="834">
        <v>11.6</v>
      </c>
      <c r="H254" s="834">
        <v>10</v>
      </c>
      <c r="I254" s="834">
        <v>8.9</v>
      </c>
      <c r="J254" s="834">
        <v>8</v>
      </c>
      <c r="K254" s="834">
        <v>7.3</v>
      </c>
      <c r="L254" s="834">
        <v>8.1999999999999993</v>
      </c>
      <c r="M254" s="834">
        <v>9.1</v>
      </c>
      <c r="N254" s="834">
        <v>10.9</v>
      </c>
      <c r="O254" s="834">
        <v>11.1</v>
      </c>
      <c r="P254" s="834">
        <v>9.9</v>
      </c>
    </row>
    <row r="255" spans="2:21">
      <c r="B255" s="833" t="s">
        <v>3396</v>
      </c>
      <c r="C255" s="834">
        <v>54</v>
      </c>
      <c r="D255" s="834">
        <v>10.9</v>
      </c>
      <c r="E255" s="834">
        <v>10.8</v>
      </c>
      <c r="F255" s="834">
        <v>11.6</v>
      </c>
      <c r="G255" s="834">
        <v>11.2</v>
      </c>
      <c r="H255" s="834">
        <v>9.6</v>
      </c>
      <c r="I255" s="834">
        <v>8.5</v>
      </c>
      <c r="J255" s="834">
        <v>7.5</v>
      </c>
      <c r="K255" s="834">
        <v>7.2</v>
      </c>
      <c r="L255" s="834">
        <v>7.9</v>
      </c>
      <c r="M255" s="834">
        <v>8.9</v>
      </c>
      <c r="N255" s="834">
        <v>10.5</v>
      </c>
      <c r="O255" s="834">
        <v>10.5</v>
      </c>
      <c r="P255" s="834">
        <v>9.6</v>
      </c>
    </row>
    <row r="256" spans="2:21">
      <c r="B256" s="833" t="s">
        <v>3397</v>
      </c>
      <c r="C256" s="834">
        <v>54</v>
      </c>
      <c r="D256" s="834">
        <v>11.9</v>
      </c>
      <c r="E256" s="834">
        <v>11.2</v>
      </c>
      <c r="F256" s="834">
        <v>11.9</v>
      </c>
      <c r="G256" s="834">
        <v>11.6</v>
      </c>
      <c r="H256" s="834">
        <v>10.199999999999999</v>
      </c>
      <c r="I256" s="834">
        <v>9.1</v>
      </c>
      <c r="J256" s="834">
        <v>8.1</v>
      </c>
      <c r="K256" s="834">
        <v>7.7</v>
      </c>
      <c r="L256" s="834">
        <v>8.5</v>
      </c>
      <c r="M256" s="834">
        <v>9.5</v>
      </c>
      <c r="N256" s="834">
        <v>11</v>
      </c>
      <c r="O256" s="834">
        <v>11.2</v>
      </c>
      <c r="P256" s="834">
        <v>10.199999999999999</v>
      </c>
    </row>
    <row r="257" spans="2:16">
      <c r="B257" s="833" t="s">
        <v>3398</v>
      </c>
      <c r="C257" s="834">
        <v>53</v>
      </c>
      <c r="D257" s="834">
        <v>11.4</v>
      </c>
      <c r="E257" s="834">
        <v>11.2</v>
      </c>
      <c r="F257" s="834">
        <v>12.4</v>
      </c>
      <c r="G257" s="834">
        <v>12.6</v>
      </c>
      <c r="H257" s="834">
        <v>11</v>
      </c>
      <c r="I257" s="834">
        <v>10.1</v>
      </c>
      <c r="J257" s="834">
        <v>8.9</v>
      </c>
      <c r="K257" s="834">
        <v>8.6</v>
      </c>
      <c r="L257" s="834">
        <v>9.4</v>
      </c>
      <c r="M257" s="834">
        <v>10.3</v>
      </c>
      <c r="N257" s="834">
        <v>11.3</v>
      </c>
      <c r="O257" s="834">
        <v>11.1</v>
      </c>
      <c r="P257" s="834">
        <v>10.7</v>
      </c>
    </row>
    <row r="258" spans="2:16">
      <c r="B258" s="833" t="s">
        <v>3399</v>
      </c>
      <c r="C258" s="834">
        <v>61</v>
      </c>
      <c r="D258" s="834">
        <v>11.4</v>
      </c>
      <c r="E258" s="834">
        <v>11.2</v>
      </c>
      <c r="F258" s="834">
        <v>12.3</v>
      </c>
      <c r="G258" s="834">
        <v>13.2</v>
      </c>
      <c r="H258" s="834">
        <v>11.8</v>
      </c>
      <c r="I258" s="834">
        <v>10.7</v>
      </c>
      <c r="J258" s="834">
        <v>9.1999999999999993</v>
      </c>
      <c r="K258" s="834">
        <v>9.1</v>
      </c>
      <c r="L258" s="834">
        <v>9.9</v>
      </c>
      <c r="M258" s="834">
        <v>10.5</v>
      </c>
      <c r="N258" s="834">
        <v>11.4</v>
      </c>
      <c r="O258" s="834">
        <v>11</v>
      </c>
      <c r="P258" s="834">
        <v>11</v>
      </c>
    </row>
    <row r="259" spans="2:16">
      <c r="B259" s="833" t="s">
        <v>3400</v>
      </c>
      <c r="C259" s="834">
        <v>46</v>
      </c>
      <c r="D259" s="834">
        <v>11.4</v>
      </c>
      <c r="E259" s="834">
        <v>11.4</v>
      </c>
      <c r="F259" s="834">
        <v>12.1</v>
      </c>
      <c r="G259" s="834">
        <v>12.6</v>
      </c>
      <c r="H259" s="834">
        <v>11.1</v>
      </c>
      <c r="I259" s="834">
        <v>9.8000000000000007</v>
      </c>
      <c r="J259" s="834">
        <v>8.4</v>
      </c>
      <c r="K259" s="834">
        <v>8.3000000000000007</v>
      </c>
      <c r="L259" s="834">
        <v>9</v>
      </c>
      <c r="M259" s="834">
        <v>10.199999999999999</v>
      </c>
      <c r="N259" s="834">
        <v>11</v>
      </c>
      <c r="O259" s="834">
        <v>11</v>
      </c>
      <c r="P259" s="834">
        <v>10.5</v>
      </c>
    </row>
    <row r="260" spans="2:16">
      <c r="B260" s="833" t="s">
        <v>3401</v>
      </c>
      <c r="C260" s="834">
        <v>40</v>
      </c>
      <c r="D260" s="834">
        <v>11.7</v>
      </c>
      <c r="E260" s="834">
        <v>12.1</v>
      </c>
      <c r="F260" s="834">
        <v>13.4</v>
      </c>
      <c r="G260" s="834">
        <v>13.8</v>
      </c>
      <c r="H260" s="834">
        <v>12.1</v>
      </c>
      <c r="I260" s="834">
        <v>11.7</v>
      </c>
      <c r="J260" s="834">
        <v>11.3</v>
      </c>
      <c r="K260" s="834">
        <v>10.9</v>
      </c>
      <c r="L260" s="834">
        <v>11.2</v>
      </c>
      <c r="M260" s="834">
        <v>11.6</v>
      </c>
      <c r="N260" s="834">
        <v>11.8</v>
      </c>
      <c r="O260" s="834">
        <v>11.5</v>
      </c>
      <c r="P260" s="834">
        <v>11.9</v>
      </c>
    </row>
    <row r="261" spans="2:16">
      <c r="B261" s="833" t="s">
        <v>3402</v>
      </c>
      <c r="C261" s="834">
        <v>60</v>
      </c>
      <c r="D261" s="834">
        <v>13.5</v>
      </c>
      <c r="E261" s="834">
        <v>13.9</v>
      </c>
      <c r="F261" s="834">
        <v>15.5</v>
      </c>
      <c r="G261" s="834">
        <v>15.5</v>
      </c>
      <c r="H261" s="834">
        <v>14.6</v>
      </c>
      <c r="I261" s="834">
        <v>14</v>
      </c>
      <c r="J261" s="834">
        <v>13.1</v>
      </c>
      <c r="K261" s="834">
        <v>12.5</v>
      </c>
      <c r="L261" s="834">
        <v>13.5</v>
      </c>
      <c r="M261" s="834">
        <v>13.5</v>
      </c>
      <c r="N261" s="834">
        <v>13.7</v>
      </c>
      <c r="O261" s="834">
        <v>13.4</v>
      </c>
      <c r="P261" s="834">
        <v>13.9</v>
      </c>
    </row>
    <row r="262" spans="2:16">
      <c r="B262" s="833" t="s">
        <v>3403</v>
      </c>
      <c r="C262" s="834">
        <v>54</v>
      </c>
      <c r="D262" s="834">
        <v>12.4</v>
      </c>
      <c r="E262" s="834">
        <v>12.4</v>
      </c>
      <c r="F262" s="834">
        <v>14</v>
      </c>
      <c r="G262" s="834">
        <v>14.4</v>
      </c>
      <c r="H262" s="834">
        <v>13.5</v>
      </c>
      <c r="I262" s="834">
        <v>12.7</v>
      </c>
      <c r="J262" s="834">
        <v>11.9</v>
      </c>
      <c r="K262" s="834">
        <v>11.5</v>
      </c>
      <c r="L262" s="834">
        <v>12</v>
      </c>
      <c r="M262" s="834">
        <v>11.9</v>
      </c>
      <c r="N262" s="834">
        <v>11.9</v>
      </c>
      <c r="O262" s="834">
        <v>11.9</v>
      </c>
      <c r="P262" s="834">
        <v>12.5</v>
      </c>
    </row>
    <row r="263" spans="2:16">
      <c r="B263" s="833" t="s">
        <v>3404</v>
      </c>
      <c r="C263" s="834">
        <v>53</v>
      </c>
      <c r="D263" s="834">
        <v>9.6999999999999993</v>
      </c>
      <c r="E263" s="834">
        <v>10.199999999999999</v>
      </c>
      <c r="F263" s="834">
        <v>11.5</v>
      </c>
      <c r="G263" s="834">
        <v>11.7</v>
      </c>
      <c r="H263" s="834">
        <v>10.199999999999999</v>
      </c>
      <c r="I263" s="834">
        <v>9.4</v>
      </c>
      <c r="J263" s="834">
        <v>8.4</v>
      </c>
      <c r="K263" s="834">
        <v>8</v>
      </c>
      <c r="L263" s="834">
        <v>8.5</v>
      </c>
      <c r="M263" s="834">
        <v>9</v>
      </c>
      <c r="N263" s="834">
        <v>9.6999999999999993</v>
      </c>
      <c r="O263" s="834">
        <v>9.5</v>
      </c>
      <c r="P263" s="834">
        <v>9.6</v>
      </c>
    </row>
    <row r="264" spans="2:16">
      <c r="B264" s="833" t="s">
        <v>3405</v>
      </c>
      <c r="C264" s="834">
        <v>49</v>
      </c>
      <c r="D264" s="834">
        <v>12</v>
      </c>
      <c r="E264" s="834">
        <v>12.5</v>
      </c>
      <c r="F264" s="834">
        <v>13.8</v>
      </c>
      <c r="G264" s="834">
        <v>14</v>
      </c>
      <c r="H264" s="834">
        <v>12.3</v>
      </c>
      <c r="I264" s="834">
        <v>12.2</v>
      </c>
      <c r="J264" s="834">
        <v>11.3</v>
      </c>
      <c r="K264" s="834">
        <v>11.1</v>
      </c>
      <c r="L264" s="834">
        <v>11.6</v>
      </c>
      <c r="M264" s="834">
        <v>11.9</v>
      </c>
      <c r="N264" s="834">
        <v>12.1</v>
      </c>
      <c r="O264" s="834">
        <v>11.7</v>
      </c>
      <c r="P264" s="834">
        <v>12.2</v>
      </c>
    </row>
    <row r="265" spans="2:16">
      <c r="B265" s="833" t="s">
        <v>3406</v>
      </c>
      <c r="C265" s="834">
        <v>55</v>
      </c>
      <c r="D265" s="834">
        <v>10.4</v>
      </c>
      <c r="E265" s="834">
        <v>10.4</v>
      </c>
      <c r="F265" s="834">
        <v>11</v>
      </c>
      <c r="G265" s="834">
        <v>10.6</v>
      </c>
      <c r="H265" s="834">
        <v>8.6999999999999993</v>
      </c>
      <c r="I265" s="834">
        <v>7.9</v>
      </c>
      <c r="J265" s="834">
        <v>7.2</v>
      </c>
      <c r="K265" s="834">
        <v>6.8</v>
      </c>
      <c r="L265" s="834">
        <v>7.4</v>
      </c>
      <c r="M265" s="834">
        <v>8.1</v>
      </c>
      <c r="N265" s="834">
        <v>9.6999999999999993</v>
      </c>
      <c r="O265" s="834">
        <v>10</v>
      </c>
      <c r="P265" s="834">
        <v>9</v>
      </c>
    </row>
    <row r="266" spans="2:16">
      <c r="B266" s="833" t="s">
        <v>3407</v>
      </c>
      <c r="C266" s="834">
        <v>21</v>
      </c>
      <c r="D266" s="834">
        <v>7.3</v>
      </c>
      <c r="E266" s="834">
        <v>7.4</v>
      </c>
      <c r="F266" s="834">
        <v>7.6</v>
      </c>
      <c r="G266" s="834">
        <v>7.7</v>
      </c>
      <c r="H266" s="834">
        <v>6</v>
      </c>
      <c r="I266" s="834">
        <v>5.3</v>
      </c>
      <c r="J266" s="834">
        <v>5</v>
      </c>
      <c r="K266" s="834">
        <v>4.5999999999999996</v>
      </c>
      <c r="L266" s="834">
        <v>5.3</v>
      </c>
      <c r="M266" s="834">
        <v>6</v>
      </c>
      <c r="N266" s="834">
        <v>7</v>
      </c>
      <c r="O266" s="834">
        <v>7.1</v>
      </c>
      <c r="P266" s="834">
        <v>6.4</v>
      </c>
    </row>
    <row r="267" spans="2:16">
      <c r="B267" s="833" t="s">
        <v>3408</v>
      </c>
      <c r="C267" s="834">
        <v>55</v>
      </c>
      <c r="D267" s="834">
        <v>10.6</v>
      </c>
      <c r="E267" s="834">
        <v>10.6</v>
      </c>
      <c r="F267" s="834">
        <v>10.9</v>
      </c>
      <c r="G267" s="834">
        <v>10.4</v>
      </c>
      <c r="H267" s="834">
        <v>8.6</v>
      </c>
      <c r="I267" s="834">
        <v>7.9</v>
      </c>
      <c r="J267" s="834">
        <v>7.2</v>
      </c>
      <c r="K267" s="834">
        <v>6.8</v>
      </c>
      <c r="L267" s="834">
        <v>7.6</v>
      </c>
      <c r="M267" s="834">
        <v>8.1</v>
      </c>
      <c r="N267" s="834">
        <v>9.9</v>
      </c>
      <c r="O267" s="834">
        <v>10.3</v>
      </c>
      <c r="P267" s="834">
        <v>9.1</v>
      </c>
    </row>
    <row r="268" spans="2:16">
      <c r="B268" s="833" t="s">
        <v>3409</v>
      </c>
      <c r="C268" s="834">
        <v>55</v>
      </c>
      <c r="D268" s="834">
        <v>9.5</v>
      </c>
      <c r="E268" s="834">
        <v>9.5</v>
      </c>
      <c r="F268" s="834">
        <v>10.1</v>
      </c>
      <c r="G268" s="834">
        <v>9.6999999999999993</v>
      </c>
      <c r="H268" s="834">
        <v>8</v>
      </c>
      <c r="I268" s="834">
        <v>7.4</v>
      </c>
      <c r="J268" s="834">
        <v>6.8</v>
      </c>
      <c r="K268" s="834">
        <v>6.4</v>
      </c>
      <c r="L268" s="834">
        <v>6.8</v>
      </c>
      <c r="M268" s="834">
        <v>7.2</v>
      </c>
      <c r="N268" s="834">
        <v>8.9</v>
      </c>
      <c r="O268" s="834">
        <v>9.1</v>
      </c>
      <c r="P268" s="834">
        <v>8.3000000000000007</v>
      </c>
    </row>
    <row r="269" spans="2:16">
      <c r="B269" s="833" t="s">
        <v>3410</v>
      </c>
      <c r="C269" s="834">
        <v>18</v>
      </c>
      <c r="D269" s="834">
        <v>8.8000000000000007</v>
      </c>
      <c r="E269" s="834">
        <v>8.9</v>
      </c>
      <c r="F269" s="834">
        <v>9.4</v>
      </c>
      <c r="G269" s="834">
        <v>8.9</v>
      </c>
      <c r="H269" s="834">
        <v>7.4</v>
      </c>
      <c r="I269" s="834">
        <v>6.2</v>
      </c>
      <c r="J269" s="834">
        <v>5.7</v>
      </c>
      <c r="K269" s="834">
        <v>5.0999999999999996</v>
      </c>
      <c r="L269" s="834">
        <v>5.6</v>
      </c>
      <c r="M269" s="834">
        <v>6.5</v>
      </c>
      <c r="N269" s="834">
        <v>8.1999999999999993</v>
      </c>
      <c r="O269" s="834">
        <v>8.4</v>
      </c>
      <c r="P269" s="834">
        <v>7.4</v>
      </c>
    </row>
    <row r="270" spans="2:16">
      <c r="B270" s="833" t="s">
        <v>3411</v>
      </c>
      <c r="C270" s="834">
        <v>51</v>
      </c>
      <c r="D270" s="834">
        <v>8.6999999999999993</v>
      </c>
      <c r="E270" s="834">
        <v>9.1</v>
      </c>
      <c r="F270" s="834">
        <v>9.1</v>
      </c>
      <c r="G270" s="834">
        <v>8.6999999999999993</v>
      </c>
      <c r="H270" s="834">
        <v>7.6</v>
      </c>
      <c r="I270" s="834">
        <v>6.5</v>
      </c>
      <c r="J270" s="834">
        <v>5.9</v>
      </c>
      <c r="K270" s="834">
        <v>5.6</v>
      </c>
      <c r="L270" s="834">
        <v>6.4</v>
      </c>
      <c r="M270" s="834">
        <v>6.6</v>
      </c>
      <c r="N270" s="834">
        <v>7.4</v>
      </c>
      <c r="O270" s="834">
        <v>8.1</v>
      </c>
      <c r="P270" s="834">
        <v>7.5</v>
      </c>
    </row>
    <row r="271" spans="2:16">
      <c r="B271" s="833" t="s">
        <v>3412</v>
      </c>
      <c r="C271" s="834">
        <v>41</v>
      </c>
      <c r="D271" s="834">
        <v>9.8000000000000007</v>
      </c>
      <c r="E271" s="834">
        <v>10</v>
      </c>
      <c r="F271" s="834">
        <v>10.199999999999999</v>
      </c>
      <c r="G271" s="834">
        <v>9.8000000000000007</v>
      </c>
      <c r="H271" s="834">
        <v>8.6</v>
      </c>
      <c r="I271" s="834">
        <v>7.5</v>
      </c>
      <c r="J271" s="834">
        <v>6.1</v>
      </c>
      <c r="K271" s="834">
        <v>6.1</v>
      </c>
      <c r="L271" s="834">
        <v>7.1</v>
      </c>
      <c r="M271" s="834">
        <v>7.8</v>
      </c>
      <c r="N271" s="834">
        <v>8.8000000000000007</v>
      </c>
      <c r="O271" s="834">
        <v>9.3000000000000007</v>
      </c>
      <c r="P271" s="834">
        <v>8.4</v>
      </c>
    </row>
    <row r="272" spans="2:16">
      <c r="B272" s="833" t="s">
        <v>3413</v>
      </c>
      <c r="C272" s="834">
        <v>54</v>
      </c>
      <c r="D272" s="834">
        <v>9.3000000000000007</v>
      </c>
      <c r="E272" s="834">
        <v>9.8000000000000007</v>
      </c>
      <c r="F272" s="834">
        <v>9.9</v>
      </c>
      <c r="G272" s="834">
        <v>9.4</v>
      </c>
      <c r="H272" s="834">
        <v>8.1</v>
      </c>
      <c r="I272" s="834">
        <v>6.8</v>
      </c>
      <c r="J272" s="834">
        <v>6.1</v>
      </c>
      <c r="K272" s="834">
        <v>5.9</v>
      </c>
      <c r="L272" s="834">
        <v>7.3</v>
      </c>
      <c r="M272" s="834">
        <v>7.6</v>
      </c>
      <c r="N272" s="834">
        <v>8.6999999999999993</v>
      </c>
      <c r="O272" s="834">
        <v>9</v>
      </c>
      <c r="P272" s="834">
        <v>8.1999999999999993</v>
      </c>
    </row>
    <row r="273" spans="2:16">
      <c r="B273" s="833" t="s">
        <v>3414</v>
      </c>
      <c r="C273" s="834">
        <v>50</v>
      </c>
      <c r="D273" s="834">
        <v>9.1999999999999993</v>
      </c>
      <c r="E273" s="834">
        <v>9.6</v>
      </c>
      <c r="F273" s="834">
        <v>10</v>
      </c>
      <c r="G273" s="834">
        <v>9.6</v>
      </c>
      <c r="H273" s="834">
        <v>8.3000000000000007</v>
      </c>
      <c r="I273" s="834">
        <v>7.6</v>
      </c>
      <c r="J273" s="834">
        <v>7.1</v>
      </c>
      <c r="K273" s="834">
        <v>6.6</v>
      </c>
      <c r="L273" s="834">
        <v>7.2</v>
      </c>
      <c r="M273" s="834">
        <v>7.4</v>
      </c>
      <c r="N273" s="834">
        <v>8.3000000000000007</v>
      </c>
      <c r="O273" s="834">
        <v>8.8000000000000007</v>
      </c>
      <c r="P273" s="834">
        <v>8.3000000000000007</v>
      </c>
    </row>
    <row r="274" spans="2:16">
      <c r="B274" s="833" t="s">
        <v>3415</v>
      </c>
      <c r="C274" s="834">
        <v>22</v>
      </c>
      <c r="D274" s="834">
        <v>11.1</v>
      </c>
      <c r="E274" s="834">
        <v>10.8</v>
      </c>
      <c r="F274" s="834">
        <v>11.7</v>
      </c>
      <c r="G274" s="834">
        <v>10.9</v>
      </c>
      <c r="H274" s="834">
        <v>10.3</v>
      </c>
      <c r="I274" s="834">
        <v>9.3000000000000007</v>
      </c>
      <c r="J274" s="834">
        <v>8.6</v>
      </c>
      <c r="K274" s="834">
        <v>8.1</v>
      </c>
      <c r="L274" s="834">
        <v>9.1999999999999993</v>
      </c>
      <c r="M274" s="834">
        <v>10</v>
      </c>
      <c r="N274" s="834">
        <v>10</v>
      </c>
      <c r="O274" s="834">
        <v>10.4</v>
      </c>
      <c r="P274" s="834">
        <v>10</v>
      </c>
    </row>
    <row r="275" spans="2:16">
      <c r="B275" s="833" t="s">
        <v>3416</v>
      </c>
      <c r="C275" s="834">
        <v>62</v>
      </c>
      <c r="D275" s="834">
        <v>9</v>
      </c>
      <c r="E275" s="834">
        <v>9.4</v>
      </c>
      <c r="F275" s="834">
        <v>10</v>
      </c>
      <c r="G275" s="834">
        <v>9.9</v>
      </c>
      <c r="H275" s="834">
        <v>9.1</v>
      </c>
      <c r="I275" s="834">
        <v>8.1999999999999993</v>
      </c>
      <c r="J275" s="834">
        <v>7.6</v>
      </c>
      <c r="K275" s="834">
        <v>7.5</v>
      </c>
      <c r="L275" s="834">
        <v>7.8</v>
      </c>
      <c r="M275" s="834">
        <v>8.4</v>
      </c>
      <c r="N275" s="834">
        <v>8.8000000000000007</v>
      </c>
      <c r="O275" s="834">
        <v>9</v>
      </c>
      <c r="P275" s="834">
        <v>8.6999999999999993</v>
      </c>
    </row>
    <row r="276" spans="2:16">
      <c r="B276" s="833" t="s">
        <v>3417</v>
      </c>
      <c r="C276" s="834">
        <v>52</v>
      </c>
      <c r="D276" s="834">
        <v>9.4</v>
      </c>
      <c r="E276" s="834">
        <v>9.9</v>
      </c>
      <c r="F276" s="834">
        <v>10.7</v>
      </c>
      <c r="G276" s="834">
        <v>10.199999999999999</v>
      </c>
      <c r="H276" s="834">
        <v>8.9</v>
      </c>
      <c r="I276" s="834">
        <v>8.1999999999999993</v>
      </c>
      <c r="J276" s="834">
        <v>7.6</v>
      </c>
      <c r="K276" s="834">
        <v>7.5</v>
      </c>
      <c r="L276" s="834">
        <v>7.7</v>
      </c>
      <c r="M276" s="834">
        <v>8.1</v>
      </c>
      <c r="N276" s="834">
        <v>8.8000000000000007</v>
      </c>
      <c r="O276" s="834">
        <v>8.9</v>
      </c>
      <c r="P276" s="834">
        <v>8.8000000000000007</v>
      </c>
    </row>
    <row r="277" spans="2:16">
      <c r="B277" s="833" t="s">
        <v>3418</v>
      </c>
      <c r="C277" s="834">
        <v>61</v>
      </c>
      <c r="D277" s="834">
        <v>17.2</v>
      </c>
      <c r="E277" s="834">
        <v>17.2</v>
      </c>
      <c r="F277" s="834">
        <v>17.2</v>
      </c>
      <c r="G277" s="834">
        <v>16.399999999999999</v>
      </c>
      <c r="H277" s="834">
        <v>14.6</v>
      </c>
      <c r="I277" s="834">
        <v>13.8</v>
      </c>
      <c r="J277" s="834">
        <v>12.9</v>
      </c>
      <c r="K277" s="834">
        <v>12.6</v>
      </c>
      <c r="L277" s="834">
        <v>13.5</v>
      </c>
      <c r="M277" s="834">
        <v>15.2</v>
      </c>
      <c r="N277" s="834">
        <v>16.2</v>
      </c>
      <c r="O277" s="834">
        <v>16.7</v>
      </c>
      <c r="P277" s="834">
        <v>15.3</v>
      </c>
    </row>
    <row r="278" spans="2:16">
      <c r="B278" s="833" t="s">
        <v>3419</v>
      </c>
      <c r="C278" s="834">
        <v>45</v>
      </c>
      <c r="D278" s="834">
        <v>13.7</v>
      </c>
      <c r="E278" s="834">
        <v>13.7</v>
      </c>
      <c r="F278" s="834">
        <v>13.6</v>
      </c>
      <c r="G278" s="834">
        <v>13.1</v>
      </c>
      <c r="H278" s="834">
        <v>12</v>
      </c>
      <c r="I278" s="834">
        <v>11.4</v>
      </c>
      <c r="J278" s="834">
        <v>11</v>
      </c>
      <c r="K278" s="834">
        <v>10.8</v>
      </c>
      <c r="L278" s="834">
        <v>11.3</v>
      </c>
      <c r="M278" s="834">
        <v>11.9</v>
      </c>
      <c r="N278" s="834">
        <v>12.7</v>
      </c>
      <c r="O278" s="834">
        <v>13.4</v>
      </c>
      <c r="P278" s="834">
        <v>12.4</v>
      </c>
    </row>
    <row r="279" spans="2:16">
      <c r="B279" s="833" t="s">
        <v>3420</v>
      </c>
      <c r="C279" s="834">
        <v>36</v>
      </c>
      <c r="D279" s="834">
        <v>11.7</v>
      </c>
      <c r="E279" s="834">
        <v>11.6</v>
      </c>
      <c r="F279" s="834">
        <v>11.5</v>
      </c>
      <c r="G279" s="834">
        <v>11</v>
      </c>
      <c r="H279" s="834">
        <v>10</v>
      </c>
      <c r="I279" s="834">
        <v>8.9</v>
      </c>
      <c r="J279" s="834">
        <v>8.4</v>
      </c>
      <c r="K279" s="834">
        <v>8.3000000000000007</v>
      </c>
      <c r="L279" s="834">
        <v>8.6</v>
      </c>
      <c r="M279" s="834">
        <v>9.4</v>
      </c>
      <c r="N279" s="834">
        <v>10.4</v>
      </c>
      <c r="O279" s="834">
        <v>10.9</v>
      </c>
      <c r="P279" s="834">
        <v>10.1</v>
      </c>
    </row>
    <row r="280" spans="2:16">
      <c r="B280" s="833" t="s">
        <v>3421</v>
      </c>
      <c r="C280" s="834">
        <v>42</v>
      </c>
      <c r="D280" s="834">
        <v>8.8000000000000007</v>
      </c>
      <c r="E280" s="834">
        <v>8.4</v>
      </c>
      <c r="F280" s="834">
        <v>8.9</v>
      </c>
      <c r="G280" s="834">
        <v>9.1999999999999993</v>
      </c>
      <c r="H280" s="834">
        <v>8.3000000000000007</v>
      </c>
      <c r="I280" s="834">
        <v>7.5</v>
      </c>
      <c r="J280" s="834">
        <v>7</v>
      </c>
      <c r="K280" s="834">
        <v>6.7</v>
      </c>
      <c r="L280" s="834">
        <v>7.1</v>
      </c>
      <c r="M280" s="834">
        <v>7.8</v>
      </c>
      <c r="N280" s="834">
        <v>8.5</v>
      </c>
      <c r="O280" s="834">
        <v>8.4</v>
      </c>
      <c r="P280" s="834">
        <v>8.1</v>
      </c>
    </row>
    <row r="281" spans="2:16">
      <c r="B281" s="833" t="s">
        <v>3422</v>
      </c>
      <c r="C281" s="834">
        <v>44</v>
      </c>
      <c r="D281" s="834">
        <v>11.9</v>
      </c>
      <c r="E281" s="834">
        <v>11.4</v>
      </c>
      <c r="F281" s="834">
        <v>11.7</v>
      </c>
      <c r="G281" s="834">
        <v>11.3</v>
      </c>
      <c r="H281" s="834">
        <v>10.1</v>
      </c>
      <c r="I281" s="834">
        <v>9.1999999999999993</v>
      </c>
      <c r="J281" s="834">
        <v>8.5</v>
      </c>
      <c r="K281" s="834">
        <v>8.1</v>
      </c>
      <c r="L281" s="834">
        <v>8.6999999999999993</v>
      </c>
      <c r="M281" s="834">
        <v>9.6999999999999993</v>
      </c>
      <c r="N281" s="834">
        <v>11.2</v>
      </c>
      <c r="O281" s="834">
        <v>11.3</v>
      </c>
      <c r="P281" s="834">
        <v>10.3</v>
      </c>
    </row>
    <row r="282" spans="2:16">
      <c r="B282" s="833" t="s">
        <v>3423</v>
      </c>
      <c r="C282" s="834">
        <v>61</v>
      </c>
      <c r="D282" s="834">
        <v>11.8</v>
      </c>
      <c r="E282" s="834">
        <v>11.2</v>
      </c>
      <c r="F282" s="834">
        <v>11.8</v>
      </c>
      <c r="G282" s="834">
        <v>11.5</v>
      </c>
      <c r="H282" s="834">
        <v>10.1</v>
      </c>
      <c r="I282" s="834">
        <v>9</v>
      </c>
      <c r="J282" s="834">
        <v>8.1</v>
      </c>
      <c r="K282" s="834">
        <v>7.8</v>
      </c>
      <c r="L282" s="834">
        <v>8.8000000000000007</v>
      </c>
      <c r="M282" s="834">
        <v>9.8000000000000007</v>
      </c>
      <c r="N282" s="834">
        <v>11.2</v>
      </c>
      <c r="O282" s="834">
        <v>11.3</v>
      </c>
      <c r="P282" s="834">
        <v>10.199999999999999</v>
      </c>
    </row>
    <row r="283" spans="2:16">
      <c r="B283" s="833" t="s">
        <v>3424</v>
      </c>
      <c r="C283" s="834">
        <v>39</v>
      </c>
      <c r="D283" s="834">
        <v>11.4</v>
      </c>
      <c r="E283" s="834">
        <v>10.6</v>
      </c>
      <c r="F283" s="834">
        <v>11.1</v>
      </c>
      <c r="G283" s="834">
        <v>11</v>
      </c>
      <c r="H283" s="834">
        <v>9.6999999999999993</v>
      </c>
      <c r="I283" s="834">
        <v>8.9</v>
      </c>
      <c r="J283" s="834">
        <v>8.3000000000000007</v>
      </c>
      <c r="K283" s="834">
        <v>7.9</v>
      </c>
      <c r="L283" s="834">
        <v>8.3000000000000007</v>
      </c>
      <c r="M283" s="834">
        <v>9.4</v>
      </c>
      <c r="N283" s="834">
        <v>10.5</v>
      </c>
      <c r="O283" s="834">
        <v>10.7</v>
      </c>
      <c r="P283" s="834">
        <v>9.8000000000000007</v>
      </c>
    </row>
    <row r="284" spans="2:16">
      <c r="B284" s="833" t="s">
        <v>3425</v>
      </c>
      <c r="C284" s="834">
        <v>21</v>
      </c>
      <c r="D284" s="834">
        <v>9.6999999999999993</v>
      </c>
      <c r="E284" s="834">
        <v>9.1</v>
      </c>
      <c r="F284" s="834">
        <v>9.1</v>
      </c>
      <c r="G284" s="834">
        <v>9.5</v>
      </c>
      <c r="H284" s="834">
        <v>8.8000000000000007</v>
      </c>
      <c r="I284" s="834">
        <v>7.8</v>
      </c>
      <c r="J284" s="834">
        <v>7.5</v>
      </c>
      <c r="K284" s="834">
        <v>7</v>
      </c>
      <c r="L284" s="834">
        <v>7.8</v>
      </c>
      <c r="M284" s="834">
        <v>8.8000000000000007</v>
      </c>
      <c r="N284" s="834">
        <v>9.6</v>
      </c>
      <c r="O284" s="834">
        <v>9.3000000000000007</v>
      </c>
      <c r="P284" s="834">
        <v>8.6999999999999993</v>
      </c>
    </row>
    <row r="285" spans="2:16">
      <c r="B285" s="833" t="s">
        <v>3426</v>
      </c>
      <c r="C285" s="834">
        <v>43</v>
      </c>
      <c r="D285" s="834">
        <v>11.7</v>
      </c>
      <c r="E285" s="834">
        <v>10.9</v>
      </c>
      <c r="F285" s="834">
        <v>11.2</v>
      </c>
      <c r="G285" s="834">
        <v>11.1</v>
      </c>
      <c r="H285" s="834">
        <v>9.9</v>
      </c>
      <c r="I285" s="834">
        <v>8.8000000000000007</v>
      </c>
      <c r="J285" s="834">
        <v>8</v>
      </c>
      <c r="K285" s="834">
        <v>7.5</v>
      </c>
      <c r="L285" s="834">
        <v>8.1999999999999993</v>
      </c>
      <c r="M285" s="834">
        <v>9.4</v>
      </c>
      <c r="N285" s="834">
        <v>10.7</v>
      </c>
      <c r="O285" s="834">
        <v>11</v>
      </c>
      <c r="P285" s="834">
        <v>9.9</v>
      </c>
    </row>
    <row r="286" spans="2:16">
      <c r="B286" s="833" t="s">
        <v>3427</v>
      </c>
      <c r="C286" s="834">
        <v>41</v>
      </c>
      <c r="D286" s="834">
        <v>12.2</v>
      </c>
      <c r="E286" s="834">
        <v>11.6</v>
      </c>
      <c r="F286" s="834">
        <v>11.6</v>
      </c>
      <c r="G286" s="834">
        <v>11.5</v>
      </c>
      <c r="H286" s="834">
        <v>9.9</v>
      </c>
      <c r="I286" s="834">
        <v>9.3000000000000007</v>
      </c>
      <c r="J286" s="834">
        <v>8.8000000000000007</v>
      </c>
      <c r="K286" s="834">
        <v>8.6</v>
      </c>
      <c r="L286" s="834">
        <v>9.3000000000000007</v>
      </c>
      <c r="M286" s="834">
        <v>10.7</v>
      </c>
      <c r="N286" s="834">
        <v>11.9</v>
      </c>
      <c r="O286" s="834">
        <v>11.7</v>
      </c>
      <c r="P286" s="834">
        <v>10.6</v>
      </c>
    </row>
    <row r="287" spans="2:16">
      <c r="B287" s="833" t="s">
        <v>3428</v>
      </c>
      <c r="C287" s="834">
        <v>61</v>
      </c>
      <c r="D287" s="834">
        <v>9.6</v>
      </c>
      <c r="E287" s="834">
        <v>9.3000000000000007</v>
      </c>
      <c r="F287" s="834">
        <v>10</v>
      </c>
      <c r="G287" s="834">
        <v>10.3</v>
      </c>
      <c r="H287" s="834">
        <v>9.6999999999999993</v>
      </c>
      <c r="I287" s="834">
        <v>8.5</v>
      </c>
      <c r="J287" s="834">
        <v>7.8</v>
      </c>
      <c r="K287" s="834">
        <v>7.7</v>
      </c>
      <c r="L287" s="834">
        <v>8.6</v>
      </c>
      <c r="M287" s="834">
        <v>9.1999999999999993</v>
      </c>
      <c r="N287" s="834">
        <v>9.6999999999999993</v>
      </c>
      <c r="O287" s="834">
        <v>9.6</v>
      </c>
      <c r="P287" s="834">
        <v>9.1999999999999993</v>
      </c>
    </row>
    <row r="288" spans="2:16">
      <c r="B288" s="833" t="s">
        <v>3429</v>
      </c>
      <c r="C288" s="834">
        <v>53</v>
      </c>
      <c r="D288" s="834">
        <v>11.6</v>
      </c>
      <c r="E288" s="834">
        <v>11.3</v>
      </c>
      <c r="F288" s="834">
        <v>11.8</v>
      </c>
      <c r="G288" s="834">
        <v>12.3</v>
      </c>
      <c r="H288" s="834">
        <v>11.6</v>
      </c>
      <c r="I288" s="834">
        <v>10.4</v>
      </c>
      <c r="J288" s="834">
        <v>9.4</v>
      </c>
      <c r="K288" s="834">
        <v>9.4</v>
      </c>
      <c r="L288" s="834">
        <v>10.3</v>
      </c>
      <c r="M288" s="834">
        <v>11.2</v>
      </c>
      <c r="N288" s="834">
        <v>11.6</v>
      </c>
      <c r="O288" s="834">
        <v>11.2</v>
      </c>
      <c r="P288" s="834">
        <v>11</v>
      </c>
    </row>
    <row r="289" spans="2:16">
      <c r="B289" s="833" t="s">
        <v>3430</v>
      </c>
      <c r="C289" s="834">
        <v>50</v>
      </c>
      <c r="D289" s="834">
        <v>8.9</v>
      </c>
      <c r="E289" s="834">
        <v>8.8000000000000007</v>
      </c>
      <c r="F289" s="834">
        <v>9.4</v>
      </c>
      <c r="G289" s="834">
        <v>9.9</v>
      </c>
      <c r="H289" s="834">
        <v>9.4</v>
      </c>
      <c r="I289" s="834">
        <v>8.5</v>
      </c>
      <c r="J289" s="834">
        <v>7.7</v>
      </c>
      <c r="K289" s="834">
        <v>7.5</v>
      </c>
      <c r="L289" s="834">
        <v>8.5</v>
      </c>
      <c r="M289" s="834">
        <v>9.3000000000000007</v>
      </c>
      <c r="N289" s="834">
        <v>9.4</v>
      </c>
      <c r="O289" s="834">
        <v>8.8000000000000007</v>
      </c>
      <c r="P289" s="834">
        <v>8.8000000000000007</v>
      </c>
    </row>
    <row r="290" spans="2:16">
      <c r="B290" s="833" t="s">
        <v>3431</v>
      </c>
      <c r="C290" s="834">
        <v>64</v>
      </c>
      <c r="D290" s="834">
        <v>10.5</v>
      </c>
      <c r="E290" s="834">
        <v>10.4</v>
      </c>
      <c r="F290" s="834">
        <v>11.3</v>
      </c>
      <c r="G290" s="834">
        <v>12.2</v>
      </c>
      <c r="H290" s="834">
        <v>11.1</v>
      </c>
      <c r="I290" s="834">
        <v>10.4</v>
      </c>
      <c r="J290" s="834">
        <v>9.4</v>
      </c>
      <c r="K290" s="834">
        <v>9.1999999999999993</v>
      </c>
      <c r="L290" s="834">
        <v>10</v>
      </c>
      <c r="M290" s="834">
        <v>10.6</v>
      </c>
      <c r="N290" s="834">
        <v>11</v>
      </c>
      <c r="O290" s="834">
        <v>10.4</v>
      </c>
      <c r="P290" s="834">
        <v>10.5</v>
      </c>
    </row>
    <row r="291" spans="2:16">
      <c r="B291" s="833" t="s">
        <v>3432</v>
      </c>
      <c r="C291" s="834">
        <v>42</v>
      </c>
      <c r="D291" s="834">
        <v>14.2</v>
      </c>
      <c r="E291" s="834">
        <v>13.7</v>
      </c>
      <c r="F291" s="834">
        <v>14.1</v>
      </c>
      <c r="G291" s="834">
        <v>14.3</v>
      </c>
      <c r="H291" s="834">
        <v>13.2</v>
      </c>
      <c r="I291" s="834">
        <v>12.1</v>
      </c>
      <c r="J291" s="834">
        <v>10.8</v>
      </c>
      <c r="K291" s="834">
        <v>10.4</v>
      </c>
      <c r="L291" s="834">
        <v>11.5</v>
      </c>
      <c r="M291" s="834">
        <v>12.7</v>
      </c>
      <c r="N291" s="834">
        <v>13.6</v>
      </c>
      <c r="O291" s="834">
        <v>13.7</v>
      </c>
      <c r="P291" s="834">
        <v>12.9</v>
      </c>
    </row>
    <row r="292" spans="2:16">
      <c r="B292" s="833" t="s">
        <v>3433</v>
      </c>
      <c r="C292" s="834">
        <v>16</v>
      </c>
      <c r="D292" s="834">
        <v>8.4</v>
      </c>
      <c r="E292" s="834">
        <v>8.4</v>
      </c>
      <c r="F292" s="834">
        <v>9</v>
      </c>
      <c r="G292" s="834">
        <v>9.8000000000000007</v>
      </c>
      <c r="H292" s="834">
        <v>9.1999999999999993</v>
      </c>
      <c r="I292" s="834">
        <v>8.3000000000000007</v>
      </c>
      <c r="J292" s="834">
        <v>7.1</v>
      </c>
      <c r="K292" s="834">
        <v>6.5</v>
      </c>
      <c r="L292" s="834">
        <v>7.2</v>
      </c>
      <c r="M292" s="834">
        <v>8.4</v>
      </c>
      <c r="N292" s="834">
        <v>8.6</v>
      </c>
      <c r="O292" s="834">
        <v>8.1999999999999993</v>
      </c>
      <c r="P292" s="834">
        <v>8.3000000000000007</v>
      </c>
    </row>
    <row r="293" spans="2:16">
      <c r="B293" s="833" t="s">
        <v>3434</v>
      </c>
      <c r="C293" s="834">
        <v>39</v>
      </c>
      <c r="D293" s="834">
        <v>8.1999999999999993</v>
      </c>
      <c r="E293" s="834">
        <v>8.4</v>
      </c>
      <c r="F293" s="834">
        <v>8.6999999999999993</v>
      </c>
      <c r="G293" s="834">
        <v>8</v>
      </c>
      <c r="H293" s="834">
        <v>6.8</v>
      </c>
      <c r="I293" s="834">
        <v>6.1</v>
      </c>
      <c r="J293" s="834">
        <v>5.2</v>
      </c>
      <c r="K293" s="834">
        <v>5.3</v>
      </c>
      <c r="L293" s="834">
        <v>6.1</v>
      </c>
      <c r="M293" s="834">
        <v>6.2</v>
      </c>
      <c r="N293" s="834">
        <v>6.9</v>
      </c>
      <c r="O293" s="834">
        <v>7.8</v>
      </c>
      <c r="P293" s="834">
        <v>7</v>
      </c>
    </row>
    <row r="294" spans="2:16">
      <c r="B294" s="833" t="s">
        <v>3435</v>
      </c>
      <c r="C294" s="834">
        <v>43</v>
      </c>
      <c r="D294" s="834">
        <v>7.1</v>
      </c>
      <c r="E294" s="834">
        <v>7.5</v>
      </c>
      <c r="F294" s="834">
        <v>7.9</v>
      </c>
      <c r="G294" s="834">
        <v>7.1</v>
      </c>
      <c r="H294" s="834">
        <v>6</v>
      </c>
      <c r="I294" s="834">
        <v>5.2</v>
      </c>
      <c r="J294" s="834">
        <v>4.9000000000000004</v>
      </c>
      <c r="K294" s="834">
        <v>4.5999999999999996</v>
      </c>
      <c r="L294" s="834">
        <v>5.3</v>
      </c>
      <c r="M294" s="834">
        <v>5.2</v>
      </c>
      <c r="N294" s="834">
        <v>6.1</v>
      </c>
      <c r="O294" s="834">
        <v>6.9</v>
      </c>
      <c r="P294" s="834">
        <v>6.2</v>
      </c>
    </row>
    <row r="295" spans="2:16">
      <c r="B295" s="833" t="s">
        <v>3436</v>
      </c>
      <c r="C295" s="834">
        <v>19</v>
      </c>
      <c r="D295" s="834">
        <v>7.6</v>
      </c>
      <c r="E295" s="834">
        <v>8.1999999999999993</v>
      </c>
      <c r="F295" s="834">
        <v>8.3000000000000007</v>
      </c>
      <c r="G295" s="834">
        <v>7.8</v>
      </c>
      <c r="H295" s="834">
        <v>6.6</v>
      </c>
      <c r="I295" s="834">
        <v>5.7</v>
      </c>
      <c r="J295" s="834">
        <v>5.3</v>
      </c>
      <c r="K295" s="834">
        <v>5.2</v>
      </c>
      <c r="L295" s="834">
        <v>6.1</v>
      </c>
      <c r="M295" s="834">
        <v>6</v>
      </c>
      <c r="N295" s="834">
        <v>6.9</v>
      </c>
      <c r="O295" s="834">
        <v>7.5</v>
      </c>
      <c r="P295" s="834">
        <v>6.8</v>
      </c>
    </row>
    <row r="296" spans="2:16">
      <c r="B296" s="833" t="s">
        <v>3437</v>
      </c>
      <c r="C296" s="834">
        <v>32</v>
      </c>
      <c r="D296" s="834">
        <v>10.7</v>
      </c>
      <c r="E296" s="834">
        <v>10.8</v>
      </c>
      <c r="F296" s="834">
        <v>11.7</v>
      </c>
      <c r="G296" s="834">
        <v>11.5</v>
      </c>
      <c r="H296" s="834">
        <v>9.1</v>
      </c>
      <c r="I296" s="834">
        <v>8.6999999999999993</v>
      </c>
      <c r="J296" s="834">
        <v>8.1999999999999993</v>
      </c>
      <c r="K296" s="834">
        <v>7.9</v>
      </c>
      <c r="L296" s="834">
        <v>8.6</v>
      </c>
      <c r="M296" s="834">
        <v>9.3000000000000007</v>
      </c>
      <c r="N296" s="834">
        <v>10.6</v>
      </c>
      <c r="O296" s="834">
        <v>10.6</v>
      </c>
      <c r="P296" s="834">
        <v>9.8000000000000007</v>
      </c>
    </row>
    <row r="297" spans="2:16">
      <c r="B297" s="833" t="s">
        <v>3438</v>
      </c>
      <c r="C297" s="834">
        <v>30</v>
      </c>
      <c r="D297" s="834">
        <v>11.1</v>
      </c>
      <c r="E297" s="834">
        <v>11.1</v>
      </c>
      <c r="F297" s="834">
        <v>12.3</v>
      </c>
      <c r="G297" s="834">
        <v>12.3</v>
      </c>
      <c r="H297" s="834">
        <v>10.3</v>
      </c>
      <c r="I297" s="834">
        <v>9.9</v>
      </c>
      <c r="J297" s="834">
        <v>9.1999999999999993</v>
      </c>
      <c r="K297" s="834">
        <v>8.8000000000000007</v>
      </c>
      <c r="L297" s="834">
        <v>9.6</v>
      </c>
      <c r="M297" s="834">
        <v>10.5</v>
      </c>
      <c r="N297" s="834">
        <v>11.2</v>
      </c>
      <c r="O297" s="834">
        <v>10.9</v>
      </c>
      <c r="P297" s="834">
        <v>10.6</v>
      </c>
    </row>
    <row r="298" spans="2:16">
      <c r="B298" s="833" t="s">
        <v>3439</v>
      </c>
      <c r="C298" s="834">
        <v>53</v>
      </c>
      <c r="D298" s="834">
        <v>10.6</v>
      </c>
      <c r="E298" s="834">
        <v>10.8</v>
      </c>
      <c r="F298" s="834">
        <v>11.6</v>
      </c>
      <c r="G298" s="834">
        <v>11.3</v>
      </c>
      <c r="H298" s="834">
        <v>9.4</v>
      </c>
      <c r="I298" s="834">
        <v>8.8000000000000007</v>
      </c>
      <c r="J298" s="834">
        <v>8</v>
      </c>
      <c r="K298" s="834">
        <v>7.6</v>
      </c>
      <c r="L298" s="834">
        <v>8.1999999999999993</v>
      </c>
      <c r="M298" s="834">
        <v>8.9</v>
      </c>
      <c r="N298" s="834">
        <v>10.199999999999999</v>
      </c>
      <c r="O298" s="834">
        <v>10.3</v>
      </c>
      <c r="P298" s="834">
        <v>9.6</v>
      </c>
    </row>
    <row r="299" spans="2:16">
      <c r="B299" s="833" t="s">
        <v>3440</v>
      </c>
      <c r="C299" s="834">
        <v>57</v>
      </c>
      <c r="D299" s="834">
        <v>11.4</v>
      </c>
      <c r="E299" s="834">
        <v>11.5</v>
      </c>
      <c r="F299" s="834">
        <v>12.5</v>
      </c>
      <c r="G299" s="834">
        <v>12</v>
      </c>
      <c r="H299" s="834">
        <v>10.199999999999999</v>
      </c>
      <c r="I299" s="834">
        <v>9.3000000000000007</v>
      </c>
      <c r="J299" s="834">
        <v>8.4</v>
      </c>
      <c r="K299" s="834">
        <v>8.4</v>
      </c>
      <c r="L299" s="834">
        <v>9.1</v>
      </c>
      <c r="M299" s="834">
        <v>10.1</v>
      </c>
      <c r="N299" s="834">
        <v>11</v>
      </c>
      <c r="O299" s="834">
        <v>11.2</v>
      </c>
      <c r="P299" s="834">
        <v>10.4</v>
      </c>
    </row>
    <row r="300" spans="2:16">
      <c r="B300" s="833" t="s">
        <v>3441</v>
      </c>
      <c r="C300" s="834">
        <v>63</v>
      </c>
      <c r="D300" s="834">
        <v>13</v>
      </c>
      <c r="E300" s="834">
        <v>12.3</v>
      </c>
      <c r="F300" s="834">
        <v>11.4</v>
      </c>
      <c r="G300" s="834">
        <v>11.4</v>
      </c>
      <c r="H300" s="834">
        <v>10.7</v>
      </c>
      <c r="I300" s="834">
        <v>10.1</v>
      </c>
      <c r="J300" s="834">
        <v>9.5</v>
      </c>
      <c r="K300" s="834">
        <v>9.5</v>
      </c>
      <c r="L300" s="834">
        <v>10.199999999999999</v>
      </c>
      <c r="M300" s="834">
        <v>11</v>
      </c>
      <c r="N300" s="834">
        <v>12.2</v>
      </c>
      <c r="O300" s="834">
        <v>13</v>
      </c>
      <c r="P300" s="834">
        <v>11.2</v>
      </c>
    </row>
    <row r="301" spans="2:16">
      <c r="B301" s="833" t="s">
        <v>3442</v>
      </c>
      <c r="C301" s="834">
        <v>33</v>
      </c>
      <c r="D301" s="834">
        <v>9.8000000000000007</v>
      </c>
      <c r="E301" s="834">
        <v>10.1</v>
      </c>
      <c r="F301" s="834">
        <v>11.2</v>
      </c>
      <c r="G301" s="834">
        <v>12.3</v>
      </c>
      <c r="H301" s="834">
        <v>12.2</v>
      </c>
      <c r="I301" s="834">
        <v>11.1</v>
      </c>
      <c r="J301" s="834">
        <v>10.5</v>
      </c>
      <c r="K301" s="834">
        <v>10.9</v>
      </c>
      <c r="L301" s="834">
        <v>10.9</v>
      </c>
      <c r="M301" s="834">
        <v>10.6</v>
      </c>
      <c r="N301" s="834">
        <v>9.5</v>
      </c>
      <c r="O301" s="834">
        <v>9.6999999999999993</v>
      </c>
      <c r="P301" s="834">
        <v>10.7</v>
      </c>
    </row>
    <row r="302" spans="2:16">
      <c r="B302" s="833" t="s">
        <v>3443</v>
      </c>
      <c r="C302" s="834">
        <v>61</v>
      </c>
      <c r="D302" s="834">
        <v>14.9</v>
      </c>
      <c r="E302" s="834">
        <v>13.9</v>
      </c>
      <c r="F302" s="834">
        <v>12.8</v>
      </c>
      <c r="G302" s="834">
        <v>12.6</v>
      </c>
      <c r="H302" s="834">
        <v>11.3</v>
      </c>
      <c r="I302" s="834">
        <v>11.1</v>
      </c>
      <c r="J302" s="834">
        <v>10</v>
      </c>
      <c r="K302" s="834">
        <v>10.1</v>
      </c>
      <c r="L302" s="834">
        <v>11.2</v>
      </c>
      <c r="M302" s="834">
        <v>12.9</v>
      </c>
      <c r="N302" s="834">
        <v>14.5</v>
      </c>
      <c r="O302" s="834">
        <v>15.2</v>
      </c>
      <c r="P302" s="834">
        <v>12.5</v>
      </c>
    </row>
    <row r="303" spans="2:16">
      <c r="B303" s="833" t="s">
        <v>3444</v>
      </c>
      <c r="C303" s="834">
        <v>3</v>
      </c>
      <c r="D303" s="834">
        <v>8.8000000000000007</v>
      </c>
      <c r="E303" s="834">
        <v>9.4</v>
      </c>
      <c r="F303" s="834">
        <v>10.199999999999999</v>
      </c>
      <c r="G303" s="834">
        <v>11.6</v>
      </c>
      <c r="H303" s="834">
        <v>12.4</v>
      </c>
      <c r="I303" s="834">
        <v>10.8</v>
      </c>
      <c r="J303" s="834">
        <v>9.8000000000000007</v>
      </c>
      <c r="K303" s="834">
        <v>9</v>
      </c>
      <c r="L303" s="834">
        <v>9.4</v>
      </c>
      <c r="M303" s="834">
        <v>9.1</v>
      </c>
      <c r="N303" s="834">
        <v>10.6</v>
      </c>
      <c r="O303" s="834">
        <v>10.8</v>
      </c>
      <c r="P303" s="834">
        <v>10.199999999999999</v>
      </c>
    </row>
    <row r="304" spans="2:16">
      <c r="B304" s="833" t="s">
        <v>3445</v>
      </c>
      <c r="C304" s="834">
        <v>62</v>
      </c>
      <c r="D304" s="834">
        <v>6.7</v>
      </c>
      <c r="E304" s="834">
        <v>7.3</v>
      </c>
      <c r="F304" s="834">
        <v>8.1999999999999993</v>
      </c>
      <c r="G304" s="834">
        <v>9.1</v>
      </c>
      <c r="H304" s="834">
        <v>8.8000000000000007</v>
      </c>
      <c r="I304" s="834">
        <v>8.5</v>
      </c>
      <c r="J304" s="834">
        <v>7.8</v>
      </c>
      <c r="K304" s="834">
        <v>7.4</v>
      </c>
      <c r="L304" s="834">
        <v>7.4</v>
      </c>
      <c r="M304" s="834">
        <v>7.1</v>
      </c>
      <c r="N304" s="834">
        <v>7.1</v>
      </c>
      <c r="O304" s="834">
        <v>6.7</v>
      </c>
      <c r="P304" s="834">
        <v>7.7</v>
      </c>
    </row>
    <row r="305" spans="2:16">
      <c r="B305" s="833" t="s">
        <v>3446</v>
      </c>
      <c r="C305" s="834">
        <v>40</v>
      </c>
      <c r="D305" s="834">
        <v>5.6</v>
      </c>
      <c r="E305" s="834">
        <v>5.6</v>
      </c>
      <c r="F305" s="834">
        <v>6.7</v>
      </c>
      <c r="G305" s="834">
        <v>7.7</v>
      </c>
      <c r="H305" s="834">
        <v>7.4</v>
      </c>
      <c r="I305" s="834">
        <v>6.9</v>
      </c>
      <c r="J305" s="834">
        <v>6.3</v>
      </c>
      <c r="K305" s="834">
        <v>6.3</v>
      </c>
      <c r="L305" s="834">
        <v>6.1</v>
      </c>
      <c r="M305" s="834">
        <v>5.0999999999999996</v>
      </c>
      <c r="N305" s="834">
        <v>5.3</v>
      </c>
      <c r="O305" s="834">
        <v>5.0999999999999996</v>
      </c>
      <c r="P305" s="834">
        <v>6.2</v>
      </c>
    </row>
    <row r="306" spans="2:16">
      <c r="B306" s="833" t="s">
        <v>3447</v>
      </c>
      <c r="C306" s="834">
        <v>58</v>
      </c>
      <c r="D306" s="834">
        <v>5.0999999999999996</v>
      </c>
      <c r="E306" s="834">
        <v>5.6</v>
      </c>
      <c r="F306" s="834">
        <v>6.7</v>
      </c>
      <c r="G306" s="834">
        <v>7.6</v>
      </c>
      <c r="H306" s="834">
        <v>7.4</v>
      </c>
      <c r="I306" s="834">
        <v>7.2</v>
      </c>
      <c r="J306" s="834">
        <v>6.9</v>
      </c>
      <c r="K306" s="834">
        <v>6.7</v>
      </c>
      <c r="L306" s="834">
        <v>6</v>
      </c>
      <c r="M306" s="834">
        <v>5.0999999999999996</v>
      </c>
      <c r="N306" s="834">
        <v>5</v>
      </c>
      <c r="O306" s="834">
        <v>4.7</v>
      </c>
      <c r="P306" s="834">
        <v>6.2</v>
      </c>
    </row>
    <row r="307" spans="2:16">
      <c r="B307" s="833" t="s">
        <v>3448</v>
      </c>
      <c r="C307" s="834">
        <v>53</v>
      </c>
      <c r="D307" s="834">
        <v>11.7</v>
      </c>
      <c r="E307" s="834">
        <v>11.7</v>
      </c>
      <c r="F307" s="834">
        <v>13.1</v>
      </c>
      <c r="G307" s="834">
        <v>14</v>
      </c>
      <c r="H307" s="834">
        <v>12.6</v>
      </c>
      <c r="I307" s="834">
        <v>11.8</v>
      </c>
      <c r="J307" s="834">
        <v>10.5</v>
      </c>
      <c r="K307" s="834">
        <v>10.3</v>
      </c>
      <c r="L307" s="834">
        <v>11</v>
      </c>
      <c r="M307" s="834">
        <v>11.2</v>
      </c>
      <c r="N307" s="834">
        <v>11.8</v>
      </c>
      <c r="O307" s="834">
        <v>11.6</v>
      </c>
      <c r="P307" s="834">
        <v>11.8</v>
      </c>
    </row>
    <row r="308" spans="2:16">
      <c r="B308" s="833" t="s">
        <v>3449</v>
      </c>
      <c r="C308" s="834">
        <v>30</v>
      </c>
      <c r="D308" s="834">
        <v>9.6</v>
      </c>
      <c r="E308" s="834">
        <v>10</v>
      </c>
      <c r="F308" s="834">
        <v>11.3</v>
      </c>
      <c r="G308" s="834">
        <v>12.1</v>
      </c>
      <c r="H308" s="834">
        <v>10.5</v>
      </c>
      <c r="I308" s="834">
        <v>9.8000000000000007</v>
      </c>
      <c r="J308" s="834">
        <v>9.3000000000000007</v>
      </c>
      <c r="K308" s="834">
        <v>9.1</v>
      </c>
      <c r="L308" s="834">
        <v>9.5</v>
      </c>
      <c r="M308" s="834">
        <v>9.9</v>
      </c>
      <c r="N308" s="834">
        <v>9.9</v>
      </c>
      <c r="O308" s="834">
        <v>9.6</v>
      </c>
      <c r="P308" s="834">
        <v>10.1</v>
      </c>
    </row>
    <row r="309" spans="2:16">
      <c r="B309" s="833" t="s">
        <v>3450</v>
      </c>
      <c r="C309" s="834">
        <v>26</v>
      </c>
      <c r="D309" s="834">
        <v>11.6</v>
      </c>
      <c r="E309" s="834">
        <v>11.5</v>
      </c>
      <c r="F309" s="834">
        <v>12.5</v>
      </c>
      <c r="G309" s="834">
        <v>13.1</v>
      </c>
      <c r="H309" s="834">
        <v>11.5</v>
      </c>
      <c r="I309" s="834">
        <v>10.8</v>
      </c>
      <c r="J309" s="834">
        <v>9.6999999999999993</v>
      </c>
      <c r="K309" s="834">
        <v>9.5</v>
      </c>
      <c r="L309" s="834">
        <v>10.3</v>
      </c>
      <c r="M309" s="834">
        <v>11</v>
      </c>
      <c r="N309" s="834">
        <v>11.4</v>
      </c>
      <c r="O309" s="834">
        <v>11.3</v>
      </c>
      <c r="P309" s="834">
        <v>11.2</v>
      </c>
    </row>
    <row r="310" spans="2:16">
      <c r="B310" s="833" t="s">
        <v>3451</v>
      </c>
      <c r="C310" s="834">
        <v>50</v>
      </c>
      <c r="D310" s="834">
        <v>9.1999999999999993</v>
      </c>
      <c r="E310" s="834">
        <v>9.8000000000000007</v>
      </c>
      <c r="F310" s="834">
        <v>11.5</v>
      </c>
      <c r="G310" s="834">
        <v>12.6</v>
      </c>
      <c r="H310" s="834">
        <v>11.5</v>
      </c>
      <c r="I310" s="834">
        <v>10.4</v>
      </c>
      <c r="J310" s="834">
        <v>9.5</v>
      </c>
      <c r="K310" s="834">
        <v>9.1999999999999993</v>
      </c>
      <c r="L310" s="834">
        <v>9.6999999999999993</v>
      </c>
      <c r="M310" s="834">
        <v>9.6</v>
      </c>
      <c r="N310" s="834">
        <v>9.5</v>
      </c>
      <c r="O310" s="834">
        <v>9</v>
      </c>
      <c r="P310" s="834">
        <v>10.1</v>
      </c>
    </row>
    <row r="311" spans="2:16">
      <c r="B311" s="833" t="s">
        <v>3452</v>
      </c>
      <c r="C311" s="834">
        <v>66</v>
      </c>
      <c r="D311" s="834">
        <v>10.9</v>
      </c>
      <c r="E311" s="834">
        <v>11.1</v>
      </c>
      <c r="F311" s="834">
        <v>12.2</v>
      </c>
      <c r="G311" s="834">
        <v>12.6</v>
      </c>
      <c r="H311" s="834">
        <v>10.9</v>
      </c>
      <c r="I311" s="834">
        <v>10.1</v>
      </c>
      <c r="J311" s="834">
        <v>8.8000000000000007</v>
      </c>
      <c r="K311" s="834">
        <v>8.8000000000000007</v>
      </c>
      <c r="L311" s="834">
        <v>9.4</v>
      </c>
      <c r="M311" s="834">
        <v>9.8000000000000007</v>
      </c>
      <c r="N311" s="834">
        <v>10.9</v>
      </c>
      <c r="O311" s="834">
        <v>10.7</v>
      </c>
      <c r="P311" s="834">
        <v>10.5</v>
      </c>
    </row>
    <row r="312" spans="2:16">
      <c r="B312" s="833" t="s">
        <v>3453</v>
      </c>
      <c r="C312" s="834">
        <v>9</v>
      </c>
      <c r="D312" s="834">
        <v>9.9</v>
      </c>
      <c r="E312" s="834">
        <v>9.1999999999999993</v>
      </c>
      <c r="F312" s="834">
        <v>10.5</v>
      </c>
      <c r="G312" s="834">
        <v>10.199999999999999</v>
      </c>
      <c r="H312" s="834">
        <v>8.9</v>
      </c>
      <c r="I312" s="834">
        <v>8.3000000000000007</v>
      </c>
      <c r="J312" s="834">
        <v>7.5</v>
      </c>
      <c r="K312" s="834">
        <v>7.6</v>
      </c>
      <c r="L312" s="834">
        <v>8.6</v>
      </c>
      <c r="M312" s="834">
        <v>9</v>
      </c>
      <c r="N312" s="834">
        <v>9.6999999999999993</v>
      </c>
      <c r="O312" s="834">
        <v>9.8000000000000007</v>
      </c>
      <c r="P312" s="834">
        <v>9.1</v>
      </c>
    </row>
    <row r="313" spans="2:16">
      <c r="B313" s="833" t="s">
        <v>3454</v>
      </c>
      <c r="C313" s="834">
        <v>51</v>
      </c>
      <c r="D313" s="834">
        <v>10.6</v>
      </c>
      <c r="E313" s="834">
        <v>11.1</v>
      </c>
      <c r="F313" s="834">
        <v>12</v>
      </c>
      <c r="G313" s="834">
        <v>12.5</v>
      </c>
      <c r="H313" s="834">
        <v>11.8</v>
      </c>
      <c r="I313" s="834">
        <v>10.5</v>
      </c>
      <c r="J313" s="834">
        <v>9.3000000000000007</v>
      </c>
      <c r="K313" s="834">
        <v>8.9</v>
      </c>
      <c r="L313" s="834">
        <v>9.4</v>
      </c>
      <c r="M313" s="834">
        <v>9.6999999999999993</v>
      </c>
      <c r="N313" s="834">
        <v>10.199999999999999</v>
      </c>
      <c r="O313" s="834">
        <v>10.4</v>
      </c>
      <c r="P313" s="834">
        <v>10.5</v>
      </c>
    </row>
    <row r="314" spans="2:16">
      <c r="B314" s="833" t="s">
        <v>3455</v>
      </c>
      <c r="C314" s="834">
        <v>34</v>
      </c>
      <c r="D314" s="834">
        <v>9.3000000000000007</v>
      </c>
      <c r="E314" s="834">
        <v>9.4</v>
      </c>
      <c r="F314" s="834">
        <v>10.4</v>
      </c>
      <c r="G314" s="834">
        <v>11.1</v>
      </c>
      <c r="H314" s="834">
        <v>11</v>
      </c>
      <c r="I314" s="834">
        <v>9.9</v>
      </c>
      <c r="J314" s="834">
        <v>9.1</v>
      </c>
      <c r="K314" s="834">
        <v>9.1999999999999993</v>
      </c>
      <c r="L314" s="834">
        <v>9.6999999999999993</v>
      </c>
      <c r="M314" s="834">
        <v>9.5</v>
      </c>
      <c r="N314" s="834">
        <v>9.6999999999999993</v>
      </c>
      <c r="O314" s="834">
        <v>9.1999999999999993</v>
      </c>
      <c r="P314" s="834">
        <v>9.8000000000000007</v>
      </c>
    </row>
    <row r="315" spans="2:16">
      <c r="B315" s="833" t="s">
        <v>3456</v>
      </c>
      <c r="C315" s="834">
        <v>47</v>
      </c>
      <c r="D315" s="834">
        <v>5.2</v>
      </c>
      <c r="E315" s="834">
        <v>5.7</v>
      </c>
      <c r="F315" s="834">
        <v>6.6</v>
      </c>
      <c r="G315" s="834">
        <v>7.2</v>
      </c>
      <c r="H315" s="834">
        <v>6.8</v>
      </c>
      <c r="I315" s="834">
        <v>6.7</v>
      </c>
      <c r="J315" s="834">
        <v>6.2</v>
      </c>
      <c r="K315" s="834">
        <v>5.9</v>
      </c>
      <c r="L315" s="834">
        <v>5.4</v>
      </c>
      <c r="M315" s="834">
        <v>5</v>
      </c>
      <c r="N315" s="834">
        <v>5.0999999999999996</v>
      </c>
      <c r="O315" s="834">
        <v>5</v>
      </c>
      <c r="P315" s="834">
        <v>5.9</v>
      </c>
    </row>
    <row r="316" spans="2:16">
      <c r="B316" s="833" t="s">
        <v>3457</v>
      </c>
      <c r="C316" s="834">
        <v>61</v>
      </c>
      <c r="D316" s="834">
        <v>10.1</v>
      </c>
      <c r="E316" s="834">
        <v>10.3</v>
      </c>
      <c r="F316" s="834">
        <v>10.7</v>
      </c>
      <c r="G316" s="834">
        <v>10.9</v>
      </c>
      <c r="H316" s="834">
        <v>10.7</v>
      </c>
      <c r="I316" s="834">
        <v>10.6</v>
      </c>
      <c r="J316" s="834">
        <v>10.3</v>
      </c>
      <c r="K316" s="834">
        <v>10.4</v>
      </c>
      <c r="L316" s="834">
        <v>10.3</v>
      </c>
      <c r="M316" s="834">
        <v>10</v>
      </c>
      <c r="N316" s="834">
        <v>9.9</v>
      </c>
      <c r="O316" s="834">
        <v>9.9</v>
      </c>
      <c r="P316" s="834">
        <v>10.3</v>
      </c>
    </row>
    <row r="317" spans="2:16">
      <c r="B317" s="833" t="s">
        <v>3458</v>
      </c>
      <c r="C317" s="834">
        <v>54</v>
      </c>
      <c r="D317" s="834">
        <v>7.4</v>
      </c>
      <c r="E317" s="834">
        <v>8.5</v>
      </c>
      <c r="F317" s="834">
        <v>10.1</v>
      </c>
      <c r="G317" s="834">
        <v>11</v>
      </c>
      <c r="H317" s="834">
        <v>11</v>
      </c>
      <c r="I317" s="834">
        <v>11</v>
      </c>
      <c r="J317" s="834">
        <v>10.199999999999999</v>
      </c>
      <c r="K317" s="834">
        <v>9.6</v>
      </c>
      <c r="L317" s="834">
        <v>9</v>
      </c>
      <c r="M317" s="834">
        <v>8.1</v>
      </c>
      <c r="N317" s="834">
        <v>7.8</v>
      </c>
      <c r="O317" s="834">
        <v>7.3</v>
      </c>
      <c r="P317" s="834">
        <v>9.1999999999999993</v>
      </c>
    </row>
    <row r="318" spans="2:16">
      <c r="B318" s="833" t="s">
        <v>3459</v>
      </c>
      <c r="C318" s="834">
        <v>60</v>
      </c>
      <c r="D318" s="834">
        <v>5.6</v>
      </c>
      <c r="E318" s="834">
        <v>6.2</v>
      </c>
      <c r="F318" s="834">
        <v>7.8</v>
      </c>
      <c r="G318" s="834">
        <v>8.1999999999999993</v>
      </c>
      <c r="H318" s="834">
        <v>8</v>
      </c>
      <c r="I318" s="834">
        <v>7.7</v>
      </c>
      <c r="J318" s="834">
        <v>7.2</v>
      </c>
      <c r="K318" s="834">
        <v>6.6</v>
      </c>
      <c r="L318" s="834">
        <v>5.8</v>
      </c>
      <c r="M318" s="834">
        <v>5.4</v>
      </c>
      <c r="N318" s="834">
        <v>5.5</v>
      </c>
      <c r="O318" s="834">
        <v>5.3</v>
      </c>
      <c r="P318" s="834">
        <v>6.6</v>
      </c>
    </row>
    <row r="319" spans="2:16">
      <c r="B319" s="833" t="s">
        <v>3460</v>
      </c>
      <c r="C319" s="834">
        <v>46</v>
      </c>
      <c r="D319" s="834">
        <v>7.6</v>
      </c>
      <c r="E319" s="834">
        <v>8</v>
      </c>
      <c r="F319" s="834">
        <v>8.6</v>
      </c>
      <c r="G319" s="834">
        <v>8.6</v>
      </c>
      <c r="H319" s="834">
        <v>8.6</v>
      </c>
      <c r="I319" s="834">
        <v>8.5</v>
      </c>
      <c r="J319" s="834">
        <v>8.4</v>
      </c>
      <c r="K319" s="834">
        <v>7.8</v>
      </c>
      <c r="L319" s="834">
        <v>7.6</v>
      </c>
      <c r="M319" s="834">
        <v>7.3</v>
      </c>
      <c r="N319" s="834">
        <v>7.2</v>
      </c>
      <c r="O319" s="834">
        <v>7.4</v>
      </c>
      <c r="P319" s="834">
        <v>8</v>
      </c>
    </row>
    <row r="320" spans="2:16">
      <c r="B320" s="833" t="s">
        <v>3461</v>
      </c>
      <c r="C320" s="834">
        <v>60</v>
      </c>
      <c r="D320" s="834">
        <v>7.2</v>
      </c>
      <c r="E320" s="834">
        <v>7.9</v>
      </c>
      <c r="F320" s="834">
        <v>8.1</v>
      </c>
      <c r="G320" s="834">
        <v>7.8</v>
      </c>
      <c r="H320" s="834">
        <v>7</v>
      </c>
      <c r="I320" s="834">
        <v>6.5</v>
      </c>
      <c r="J320" s="834">
        <v>5.7</v>
      </c>
      <c r="K320" s="834">
        <v>5.4</v>
      </c>
      <c r="L320" s="834">
        <v>5.6</v>
      </c>
      <c r="M320" s="834">
        <v>6</v>
      </c>
      <c r="N320" s="834">
        <v>6.6</v>
      </c>
      <c r="O320" s="834">
        <v>7</v>
      </c>
      <c r="P320" s="834">
        <v>6.7</v>
      </c>
    </row>
    <row r="321" spans="2:16">
      <c r="B321" s="833" t="s">
        <v>3462</v>
      </c>
      <c r="C321" s="834">
        <v>67</v>
      </c>
      <c r="D321" s="834">
        <v>46.1</v>
      </c>
      <c r="E321" s="834">
        <v>44.3</v>
      </c>
      <c r="F321" s="834">
        <v>41.4</v>
      </c>
      <c r="G321" s="834">
        <v>35.799999999999997</v>
      </c>
      <c r="H321" s="834">
        <v>29.7</v>
      </c>
      <c r="I321" s="834">
        <v>27.3</v>
      </c>
      <c r="J321" s="834">
        <v>25.3</v>
      </c>
      <c r="K321" s="834">
        <v>24.7</v>
      </c>
      <c r="L321" s="834">
        <v>28.8</v>
      </c>
      <c r="M321" s="834">
        <v>33.799999999999997</v>
      </c>
      <c r="N321" s="834">
        <v>39.5</v>
      </c>
      <c r="O321" s="834">
        <v>44.5</v>
      </c>
      <c r="P321" s="834">
        <v>35.1</v>
      </c>
    </row>
    <row r="322" spans="2:16">
      <c r="B322" s="833" t="s">
        <v>3463</v>
      </c>
      <c r="C322" s="834">
        <v>44</v>
      </c>
      <c r="D322" s="834">
        <v>10.7</v>
      </c>
      <c r="E322" s="834">
        <v>11.1</v>
      </c>
      <c r="F322" s="834">
        <v>11.8</v>
      </c>
      <c r="G322" s="834">
        <v>11.4</v>
      </c>
      <c r="H322" s="834">
        <v>10.1</v>
      </c>
      <c r="I322" s="834">
        <v>9.1</v>
      </c>
      <c r="J322" s="834">
        <v>8.3000000000000007</v>
      </c>
      <c r="K322" s="834">
        <v>7.9</v>
      </c>
      <c r="L322" s="834">
        <v>8.3000000000000007</v>
      </c>
      <c r="M322" s="834">
        <v>8.6999999999999993</v>
      </c>
      <c r="N322" s="834">
        <v>9.9</v>
      </c>
      <c r="O322" s="834">
        <v>10.3</v>
      </c>
      <c r="P322" s="834">
        <v>9.8000000000000007</v>
      </c>
    </row>
    <row r="323" spans="2:16">
      <c r="B323" s="833" t="s">
        <v>3464</v>
      </c>
      <c r="C323" s="834">
        <v>58</v>
      </c>
      <c r="D323" s="834">
        <v>11.2</v>
      </c>
      <c r="E323" s="834">
        <v>11.5</v>
      </c>
      <c r="F323" s="834">
        <v>11.9</v>
      </c>
      <c r="G323" s="834">
        <v>11.2</v>
      </c>
      <c r="H323" s="834">
        <v>10</v>
      </c>
      <c r="I323" s="834">
        <v>9.5</v>
      </c>
      <c r="J323" s="834">
        <v>8.9</v>
      </c>
      <c r="K323" s="834">
        <v>8.6999999999999993</v>
      </c>
      <c r="L323" s="834">
        <v>9</v>
      </c>
      <c r="M323" s="834">
        <v>9.4</v>
      </c>
      <c r="N323" s="834">
        <v>10.199999999999999</v>
      </c>
      <c r="O323" s="834">
        <v>10.8</v>
      </c>
      <c r="P323" s="834">
        <v>10.199999999999999</v>
      </c>
    </row>
    <row r="324" spans="2:16">
      <c r="B324" s="833" t="s">
        <v>3465</v>
      </c>
      <c r="C324" s="834">
        <v>63</v>
      </c>
      <c r="D324" s="834">
        <v>8</v>
      </c>
      <c r="E324" s="834">
        <v>8.8000000000000007</v>
      </c>
      <c r="F324" s="834">
        <v>9.9</v>
      </c>
      <c r="G324" s="834">
        <v>10.7</v>
      </c>
      <c r="H324" s="834">
        <v>10.5</v>
      </c>
      <c r="I324" s="834">
        <v>9.8000000000000007</v>
      </c>
      <c r="J324" s="834">
        <v>8.9</v>
      </c>
      <c r="K324" s="834">
        <v>8.1</v>
      </c>
      <c r="L324" s="834">
        <v>8.4</v>
      </c>
      <c r="M324" s="834">
        <v>8.1999999999999993</v>
      </c>
      <c r="N324" s="834">
        <v>7.9</v>
      </c>
      <c r="O324" s="834">
        <v>7.6</v>
      </c>
      <c r="P324" s="834">
        <v>8.9</v>
      </c>
    </row>
    <row r="325" spans="2:16">
      <c r="B325" s="833" t="s">
        <v>3466</v>
      </c>
      <c r="C325" s="834">
        <v>10</v>
      </c>
      <c r="D325" s="834">
        <v>11.9</v>
      </c>
      <c r="E325" s="834">
        <v>12.4</v>
      </c>
      <c r="F325" s="834">
        <v>13.1</v>
      </c>
      <c r="G325" s="834">
        <v>14.4</v>
      </c>
      <c r="H325" s="834">
        <v>13.2</v>
      </c>
      <c r="I325" s="834">
        <v>12.9</v>
      </c>
      <c r="J325" s="834">
        <v>11.2</v>
      </c>
      <c r="K325" s="834">
        <v>10.199999999999999</v>
      </c>
      <c r="L325" s="834">
        <v>11.3</v>
      </c>
      <c r="M325" s="834">
        <v>11.8</v>
      </c>
      <c r="N325" s="834">
        <v>11.8</v>
      </c>
      <c r="O325" s="834">
        <v>12.1</v>
      </c>
      <c r="P325" s="834">
        <v>12.2</v>
      </c>
    </row>
    <row r="326" spans="2:16">
      <c r="B326" s="833" t="s">
        <v>3467</v>
      </c>
      <c r="C326" s="834">
        <v>29</v>
      </c>
      <c r="D326" s="834">
        <v>7.7</v>
      </c>
      <c r="E326" s="834">
        <v>8.6</v>
      </c>
      <c r="F326" s="834">
        <v>10.1</v>
      </c>
      <c r="G326" s="834">
        <v>10.199999999999999</v>
      </c>
      <c r="H326" s="834">
        <v>9.9</v>
      </c>
      <c r="I326" s="834">
        <v>9.6999999999999993</v>
      </c>
      <c r="J326" s="834">
        <v>8.6</v>
      </c>
      <c r="K326" s="834">
        <v>7.9</v>
      </c>
      <c r="L326" s="834">
        <v>8</v>
      </c>
      <c r="M326" s="834">
        <v>7.9</v>
      </c>
      <c r="N326" s="834">
        <v>7.7</v>
      </c>
      <c r="O326" s="834">
        <v>7.6</v>
      </c>
      <c r="P326" s="834">
        <v>8.6999999999999993</v>
      </c>
    </row>
    <row r="327" spans="2:16">
      <c r="B327" s="833" t="s">
        <v>3468</v>
      </c>
      <c r="C327" s="834">
        <v>64</v>
      </c>
      <c r="D327" s="834">
        <v>9.8000000000000007</v>
      </c>
      <c r="E327" s="834">
        <v>10.1</v>
      </c>
      <c r="F327" s="834">
        <v>10.6</v>
      </c>
      <c r="G327" s="834">
        <v>10.5</v>
      </c>
      <c r="H327" s="834">
        <v>9</v>
      </c>
      <c r="I327" s="834">
        <v>8.3000000000000007</v>
      </c>
      <c r="J327" s="834">
        <v>7.5</v>
      </c>
      <c r="K327" s="834">
        <v>7</v>
      </c>
      <c r="L327" s="834">
        <v>7.4</v>
      </c>
      <c r="M327" s="834">
        <v>8</v>
      </c>
      <c r="N327" s="834">
        <v>9.1</v>
      </c>
      <c r="O327" s="834">
        <v>9.3000000000000007</v>
      </c>
      <c r="P327" s="834">
        <v>8.9</v>
      </c>
    </row>
    <row r="328" spans="2:16">
      <c r="B328" s="833" t="s">
        <v>3469</v>
      </c>
      <c r="C328" s="834">
        <v>51</v>
      </c>
      <c r="D328" s="834">
        <v>11.3</v>
      </c>
      <c r="E328" s="834">
        <v>11.3</v>
      </c>
      <c r="F328" s="834">
        <v>11.5</v>
      </c>
      <c r="G328" s="834">
        <v>11.2</v>
      </c>
      <c r="H328" s="834">
        <v>9.9</v>
      </c>
      <c r="I328" s="834">
        <v>9.3000000000000007</v>
      </c>
      <c r="J328" s="834">
        <v>8.4</v>
      </c>
      <c r="K328" s="834">
        <v>8.1999999999999993</v>
      </c>
      <c r="L328" s="834">
        <v>8.8000000000000007</v>
      </c>
      <c r="M328" s="834">
        <v>9.6999999999999993</v>
      </c>
      <c r="N328" s="834">
        <v>10.8</v>
      </c>
      <c r="O328" s="834">
        <v>11</v>
      </c>
      <c r="P328" s="834">
        <v>10.1</v>
      </c>
    </row>
    <row r="329" spans="2:16">
      <c r="B329" s="833" t="s">
        <v>3470</v>
      </c>
      <c r="C329" s="834">
        <v>63</v>
      </c>
      <c r="D329" s="834">
        <v>14</v>
      </c>
      <c r="E329" s="834">
        <v>13.3</v>
      </c>
      <c r="F329" s="834">
        <v>13.1</v>
      </c>
      <c r="G329" s="834">
        <v>12.3</v>
      </c>
      <c r="H329" s="834">
        <v>11.4</v>
      </c>
      <c r="I329" s="834">
        <v>10.8</v>
      </c>
      <c r="J329" s="834">
        <v>10.199999999999999</v>
      </c>
      <c r="K329" s="834">
        <v>9.6999999999999993</v>
      </c>
      <c r="L329" s="834">
        <v>10.199999999999999</v>
      </c>
      <c r="M329" s="834">
        <v>11.1</v>
      </c>
      <c r="N329" s="834">
        <v>12.6</v>
      </c>
      <c r="O329" s="834">
        <v>13.1</v>
      </c>
      <c r="P329" s="834">
        <v>11.8</v>
      </c>
    </row>
    <row r="330" spans="2:16">
      <c r="B330" s="833" t="s">
        <v>3471</v>
      </c>
      <c r="C330" s="834">
        <v>19</v>
      </c>
      <c r="D330" s="834">
        <v>9.6</v>
      </c>
      <c r="E330" s="834">
        <v>10.1</v>
      </c>
      <c r="F330" s="834">
        <v>10.5</v>
      </c>
      <c r="G330" s="834">
        <v>9.8000000000000007</v>
      </c>
      <c r="H330" s="834">
        <v>9</v>
      </c>
      <c r="I330" s="834">
        <v>8.4</v>
      </c>
      <c r="J330" s="834">
        <v>7.7</v>
      </c>
      <c r="K330" s="834">
        <v>7.4</v>
      </c>
      <c r="L330" s="834">
        <v>7.7</v>
      </c>
      <c r="M330" s="834">
        <v>8.3000000000000007</v>
      </c>
      <c r="N330" s="834">
        <v>9.4</v>
      </c>
      <c r="O330" s="834">
        <v>9.3000000000000007</v>
      </c>
      <c r="P330" s="834">
        <v>8.9</v>
      </c>
    </row>
    <row r="331" spans="2:16">
      <c r="B331" s="833" t="s">
        <v>3472</v>
      </c>
      <c r="C331" s="834">
        <v>65</v>
      </c>
      <c r="D331" s="834">
        <v>10.6</v>
      </c>
      <c r="E331" s="834">
        <v>10.7</v>
      </c>
      <c r="F331" s="834">
        <v>11</v>
      </c>
      <c r="G331" s="834">
        <v>10.199999999999999</v>
      </c>
      <c r="H331" s="834">
        <v>8.8000000000000007</v>
      </c>
      <c r="I331" s="834">
        <v>8.1</v>
      </c>
      <c r="J331" s="834">
        <v>7.6</v>
      </c>
      <c r="K331" s="834">
        <v>7.5</v>
      </c>
      <c r="L331" s="834">
        <v>8.1</v>
      </c>
      <c r="M331" s="834">
        <v>8.8000000000000007</v>
      </c>
      <c r="N331" s="834">
        <v>9.8000000000000007</v>
      </c>
      <c r="O331" s="834">
        <v>10.1</v>
      </c>
      <c r="P331" s="834">
        <v>9.3000000000000007</v>
      </c>
    </row>
    <row r="332" spans="2:16">
      <c r="B332" s="833" t="s">
        <v>3473</v>
      </c>
      <c r="C332" s="834">
        <v>44</v>
      </c>
      <c r="D332" s="834">
        <v>13</v>
      </c>
      <c r="E332" s="834">
        <v>13.3</v>
      </c>
      <c r="F332" s="834">
        <v>13.5</v>
      </c>
      <c r="G332" s="834">
        <v>12.7</v>
      </c>
      <c r="H332" s="834">
        <v>11.6</v>
      </c>
      <c r="I332" s="834">
        <v>10.7</v>
      </c>
      <c r="J332" s="834">
        <v>10.199999999999999</v>
      </c>
      <c r="K332" s="834">
        <v>10</v>
      </c>
      <c r="L332" s="834">
        <v>10.4</v>
      </c>
      <c r="M332" s="834">
        <v>11</v>
      </c>
      <c r="N332" s="834">
        <v>12.2</v>
      </c>
      <c r="O332" s="834">
        <v>12.7</v>
      </c>
      <c r="P332" s="834">
        <v>11.8</v>
      </c>
    </row>
    <row r="333" spans="2:16">
      <c r="B333" s="833" t="s">
        <v>3474</v>
      </c>
      <c r="C333" s="834">
        <v>54</v>
      </c>
      <c r="D333" s="834">
        <v>13.7</v>
      </c>
      <c r="E333" s="834">
        <v>13.8</v>
      </c>
      <c r="F333" s="834">
        <v>13.9</v>
      </c>
      <c r="G333" s="834">
        <v>12.9</v>
      </c>
      <c r="H333" s="834">
        <v>11.6</v>
      </c>
      <c r="I333" s="834">
        <v>11</v>
      </c>
      <c r="J333" s="834">
        <v>10.4</v>
      </c>
      <c r="K333" s="834">
        <v>10.3</v>
      </c>
      <c r="L333" s="834">
        <v>11</v>
      </c>
      <c r="M333" s="834">
        <v>11.6</v>
      </c>
      <c r="N333" s="834">
        <v>12.8</v>
      </c>
      <c r="O333" s="834">
        <v>13.4</v>
      </c>
      <c r="P333" s="834">
        <v>12.2</v>
      </c>
    </row>
    <row r="334" spans="2:16">
      <c r="B334" s="833" t="s">
        <v>3475</v>
      </c>
      <c r="C334" s="834">
        <v>62</v>
      </c>
      <c r="D334" s="834">
        <v>11.6</v>
      </c>
      <c r="E334" s="834">
        <v>11.1</v>
      </c>
      <c r="F334" s="834">
        <v>11</v>
      </c>
      <c r="G334" s="834">
        <v>10.7</v>
      </c>
      <c r="H334" s="834">
        <v>9.3000000000000007</v>
      </c>
      <c r="I334" s="834">
        <v>8.6</v>
      </c>
      <c r="J334" s="834">
        <v>8</v>
      </c>
      <c r="K334" s="834">
        <v>7.7</v>
      </c>
      <c r="L334" s="834">
        <v>8.1</v>
      </c>
      <c r="M334" s="834">
        <v>8.8000000000000007</v>
      </c>
      <c r="N334" s="834">
        <v>10.199999999999999</v>
      </c>
      <c r="O334" s="834">
        <v>10.7</v>
      </c>
      <c r="P334" s="834">
        <v>9.6</v>
      </c>
    </row>
    <row r="335" spans="2:16">
      <c r="B335" s="833" t="s">
        <v>3476</v>
      </c>
      <c r="C335" s="834">
        <v>53</v>
      </c>
      <c r="D335" s="834">
        <v>10.6</v>
      </c>
      <c r="E335" s="834">
        <v>10.6</v>
      </c>
      <c r="F335" s="834">
        <v>10.7</v>
      </c>
      <c r="G335" s="834">
        <v>10.4</v>
      </c>
      <c r="H335" s="834">
        <v>9</v>
      </c>
      <c r="I335" s="834">
        <v>8.3000000000000007</v>
      </c>
      <c r="J335" s="834">
        <v>7.9</v>
      </c>
      <c r="K335" s="834">
        <v>7.5</v>
      </c>
      <c r="L335" s="834">
        <v>8.1999999999999993</v>
      </c>
      <c r="M335" s="834">
        <v>8.6999999999999993</v>
      </c>
      <c r="N335" s="834">
        <v>10.199999999999999</v>
      </c>
      <c r="O335" s="834">
        <v>10.3</v>
      </c>
      <c r="P335" s="834">
        <v>9.4</v>
      </c>
    </row>
    <row r="336" spans="2:16">
      <c r="B336" s="833" t="s">
        <v>3477</v>
      </c>
      <c r="C336" s="834">
        <v>38</v>
      </c>
      <c r="D336" s="834">
        <v>9.1999999999999993</v>
      </c>
      <c r="E336" s="834">
        <v>9.1999999999999993</v>
      </c>
      <c r="F336" s="834">
        <v>9.1999999999999993</v>
      </c>
      <c r="G336" s="834">
        <v>8.6</v>
      </c>
      <c r="H336" s="834">
        <v>6.9</v>
      </c>
      <c r="I336" s="834">
        <v>5.8</v>
      </c>
      <c r="J336" s="834">
        <v>5.8</v>
      </c>
      <c r="K336" s="834">
        <v>5.2</v>
      </c>
      <c r="L336" s="834">
        <v>5.5</v>
      </c>
      <c r="M336" s="834">
        <v>6.6</v>
      </c>
      <c r="N336" s="834">
        <v>7.9</v>
      </c>
      <c r="O336" s="834">
        <v>8.6</v>
      </c>
      <c r="P336" s="834">
        <v>7.4</v>
      </c>
    </row>
    <row r="337" spans="2:16">
      <c r="B337" s="833" t="s">
        <v>3478</v>
      </c>
      <c r="C337" s="834">
        <v>44</v>
      </c>
      <c r="D337" s="834">
        <v>11.8</v>
      </c>
      <c r="E337" s="834">
        <v>11.7</v>
      </c>
      <c r="F337" s="834">
        <v>11.9</v>
      </c>
      <c r="G337" s="834">
        <v>11.7</v>
      </c>
      <c r="H337" s="834">
        <v>10.6</v>
      </c>
      <c r="I337" s="834">
        <v>10.6</v>
      </c>
      <c r="J337" s="834">
        <v>10</v>
      </c>
      <c r="K337" s="834">
        <v>9.5</v>
      </c>
      <c r="L337" s="834">
        <v>10.3</v>
      </c>
      <c r="M337" s="834">
        <v>10.6</v>
      </c>
      <c r="N337" s="834">
        <v>10.6</v>
      </c>
      <c r="O337" s="834">
        <v>11.2</v>
      </c>
      <c r="P337" s="834">
        <v>10.9</v>
      </c>
    </row>
    <row r="338" spans="2:16">
      <c r="B338" s="833" t="s">
        <v>3479</v>
      </c>
      <c r="C338" s="834">
        <v>53</v>
      </c>
      <c r="D338" s="834">
        <v>7.8</v>
      </c>
      <c r="E338" s="834">
        <v>8.1999999999999993</v>
      </c>
      <c r="F338" s="834">
        <v>8.8000000000000007</v>
      </c>
      <c r="G338" s="834">
        <v>8.6</v>
      </c>
      <c r="H338" s="834">
        <v>7.5</v>
      </c>
      <c r="I338" s="834">
        <v>6.9</v>
      </c>
      <c r="J338" s="834">
        <v>6.6</v>
      </c>
      <c r="K338" s="834">
        <v>6.4</v>
      </c>
      <c r="L338" s="834">
        <v>6.6</v>
      </c>
      <c r="M338" s="834">
        <v>6.7</v>
      </c>
      <c r="N338" s="834">
        <v>6.9</v>
      </c>
      <c r="O338" s="834">
        <v>7.3</v>
      </c>
      <c r="P338" s="834">
        <v>7.4</v>
      </c>
    </row>
    <row r="339" spans="2:16">
      <c r="B339" s="833" t="s">
        <v>3480</v>
      </c>
      <c r="C339" s="834">
        <v>74</v>
      </c>
      <c r="D339" s="834">
        <v>8.1</v>
      </c>
      <c r="E339" s="834">
        <v>8.5</v>
      </c>
      <c r="F339" s="834">
        <v>9.1</v>
      </c>
      <c r="G339" s="834">
        <v>8.8000000000000007</v>
      </c>
      <c r="H339" s="834">
        <v>7.6</v>
      </c>
      <c r="I339" s="834">
        <v>6.9</v>
      </c>
      <c r="J339" s="834">
        <v>6.5</v>
      </c>
      <c r="K339" s="834">
        <v>6.2</v>
      </c>
      <c r="L339" s="834">
        <v>6.6</v>
      </c>
      <c r="M339" s="834">
        <v>7</v>
      </c>
      <c r="N339" s="834">
        <v>7.5</v>
      </c>
      <c r="O339" s="834">
        <v>7.6</v>
      </c>
      <c r="P339" s="834">
        <v>7.5</v>
      </c>
    </row>
    <row r="340" spans="2:16">
      <c r="B340" s="833" t="s">
        <v>3481</v>
      </c>
      <c r="C340" s="834">
        <v>53</v>
      </c>
      <c r="D340" s="834">
        <v>8.1999999999999993</v>
      </c>
      <c r="E340" s="834">
        <v>8.6</v>
      </c>
      <c r="F340" s="834">
        <v>9.3000000000000007</v>
      </c>
      <c r="G340" s="834">
        <v>8.8000000000000007</v>
      </c>
      <c r="H340" s="834">
        <v>7.7</v>
      </c>
      <c r="I340" s="834">
        <v>7</v>
      </c>
      <c r="J340" s="834">
        <v>6.7</v>
      </c>
      <c r="K340" s="834">
        <v>6.3</v>
      </c>
      <c r="L340" s="834">
        <v>6.7</v>
      </c>
      <c r="M340" s="834">
        <v>6.6</v>
      </c>
      <c r="N340" s="834">
        <v>7.1</v>
      </c>
      <c r="O340" s="834">
        <v>7.7</v>
      </c>
      <c r="P340" s="834">
        <v>7.6</v>
      </c>
    </row>
    <row r="341" spans="2:16">
      <c r="B341" s="833" t="s">
        <v>3482</v>
      </c>
      <c r="C341" s="834">
        <v>51</v>
      </c>
      <c r="D341" s="834">
        <v>9</v>
      </c>
      <c r="E341" s="834">
        <v>9.6</v>
      </c>
      <c r="F341" s="834">
        <v>10</v>
      </c>
      <c r="G341" s="834">
        <v>10.1</v>
      </c>
      <c r="H341" s="834">
        <v>9.1</v>
      </c>
      <c r="I341" s="834">
        <v>8.4</v>
      </c>
      <c r="J341" s="834">
        <v>7.9</v>
      </c>
      <c r="K341" s="834">
        <v>7.3</v>
      </c>
      <c r="L341" s="834">
        <v>7.8</v>
      </c>
      <c r="M341" s="834">
        <v>7.9</v>
      </c>
      <c r="N341" s="834">
        <v>8.1</v>
      </c>
      <c r="O341" s="834">
        <v>8.4</v>
      </c>
      <c r="P341" s="834">
        <v>8.6</v>
      </c>
    </row>
    <row r="342" spans="2:16">
      <c r="B342" s="833" t="s">
        <v>3483</v>
      </c>
      <c r="C342" s="834">
        <v>63</v>
      </c>
      <c r="D342" s="834">
        <v>10</v>
      </c>
      <c r="E342" s="834">
        <v>9.9</v>
      </c>
      <c r="F342" s="834">
        <v>10.9</v>
      </c>
      <c r="G342" s="834">
        <v>11.9</v>
      </c>
      <c r="H342" s="834">
        <v>11.6</v>
      </c>
      <c r="I342" s="834">
        <v>10.4</v>
      </c>
      <c r="J342" s="834">
        <v>9.1999999999999993</v>
      </c>
      <c r="K342" s="834">
        <v>9.4</v>
      </c>
      <c r="L342" s="834">
        <v>9.9</v>
      </c>
      <c r="M342" s="834">
        <v>10</v>
      </c>
      <c r="N342" s="834">
        <v>9.9</v>
      </c>
      <c r="O342" s="834">
        <v>9.5</v>
      </c>
      <c r="P342" s="834">
        <v>10.199999999999999</v>
      </c>
    </row>
    <row r="343" spans="2:16">
      <c r="B343" s="833" t="s">
        <v>3484</v>
      </c>
      <c r="C343" s="834">
        <v>60</v>
      </c>
      <c r="D343" s="834">
        <v>12.6</v>
      </c>
      <c r="E343" s="834">
        <v>12.4</v>
      </c>
      <c r="F343" s="834">
        <v>13.1</v>
      </c>
      <c r="G343" s="834">
        <v>13.6</v>
      </c>
      <c r="H343" s="834">
        <v>12.9</v>
      </c>
      <c r="I343" s="834">
        <v>11.6</v>
      </c>
      <c r="J343" s="834">
        <v>10.5</v>
      </c>
      <c r="K343" s="834">
        <v>11</v>
      </c>
      <c r="L343" s="834">
        <v>11.8</v>
      </c>
      <c r="M343" s="834">
        <v>12.5</v>
      </c>
      <c r="N343" s="834">
        <v>12.8</v>
      </c>
      <c r="O343" s="834">
        <v>12.2</v>
      </c>
      <c r="P343" s="834">
        <v>12.2</v>
      </c>
    </row>
    <row r="344" spans="2:16">
      <c r="B344" s="833" t="s">
        <v>3485</v>
      </c>
      <c r="C344" s="834">
        <v>5</v>
      </c>
      <c r="D344" s="834">
        <v>10.8</v>
      </c>
      <c r="E344" s="834">
        <v>11.5</v>
      </c>
      <c r="F344" s="834">
        <v>11</v>
      </c>
      <c r="G344" s="834">
        <v>11</v>
      </c>
      <c r="H344" s="834">
        <v>11.3</v>
      </c>
      <c r="I344" s="834">
        <v>10</v>
      </c>
      <c r="J344" s="834">
        <v>8.3000000000000007</v>
      </c>
      <c r="K344" s="834">
        <v>8.9</v>
      </c>
      <c r="L344" s="834">
        <v>9.1999999999999993</v>
      </c>
      <c r="M344" s="834">
        <v>10.3</v>
      </c>
      <c r="N344" s="834">
        <v>10.3</v>
      </c>
      <c r="O344" s="834">
        <v>10.7</v>
      </c>
      <c r="P344" s="834">
        <v>10.3</v>
      </c>
    </row>
    <row r="345" spans="2:16">
      <c r="B345" s="833" t="s">
        <v>3486</v>
      </c>
      <c r="C345" s="834">
        <v>38</v>
      </c>
      <c r="D345" s="834">
        <v>9.5</v>
      </c>
      <c r="E345" s="834">
        <v>9.6999999999999993</v>
      </c>
      <c r="F345" s="834">
        <v>10.1</v>
      </c>
      <c r="G345" s="834">
        <v>11</v>
      </c>
      <c r="H345" s="834">
        <v>11.1</v>
      </c>
      <c r="I345" s="834">
        <v>10.3</v>
      </c>
      <c r="J345" s="834">
        <v>9.3000000000000007</v>
      </c>
      <c r="K345" s="834">
        <v>9.4</v>
      </c>
      <c r="L345" s="834">
        <v>9.6999999999999993</v>
      </c>
      <c r="M345" s="834">
        <v>9.9</v>
      </c>
      <c r="N345" s="834">
        <v>9</v>
      </c>
      <c r="O345" s="834">
        <v>9.4</v>
      </c>
      <c r="P345" s="834">
        <v>9.9</v>
      </c>
    </row>
    <row r="346" spans="2:16">
      <c r="B346" s="833" t="s">
        <v>3487</v>
      </c>
      <c r="C346" s="834">
        <v>54</v>
      </c>
      <c r="D346" s="834">
        <v>11.6</v>
      </c>
      <c r="E346" s="834">
        <v>11.1</v>
      </c>
      <c r="F346" s="834">
        <v>11.4</v>
      </c>
      <c r="G346" s="834">
        <v>10.8</v>
      </c>
      <c r="H346" s="834">
        <v>9.1</v>
      </c>
      <c r="I346" s="834">
        <v>8.4</v>
      </c>
      <c r="J346" s="834">
        <v>7.6</v>
      </c>
      <c r="K346" s="834">
        <v>7.3</v>
      </c>
      <c r="L346" s="834">
        <v>8</v>
      </c>
      <c r="M346" s="834">
        <v>9.1</v>
      </c>
      <c r="N346" s="834">
        <v>10.8</v>
      </c>
      <c r="O346" s="834">
        <v>11.3</v>
      </c>
      <c r="P346" s="834">
        <v>9.6999999999999993</v>
      </c>
    </row>
    <row r="347" spans="2:16">
      <c r="B347" s="833" t="s">
        <v>3488</v>
      </c>
      <c r="C347" s="834">
        <v>61</v>
      </c>
      <c r="D347" s="834">
        <v>12.2</v>
      </c>
      <c r="E347" s="834">
        <v>11.8</v>
      </c>
      <c r="F347" s="834">
        <v>12</v>
      </c>
      <c r="G347" s="834">
        <v>11.5</v>
      </c>
      <c r="H347" s="834">
        <v>10</v>
      </c>
      <c r="I347" s="834">
        <v>9.1999999999999993</v>
      </c>
      <c r="J347" s="834">
        <v>8.6</v>
      </c>
      <c r="K347" s="834">
        <v>8.1999999999999993</v>
      </c>
      <c r="L347" s="834">
        <v>8.9</v>
      </c>
      <c r="M347" s="834">
        <v>9.9</v>
      </c>
      <c r="N347" s="834">
        <v>11.8</v>
      </c>
      <c r="O347" s="834">
        <v>12</v>
      </c>
      <c r="P347" s="834">
        <v>10.5</v>
      </c>
    </row>
    <row r="348" spans="2:16">
      <c r="B348" s="833" t="s">
        <v>3489</v>
      </c>
      <c r="C348" s="834">
        <v>53</v>
      </c>
      <c r="D348" s="834">
        <v>9.8000000000000007</v>
      </c>
      <c r="E348" s="834">
        <v>9.6</v>
      </c>
      <c r="F348" s="834">
        <v>10.1</v>
      </c>
      <c r="G348" s="834">
        <v>9.6</v>
      </c>
      <c r="H348" s="834">
        <v>8.1</v>
      </c>
      <c r="I348" s="834">
        <v>7.2</v>
      </c>
      <c r="J348" s="834">
        <v>6.5</v>
      </c>
      <c r="K348" s="834">
        <v>6.2</v>
      </c>
      <c r="L348" s="834">
        <v>6.4</v>
      </c>
      <c r="M348" s="834">
        <v>7.4</v>
      </c>
      <c r="N348" s="834">
        <v>9.1</v>
      </c>
      <c r="O348" s="834">
        <v>9.4</v>
      </c>
      <c r="P348" s="834">
        <v>8.3000000000000007</v>
      </c>
    </row>
    <row r="349" spans="2:16">
      <c r="B349" s="833" t="s">
        <v>3490</v>
      </c>
      <c r="C349" s="834">
        <v>59</v>
      </c>
      <c r="D349" s="834">
        <v>11.4</v>
      </c>
      <c r="E349" s="834">
        <v>11.3</v>
      </c>
      <c r="F349" s="834">
        <v>11.7</v>
      </c>
      <c r="G349" s="834">
        <v>11.3</v>
      </c>
      <c r="H349" s="834">
        <v>9.6999999999999993</v>
      </c>
      <c r="I349" s="834">
        <v>8.8000000000000007</v>
      </c>
      <c r="J349" s="834">
        <v>7.9</v>
      </c>
      <c r="K349" s="834">
        <v>7.3</v>
      </c>
      <c r="L349" s="834">
        <v>8.1</v>
      </c>
      <c r="M349" s="834">
        <v>9</v>
      </c>
      <c r="N349" s="834">
        <v>11</v>
      </c>
      <c r="O349" s="834">
        <v>11.1</v>
      </c>
      <c r="P349" s="834">
        <v>9.9</v>
      </c>
    </row>
    <row r="350" spans="2:16">
      <c r="B350" s="833" t="s">
        <v>3491</v>
      </c>
      <c r="C350" s="834">
        <v>18</v>
      </c>
      <c r="D350" s="834">
        <v>12.6</v>
      </c>
      <c r="E350" s="834">
        <v>11.9</v>
      </c>
      <c r="F350" s="834">
        <v>11.8</v>
      </c>
      <c r="G350" s="834">
        <v>11.4</v>
      </c>
      <c r="H350" s="834">
        <v>9.9</v>
      </c>
      <c r="I350" s="834">
        <v>9.1</v>
      </c>
      <c r="J350" s="834">
        <v>7.9</v>
      </c>
      <c r="K350" s="834">
        <v>7.8</v>
      </c>
      <c r="L350" s="834">
        <v>8.5</v>
      </c>
      <c r="M350" s="834">
        <v>9.9</v>
      </c>
      <c r="N350" s="834">
        <v>11.1</v>
      </c>
      <c r="O350" s="834">
        <v>11.7</v>
      </c>
      <c r="P350" s="834">
        <v>10.3</v>
      </c>
    </row>
    <row r="351" spans="2:16">
      <c r="B351" s="833" t="s">
        <v>3492</v>
      </c>
      <c r="C351" s="834">
        <v>47</v>
      </c>
      <c r="D351" s="834">
        <v>11</v>
      </c>
      <c r="E351" s="834">
        <v>10.5</v>
      </c>
      <c r="F351" s="834">
        <v>11</v>
      </c>
      <c r="G351" s="834">
        <v>10.9</v>
      </c>
      <c r="H351" s="834">
        <v>9.5</v>
      </c>
      <c r="I351" s="834">
        <v>8.4</v>
      </c>
      <c r="J351" s="834">
        <v>7.5</v>
      </c>
      <c r="K351" s="834">
        <v>7.1</v>
      </c>
      <c r="L351" s="834">
        <v>7.7</v>
      </c>
      <c r="M351" s="834">
        <v>8.8000000000000007</v>
      </c>
      <c r="N351" s="834">
        <v>10.199999999999999</v>
      </c>
      <c r="O351" s="834">
        <v>10.4</v>
      </c>
      <c r="P351" s="834">
        <v>9.4</v>
      </c>
    </row>
    <row r="352" spans="2:16">
      <c r="B352" s="833" t="s">
        <v>3493</v>
      </c>
      <c r="C352" s="834">
        <v>53</v>
      </c>
      <c r="D352" s="834">
        <v>11.4</v>
      </c>
      <c r="E352" s="834">
        <v>11.1</v>
      </c>
      <c r="F352" s="834">
        <v>11.3</v>
      </c>
      <c r="G352" s="834">
        <v>10.8</v>
      </c>
      <c r="H352" s="834">
        <v>9.4</v>
      </c>
      <c r="I352" s="834">
        <v>8.4</v>
      </c>
      <c r="J352" s="834">
        <v>7.7</v>
      </c>
      <c r="K352" s="834">
        <v>7.4</v>
      </c>
      <c r="L352" s="834">
        <v>8.1</v>
      </c>
      <c r="M352" s="834">
        <v>9.1999999999999993</v>
      </c>
      <c r="N352" s="834">
        <v>10.8</v>
      </c>
      <c r="O352" s="834">
        <v>11.1</v>
      </c>
      <c r="P352" s="834">
        <v>9.6999999999999993</v>
      </c>
    </row>
    <row r="353" spans="2:16">
      <c r="B353" s="833" t="s">
        <v>3494</v>
      </c>
      <c r="C353" s="834">
        <v>54</v>
      </c>
      <c r="D353" s="834">
        <v>12.5</v>
      </c>
      <c r="E353" s="834">
        <v>13.1</v>
      </c>
      <c r="F353" s="834">
        <v>14.3</v>
      </c>
      <c r="G353" s="834">
        <v>14.2</v>
      </c>
      <c r="H353" s="834">
        <v>12.5</v>
      </c>
      <c r="I353" s="834">
        <v>11.8</v>
      </c>
      <c r="J353" s="834">
        <v>10.9</v>
      </c>
      <c r="K353" s="834">
        <v>10.4</v>
      </c>
      <c r="L353" s="834">
        <v>10.8</v>
      </c>
      <c r="M353" s="834">
        <v>11.8</v>
      </c>
      <c r="N353" s="834">
        <v>12.3</v>
      </c>
      <c r="O353" s="834">
        <v>12.3</v>
      </c>
      <c r="P353" s="834">
        <v>12.2</v>
      </c>
    </row>
    <row r="354" spans="2:16">
      <c r="B354" s="833" t="s">
        <v>3495</v>
      </c>
      <c r="C354" s="834">
        <v>54</v>
      </c>
      <c r="D354" s="834">
        <v>10.3</v>
      </c>
      <c r="E354" s="834">
        <v>10.7</v>
      </c>
      <c r="F354" s="834">
        <v>11.9</v>
      </c>
      <c r="G354" s="834">
        <v>11.9</v>
      </c>
      <c r="H354" s="834">
        <v>10.6</v>
      </c>
      <c r="I354" s="834">
        <v>9.9</v>
      </c>
      <c r="J354" s="834">
        <v>9.3000000000000007</v>
      </c>
      <c r="K354" s="834">
        <v>8.8000000000000007</v>
      </c>
      <c r="L354" s="834">
        <v>9.1</v>
      </c>
      <c r="M354" s="834">
        <v>9.6</v>
      </c>
      <c r="N354" s="834">
        <v>10.3</v>
      </c>
      <c r="O354" s="834">
        <v>10.1</v>
      </c>
      <c r="P354" s="834">
        <v>10.199999999999999</v>
      </c>
    </row>
    <row r="355" spans="2:16">
      <c r="B355" s="833" t="s">
        <v>3496</v>
      </c>
      <c r="C355" s="834">
        <v>49</v>
      </c>
      <c r="D355" s="834">
        <v>9.1</v>
      </c>
      <c r="E355" s="834">
        <v>9</v>
      </c>
      <c r="F355" s="834">
        <v>8.8000000000000007</v>
      </c>
      <c r="G355" s="834">
        <v>8.6999999999999993</v>
      </c>
      <c r="H355" s="834">
        <v>8.5</v>
      </c>
      <c r="I355" s="834">
        <v>8.6</v>
      </c>
      <c r="J355" s="834">
        <v>8.6999999999999993</v>
      </c>
      <c r="K355" s="834">
        <v>8</v>
      </c>
      <c r="L355" s="834">
        <v>7.5</v>
      </c>
      <c r="M355" s="834">
        <v>7.5</v>
      </c>
      <c r="N355" s="834">
        <v>8.6</v>
      </c>
      <c r="O355" s="834">
        <v>9.1</v>
      </c>
      <c r="P355" s="834">
        <v>8.5</v>
      </c>
    </row>
    <row r="356" spans="2:16">
      <c r="B356" s="833" t="s">
        <v>3497</v>
      </c>
      <c r="C356" s="834">
        <v>50</v>
      </c>
      <c r="D356" s="834">
        <v>7.8</v>
      </c>
      <c r="E356" s="834">
        <v>7.8</v>
      </c>
      <c r="F356" s="834">
        <v>8.1999999999999993</v>
      </c>
      <c r="G356" s="834">
        <v>7.7</v>
      </c>
      <c r="H356" s="834">
        <v>7.4</v>
      </c>
      <c r="I356" s="834">
        <v>7.6</v>
      </c>
      <c r="J356" s="834">
        <v>8</v>
      </c>
      <c r="K356" s="834">
        <v>7.6</v>
      </c>
      <c r="L356" s="834">
        <v>7.4</v>
      </c>
      <c r="M356" s="834">
        <v>6.7</v>
      </c>
      <c r="N356" s="834">
        <v>7.4</v>
      </c>
      <c r="O356" s="834">
        <v>7.6</v>
      </c>
      <c r="P356" s="834">
        <v>7.6</v>
      </c>
    </row>
    <row r="357" spans="2:16">
      <c r="B357" s="833" t="s">
        <v>3498</v>
      </c>
      <c r="C357" s="834">
        <v>53</v>
      </c>
      <c r="D357" s="834">
        <v>4.0999999999999996</v>
      </c>
      <c r="E357" s="834">
        <v>4.5</v>
      </c>
      <c r="F357" s="834">
        <v>5.2</v>
      </c>
      <c r="G357" s="834">
        <v>5.6</v>
      </c>
      <c r="H357" s="834">
        <v>5.7</v>
      </c>
      <c r="I357" s="834">
        <v>5.9</v>
      </c>
      <c r="J357" s="834">
        <v>5.8</v>
      </c>
      <c r="K357" s="834">
        <v>5.3</v>
      </c>
      <c r="L357" s="834">
        <v>4.5</v>
      </c>
      <c r="M357" s="834">
        <v>3.7</v>
      </c>
      <c r="N357" s="834">
        <v>3.6</v>
      </c>
      <c r="O357" s="834">
        <v>3.7</v>
      </c>
      <c r="P357" s="834">
        <v>4.8</v>
      </c>
    </row>
    <row r="358" spans="2:16">
      <c r="B358" s="833" t="s">
        <v>3499</v>
      </c>
      <c r="C358" s="834">
        <v>49</v>
      </c>
      <c r="D358" s="834">
        <v>7.6</v>
      </c>
      <c r="E358" s="834">
        <v>8.1999999999999993</v>
      </c>
      <c r="F358" s="834">
        <v>9.1</v>
      </c>
      <c r="G358" s="834">
        <v>9.8000000000000007</v>
      </c>
      <c r="H358" s="834">
        <v>9.5</v>
      </c>
      <c r="I358" s="834">
        <v>9.5</v>
      </c>
      <c r="J358" s="834">
        <v>9</v>
      </c>
      <c r="K358" s="834">
        <v>8.6</v>
      </c>
      <c r="L358" s="834">
        <v>8.3000000000000007</v>
      </c>
      <c r="M358" s="834">
        <v>7.6</v>
      </c>
      <c r="N358" s="834">
        <v>7.8</v>
      </c>
      <c r="O358" s="834">
        <v>7.8</v>
      </c>
      <c r="P358" s="834">
        <v>8.6</v>
      </c>
    </row>
    <row r="359" spans="2:16">
      <c r="B359" s="833" t="s">
        <v>3500</v>
      </c>
      <c r="C359" s="834">
        <v>54</v>
      </c>
      <c r="D359" s="834">
        <v>9.9</v>
      </c>
      <c r="E359" s="834">
        <v>9.3000000000000007</v>
      </c>
      <c r="F359" s="834">
        <v>8.3000000000000007</v>
      </c>
      <c r="G359" s="834">
        <v>7.4</v>
      </c>
      <c r="H359" s="834">
        <v>7.1</v>
      </c>
      <c r="I359" s="834">
        <v>7.2</v>
      </c>
      <c r="J359" s="834">
        <v>7.6</v>
      </c>
      <c r="K359" s="834">
        <v>7.1</v>
      </c>
      <c r="L359" s="834">
        <v>6.5</v>
      </c>
      <c r="M359" s="834">
        <v>6.5</v>
      </c>
      <c r="N359" s="834">
        <v>8.6</v>
      </c>
      <c r="O359" s="834">
        <v>9.6</v>
      </c>
      <c r="P359" s="834">
        <v>7.9</v>
      </c>
    </row>
    <row r="360" spans="2:16">
      <c r="B360" s="833" t="s">
        <v>3501</v>
      </c>
      <c r="C360" s="834">
        <v>54</v>
      </c>
      <c r="D360" s="834">
        <v>7.9</v>
      </c>
      <c r="E360" s="834">
        <v>7.8</v>
      </c>
      <c r="F360" s="834">
        <v>7.8</v>
      </c>
      <c r="G360" s="834">
        <v>7.2</v>
      </c>
      <c r="H360" s="834">
        <v>6.7</v>
      </c>
      <c r="I360" s="834">
        <v>6.6</v>
      </c>
      <c r="J360" s="834">
        <v>6.7</v>
      </c>
      <c r="K360" s="834">
        <v>6.3</v>
      </c>
      <c r="L360" s="834">
        <v>6.1</v>
      </c>
      <c r="M360" s="834">
        <v>6</v>
      </c>
      <c r="N360" s="834">
        <v>7.4</v>
      </c>
      <c r="O360" s="834">
        <v>7.8</v>
      </c>
      <c r="P360" s="834">
        <v>7</v>
      </c>
    </row>
    <row r="361" spans="2:16">
      <c r="B361" s="833" t="s">
        <v>3502</v>
      </c>
      <c r="C361" s="834">
        <v>54</v>
      </c>
      <c r="D361" s="834">
        <v>12.8</v>
      </c>
      <c r="E361" s="834">
        <v>12.5</v>
      </c>
      <c r="F361" s="834">
        <v>11.4</v>
      </c>
      <c r="G361" s="834">
        <v>10.4</v>
      </c>
      <c r="H361" s="834">
        <v>10.199999999999999</v>
      </c>
      <c r="I361" s="834">
        <v>10.8</v>
      </c>
      <c r="J361" s="834">
        <v>11.6</v>
      </c>
      <c r="K361" s="834">
        <v>10.7</v>
      </c>
      <c r="L361" s="834">
        <v>10.8</v>
      </c>
      <c r="M361" s="834">
        <v>11.6</v>
      </c>
      <c r="N361" s="834">
        <v>14</v>
      </c>
      <c r="O361" s="834">
        <v>13.2</v>
      </c>
      <c r="P361" s="834">
        <v>11.7</v>
      </c>
    </row>
    <row r="362" spans="2:16">
      <c r="B362" s="833" t="s">
        <v>3503</v>
      </c>
      <c r="C362" s="834">
        <v>12</v>
      </c>
      <c r="D362" s="834">
        <v>9.9</v>
      </c>
      <c r="E362" s="834">
        <v>11.3</v>
      </c>
      <c r="F362" s="834">
        <v>10.8</v>
      </c>
      <c r="G362" s="834">
        <v>10.8</v>
      </c>
      <c r="H362" s="834">
        <v>9.6</v>
      </c>
      <c r="I362" s="834">
        <v>8.3000000000000007</v>
      </c>
      <c r="J362" s="834">
        <v>6.9</v>
      </c>
      <c r="K362" s="834">
        <v>6.8</v>
      </c>
      <c r="L362" s="834">
        <v>6.2</v>
      </c>
      <c r="M362" s="834">
        <v>7.5</v>
      </c>
      <c r="N362" s="834">
        <v>9.6999999999999993</v>
      </c>
      <c r="O362" s="834">
        <v>11.2</v>
      </c>
      <c r="P362" s="834">
        <v>9.1</v>
      </c>
    </row>
    <row r="363" spans="2:16">
      <c r="B363" s="833" t="s">
        <v>3504</v>
      </c>
      <c r="C363" s="834">
        <v>23</v>
      </c>
      <c r="D363" s="834">
        <v>14.4</v>
      </c>
      <c r="E363" s="834">
        <v>15.8</v>
      </c>
      <c r="F363" s="834">
        <v>16.899999999999999</v>
      </c>
      <c r="G363" s="834">
        <v>16.7</v>
      </c>
      <c r="H363" s="834">
        <v>15.9</v>
      </c>
      <c r="I363" s="834">
        <v>16.100000000000001</v>
      </c>
      <c r="J363" s="834">
        <v>16</v>
      </c>
      <c r="K363" s="834">
        <v>15.4</v>
      </c>
      <c r="L363" s="834">
        <v>14.4</v>
      </c>
      <c r="M363" s="834">
        <v>15</v>
      </c>
      <c r="N363" s="834">
        <v>16</v>
      </c>
      <c r="O363" s="834">
        <v>16.899999999999999</v>
      </c>
      <c r="P363" s="834">
        <v>15.8</v>
      </c>
    </row>
    <row r="364" spans="2:16">
      <c r="B364" s="833" t="s">
        <v>3505</v>
      </c>
      <c r="C364" s="834">
        <v>37</v>
      </c>
      <c r="D364" s="834">
        <v>7.8</v>
      </c>
      <c r="E364" s="834">
        <v>7.8</v>
      </c>
      <c r="F364" s="834">
        <v>7.7</v>
      </c>
      <c r="G364" s="834">
        <v>7</v>
      </c>
      <c r="H364" s="834">
        <v>6.3</v>
      </c>
      <c r="I364" s="834">
        <v>5.9</v>
      </c>
      <c r="J364" s="834">
        <v>6.3</v>
      </c>
      <c r="K364" s="834">
        <v>6.7</v>
      </c>
      <c r="L364" s="834">
        <v>6.5</v>
      </c>
      <c r="M364" s="834">
        <v>6.7</v>
      </c>
      <c r="N364" s="834">
        <v>6.2</v>
      </c>
      <c r="O364" s="834">
        <v>6.9</v>
      </c>
      <c r="P364" s="834">
        <v>6.8</v>
      </c>
    </row>
    <row r="365" spans="2:16">
      <c r="B365" s="833" t="s">
        <v>3506</v>
      </c>
      <c r="C365" s="834">
        <v>36</v>
      </c>
      <c r="D365" s="834">
        <v>16.8</v>
      </c>
      <c r="E365" s="834">
        <v>16.3</v>
      </c>
      <c r="F365" s="834">
        <v>16.3</v>
      </c>
      <c r="G365" s="834">
        <v>15</v>
      </c>
      <c r="H365" s="834">
        <v>13.9</v>
      </c>
      <c r="I365" s="834">
        <v>13.1</v>
      </c>
      <c r="J365" s="834">
        <v>11.2</v>
      </c>
      <c r="K365" s="834">
        <v>9.8000000000000007</v>
      </c>
      <c r="L365" s="834">
        <v>9.1</v>
      </c>
      <c r="M365" s="834">
        <v>10</v>
      </c>
      <c r="N365" s="834">
        <v>12.2</v>
      </c>
      <c r="O365" s="834">
        <v>16.5</v>
      </c>
      <c r="P365" s="834">
        <v>13.3</v>
      </c>
    </row>
    <row r="366" spans="2:16">
      <c r="B366" s="833" t="s">
        <v>3507</v>
      </c>
      <c r="C366" s="834">
        <v>38</v>
      </c>
      <c r="D366" s="834">
        <v>12.7</v>
      </c>
      <c r="E366" s="834">
        <v>13.2</v>
      </c>
      <c r="F366" s="834">
        <v>12.9</v>
      </c>
      <c r="G366" s="834">
        <v>12.2</v>
      </c>
      <c r="H366" s="834">
        <v>11.2</v>
      </c>
      <c r="I366" s="834">
        <v>10</v>
      </c>
      <c r="J366" s="834">
        <v>8.4</v>
      </c>
      <c r="K366" s="834">
        <v>7.4</v>
      </c>
      <c r="L366" s="834">
        <v>7.1</v>
      </c>
      <c r="M366" s="834">
        <v>7.4</v>
      </c>
      <c r="N366" s="834">
        <v>8.6999999999999993</v>
      </c>
      <c r="O366" s="834">
        <v>12</v>
      </c>
      <c r="P366" s="834">
        <v>10.3</v>
      </c>
    </row>
    <row r="367" spans="2:16">
      <c r="B367" s="833" t="s">
        <v>3508</v>
      </c>
      <c r="C367" s="834">
        <v>35</v>
      </c>
      <c r="D367" s="834">
        <v>9.3000000000000007</v>
      </c>
      <c r="E367" s="834">
        <v>9.1999999999999993</v>
      </c>
      <c r="F367" s="834">
        <v>8.8000000000000007</v>
      </c>
      <c r="G367" s="834">
        <v>8.8000000000000007</v>
      </c>
      <c r="H367" s="834">
        <v>10.7</v>
      </c>
      <c r="I367" s="834">
        <v>12.5</v>
      </c>
      <c r="J367" s="834">
        <v>13.1</v>
      </c>
      <c r="K367" s="834">
        <v>13.2</v>
      </c>
      <c r="L367" s="834">
        <v>12.8</v>
      </c>
      <c r="M367" s="834">
        <v>12.2</v>
      </c>
      <c r="N367" s="834">
        <v>10.8</v>
      </c>
      <c r="O367" s="834">
        <v>9.6999999999999993</v>
      </c>
      <c r="P367" s="834">
        <v>10.9</v>
      </c>
    </row>
    <row r="368" spans="2:16">
      <c r="B368" s="833" t="s">
        <v>3509</v>
      </c>
      <c r="C368" s="834">
        <v>28</v>
      </c>
      <c r="D368" s="834">
        <v>8.1</v>
      </c>
      <c r="E368" s="834">
        <v>8.4</v>
      </c>
      <c r="F368" s="834">
        <v>7.7</v>
      </c>
      <c r="G368" s="834">
        <v>7.1</v>
      </c>
      <c r="H368" s="834">
        <v>6.5</v>
      </c>
      <c r="I368" s="834">
        <v>5.8</v>
      </c>
      <c r="J368" s="834">
        <v>5</v>
      </c>
      <c r="K368" s="834">
        <v>4.7</v>
      </c>
      <c r="L368" s="834">
        <v>5</v>
      </c>
      <c r="M368" s="834">
        <v>4.9000000000000004</v>
      </c>
      <c r="N368" s="834">
        <v>5.4</v>
      </c>
      <c r="O368" s="834">
        <v>7.2</v>
      </c>
      <c r="P368" s="834">
        <v>6.3</v>
      </c>
    </row>
    <row r="369" spans="2:16">
      <c r="B369" s="833" t="s">
        <v>3510</v>
      </c>
      <c r="C369" s="834">
        <v>37</v>
      </c>
      <c r="D369" s="834">
        <v>11</v>
      </c>
      <c r="E369" s="834">
        <v>11.3</v>
      </c>
      <c r="F369" s="834">
        <v>10.9</v>
      </c>
      <c r="G369" s="834">
        <v>9.9</v>
      </c>
      <c r="H369" s="834">
        <v>8.8000000000000007</v>
      </c>
      <c r="I369" s="834">
        <v>7.5</v>
      </c>
      <c r="J369" s="834">
        <v>7.4</v>
      </c>
      <c r="K369" s="834">
        <v>7.7</v>
      </c>
      <c r="L369" s="834">
        <v>7.9</v>
      </c>
      <c r="M369" s="834">
        <v>7.8</v>
      </c>
      <c r="N369" s="834">
        <v>8.1</v>
      </c>
      <c r="O369" s="834">
        <v>9.9</v>
      </c>
      <c r="P369" s="834">
        <v>9</v>
      </c>
    </row>
    <row r="370" spans="2:16">
      <c r="B370" s="833" t="s">
        <v>3511</v>
      </c>
      <c r="C370" s="834">
        <v>43</v>
      </c>
      <c r="D370" s="834">
        <v>13.6</v>
      </c>
      <c r="E370" s="834">
        <v>13.5</v>
      </c>
      <c r="F370" s="834">
        <v>14.5</v>
      </c>
      <c r="G370" s="834">
        <v>15.6</v>
      </c>
      <c r="H370" s="834">
        <v>14.3</v>
      </c>
      <c r="I370" s="834">
        <v>12.6</v>
      </c>
      <c r="J370" s="834">
        <v>12.6</v>
      </c>
      <c r="K370" s="834">
        <v>12</v>
      </c>
      <c r="L370" s="834">
        <v>12.4</v>
      </c>
      <c r="M370" s="834">
        <v>14</v>
      </c>
      <c r="N370" s="834">
        <v>16</v>
      </c>
      <c r="O370" s="834">
        <v>14.9</v>
      </c>
      <c r="P370" s="834">
        <v>13.8</v>
      </c>
    </row>
    <row r="371" spans="2:16">
      <c r="B371" s="833" t="s">
        <v>3512</v>
      </c>
      <c r="C371" s="834">
        <v>33</v>
      </c>
      <c r="D371" s="834">
        <v>9.6</v>
      </c>
      <c r="E371" s="834">
        <v>10.1</v>
      </c>
      <c r="F371" s="834">
        <v>9.6999999999999993</v>
      </c>
      <c r="G371" s="834">
        <v>8.9</v>
      </c>
      <c r="H371" s="834">
        <v>7.8</v>
      </c>
      <c r="I371" s="834">
        <v>6.9</v>
      </c>
      <c r="J371" s="834">
        <v>6.6</v>
      </c>
      <c r="K371" s="834">
        <v>6.9</v>
      </c>
      <c r="L371" s="834">
        <v>6.9</v>
      </c>
      <c r="M371" s="834">
        <v>6.4</v>
      </c>
      <c r="N371" s="834">
        <v>7.4</v>
      </c>
      <c r="O371" s="834">
        <v>8.8000000000000007</v>
      </c>
      <c r="P371" s="834">
        <v>8</v>
      </c>
    </row>
    <row r="372" spans="2:16">
      <c r="B372" s="833" t="s">
        <v>3513</v>
      </c>
      <c r="C372" s="834">
        <v>53</v>
      </c>
      <c r="D372" s="834">
        <v>10.1</v>
      </c>
      <c r="E372" s="834">
        <v>10.5</v>
      </c>
      <c r="F372" s="834">
        <v>11.1</v>
      </c>
      <c r="G372" s="834">
        <v>10.3</v>
      </c>
      <c r="H372" s="834">
        <v>9</v>
      </c>
      <c r="I372" s="834">
        <v>8.1</v>
      </c>
      <c r="J372" s="834">
        <v>7.2</v>
      </c>
      <c r="K372" s="834">
        <v>6.8</v>
      </c>
      <c r="L372" s="834">
        <v>7.3</v>
      </c>
      <c r="M372" s="834">
        <v>8</v>
      </c>
      <c r="N372" s="834">
        <v>9.1999999999999993</v>
      </c>
      <c r="O372" s="834">
        <v>9.5</v>
      </c>
      <c r="P372" s="834">
        <v>8.9</v>
      </c>
    </row>
    <row r="373" spans="2:16">
      <c r="B373" s="833" t="s">
        <v>3514</v>
      </c>
      <c r="C373" s="834">
        <v>48</v>
      </c>
      <c r="D373" s="834">
        <v>13.1</v>
      </c>
      <c r="E373" s="834">
        <v>12</v>
      </c>
      <c r="F373" s="834">
        <v>11.9</v>
      </c>
      <c r="G373" s="834">
        <v>11.2</v>
      </c>
      <c r="H373" s="834">
        <v>9.9</v>
      </c>
      <c r="I373" s="834">
        <v>9.6</v>
      </c>
      <c r="J373" s="834">
        <v>9</v>
      </c>
      <c r="K373" s="834">
        <v>9</v>
      </c>
      <c r="L373" s="834">
        <v>9.9</v>
      </c>
      <c r="M373" s="834">
        <v>11.1</v>
      </c>
      <c r="N373" s="834">
        <v>12.8</v>
      </c>
      <c r="O373" s="834">
        <v>13</v>
      </c>
      <c r="P373" s="834">
        <v>11</v>
      </c>
    </row>
    <row r="374" spans="2:16">
      <c r="B374" s="833" t="s">
        <v>3515</v>
      </c>
      <c r="C374" s="834">
        <v>48</v>
      </c>
      <c r="D374" s="834">
        <v>8.1999999999999993</v>
      </c>
      <c r="E374" s="834">
        <v>9</v>
      </c>
      <c r="F374" s="834">
        <v>9.5</v>
      </c>
      <c r="G374" s="834">
        <v>9.1</v>
      </c>
      <c r="H374" s="834">
        <v>7.6</v>
      </c>
      <c r="I374" s="834">
        <v>6.8</v>
      </c>
      <c r="J374" s="834">
        <v>6.2</v>
      </c>
      <c r="K374" s="834">
        <v>5.8</v>
      </c>
      <c r="L374" s="834">
        <v>6</v>
      </c>
      <c r="M374" s="834">
        <v>6.6</v>
      </c>
      <c r="N374" s="834">
        <v>7.8</v>
      </c>
      <c r="O374" s="834">
        <v>8</v>
      </c>
      <c r="P374" s="834">
        <v>7.5</v>
      </c>
    </row>
    <row r="375" spans="2:16">
      <c r="B375" s="833" t="s">
        <v>3516</v>
      </c>
      <c r="C375" s="834">
        <v>60</v>
      </c>
      <c r="D375" s="834">
        <v>8.6</v>
      </c>
      <c r="E375" s="834">
        <v>9.1</v>
      </c>
      <c r="F375" s="834">
        <v>9.8000000000000007</v>
      </c>
      <c r="G375" s="834">
        <v>9.3000000000000007</v>
      </c>
      <c r="H375" s="834">
        <v>7.8</v>
      </c>
      <c r="I375" s="834">
        <v>6.9</v>
      </c>
      <c r="J375" s="834">
        <v>6.3</v>
      </c>
      <c r="K375" s="834">
        <v>5.9</v>
      </c>
      <c r="L375" s="834">
        <v>6.1</v>
      </c>
      <c r="M375" s="834">
        <v>6.6</v>
      </c>
      <c r="N375" s="834">
        <v>7.9</v>
      </c>
      <c r="O375" s="834">
        <v>8.1</v>
      </c>
      <c r="P375" s="834">
        <v>7.7</v>
      </c>
    </row>
    <row r="376" spans="2:16">
      <c r="B376" s="833" t="s">
        <v>3517</v>
      </c>
      <c r="C376" s="834">
        <v>62</v>
      </c>
      <c r="D376" s="834">
        <v>10.3</v>
      </c>
      <c r="E376" s="834">
        <v>10.9</v>
      </c>
      <c r="F376" s="834">
        <v>11.3</v>
      </c>
      <c r="G376" s="834">
        <v>10.8</v>
      </c>
      <c r="H376" s="834">
        <v>9.5</v>
      </c>
      <c r="I376" s="834">
        <v>8.8000000000000007</v>
      </c>
      <c r="J376" s="834">
        <v>8.1999999999999993</v>
      </c>
      <c r="K376" s="834">
        <v>8</v>
      </c>
      <c r="L376" s="834">
        <v>8.3000000000000007</v>
      </c>
      <c r="M376" s="834">
        <v>8.8000000000000007</v>
      </c>
      <c r="N376" s="834">
        <v>9.6</v>
      </c>
      <c r="O376" s="834">
        <v>10</v>
      </c>
      <c r="P376" s="834">
        <v>9.5</v>
      </c>
    </row>
    <row r="377" spans="2:16">
      <c r="B377" s="833" t="s">
        <v>3518</v>
      </c>
      <c r="C377" s="834">
        <v>50</v>
      </c>
      <c r="D377" s="834">
        <v>10.4</v>
      </c>
      <c r="E377" s="834">
        <v>10.3</v>
      </c>
      <c r="F377" s="834">
        <v>10.6</v>
      </c>
      <c r="G377" s="834">
        <v>10.199999999999999</v>
      </c>
      <c r="H377" s="834">
        <v>8.6999999999999993</v>
      </c>
      <c r="I377" s="834">
        <v>8</v>
      </c>
      <c r="J377" s="834">
        <v>7.3</v>
      </c>
      <c r="K377" s="834">
        <v>6.8</v>
      </c>
      <c r="L377" s="834">
        <v>7.4</v>
      </c>
      <c r="M377" s="834">
        <v>8.3000000000000007</v>
      </c>
      <c r="N377" s="834">
        <v>9.6999999999999993</v>
      </c>
      <c r="O377" s="834">
        <v>10.1</v>
      </c>
      <c r="P377" s="834">
        <v>9</v>
      </c>
    </row>
    <row r="378" spans="2:16">
      <c r="B378" s="833" t="s">
        <v>3519</v>
      </c>
      <c r="C378" s="834">
        <v>47</v>
      </c>
      <c r="D378" s="834">
        <v>8.8000000000000007</v>
      </c>
      <c r="E378" s="834">
        <v>9</v>
      </c>
      <c r="F378" s="834">
        <v>9.4</v>
      </c>
      <c r="G378" s="834">
        <v>9.3000000000000007</v>
      </c>
      <c r="H378" s="834">
        <v>8.4</v>
      </c>
      <c r="I378" s="834">
        <v>7.7</v>
      </c>
      <c r="J378" s="834">
        <v>7.2</v>
      </c>
      <c r="K378" s="834">
        <v>6.9</v>
      </c>
      <c r="L378" s="834">
        <v>7.4</v>
      </c>
      <c r="M378" s="834">
        <v>7.7</v>
      </c>
      <c r="N378" s="834">
        <v>8.5</v>
      </c>
      <c r="O378" s="834">
        <v>8.6999999999999993</v>
      </c>
      <c r="P378" s="834">
        <v>8.1999999999999993</v>
      </c>
    </row>
    <row r="379" spans="2:16">
      <c r="B379" s="833" t="s">
        <v>3520</v>
      </c>
      <c r="C379" s="834">
        <v>40</v>
      </c>
      <c r="D379" s="834">
        <v>8.6</v>
      </c>
      <c r="E379" s="834">
        <v>8.6999999999999993</v>
      </c>
      <c r="F379" s="834">
        <v>9</v>
      </c>
      <c r="G379" s="834">
        <v>8.9</v>
      </c>
      <c r="H379" s="834">
        <v>7.7</v>
      </c>
      <c r="I379" s="834">
        <v>6.8</v>
      </c>
      <c r="J379" s="834">
        <v>6.3</v>
      </c>
      <c r="K379" s="834">
        <v>5.9</v>
      </c>
      <c r="L379" s="834">
        <v>6.1</v>
      </c>
      <c r="M379" s="834">
        <v>6.6</v>
      </c>
      <c r="N379" s="834">
        <v>7.9</v>
      </c>
      <c r="O379" s="834">
        <v>8.1999999999999993</v>
      </c>
      <c r="P379" s="834">
        <v>7.6</v>
      </c>
    </row>
    <row r="380" spans="2:16">
      <c r="B380" s="833" t="s">
        <v>3521</v>
      </c>
      <c r="C380" s="834">
        <v>6</v>
      </c>
      <c r="D380" s="834">
        <v>12.6</v>
      </c>
      <c r="E380" s="834">
        <v>12.1</v>
      </c>
      <c r="F380" s="834">
        <v>11.8</v>
      </c>
      <c r="G380" s="834">
        <v>10.9</v>
      </c>
      <c r="H380" s="834">
        <v>10.199999999999999</v>
      </c>
      <c r="I380" s="834">
        <v>9.9</v>
      </c>
      <c r="J380" s="834">
        <v>9.6</v>
      </c>
      <c r="K380" s="834">
        <v>8.1</v>
      </c>
      <c r="L380" s="834">
        <v>8</v>
      </c>
      <c r="M380" s="834">
        <v>9.3000000000000007</v>
      </c>
      <c r="N380" s="834">
        <v>12.6</v>
      </c>
      <c r="O380" s="834">
        <v>11.8</v>
      </c>
      <c r="P380" s="834">
        <v>10.6</v>
      </c>
    </row>
    <row r="381" spans="2:16">
      <c r="B381" s="833" t="s">
        <v>3522</v>
      </c>
      <c r="C381" s="834">
        <v>49</v>
      </c>
      <c r="D381" s="834">
        <v>10.9</v>
      </c>
      <c r="E381" s="834">
        <v>11.4</v>
      </c>
      <c r="F381" s="834">
        <v>11.9</v>
      </c>
      <c r="G381" s="834">
        <v>11.8</v>
      </c>
      <c r="H381" s="834">
        <v>10.6</v>
      </c>
      <c r="I381" s="834">
        <v>9.9</v>
      </c>
      <c r="J381" s="834">
        <v>9.4</v>
      </c>
      <c r="K381" s="834">
        <v>9.1999999999999993</v>
      </c>
      <c r="L381" s="834">
        <v>9.3000000000000007</v>
      </c>
      <c r="M381" s="834">
        <v>9.5</v>
      </c>
      <c r="N381" s="834">
        <v>10.199999999999999</v>
      </c>
      <c r="O381" s="834">
        <v>10.5</v>
      </c>
      <c r="P381" s="834">
        <v>10.4</v>
      </c>
    </row>
    <row r="382" spans="2:16">
      <c r="B382" s="833" t="s">
        <v>3523</v>
      </c>
      <c r="C382" s="834">
        <v>53</v>
      </c>
      <c r="D382" s="834">
        <v>9.1</v>
      </c>
      <c r="E382" s="834">
        <v>9.8000000000000007</v>
      </c>
      <c r="F382" s="834">
        <v>10</v>
      </c>
      <c r="G382" s="834">
        <v>9.6999999999999993</v>
      </c>
      <c r="H382" s="834">
        <v>8.6</v>
      </c>
      <c r="I382" s="834">
        <v>8.3000000000000007</v>
      </c>
      <c r="J382" s="834">
        <v>7.8</v>
      </c>
      <c r="K382" s="834">
        <v>7.4</v>
      </c>
      <c r="L382" s="834">
        <v>7.7</v>
      </c>
      <c r="M382" s="834">
        <v>8</v>
      </c>
      <c r="N382" s="834">
        <v>8.1</v>
      </c>
      <c r="O382" s="834">
        <v>8.5</v>
      </c>
      <c r="P382" s="834">
        <v>8.6</v>
      </c>
    </row>
    <row r="383" spans="2:16">
      <c r="B383" s="833" t="s">
        <v>3524</v>
      </c>
      <c r="C383" s="834">
        <v>54</v>
      </c>
      <c r="D383" s="834">
        <v>7.2</v>
      </c>
      <c r="E383" s="834">
        <v>7.7</v>
      </c>
      <c r="F383" s="834">
        <v>8.1999999999999993</v>
      </c>
      <c r="G383" s="834">
        <v>8.1999999999999993</v>
      </c>
      <c r="H383" s="834">
        <v>7</v>
      </c>
      <c r="I383" s="834">
        <v>6.6</v>
      </c>
      <c r="J383" s="834">
        <v>6.3</v>
      </c>
      <c r="K383" s="834">
        <v>5.8</v>
      </c>
      <c r="L383" s="834">
        <v>6</v>
      </c>
      <c r="M383" s="834">
        <v>6.1</v>
      </c>
      <c r="N383" s="834">
        <v>6.3</v>
      </c>
      <c r="O383" s="834">
        <v>6.7</v>
      </c>
      <c r="P383" s="834">
        <v>6.8</v>
      </c>
    </row>
    <row r="384" spans="2:16">
      <c r="B384" s="833" t="s">
        <v>3525</v>
      </c>
      <c r="C384" s="834">
        <v>40</v>
      </c>
      <c r="D384" s="834">
        <v>7.6</v>
      </c>
      <c r="E384" s="834">
        <v>8</v>
      </c>
      <c r="F384" s="834">
        <v>8.3000000000000007</v>
      </c>
      <c r="G384" s="834">
        <v>8</v>
      </c>
      <c r="H384" s="834">
        <v>7</v>
      </c>
      <c r="I384" s="834">
        <v>6.5</v>
      </c>
      <c r="J384" s="834">
        <v>6.1</v>
      </c>
      <c r="K384" s="834">
        <v>5.7</v>
      </c>
      <c r="L384" s="834">
        <v>6.2</v>
      </c>
      <c r="M384" s="834">
        <v>6.5</v>
      </c>
      <c r="N384" s="834">
        <v>6.8</v>
      </c>
      <c r="O384" s="834">
        <v>7.4</v>
      </c>
      <c r="P384" s="834">
        <v>7</v>
      </c>
    </row>
    <row r="385" spans="2:16">
      <c r="B385" s="833" t="s">
        <v>3526</v>
      </c>
      <c r="C385" s="834">
        <v>26</v>
      </c>
      <c r="D385" s="834">
        <v>11.1</v>
      </c>
      <c r="E385" s="834">
        <v>11.3</v>
      </c>
      <c r="F385" s="834">
        <v>12.1</v>
      </c>
      <c r="G385" s="834">
        <v>12.7</v>
      </c>
      <c r="H385" s="834">
        <v>12.2</v>
      </c>
      <c r="I385" s="834">
        <v>10.5</v>
      </c>
      <c r="J385" s="834">
        <v>9.1999999999999993</v>
      </c>
      <c r="K385" s="834">
        <v>9.8000000000000007</v>
      </c>
      <c r="L385" s="834">
        <v>10.4</v>
      </c>
      <c r="M385" s="834">
        <v>10.8</v>
      </c>
      <c r="N385" s="834">
        <v>10.9</v>
      </c>
      <c r="O385" s="834">
        <v>10.5</v>
      </c>
      <c r="P385" s="834">
        <v>11</v>
      </c>
    </row>
    <row r="386" spans="2:16">
      <c r="B386" s="833" t="s">
        <v>3527</v>
      </c>
      <c r="C386" s="834">
        <v>63</v>
      </c>
      <c r="D386" s="834">
        <v>11.4</v>
      </c>
      <c r="E386" s="834">
        <v>11.3</v>
      </c>
      <c r="F386" s="834">
        <v>12.3</v>
      </c>
      <c r="G386" s="834">
        <v>13.2</v>
      </c>
      <c r="H386" s="834">
        <v>12.3</v>
      </c>
      <c r="I386" s="834">
        <v>11.2</v>
      </c>
      <c r="J386" s="834">
        <v>10.3</v>
      </c>
      <c r="K386" s="834">
        <v>10.4</v>
      </c>
      <c r="L386" s="834">
        <v>11.1</v>
      </c>
      <c r="M386" s="834">
        <v>11.3</v>
      </c>
      <c r="N386" s="834">
        <v>11.7</v>
      </c>
      <c r="O386" s="834">
        <v>11.1</v>
      </c>
      <c r="P386" s="834">
        <v>11.5</v>
      </c>
    </row>
    <row r="387" spans="2:16">
      <c r="B387" s="833" t="s">
        <v>3528</v>
      </c>
      <c r="C387" s="834">
        <v>52</v>
      </c>
      <c r="D387" s="834">
        <v>10.7</v>
      </c>
      <c r="E387" s="834">
        <v>11.1</v>
      </c>
      <c r="F387" s="834">
        <v>12.4</v>
      </c>
      <c r="G387" s="834">
        <v>13.1</v>
      </c>
      <c r="H387" s="834">
        <v>12.2</v>
      </c>
      <c r="I387" s="834">
        <v>10.9</v>
      </c>
      <c r="J387" s="834">
        <v>10.1</v>
      </c>
      <c r="K387" s="834">
        <v>10.199999999999999</v>
      </c>
      <c r="L387" s="834">
        <v>11</v>
      </c>
      <c r="M387" s="834">
        <v>11.2</v>
      </c>
      <c r="N387" s="834">
        <v>10.9</v>
      </c>
      <c r="O387" s="834">
        <v>10.5</v>
      </c>
      <c r="P387" s="834">
        <v>11.2</v>
      </c>
    </row>
    <row r="388" spans="2:16">
      <c r="B388" s="833" t="s">
        <v>3529</v>
      </c>
      <c r="C388" s="834">
        <v>54</v>
      </c>
      <c r="D388" s="834">
        <v>10.9</v>
      </c>
      <c r="E388" s="834">
        <v>11.1</v>
      </c>
      <c r="F388" s="834">
        <v>12.2</v>
      </c>
      <c r="G388" s="834">
        <v>12.9</v>
      </c>
      <c r="H388" s="834">
        <v>11.8</v>
      </c>
      <c r="I388" s="834">
        <v>10.7</v>
      </c>
      <c r="J388" s="834">
        <v>9.8000000000000007</v>
      </c>
      <c r="K388" s="834">
        <v>9.8000000000000007</v>
      </c>
      <c r="L388" s="834">
        <v>10.3</v>
      </c>
      <c r="M388" s="834">
        <v>10.7</v>
      </c>
      <c r="N388" s="834">
        <v>11.3</v>
      </c>
      <c r="O388" s="834">
        <v>10.7</v>
      </c>
      <c r="P388" s="834">
        <v>11</v>
      </c>
    </row>
    <row r="389" spans="2:16">
      <c r="B389" s="833" t="s">
        <v>3530</v>
      </c>
      <c r="C389" s="834">
        <v>48</v>
      </c>
      <c r="D389" s="834">
        <v>6.4</v>
      </c>
      <c r="E389" s="834">
        <v>6.6</v>
      </c>
      <c r="F389" s="834">
        <v>7.1</v>
      </c>
      <c r="G389" s="834">
        <v>6.9</v>
      </c>
      <c r="H389" s="834">
        <v>5.3</v>
      </c>
      <c r="I389" s="834">
        <v>4.7</v>
      </c>
      <c r="J389" s="834">
        <v>4.3</v>
      </c>
      <c r="K389" s="834">
        <v>3.9</v>
      </c>
      <c r="L389" s="834">
        <v>4.3</v>
      </c>
      <c r="M389" s="834">
        <v>4.5999999999999996</v>
      </c>
      <c r="N389" s="834">
        <v>5.4</v>
      </c>
      <c r="O389" s="834">
        <v>5.8</v>
      </c>
      <c r="P389" s="834">
        <v>5.4</v>
      </c>
    </row>
    <row r="390" spans="2:16">
      <c r="B390" s="833" t="s">
        <v>3531</v>
      </c>
      <c r="C390" s="834">
        <v>62</v>
      </c>
      <c r="D390" s="834">
        <v>6.9</v>
      </c>
      <c r="E390" s="834">
        <v>7.3</v>
      </c>
      <c r="F390" s="834">
        <v>7.7</v>
      </c>
      <c r="G390" s="834">
        <v>7.3</v>
      </c>
      <c r="H390" s="834">
        <v>5.9</v>
      </c>
      <c r="I390" s="834">
        <v>5.3</v>
      </c>
      <c r="J390" s="834">
        <v>5</v>
      </c>
      <c r="K390" s="834">
        <v>4.5999999999999996</v>
      </c>
      <c r="L390" s="834">
        <v>4.9000000000000004</v>
      </c>
      <c r="M390" s="834">
        <v>4.9000000000000004</v>
      </c>
      <c r="N390" s="834">
        <v>6</v>
      </c>
      <c r="O390" s="834">
        <v>6.4</v>
      </c>
      <c r="P390" s="834">
        <v>6</v>
      </c>
    </row>
    <row r="391" spans="2:16">
      <c r="B391" s="833" t="s">
        <v>3532</v>
      </c>
      <c r="C391" s="834">
        <v>60</v>
      </c>
      <c r="D391" s="834">
        <v>7.7</v>
      </c>
      <c r="E391" s="834">
        <v>8</v>
      </c>
      <c r="F391" s="834">
        <v>8.4</v>
      </c>
      <c r="G391" s="834">
        <v>8.4</v>
      </c>
      <c r="H391" s="834">
        <v>6.8</v>
      </c>
      <c r="I391" s="834">
        <v>6.3</v>
      </c>
      <c r="J391" s="834">
        <v>6</v>
      </c>
      <c r="K391" s="834">
        <v>5.5</v>
      </c>
      <c r="L391" s="834">
        <v>5.6</v>
      </c>
      <c r="M391" s="834">
        <v>5.7</v>
      </c>
      <c r="N391" s="834">
        <v>6.7</v>
      </c>
      <c r="O391" s="834">
        <v>7.2</v>
      </c>
      <c r="P391" s="834">
        <v>6.9</v>
      </c>
    </row>
    <row r="392" spans="2:16">
      <c r="B392" s="833" t="s">
        <v>3533</v>
      </c>
      <c r="C392" s="834">
        <v>54</v>
      </c>
      <c r="D392" s="834">
        <v>10</v>
      </c>
      <c r="E392" s="834">
        <v>10.1</v>
      </c>
      <c r="F392" s="834">
        <v>10.7</v>
      </c>
      <c r="G392" s="834">
        <v>10.199999999999999</v>
      </c>
      <c r="H392" s="834">
        <v>8.8000000000000007</v>
      </c>
      <c r="I392" s="834">
        <v>7.9</v>
      </c>
      <c r="J392" s="834">
        <v>7.5</v>
      </c>
      <c r="K392" s="834">
        <v>6.9</v>
      </c>
      <c r="L392" s="834">
        <v>7.5</v>
      </c>
      <c r="M392" s="834">
        <v>7.7</v>
      </c>
      <c r="N392" s="834">
        <v>9</v>
      </c>
      <c r="O392" s="834">
        <v>9.6</v>
      </c>
      <c r="P392" s="834">
        <v>8.8000000000000007</v>
      </c>
    </row>
    <row r="393" spans="2:16">
      <c r="B393" s="833" t="s">
        <v>3534</v>
      </c>
      <c r="C393" s="834">
        <v>61</v>
      </c>
      <c r="D393" s="834">
        <v>9.1</v>
      </c>
      <c r="E393" s="834">
        <v>9.3000000000000007</v>
      </c>
      <c r="F393" s="834">
        <v>9.9</v>
      </c>
      <c r="G393" s="834">
        <v>9.1999999999999993</v>
      </c>
      <c r="H393" s="834">
        <v>7.6</v>
      </c>
      <c r="I393" s="834">
        <v>7</v>
      </c>
      <c r="J393" s="834">
        <v>6.5</v>
      </c>
      <c r="K393" s="834">
        <v>6.2</v>
      </c>
      <c r="L393" s="834">
        <v>6.5</v>
      </c>
      <c r="M393" s="834">
        <v>6.8</v>
      </c>
      <c r="N393" s="834">
        <v>8.4</v>
      </c>
      <c r="O393" s="834">
        <v>8.9</v>
      </c>
      <c r="P393" s="834">
        <v>8</v>
      </c>
    </row>
    <row r="394" spans="2:16">
      <c r="B394" s="833" t="s">
        <v>3535</v>
      </c>
      <c r="C394" s="834">
        <v>19</v>
      </c>
      <c r="D394" s="834">
        <v>4.5999999999999996</v>
      </c>
      <c r="E394" s="834">
        <v>4.7</v>
      </c>
      <c r="F394" s="834">
        <v>5</v>
      </c>
      <c r="G394" s="834">
        <v>5.4</v>
      </c>
      <c r="H394" s="834">
        <v>4.2</v>
      </c>
      <c r="I394" s="834">
        <v>3.9</v>
      </c>
      <c r="J394" s="834">
        <v>3.6</v>
      </c>
      <c r="K394" s="834">
        <v>3.3</v>
      </c>
      <c r="L394" s="834">
        <v>3.4</v>
      </c>
      <c r="M394" s="834">
        <v>3.2</v>
      </c>
      <c r="N394" s="834">
        <v>3.8</v>
      </c>
      <c r="O394" s="834">
        <v>4.2</v>
      </c>
      <c r="P394" s="834">
        <v>4.0999999999999996</v>
      </c>
    </row>
    <row r="395" spans="2:16">
      <c r="B395" s="833" t="s">
        <v>3536</v>
      </c>
      <c r="C395" s="834">
        <v>58</v>
      </c>
      <c r="D395" s="834">
        <v>11.7</v>
      </c>
      <c r="E395" s="834">
        <v>12.5</v>
      </c>
      <c r="F395" s="834">
        <v>13.7</v>
      </c>
      <c r="G395" s="834">
        <v>13.8</v>
      </c>
      <c r="H395" s="834">
        <v>13</v>
      </c>
      <c r="I395" s="834">
        <v>12.4</v>
      </c>
      <c r="J395" s="834">
        <v>10.8</v>
      </c>
      <c r="K395" s="834">
        <v>10.1</v>
      </c>
      <c r="L395" s="834">
        <v>10.3</v>
      </c>
      <c r="M395" s="834">
        <v>11</v>
      </c>
      <c r="N395" s="834">
        <v>11.6</v>
      </c>
      <c r="O395" s="834">
        <v>11.7</v>
      </c>
      <c r="P395" s="834">
        <v>11.9</v>
      </c>
    </row>
    <row r="396" spans="2:16">
      <c r="B396" s="833" t="s">
        <v>3537</v>
      </c>
      <c r="C396" s="834">
        <v>61</v>
      </c>
      <c r="D396" s="834">
        <v>12.8</v>
      </c>
      <c r="E396" s="834">
        <v>13.8</v>
      </c>
      <c r="F396" s="834">
        <v>15.2</v>
      </c>
      <c r="G396" s="834">
        <v>15.2</v>
      </c>
      <c r="H396" s="834">
        <v>14.5</v>
      </c>
      <c r="I396" s="834">
        <v>14.2</v>
      </c>
      <c r="J396" s="834">
        <v>12.7</v>
      </c>
      <c r="K396" s="834">
        <v>12</v>
      </c>
      <c r="L396" s="834">
        <v>12.8</v>
      </c>
      <c r="M396" s="834">
        <v>12.8</v>
      </c>
      <c r="N396" s="834">
        <v>13</v>
      </c>
      <c r="O396" s="834">
        <v>12.7</v>
      </c>
      <c r="P396" s="834">
        <v>13.5</v>
      </c>
    </row>
    <row r="397" spans="2:16">
      <c r="B397" s="833" t="s">
        <v>3538</v>
      </c>
      <c r="C397" s="834">
        <v>61</v>
      </c>
      <c r="D397" s="834">
        <v>9.3000000000000007</v>
      </c>
      <c r="E397" s="834">
        <v>9.6999999999999993</v>
      </c>
      <c r="F397" s="834">
        <v>10.4</v>
      </c>
      <c r="G397" s="834">
        <v>10.1</v>
      </c>
      <c r="H397" s="834">
        <v>9.5</v>
      </c>
      <c r="I397" s="834">
        <v>9</v>
      </c>
      <c r="J397" s="834">
        <v>8.3000000000000007</v>
      </c>
      <c r="K397" s="834">
        <v>7.7</v>
      </c>
      <c r="L397" s="834">
        <v>7.7</v>
      </c>
      <c r="M397" s="834">
        <v>7.9</v>
      </c>
      <c r="N397" s="834">
        <v>8.6</v>
      </c>
      <c r="O397" s="834">
        <v>8.8000000000000007</v>
      </c>
      <c r="P397" s="834">
        <v>8.9</v>
      </c>
    </row>
    <row r="398" spans="2:16">
      <c r="B398" s="833" t="s">
        <v>3539</v>
      </c>
      <c r="C398" s="834">
        <v>13</v>
      </c>
      <c r="D398" s="834">
        <v>7.2</v>
      </c>
      <c r="E398" s="834">
        <v>7.4</v>
      </c>
      <c r="F398" s="834">
        <v>8.3000000000000007</v>
      </c>
      <c r="G398" s="834">
        <v>7.5</v>
      </c>
      <c r="H398" s="834">
        <v>7.6</v>
      </c>
      <c r="I398" s="834">
        <v>6.4</v>
      </c>
      <c r="J398" s="834">
        <v>6.3</v>
      </c>
      <c r="K398" s="834">
        <v>6</v>
      </c>
      <c r="L398" s="834">
        <v>6.1</v>
      </c>
      <c r="M398" s="834">
        <v>6.1</v>
      </c>
      <c r="N398" s="834">
        <v>7</v>
      </c>
      <c r="O398" s="834">
        <v>7.1</v>
      </c>
      <c r="P398" s="834">
        <v>6.9</v>
      </c>
    </row>
    <row r="399" spans="2:16">
      <c r="B399" s="833" t="s">
        <v>3540</v>
      </c>
      <c r="C399" s="834">
        <v>60</v>
      </c>
      <c r="D399" s="834">
        <v>11.1</v>
      </c>
      <c r="E399" s="834">
        <v>11.9</v>
      </c>
      <c r="F399" s="834">
        <v>13.1</v>
      </c>
      <c r="G399" s="834">
        <v>13.6</v>
      </c>
      <c r="H399" s="834">
        <v>12.9</v>
      </c>
      <c r="I399" s="834">
        <v>12</v>
      </c>
      <c r="J399" s="834">
        <v>11.3</v>
      </c>
      <c r="K399" s="834">
        <v>10.199999999999999</v>
      </c>
      <c r="L399" s="834">
        <v>9.3000000000000007</v>
      </c>
      <c r="M399" s="834">
        <v>9.4</v>
      </c>
      <c r="N399" s="834">
        <v>10.5</v>
      </c>
      <c r="O399" s="834">
        <v>10.6</v>
      </c>
      <c r="P399" s="834">
        <v>11.3</v>
      </c>
    </row>
    <row r="400" spans="2:16">
      <c r="B400" s="833" t="s">
        <v>3541</v>
      </c>
      <c r="C400" s="834">
        <v>60</v>
      </c>
      <c r="D400" s="834">
        <v>12</v>
      </c>
      <c r="E400" s="834">
        <v>12.9</v>
      </c>
      <c r="F400" s="834">
        <v>14</v>
      </c>
      <c r="G400" s="834">
        <v>14.3</v>
      </c>
      <c r="H400" s="834">
        <v>12.8</v>
      </c>
      <c r="I400" s="834">
        <v>11.7</v>
      </c>
      <c r="J400" s="834">
        <v>11.5</v>
      </c>
      <c r="K400" s="834">
        <v>11</v>
      </c>
      <c r="L400" s="834">
        <v>10.4</v>
      </c>
      <c r="M400" s="834">
        <v>10.4</v>
      </c>
      <c r="N400" s="834">
        <v>11.7</v>
      </c>
      <c r="O400" s="834">
        <v>11.6</v>
      </c>
      <c r="P400" s="834">
        <v>12</v>
      </c>
    </row>
    <row r="401" spans="2:16">
      <c r="B401" s="833" t="s">
        <v>3542</v>
      </c>
      <c r="C401" s="834">
        <v>49</v>
      </c>
      <c r="D401" s="834">
        <v>11</v>
      </c>
      <c r="E401" s="834">
        <v>11.7</v>
      </c>
      <c r="F401" s="834">
        <v>12.6</v>
      </c>
      <c r="G401" s="834">
        <v>12.4</v>
      </c>
      <c r="H401" s="834">
        <v>11.1</v>
      </c>
      <c r="I401" s="834">
        <v>10.6</v>
      </c>
      <c r="J401" s="834">
        <v>9.8000000000000007</v>
      </c>
      <c r="K401" s="834">
        <v>8.9</v>
      </c>
      <c r="L401" s="834">
        <v>9.3000000000000007</v>
      </c>
      <c r="M401" s="834">
        <v>9.6999999999999993</v>
      </c>
      <c r="N401" s="834">
        <v>10.7</v>
      </c>
      <c r="O401" s="834">
        <v>10.8</v>
      </c>
      <c r="P401" s="834">
        <v>10.7</v>
      </c>
    </row>
    <row r="402" spans="2:16">
      <c r="B402" s="833" t="s">
        <v>3543</v>
      </c>
      <c r="C402" s="834">
        <v>3</v>
      </c>
      <c r="D402" s="834">
        <v>9.1</v>
      </c>
      <c r="E402" s="834">
        <v>10.1</v>
      </c>
      <c r="F402" s="834">
        <v>10.199999999999999</v>
      </c>
      <c r="G402" s="834">
        <v>11.4</v>
      </c>
      <c r="H402" s="834">
        <v>11.8</v>
      </c>
      <c r="I402" s="834">
        <v>10.3</v>
      </c>
      <c r="J402" s="834">
        <v>9.1</v>
      </c>
      <c r="K402" s="834">
        <v>8.5</v>
      </c>
      <c r="L402" s="834">
        <v>8.1</v>
      </c>
      <c r="M402" s="834">
        <v>9</v>
      </c>
      <c r="N402" s="834">
        <v>8.3000000000000007</v>
      </c>
      <c r="O402" s="834">
        <v>9</v>
      </c>
      <c r="P402" s="834">
        <v>9.6</v>
      </c>
    </row>
    <row r="403" spans="2:16">
      <c r="B403" s="833" t="s">
        <v>3544</v>
      </c>
      <c r="C403" s="834">
        <v>23</v>
      </c>
      <c r="D403" s="834">
        <v>8.6</v>
      </c>
      <c r="E403" s="834">
        <v>9.1999999999999993</v>
      </c>
      <c r="F403" s="834">
        <v>10.7</v>
      </c>
      <c r="G403" s="834">
        <v>10.9</v>
      </c>
      <c r="H403" s="834">
        <v>10.7</v>
      </c>
      <c r="I403" s="834">
        <v>11.3</v>
      </c>
      <c r="J403" s="834">
        <v>10.7</v>
      </c>
      <c r="K403" s="834">
        <v>9.9</v>
      </c>
      <c r="L403" s="834">
        <v>8.8000000000000007</v>
      </c>
      <c r="M403" s="834">
        <v>8.9</v>
      </c>
      <c r="N403" s="834">
        <v>8</v>
      </c>
      <c r="O403" s="834">
        <v>8.1999999999999993</v>
      </c>
      <c r="P403" s="834">
        <v>9.6999999999999993</v>
      </c>
    </row>
    <row r="404" spans="2:16">
      <c r="B404" s="833" t="s">
        <v>3545</v>
      </c>
      <c r="C404" s="834">
        <v>60</v>
      </c>
      <c r="D404" s="834">
        <v>8.3000000000000007</v>
      </c>
      <c r="E404" s="834">
        <v>9.1</v>
      </c>
      <c r="F404" s="834">
        <v>10.9</v>
      </c>
      <c r="G404" s="834">
        <v>11</v>
      </c>
      <c r="H404" s="834">
        <v>10.3</v>
      </c>
      <c r="I404" s="834">
        <v>9.3000000000000007</v>
      </c>
      <c r="J404" s="834">
        <v>8.3000000000000007</v>
      </c>
      <c r="K404" s="834">
        <v>7.7</v>
      </c>
      <c r="L404" s="834">
        <v>7.6</v>
      </c>
      <c r="M404" s="834">
        <v>7.5</v>
      </c>
      <c r="N404" s="834">
        <v>8</v>
      </c>
      <c r="O404" s="834">
        <v>7.9</v>
      </c>
      <c r="P404" s="834">
        <v>8.8000000000000007</v>
      </c>
    </row>
    <row r="405" spans="2:16">
      <c r="B405" s="833" t="s">
        <v>3546</v>
      </c>
      <c r="C405" s="834">
        <v>60</v>
      </c>
      <c r="D405" s="834">
        <v>11.6</v>
      </c>
      <c r="E405" s="834">
        <v>11.8</v>
      </c>
      <c r="F405" s="834">
        <v>11.9</v>
      </c>
      <c r="G405" s="834">
        <v>12.1</v>
      </c>
      <c r="H405" s="834">
        <v>11.5</v>
      </c>
      <c r="I405" s="834">
        <v>10.7</v>
      </c>
      <c r="J405" s="834">
        <v>9.8000000000000007</v>
      </c>
      <c r="K405" s="834">
        <v>9.4</v>
      </c>
      <c r="L405" s="834">
        <v>10.1</v>
      </c>
      <c r="M405" s="834">
        <v>10.3</v>
      </c>
      <c r="N405" s="834">
        <v>11.2</v>
      </c>
      <c r="O405" s="834">
        <v>11.3</v>
      </c>
      <c r="P405" s="834">
        <v>11</v>
      </c>
    </row>
    <row r="406" spans="2:16">
      <c r="B406" s="833" t="s">
        <v>3547</v>
      </c>
      <c r="C406" s="834">
        <v>33</v>
      </c>
      <c r="D406" s="834">
        <v>8.1</v>
      </c>
      <c r="E406" s="834">
        <v>8.5</v>
      </c>
      <c r="F406" s="834">
        <v>9.1</v>
      </c>
      <c r="G406" s="834">
        <v>9</v>
      </c>
      <c r="H406" s="834">
        <v>8.1</v>
      </c>
      <c r="I406" s="834">
        <v>7.4</v>
      </c>
      <c r="J406" s="834">
        <v>6.7</v>
      </c>
      <c r="K406" s="834">
        <v>6.1</v>
      </c>
      <c r="L406" s="834">
        <v>6.5</v>
      </c>
      <c r="M406" s="834">
        <v>6.9</v>
      </c>
      <c r="N406" s="834">
        <v>7.6</v>
      </c>
      <c r="O406" s="834">
        <v>7.7</v>
      </c>
      <c r="P406" s="834">
        <v>7.6</v>
      </c>
    </row>
    <row r="407" spans="2:16">
      <c r="B407" s="833" t="s">
        <v>3548</v>
      </c>
      <c r="C407" s="834">
        <v>53</v>
      </c>
      <c r="D407" s="834">
        <v>12</v>
      </c>
      <c r="E407" s="834">
        <v>13.2</v>
      </c>
      <c r="F407" s="834">
        <v>14.6</v>
      </c>
      <c r="G407" s="834">
        <v>14.7</v>
      </c>
      <c r="H407" s="834">
        <v>14.2</v>
      </c>
      <c r="I407" s="834">
        <v>13.6</v>
      </c>
      <c r="J407" s="834">
        <v>11.4</v>
      </c>
      <c r="K407" s="834">
        <v>10.1</v>
      </c>
      <c r="L407" s="834">
        <v>10.5</v>
      </c>
      <c r="M407" s="834">
        <v>11.2</v>
      </c>
      <c r="N407" s="834">
        <v>11.7</v>
      </c>
      <c r="O407" s="834">
        <v>11.8</v>
      </c>
      <c r="P407" s="834">
        <v>12.4</v>
      </c>
    </row>
    <row r="408" spans="2:16">
      <c r="B408" s="833" t="s">
        <v>3549</v>
      </c>
      <c r="C408" s="834">
        <v>49</v>
      </c>
      <c r="D408" s="834">
        <v>10.4</v>
      </c>
      <c r="E408" s="834">
        <v>11.2</v>
      </c>
      <c r="F408" s="834">
        <v>12.5</v>
      </c>
      <c r="G408" s="834">
        <v>12.8</v>
      </c>
      <c r="H408" s="834">
        <v>12.5</v>
      </c>
      <c r="I408" s="834">
        <v>12.3</v>
      </c>
      <c r="J408" s="834">
        <v>10.8</v>
      </c>
      <c r="K408" s="834">
        <v>10.1</v>
      </c>
      <c r="L408" s="834">
        <v>10.1</v>
      </c>
      <c r="M408" s="834">
        <v>10.1</v>
      </c>
      <c r="N408" s="834">
        <v>10.4</v>
      </c>
      <c r="O408" s="834">
        <v>10.1</v>
      </c>
      <c r="P408" s="834">
        <v>11.1</v>
      </c>
    </row>
    <row r="409" spans="2:16">
      <c r="B409" s="833" t="s">
        <v>3550</v>
      </c>
      <c r="C409" s="834">
        <v>49</v>
      </c>
      <c r="D409" s="834">
        <v>10.7</v>
      </c>
      <c r="E409" s="834">
        <v>11.2</v>
      </c>
      <c r="F409" s="834">
        <v>11.5</v>
      </c>
      <c r="G409" s="834">
        <v>11.5</v>
      </c>
      <c r="H409" s="834">
        <v>10.1</v>
      </c>
      <c r="I409" s="834">
        <v>8.6999999999999993</v>
      </c>
      <c r="J409" s="834">
        <v>7.4</v>
      </c>
      <c r="K409" s="834">
        <v>7.1</v>
      </c>
      <c r="L409" s="834">
        <v>8.1999999999999993</v>
      </c>
      <c r="M409" s="834">
        <v>8.8000000000000007</v>
      </c>
      <c r="N409" s="834">
        <v>9.9</v>
      </c>
      <c r="O409" s="834">
        <v>10.3</v>
      </c>
      <c r="P409" s="834">
        <v>9.6</v>
      </c>
    </row>
    <row r="410" spans="2:16">
      <c r="B410" s="833" t="s">
        <v>3551</v>
      </c>
      <c r="C410" s="834">
        <v>53</v>
      </c>
      <c r="D410" s="834">
        <v>10.199999999999999</v>
      </c>
      <c r="E410" s="834">
        <v>10.8</v>
      </c>
      <c r="F410" s="834">
        <v>12</v>
      </c>
      <c r="G410" s="834">
        <v>12.1</v>
      </c>
      <c r="H410" s="834">
        <v>11.1</v>
      </c>
      <c r="I410" s="834">
        <v>10.8</v>
      </c>
      <c r="J410" s="834">
        <v>9.8000000000000007</v>
      </c>
      <c r="K410" s="834">
        <v>8.9</v>
      </c>
      <c r="L410" s="834">
        <v>8.9</v>
      </c>
      <c r="M410" s="834">
        <v>9.3000000000000007</v>
      </c>
      <c r="N410" s="834">
        <v>10</v>
      </c>
      <c r="O410" s="834">
        <v>9.9</v>
      </c>
      <c r="P410" s="834">
        <v>10.3</v>
      </c>
    </row>
    <row r="411" spans="2:16">
      <c r="B411" s="833" t="s">
        <v>3552</v>
      </c>
      <c r="C411" s="834">
        <v>60</v>
      </c>
      <c r="D411" s="834">
        <v>8.8000000000000007</v>
      </c>
      <c r="E411" s="834">
        <v>9.3000000000000007</v>
      </c>
      <c r="F411" s="834">
        <v>10.1</v>
      </c>
      <c r="G411" s="834">
        <v>10.1</v>
      </c>
      <c r="H411" s="834">
        <v>9.8000000000000007</v>
      </c>
      <c r="I411" s="834">
        <v>9.6999999999999993</v>
      </c>
      <c r="J411" s="834">
        <v>9.1</v>
      </c>
      <c r="K411" s="834">
        <v>8.4</v>
      </c>
      <c r="L411" s="834">
        <v>8.3000000000000007</v>
      </c>
      <c r="M411" s="834">
        <v>8.3000000000000007</v>
      </c>
      <c r="N411" s="834">
        <v>8.6</v>
      </c>
      <c r="O411" s="834">
        <v>8.4</v>
      </c>
      <c r="P411" s="834">
        <v>9.1</v>
      </c>
    </row>
    <row r="412" spans="2:16">
      <c r="B412" s="833" t="s">
        <v>3553</v>
      </c>
      <c r="C412" s="834">
        <v>41</v>
      </c>
      <c r="D412" s="834">
        <v>10.4</v>
      </c>
      <c r="E412" s="834">
        <v>10.9</v>
      </c>
      <c r="F412" s="834">
        <v>11.4</v>
      </c>
      <c r="G412" s="834">
        <v>11.7</v>
      </c>
      <c r="H412" s="834">
        <v>10.7</v>
      </c>
      <c r="I412" s="834">
        <v>9.6999999999999993</v>
      </c>
      <c r="J412" s="834">
        <v>8.9</v>
      </c>
      <c r="K412" s="834">
        <v>8.3000000000000007</v>
      </c>
      <c r="L412" s="834">
        <v>8.5</v>
      </c>
      <c r="M412" s="834">
        <v>8.9</v>
      </c>
      <c r="N412" s="834">
        <v>9.6</v>
      </c>
      <c r="O412" s="834">
        <v>10</v>
      </c>
      <c r="P412" s="834">
        <v>9.9</v>
      </c>
    </row>
    <row r="413" spans="2:16">
      <c r="B413" s="833" t="s">
        <v>3554</v>
      </c>
      <c r="C413" s="834">
        <v>53</v>
      </c>
      <c r="D413" s="834">
        <v>11.3</v>
      </c>
      <c r="E413" s="834">
        <v>11.7</v>
      </c>
      <c r="F413" s="834">
        <v>12.7</v>
      </c>
      <c r="G413" s="834">
        <v>12.6</v>
      </c>
      <c r="H413" s="834">
        <v>11.5</v>
      </c>
      <c r="I413" s="834">
        <v>11</v>
      </c>
      <c r="J413" s="834">
        <v>10.7</v>
      </c>
      <c r="K413" s="834">
        <v>9.8000000000000007</v>
      </c>
      <c r="L413" s="834">
        <v>9.6</v>
      </c>
      <c r="M413" s="834">
        <v>10</v>
      </c>
      <c r="N413" s="834">
        <v>10.8</v>
      </c>
      <c r="O413" s="834">
        <v>10.9</v>
      </c>
      <c r="P413" s="834">
        <v>11.1</v>
      </c>
    </row>
    <row r="414" spans="2:16">
      <c r="B414" s="833" t="s">
        <v>3555</v>
      </c>
      <c r="C414" s="834">
        <v>54</v>
      </c>
      <c r="D414" s="834">
        <v>11.3</v>
      </c>
      <c r="E414" s="834">
        <v>11.9</v>
      </c>
      <c r="F414" s="834">
        <v>13.1</v>
      </c>
      <c r="G414" s="834">
        <v>13.1</v>
      </c>
      <c r="H414" s="834">
        <v>12.2</v>
      </c>
      <c r="I414" s="834">
        <v>12.1</v>
      </c>
      <c r="J414" s="834">
        <v>11.1</v>
      </c>
      <c r="K414" s="834">
        <v>10.3</v>
      </c>
      <c r="L414" s="834">
        <v>10.4</v>
      </c>
      <c r="M414" s="834">
        <v>10.7</v>
      </c>
      <c r="N414" s="834">
        <v>11.4</v>
      </c>
      <c r="O414" s="834">
        <v>11.1</v>
      </c>
      <c r="P414" s="834">
        <v>11.6</v>
      </c>
    </row>
    <row r="415" spans="2:16">
      <c r="B415" s="833" t="s">
        <v>3556</v>
      </c>
      <c r="C415" s="834">
        <v>73</v>
      </c>
      <c r="D415" s="834">
        <v>7.5</v>
      </c>
      <c r="E415" s="834">
        <v>8.1</v>
      </c>
      <c r="F415" s="834">
        <v>9.3000000000000007</v>
      </c>
      <c r="G415" s="834">
        <v>9.6</v>
      </c>
      <c r="H415" s="834">
        <v>9.4</v>
      </c>
      <c r="I415" s="834">
        <v>9.4</v>
      </c>
      <c r="J415" s="834">
        <v>9.5</v>
      </c>
      <c r="K415" s="834">
        <v>9.6999999999999993</v>
      </c>
      <c r="L415" s="834">
        <v>9.1</v>
      </c>
      <c r="M415" s="834">
        <v>8.5</v>
      </c>
      <c r="N415" s="834">
        <v>8</v>
      </c>
      <c r="O415" s="834">
        <v>7.6</v>
      </c>
      <c r="P415" s="834">
        <v>8.8000000000000007</v>
      </c>
    </row>
    <row r="416" spans="2:16">
      <c r="B416" s="833" t="s">
        <v>3557</v>
      </c>
      <c r="C416" s="834">
        <v>59</v>
      </c>
      <c r="D416" s="834">
        <v>9.6999999999999993</v>
      </c>
      <c r="E416" s="834">
        <v>9.4</v>
      </c>
      <c r="F416" s="834">
        <v>9.4</v>
      </c>
      <c r="G416" s="834">
        <v>9.5</v>
      </c>
      <c r="H416" s="834">
        <v>9</v>
      </c>
      <c r="I416" s="834">
        <v>8.5</v>
      </c>
      <c r="J416" s="834">
        <v>8</v>
      </c>
      <c r="K416" s="834">
        <v>7.7</v>
      </c>
      <c r="L416" s="834">
        <v>8.3000000000000007</v>
      </c>
      <c r="M416" s="834">
        <v>8.8000000000000007</v>
      </c>
      <c r="N416" s="834">
        <v>9.6</v>
      </c>
      <c r="O416" s="834">
        <v>9.9</v>
      </c>
      <c r="P416" s="834">
        <v>9</v>
      </c>
    </row>
    <row r="417" spans="2:16">
      <c r="B417" s="833" t="s">
        <v>3558</v>
      </c>
      <c r="C417" s="834">
        <v>35</v>
      </c>
      <c r="D417" s="834">
        <v>8</v>
      </c>
      <c r="E417" s="834">
        <v>8.1</v>
      </c>
      <c r="F417" s="834">
        <v>8.5</v>
      </c>
      <c r="G417" s="834">
        <v>8.4</v>
      </c>
      <c r="H417" s="834">
        <v>7</v>
      </c>
      <c r="I417" s="834">
        <v>6.3</v>
      </c>
      <c r="J417" s="834">
        <v>5.9</v>
      </c>
      <c r="K417" s="834">
        <v>5.6</v>
      </c>
      <c r="L417" s="834">
        <v>6.2</v>
      </c>
      <c r="M417" s="834">
        <v>6.5</v>
      </c>
      <c r="N417" s="834">
        <v>7.2</v>
      </c>
      <c r="O417" s="834">
        <v>7.1</v>
      </c>
      <c r="P417" s="834">
        <v>7.1</v>
      </c>
    </row>
    <row r="418" spans="2:16">
      <c r="B418" s="833" t="s">
        <v>3559</v>
      </c>
      <c r="C418" s="834">
        <v>54</v>
      </c>
      <c r="D418" s="834">
        <v>11.4</v>
      </c>
      <c r="E418" s="834">
        <v>11.8</v>
      </c>
      <c r="F418" s="834">
        <v>12.3</v>
      </c>
      <c r="G418" s="834">
        <v>11.8</v>
      </c>
      <c r="H418" s="834">
        <v>10.4</v>
      </c>
      <c r="I418" s="834">
        <v>9.6999999999999993</v>
      </c>
      <c r="J418" s="834">
        <v>8.9</v>
      </c>
      <c r="K418" s="834">
        <v>8.8000000000000007</v>
      </c>
      <c r="L418" s="834">
        <v>9.6</v>
      </c>
      <c r="M418" s="834">
        <v>10.199999999999999</v>
      </c>
      <c r="N418" s="834">
        <v>10.3</v>
      </c>
      <c r="O418" s="834">
        <v>10.9</v>
      </c>
      <c r="P418" s="834">
        <v>10.5</v>
      </c>
    </row>
    <row r="419" spans="2:16">
      <c r="B419" s="833" t="s">
        <v>3560</v>
      </c>
      <c r="C419" s="834">
        <v>54</v>
      </c>
      <c r="D419" s="834">
        <v>8.1</v>
      </c>
      <c r="E419" s="834">
        <v>8.6</v>
      </c>
      <c r="F419" s="834">
        <v>9.1</v>
      </c>
      <c r="G419" s="834">
        <v>9</v>
      </c>
      <c r="H419" s="834">
        <v>7.9</v>
      </c>
      <c r="I419" s="834">
        <v>7.4</v>
      </c>
      <c r="J419" s="834">
        <v>6.9</v>
      </c>
      <c r="K419" s="834">
        <v>6.5</v>
      </c>
      <c r="L419" s="834">
        <v>6.7</v>
      </c>
      <c r="M419" s="834">
        <v>7</v>
      </c>
      <c r="N419" s="834">
        <v>7.6</v>
      </c>
      <c r="O419" s="834">
        <v>7.8</v>
      </c>
      <c r="P419" s="834">
        <v>7.7</v>
      </c>
    </row>
    <row r="420" spans="2:16">
      <c r="B420" s="833" t="s">
        <v>3561</v>
      </c>
      <c r="C420" s="834">
        <v>54</v>
      </c>
      <c r="D420" s="834">
        <v>9.3000000000000007</v>
      </c>
      <c r="E420" s="834">
        <v>9.4</v>
      </c>
      <c r="F420" s="834">
        <v>10</v>
      </c>
      <c r="G420" s="834">
        <v>9.6</v>
      </c>
      <c r="H420" s="834">
        <v>7.8</v>
      </c>
      <c r="I420" s="834">
        <v>6.8</v>
      </c>
      <c r="J420" s="834">
        <v>6.5</v>
      </c>
      <c r="K420" s="834">
        <v>6.1</v>
      </c>
      <c r="L420" s="834">
        <v>6</v>
      </c>
      <c r="M420" s="834">
        <v>6.8</v>
      </c>
      <c r="N420" s="834">
        <v>8.1</v>
      </c>
      <c r="O420" s="834">
        <v>8.6</v>
      </c>
      <c r="P420" s="834">
        <v>7.9</v>
      </c>
    </row>
    <row r="421" spans="2:16">
      <c r="B421" s="833" t="s">
        <v>3562</v>
      </c>
      <c r="C421" s="834">
        <v>49</v>
      </c>
      <c r="D421" s="834">
        <v>7</v>
      </c>
      <c r="E421" s="834">
        <v>7</v>
      </c>
      <c r="F421" s="834">
        <v>7.2</v>
      </c>
      <c r="G421" s="834">
        <v>7.3</v>
      </c>
      <c r="H421" s="834">
        <v>6.9</v>
      </c>
      <c r="I421" s="834">
        <v>6.7</v>
      </c>
      <c r="J421" s="834">
        <v>6.2</v>
      </c>
      <c r="K421" s="834">
        <v>6</v>
      </c>
      <c r="L421" s="834">
        <v>5.7</v>
      </c>
      <c r="M421" s="834">
        <v>5.8</v>
      </c>
      <c r="N421" s="834">
        <v>6.8</v>
      </c>
      <c r="O421" s="834">
        <v>7.1</v>
      </c>
      <c r="P421" s="834">
        <v>6.6</v>
      </c>
    </row>
    <row r="422" spans="2:16">
      <c r="B422" s="833" t="s">
        <v>3563</v>
      </c>
      <c r="C422" s="834">
        <v>36</v>
      </c>
      <c r="D422" s="834">
        <v>6.7</v>
      </c>
      <c r="E422" s="834">
        <v>6.8</v>
      </c>
      <c r="F422" s="834">
        <v>6.6</v>
      </c>
      <c r="G422" s="834">
        <v>6.2</v>
      </c>
      <c r="H422" s="834">
        <v>5.9</v>
      </c>
      <c r="I422" s="834">
        <v>5.7</v>
      </c>
      <c r="J422" s="834">
        <v>5.4</v>
      </c>
      <c r="K422" s="834">
        <v>5.0999999999999996</v>
      </c>
      <c r="L422" s="834">
        <v>4.8</v>
      </c>
      <c r="M422" s="834">
        <v>5.3</v>
      </c>
      <c r="N422" s="834">
        <v>6.3</v>
      </c>
      <c r="O422" s="834">
        <v>6.5</v>
      </c>
      <c r="P422" s="834">
        <v>5.9</v>
      </c>
    </row>
    <row r="423" spans="2:16">
      <c r="B423" s="833" t="s">
        <v>3564</v>
      </c>
      <c r="C423" s="834">
        <v>54</v>
      </c>
      <c r="D423" s="834">
        <v>9.5</v>
      </c>
      <c r="E423" s="834">
        <v>9.4</v>
      </c>
      <c r="F423" s="834">
        <v>9.4</v>
      </c>
      <c r="G423" s="834">
        <v>9.4</v>
      </c>
      <c r="H423" s="834">
        <v>8.9</v>
      </c>
      <c r="I423" s="834">
        <v>8.6</v>
      </c>
      <c r="J423" s="834">
        <v>8.1</v>
      </c>
      <c r="K423" s="834">
        <v>7.8</v>
      </c>
      <c r="L423" s="834">
        <v>8</v>
      </c>
      <c r="M423" s="834">
        <v>8.3000000000000007</v>
      </c>
      <c r="N423" s="834">
        <v>9.1</v>
      </c>
      <c r="O423" s="834">
        <v>9.6</v>
      </c>
      <c r="P423" s="834">
        <v>8.8000000000000007</v>
      </c>
    </row>
    <row r="424" spans="2:16">
      <c r="B424" s="833" t="s">
        <v>3565</v>
      </c>
      <c r="C424" s="834">
        <v>55</v>
      </c>
      <c r="D424" s="834">
        <v>8.6999999999999993</v>
      </c>
      <c r="E424" s="834">
        <v>9.1999999999999993</v>
      </c>
      <c r="F424" s="834">
        <v>9.6999999999999993</v>
      </c>
      <c r="G424" s="834">
        <v>10</v>
      </c>
      <c r="H424" s="834">
        <v>9.1999999999999993</v>
      </c>
      <c r="I424" s="834">
        <v>9.3000000000000007</v>
      </c>
      <c r="J424" s="834">
        <v>8.6</v>
      </c>
      <c r="K424" s="834">
        <v>8.3000000000000007</v>
      </c>
      <c r="L424" s="834">
        <v>8.1999999999999993</v>
      </c>
      <c r="M424" s="834">
        <v>8.1999999999999993</v>
      </c>
      <c r="N424" s="834">
        <v>8.6</v>
      </c>
      <c r="O424" s="834">
        <v>8.6999999999999993</v>
      </c>
      <c r="P424" s="834">
        <v>8.9</v>
      </c>
    </row>
    <row r="425" spans="2:16">
      <c r="B425" s="833" t="s">
        <v>3566</v>
      </c>
      <c r="C425" s="834">
        <v>48</v>
      </c>
      <c r="D425" s="834">
        <v>5.6</v>
      </c>
      <c r="E425" s="834">
        <v>6.4</v>
      </c>
      <c r="F425" s="834">
        <v>7.9</v>
      </c>
      <c r="G425" s="834">
        <v>8.6</v>
      </c>
      <c r="H425" s="834">
        <v>8.5</v>
      </c>
      <c r="I425" s="834">
        <v>8.1999999999999993</v>
      </c>
      <c r="J425" s="834">
        <v>7.8</v>
      </c>
      <c r="K425" s="834">
        <v>7.4</v>
      </c>
      <c r="L425" s="834">
        <v>7.3</v>
      </c>
      <c r="M425" s="834">
        <v>6.6</v>
      </c>
      <c r="N425" s="834">
        <v>5.8</v>
      </c>
      <c r="O425" s="834">
        <v>5.0999999999999996</v>
      </c>
      <c r="P425" s="834">
        <v>7.1</v>
      </c>
    </row>
    <row r="426" spans="2:16">
      <c r="B426" s="833" t="s">
        <v>3567</v>
      </c>
      <c r="C426" s="834">
        <v>47</v>
      </c>
      <c r="D426" s="834">
        <v>8.4</v>
      </c>
      <c r="E426" s="834">
        <v>8.6999999999999993</v>
      </c>
      <c r="F426" s="834">
        <v>9.1</v>
      </c>
      <c r="G426" s="834">
        <v>8.9</v>
      </c>
      <c r="H426" s="834">
        <v>8.4</v>
      </c>
      <c r="I426" s="834">
        <v>9</v>
      </c>
      <c r="J426" s="834">
        <v>9.6999999999999993</v>
      </c>
      <c r="K426" s="834">
        <v>8.8000000000000007</v>
      </c>
      <c r="L426" s="834">
        <v>7.6</v>
      </c>
      <c r="M426" s="834">
        <v>6.7</v>
      </c>
      <c r="N426" s="834">
        <v>7.4</v>
      </c>
      <c r="O426" s="834">
        <v>8</v>
      </c>
      <c r="P426" s="834">
        <v>8.4</v>
      </c>
    </row>
    <row r="427" spans="2:16">
      <c r="B427" s="833" t="s">
        <v>3568</v>
      </c>
      <c r="C427" s="834">
        <v>38</v>
      </c>
      <c r="D427" s="834">
        <v>9.8000000000000007</v>
      </c>
      <c r="E427" s="834">
        <v>9.8000000000000007</v>
      </c>
      <c r="F427" s="834">
        <v>10.3</v>
      </c>
      <c r="G427" s="834">
        <v>9.9</v>
      </c>
      <c r="H427" s="834">
        <v>8.4</v>
      </c>
      <c r="I427" s="834">
        <v>7.3</v>
      </c>
      <c r="J427" s="834">
        <v>6.5</v>
      </c>
      <c r="K427" s="834">
        <v>6.2</v>
      </c>
      <c r="L427" s="834">
        <v>6.8</v>
      </c>
      <c r="M427" s="834">
        <v>7.8</v>
      </c>
      <c r="N427" s="834">
        <v>9.1</v>
      </c>
      <c r="O427" s="834">
        <v>9.6</v>
      </c>
      <c r="P427" s="834">
        <v>8.5</v>
      </c>
    </row>
    <row r="428" spans="2:16">
      <c r="B428" s="833" t="s">
        <v>3569</v>
      </c>
      <c r="C428" s="834">
        <v>55</v>
      </c>
      <c r="D428" s="834">
        <v>6.9</v>
      </c>
      <c r="E428" s="834">
        <v>6.9</v>
      </c>
      <c r="F428" s="834">
        <v>7.5</v>
      </c>
      <c r="G428" s="834">
        <v>7.1</v>
      </c>
      <c r="H428" s="834">
        <v>5.7</v>
      </c>
      <c r="I428" s="834">
        <v>5.2</v>
      </c>
      <c r="J428" s="834">
        <v>4.8</v>
      </c>
      <c r="K428" s="834">
        <v>4.3</v>
      </c>
      <c r="L428" s="834">
        <v>4.5999999999999996</v>
      </c>
      <c r="M428" s="834">
        <v>4.8</v>
      </c>
      <c r="N428" s="834">
        <v>6</v>
      </c>
      <c r="O428" s="834">
        <v>6.4</v>
      </c>
      <c r="P428" s="834">
        <v>5.8</v>
      </c>
    </row>
    <row r="429" spans="2:16">
      <c r="B429" s="833" t="s">
        <v>3570</v>
      </c>
      <c r="C429" s="834">
        <v>31</v>
      </c>
      <c r="D429" s="834">
        <v>7</v>
      </c>
      <c r="E429" s="834">
        <v>7.5</v>
      </c>
      <c r="F429" s="834">
        <v>7.7</v>
      </c>
      <c r="G429" s="834">
        <v>7.4</v>
      </c>
      <c r="H429" s="834">
        <v>6.2</v>
      </c>
      <c r="I429" s="834">
        <v>4.5</v>
      </c>
      <c r="J429" s="834">
        <v>4</v>
      </c>
      <c r="K429" s="834">
        <v>3.9</v>
      </c>
      <c r="L429" s="834">
        <v>4</v>
      </c>
      <c r="M429" s="834">
        <v>4.5</v>
      </c>
      <c r="N429" s="834">
        <v>6.3</v>
      </c>
      <c r="O429" s="834">
        <v>6.4</v>
      </c>
      <c r="P429" s="834">
        <v>5.8</v>
      </c>
    </row>
    <row r="430" spans="2:16">
      <c r="B430" s="833" t="s">
        <v>3571</v>
      </c>
      <c r="C430" s="834">
        <v>40</v>
      </c>
      <c r="D430" s="834">
        <v>7.5</v>
      </c>
      <c r="E430" s="834">
        <v>7.6</v>
      </c>
      <c r="F430" s="834">
        <v>8</v>
      </c>
      <c r="G430" s="834">
        <v>7.7</v>
      </c>
      <c r="H430" s="834">
        <v>6.2</v>
      </c>
      <c r="I430" s="834">
        <v>5.7</v>
      </c>
      <c r="J430" s="834">
        <v>5.3</v>
      </c>
      <c r="K430" s="834">
        <v>5.0999999999999996</v>
      </c>
      <c r="L430" s="834">
        <v>5.3</v>
      </c>
      <c r="M430" s="834">
        <v>5.8</v>
      </c>
      <c r="N430" s="834">
        <v>6.8</v>
      </c>
      <c r="O430" s="834">
        <v>7.3</v>
      </c>
      <c r="P430" s="834">
        <v>6.5</v>
      </c>
    </row>
    <row r="431" spans="2:16">
      <c r="B431" s="833" t="s">
        <v>3572</v>
      </c>
      <c r="C431" s="834">
        <v>53</v>
      </c>
      <c r="D431" s="834">
        <v>10.8</v>
      </c>
      <c r="E431" s="834">
        <v>10.5</v>
      </c>
      <c r="F431" s="834">
        <v>10.7</v>
      </c>
      <c r="G431" s="834">
        <v>11.2</v>
      </c>
      <c r="H431" s="834">
        <v>10</v>
      </c>
      <c r="I431" s="834">
        <v>9.1</v>
      </c>
      <c r="J431" s="834">
        <v>8.1999999999999993</v>
      </c>
      <c r="K431" s="834">
        <v>7.9</v>
      </c>
      <c r="L431" s="834">
        <v>8.9</v>
      </c>
      <c r="M431" s="834">
        <v>9.8000000000000007</v>
      </c>
      <c r="N431" s="834">
        <v>10.8</v>
      </c>
      <c r="O431" s="834">
        <v>10.3</v>
      </c>
      <c r="P431" s="834">
        <v>9.9</v>
      </c>
    </row>
    <row r="432" spans="2:16">
      <c r="B432" s="833" t="s">
        <v>3573</v>
      </c>
      <c r="C432" s="834">
        <v>50</v>
      </c>
      <c r="D432" s="834">
        <v>8.6999999999999993</v>
      </c>
      <c r="E432" s="834">
        <v>8.6999999999999993</v>
      </c>
      <c r="F432" s="834">
        <v>9.3000000000000007</v>
      </c>
      <c r="G432" s="834">
        <v>10.4</v>
      </c>
      <c r="H432" s="834">
        <v>9.4</v>
      </c>
      <c r="I432" s="834">
        <v>8.4</v>
      </c>
      <c r="J432" s="834">
        <v>7.6</v>
      </c>
      <c r="K432" s="834">
        <v>7.5</v>
      </c>
      <c r="L432" s="834">
        <v>8.1999999999999993</v>
      </c>
      <c r="M432" s="834">
        <v>9.3000000000000007</v>
      </c>
      <c r="N432" s="834">
        <v>9.8000000000000007</v>
      </c>
      <c r="O432" s="834">
        <v>8.9</v>
      </c>
      <c r="P432" s="834">
        <v>8.9</v>
      </c>
    </row>
    <row r="433" spans="2:16">
      <c r="B433" s="833" t="s">
        <v>3574</v>
      </c>
      <c r="C433" s="834">
        <v>56</v>
      </c>
      <c r="D433" s="834">
        <v>10.3</v>
      </c>
      <c r="E433" s="834">
        <v>10.3</v>
      </c>
      <c r="F433" s="834">
        <v>10.9</v>
      </c>
      <c r="G433" s="834">
        <v>11.3</v>
      </c>
      <c r="H433" s="834">
        <v>10</v>
      </c>
      <c r="I433" s="834">
        <v>9</v>
      </c>
      <c r="J433" s="834">
        <v>8</v>
      </c>
      <c r="K433" s="834">
        <v>7.9</v>
      </c>
      <c r="L433" s="834">
        <v>8.4</v>
      </c>
      <c r="M433" s="834">
        <v>9.5</v>
      </c>
      <c r="N433" s="834">
        <v>10.3</v>
      </c>
      <c r="O433" s="834">
        <v>9.8000000000000007</v>
      </c>
      <c r="P433" s="834">
        <v>9.6</v>
      </c>
    </row>
    <row r="434" spans="2:16">
      <c r="B434" s="833" t="s">
        <v>3575</v>
      </c>
      <c r="C434" s="834">
        <v>62</v>
      </c>
      <c r="D434" s="834">
        <v>12.6</v>
      </c>
      <c r="E434" s="834">
        <v>12.3</v>
      </c>
      <c r="F434" s="834">
        <v>12.7</v>
      </c>
      <c r="G434" s="834">
        <v>12.8</v>
      </c>
      <c r="H434" s="834">
        <v>11.5</v>
      </c>
      <c r="I434" s="834">
        <v>10.4</v>
      </c>
      <c r="J434" s="834">
        <v>9.6999999999999993</v>
      </c>
      <c r="K434" s="834">
        <v>9.5</v>
      </c>
      <c r="L434" s="834">
        <v>10.4</v>
      </c>
      <c r="M434" s="834">
        <v>11.4</v>
      </c>
      <c r="N434" s="834">
        <v>12.5</v>
      </c>
      <c r="O434" s="834">
        <v>12.2</v>
      </c>
      <c r="P434" s="834">
        <v>11.5</v>
      </c>
    </row>
    <row r="435" spans="2:16">
      <c r="B435" s="833" t="s">
        <v>3576</v>
      </c>
      <c r="C435" s="834">
        <v>52</v>
      </c>
      <c r="D435" s="834">
        <v>16</v>
      </c>
      <c r="E435" s="834">
        <v>14.8</v>
      </c>
      <c r="F435" s="834">
        <v>13.4</v>
      </c>
      <c r="G435" s="834">
        <v>12.5</v>
      </c>
      <c r="H435" s="834">
        <v>11.6</v>
      </c>
      <c r="I435" s="834">
        <v>10.9</v>
      </c>
      <c r="J435" s="834">
        <v>10.1</v>
      </c>
      <c r="K435" s="834">
        <v>10.3</v>
      </c>
      <c r="L435" s="834">
        <v>10.9</v>
      </c>
      <c r="M435" s="834">
        <v>11.9</v>
      </c>
      <c r="N435" s="834">
        <v>14.4</v>
      </c>
      <c r="O435" s="834">
        <v>15.9</v>
      </c>
      <c r="P435" s="834">
        <v>12.7</v>
      </c>
    </row>
    <row r="436" spans="2:16">
      <c r="B436" s="833" t="s">
        <v>3577</v>
      </c>
      <c r="C436" s="834">
        <v>45</v>
      </c>
      <c r="D436" s="834">
        <v>15.2</v>
      </c>
      <c r="E436" s="834">
        <v>14.6</v>
      </c>
      <c r="F436" s="834">
        <v>14.4</v>
      </c>
      <c r="G436" s="834">
        <v>14.1</v>
      </c>
      <c r="H436" s="834">
        <v>12.6</v>
      </c>
      <c r="I436" s="834">
        <v>11.4</v>
      </c>
      <c r="J436" s="834">
        <v>10.4</v>
      </c>
      <c r="K436" s="834">
        <v>10.4</v>
      </c>
      <c r="L436" s="834">
        <v>11.2</v>
      </c>
      <c r="M436" s="834">
        <v>12.3</v>
      </c>
      <c r="N436" s="834">
        <v>13.5</v>
      </c>
      <c r="O436" s="834">
        <v>14.7</v>
      </c>
      <c r="P436" s="834">
        <v>12.9</v>
      </c>
    </row>
    <row r="437" spans="2:16">
      <c r="B437" s="833" t="s">
        <v>3578</v>
      </c>
      <c r="C437" s="834">
        <v>56</v>
      </c>
      <c r="D437" s="834">
        <v>5.9</v>
      </c>
      <c r="E437" s="834">
        <v>5.9</v>
      </c>
      <c r="F437" s="834">
        <v>7</v>
      </c>
      <c r="G437" s="834">
        <v>7.8</v>
      </c>
      <c r="H437" s="834">
        <v>7.8</v>
      </c>
      <c r="I437" s="834">
        <v>7.8</v>
      </c>
      <c r="J437" s="834">
        <v>7.5</v>
      </c>
      <c r="K437" s="834">
        <v>7.4</v>
      </c>
      <c r="L437" s="834">
        <v>6.9</v>
      </c>
      <c r="M437" s="834">
        <v>6</v>
      </c>
      <c r="N437" s="834">
        <v>5.6</v>
      </c>
      <c r="O437" s="834">
        <v>5.6</v>
      </c>
      <c r="P437" s="834">
        <v>6.8</v>
      </c>
    </row>
    <row r="438" spans="2:16">
      <c r="B438" s="833" t="s">
        <v>3579</v>
      </c>
      <c r="C438" s="834">
        <v>59</v>
      </c>
      <c r="D438" s="834">
        <v>7.7</v>
      </c>
      <c r="E438" s="834">
        <v>7.8</v>
      </c>
      <c r="F438" s="834">
        <v>8.9</v>
      </c>
      <c r="G438" s="834">
        <v>9.8000000000000007</v>
      </c>
      <c r="H438" s="834">
        <v>9</v>
      </c>
      <c r="I438" s="834">
        <v>8.1</v>
      </c>
      <c r="J438" s="834">
        <v>7.3</v>
      </c>
      <c r="K438" s="834">
        <v>7.4</v>
      </c>
      <c r="L438" s="834">
        <v>7.5</v>
      </c>
      <c r="M438" s="834">
        <v>7.5</v>
      </c>
      <c r="N438" s="834">
        <v>7.6</v>
      </c>
      <c r="O438" s="834">
        <v>7.6</v>
      </c>
      <c r="P438" s="834">
        <v>8</v>
      </c>
    </row>
    <row r="439" spans="2:16">
      <c r="B439" s="836" t="s">
        <v>3723</v>
      </c>
    </row>
  </sheetData>
  <mergeCells count="2">
    <mergeCell ref="E91:G91"/>
    <mergeCell ref="I91:K91"/>
  </mergeCells>
  <phoneticPr fontId="104" type="noConversion"/>
  <conditionalFormatting sqref="R42">
    <cfRule type="expression" dxfId="5" priority="23">
      <formula>$M$42&lt;4.5</formula>
    </cfRule>
    <cfRule type="expression" dxfId="4" priority="24">
      <formula>$M$42&gt;38</formula>
    </cfRule>
  </conditionalFormatting>
  <conditionalFormatting sqref="R48 R44:R45">
    <cfRule type="expression" dxfId="3" priority="33">
      <formula>#REF!&lt;0.5</formula>
    </cfRule>
    <cfRule type="expression" dxfId="2" priority="34">
      <formula>#REF!&gt;4</formula>
    </cfRule>
    <cfRule type="expression" dxfId="1" priority="35">
      <formula>$M$42&lt;4.5</formula>
    </cfRule>
    <cfRule type="expression" dxfId="0" priority="36">
      <formula>$M$42&gt;38</formula>
    </cfRule>
  </conditionalFormatting>
  <dataValidations disablePrompts="1" count="1">
    <dataValidation type="list" allowBlank="1" showInputMessage="1" showErrorMessage="1" sqref="M43">
      <formula1>$B$163:$B$438</formula1>
    </dataValidation>
  </dataValidations>
  <pageMargins left="0.7" right="0.7" top="0.75" bottom="0.75" header="0.3" footer="0.3"/>
  <pageSetup orientation="portrait" horizontalDpi="4294967292" verticalDpi="429496729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1:BJ187"/>
  <sheetViews>
    <sheetView workbookViewId="0"/>
  </sheetViews>
  <sheetFormatPr defaultColWidth="8.88671875" defaultRowHeight="15"/>
  <cols>
    <col min="1" max="1" width="22.44140625" style="102" customWidth="1"/>
    <col min="2" max="2" width="11.44140625" style="102" customWidth="1"/>
    <col min="3" max="3" width="9.88671875" style="102" customWidth="1"/>
    <col min="4" max="4" width="11.109375" style="102" customWidth="1"/>
    <col min="5" max="5" width="8.88671875" style="102"/>
    <col min="6" max="6" width="9.44140625" style="102" customWidth="1"/>
    <col min="7" max="7" width="10.5546875" style="102" customWidth="1"/>
    <col min="8" max="8" width="8.88671875" style="102" customWidth="1"/>
    <col min="9" max="9" width="4.109375" style="102" customWidth="1"/>
    <col min="10" max="10" width="3.5546875" style="102" customWidth="1"/>
    <col min="11" max="11" width="4.44140625" style="102" customWidth="1"/>
    <col min="12" max="12" width="5" style="102" customWidth="1"/>
    <col min="13" max="16384" width="8.88671875" style="102"/>
  </cols>
  <sheetData>
    <row r="1" spans="1:21" s="6" customFormat="1" ht="24" customHeight="1">
      <c r="A1" s="6" t="s">
        <v>896</v>
      </c>
    </row>
    <row r="2" spans="1:21" s="519" customFormat="1"/>
    <row r="3" spans="1:21" s="519" customFormat="1" ht="17.100000000000001" customHeight="1">
      <c r="A3" s="117" t="s">
        <v>897</v>
      </c>
    </row>
    <row r="4" spans="1:21">
      <c r="A4" s="93"/>
    </row>
    <row r="6" spans="1:21" s="9" customFormat="1" ht="15.75">
      <c r="A6" s="9" t="s">
        <v>1309</v>
      </c>
    </row>
    <row r="8" spans="1:21">
      <c r="A8" s="520"/>
      <c r="B8" s="520"/>
      <c r="C8" s="520"/>
      <c r="D8" s="520"/>
      <c r="E8" s="520"/>
      <c r="F8" s="520"/>
      <c r="G8" s="520"/>
      <c r="H8" s="520"/>
      <c r="I8" s="520"/>
      <c r="J8" s="520"/>
      <c r="K8" s="520"/>
      <c r="L8" s="520"/>
    </row>
    <row r="9" spans="1:21">
      <c r="B9" s="520"/>
      <c r="C9" s="520"/>
      <c r="D9" s="520"/>
      <c r="E9" s="520"/>
      <c r="F9" s="520"/>
      <c r="G9" s="520"/>
      <c r="H9" s="520"/>
      <c r="I9" s="520"/>
      <c r="J9" s="520"/>
      <c r="K9" s="520"/>
      <c r="L9" s="520"/>
      <c r="M9" s="520" t="s">
        <v>222</v>
      </c>
      <c r="N9" s="520" t="s">
        <v>221</v>
      </c>
      <c r="O9" s="520" t="s">
        <v>239</v>
      </c>
      <c r="P9" s="520" t="s">
        <v>168</v>
      </c>
      <c r="Q9" s="520"/>
      <c r="R9" s="520" t="s">
        <v>167</v>
      </c>
      <c r="U9" s="93" t="s">
        <v>348</v>
      </c>
    </row>
    <row r="10" spans="1:21">
      <c r="A10" s="520" t="s">
        <v>3893</v>
      </c>
      <c r="B10" s="520"/>
      <c r="C10" s="520"/>
      <c r="D10" s="520"/>
      <c r="E10" s="520"/>
      <c r="F10" s="520"/>
      <c r="G10" s="520"/>
      <c r="H10" s="520"/>
      <c r="I10" s="520"/>
      <c r="J10" s="520"/>
      <c r="K10" s="520"/>
      <c r="L10" s="520"/>
      <c r="M10" s="14">
        <f>'User Inputs &amp; Results'!J96</f>
        <v>0</v>
      </c>
      <c r="N10" s="210">
        <f>'User Inputs &amp; Results'!K96</f>
        <v>0</v>
      </c>
      <c r="O10" s="520" t="s">
        <v>2119</v>
      </c>
      <c r="P10" s="520"/>
      <c r="Q10" s="520"/>
      <c r="R10" s="520"/>
      <c r="U10" s="521" t="s">
        <v>1311</v>
      </c>
    </row>
    <row r="11" spans="1:21">
      <c r="A11" s="520" t="s">
        <v>3900</v>
      </c>
      <c r="B11" s="520"/>
      <c r="C11" s="520"/>
      <c r="D11" s="520"/>
      <c r="E11" s="520"/>
      <c r="F11" s="520"/>
      <c r="G11" s="520"/>
      <c r="H11" s="520"/>
      <c r="I11" s="520"/>
      <c r="J11" s="520"/>
      <c r="K11" s="520"/>
      <c r="L11" s="520"/>
      <c r="M11" s="14">
        <f>M10*'Energy Consumption'!E70*1000/'Input data'!E53</f>
        <v>0</v>
      </c>
      <c r="N11" s="210">
        <f>N10*'Energy Consumption'!E70*1000/'Input data'!E53</f>
        <v>0</v>
      </c>
      <c r="O11" s="520" t="s">
        <v>317</v>
      </c>
      <c r="P11" s="520"/>
      <c r="Q11" s="520"/>
      <c r="R11" s="520"/>
      <c r="U11" s="521"/>
    </row>
    <row r="12" spans="1:21">
      <c r="A12" s="520"/>
      <c r="B12" s="520"/>
      <c r="C12" s="520"/>
      <c r="D12" s="520"/>
      <c r="E12" s="520"/>
      <c r="F12" s="520"/>
      <c r="G12" s="520"/>
      <c r="H12" s="520"/>
      <c r="I12" s="520"/>
      <c r="J12" s="520"/>
      <c r="K12" s="520"/>
      <c r="L12" s="520"/>
      <c r="M12" s="14">
        <f>M11/24</f>
        <v>0</v>
      </c>
      <c r="N12" s="210">
        <f>N11/24</f>
        <v>0</v>
      </c>
      <c r="O12" s="520" t="s">
        <v>3924</v>
      </c>
      <c r="P12" s="520"/>
      <c r="Q12" s="520"/>
      <c r="R12" s="520"/>
      <c r="U12" s="521"/>
    </row>
    <row r="13" spans="1:21">
      <c r="A13" s="520"/>
      <c r="B13" s="520"/>
      <c r="C13" s="520"/>
      <c r="D13" s="520"/>
      <c r="E13" s="520"/>
      <c r="F13" s="520"/>
      <c r="G13" s="520"/>
      <c r="H13" s="520"/>
      <c r="I13" s="520"/>
      <c r="J13" s="520"/>
      <c r="K13" s="520"/>
      <c r="L13" s="520"/>
      <c r="M13" s="14">
        <f>M12/'Input data'!E59</f>
        <v>0</v>
      </c>
      <c r="N13" s="210">
        <f>N12/'Input data'!E59</f>
        <v>0</v>
      </c>
      <c r="O13" s="520" t="s">
        <v>787</v>
      </c>
      <c r="P13" s="520"/>
      <c r="Q13" s="520"/>
      <c r="R13" s="520"/>
      <c r="U13" s="521"/>
    </row>
    <row r="14" spans="1:21">
      <c r="B14" s="520"/>
      <c r="C14" s="520"/>
      <c r="D14" s="520"/>
      <c r="E14" s="520"/>
      <c r="F14" s="520"/>
      <c r="G14" s="520"/>
      <c r="H14" s="520"/>
      <c r="I14" s="520"/>
      <c r="J14" s="520"/>
      <c r="K14" s="520"/>
      <c r="L14" s="520"/>
      <c r="M14" s="520"/>
      <c r="N14" s="520"/>
      <c r="O14" s="520"/>
      <c r="P14" s="520"/>
      <c r="Q14" s="520"/>
      <c r="R14" s="520"/>
    </row>
    <row r="15" spans="1:21">
      <c r="A15" s="520" t="s">
        <v>3894</v>
      </c>
      <c r="B15" s="520"/>
      <c r="C15" s="520"/>
      <c r="D15" s="520"/>
      <c r="E15" s="520"/>
      <c r="F15" s="520"/>
      <c r="G15" s="520"/>
      <c r="H15" s="520"/>
      <c r="I15" s="520"/>
      <c r="J15" s="520"/>
      <c r="K15" s="520"/>
      <c r="L15" s="520"/>
      <c r="M15" s="20">
        <v>1</v>
      </c>
      <c r="N15" s="21">
        <v>1</v>
      </c>
      <c r="O15" s="520" t="s">
        <v>237</v>
      </c>
      <c r="P15" s="520"/>
      <c r="Q15" s="520"/>
      <c r="R15" s="520"/>
    </row>
    <row r="16" spans="1:21" ht="15.75">
      <c r="A16" s="522"/>
      <c r="B16" s="523" t="s">
        <v>1081</v>
      </c>
      <c r="C16" s="524"/>
      <c r="D16" s="524"/>
      <c r="E16" s="524"/>
      <c r="F16" s="28"/>
      <c r="G16" s="28"/>
      <c r="H16" s="28"/>
      <c r="I16" s="28"/>
      <c r="J16" s="28"/>
      <c r="K16" s="28"/>
      <c r="L16" s="223"/>
      <c r="M16" s="119"/>
      <c r="N16" s="119"/>
      <c r="O16" s="119"/>
      <c r="P16" s="520"/>
      <c r="Q16" s="520"/>
      <c r="R16" s="520"/>
    </row>
    <row r="17" spans="1:30" ht="15.75">
      <c r="A17" s="522"/>
      <c r="B17" s="523" t="s">
        <v>1082</v>
      </c>
      <c r="C17" s="522"/>
      <c r="D17" s="524"/>
      <c r="E17" s="524"/>
      <c r="F17" s="28"/>
      <c r="G17" s="28"/>
      <c r="H17" s="28"/>
      <c r="I17" s="28"/>
      <c r="J17" s="28"/>
      <c r="K17" s="28"/>
      <c r="L17" s="28"/>
      <c r="M17"/>
      <c r="N17"/>
      <c r="O17" s="520"/>
      <c r="P17" s="520"/>
      <c r="Q17" s="520"/>
      <c r="R17" s="520"/>
    </row>
    <row r="18" spans="1:30" ht="15.75">
      <c r="A18" s="522"/>
      <c r="B18" s="525" t="s">
        <v>852</v>
      </c>
      <c r="C18" s="524"/>
      <c r="D18" s="524"/>
      <c r="E18" s="524"/>
      <c r="F18" s="28"/>
      <c r="G18" s="28"/>
      <c r="H18" s="28"/>
      <c r="I18" s="28"/>
      <c r="J18" s="28"/>
      <c r="K18" s="28"/>
      <c r="L18" s="28"/>
      <c r="M18"/>
      <c r="N18"/>
      <c r="O18" s="520"/>
      <c r="P18" s="520"/>
      <c r="Q18" s="520"/>
      <c r="R18" s="520"/>
    </row>
    <row r="19" spans="1:30" ht="15.75">
      <c r="A19" s="526"/>
      <c r="B19" s="520"/>
      <c r="C19" s="520"/>
      <c r="D19" s="520"/>
      <c r="E19" s="520"/>
      <c r="F19" s="520"/>
      <c r="G19" s="28"/>
      <c r="I19" s="28"/>
      <c r="J19" s="28"/>
      <c r="K19" s="28"/>
      <c r="L19" s="520"/>
      <c r="M19" s="520"/>
      <c r="N19" s="520"/>
      <c r="O19" s="520"/>
      <c r="P19" s="520"/>
      <c r="Q19" s="520"/>
      <c r="R19" s="520"/>
    </row>
    <row r="20" spans="1:30" ht="15.75">
      <c r="A20" s="520" t="s">
        <v>3895</v>
      </c>
      <c r="B20" s="520"/>
      <c r="C20" s="520"/>
      <c r="D20" s="520"/>
      <c r="E20" s="520"/>
      <c r="F20" s="520"/>
      <c r="G20" s="520"/>
      <c r="H20" s="520"/>
      <c r="I20" s="527"/>
      <c r="J20" s="528"/>
      <c r="K20" s="520"/>
      <c r="L20" s="529"/>
      <c r="M20" s="14">
        <f>1/0.96*IF(M15=1,NgEngEff(M13),IF(M15=2,NgTurbEff(M13),IF(M15=3,DieselEngEff(M13),"ERROR")))</f>
        <v>8252.5</v>
      </c>
      <c r="N20" s="210">
        <f>1/0.96*IF(N15=1,NgEngEff(N13),IF(N15=2,NgTurbEff(N13),IF(N15=3,DieselEngEff(N13),"ERROR")))</f>
        <v>8252.5</v>
      </c>
      <c r="O20" s="520" t="s">
        <v>850</v>
      </c>
      <c r="Q20" s="520"/>
      <c r="R20" s="520"/>
      <c r="U20" s="72" t="s">
        <v>855</v>
      </c>
    </row>
    <row r="21" spans="1:30" ht="15" customHeight="1">
      <c r="A21" s="520"/>
      <c r="B21" s="520"/>
      <c r="C21" s="520"/>
      <c r="D21" s="520"/>
      <c r="E21" s="520"/>
      <c r="F21" s="520"/>
      <c r="G21" s="28"/>
      <c r="I21" s="28"/>
      <c r="J21" s="28"/>
      <c r="K21" s="28"/>
      <c r="L21" s="529"/>
      <c r="M21"/>
      <c r="N21"/>
      <c r="O21" s="520"/>
      <c r="P21" s="520"/>
      <c r="Q21" s="520"/>
      <c r="R21" s="520"/>
    </row>
    <row r="22" spans="1:30" ht="15" customHeight="1">
      <c r="A22" s="119" t="s">
        <v>3876</v>
      </c>
      <c r="B22" s="93"/>
      <c r="C22" s="93"/>
      <c r="D22" s="93"/>
      <c r="E22" s="93"/>
      <c r="F22" s="93"/>
      <c r="G22" s="93"/>
      <c r="H22" s="93"/>
      <c r="I22" s="93"/>
      <c r="J22" s="93"/>
      <c r="K22" s="93"/>
      <c r="L22" s="93"/>
      <c r="M22"/>
      <c r="N22"/>
      <c r="O22"/>
      <c r="P22"/>
      <c r="Q22" s="93"/>
      <c r="R22" s="93"/>
      <c r="S22" s="93"/>
      <c r="T22" s="93"/>
      <c r="U22" s="93"/>
      <c r="V22" s="93"/>
      <c r="W22" s="93"/>
      <c r="X22" s="93"/>
      <c r="Y22" s="93"/>
      <c r="Z22" s="93"/>
      <c r="AA22" s="93"/>
      <c r="AB22" s="93"/>
      <c r="AC22" s="93"/>
      <c r="AD22" s="93"/>
    </row>
    <row r="23" spans="1:30" ht="15" customHeight="1">
      <c r="A23" s="119"/>
      <c r="B23" s="93"/>
      <c r="C23" s="93"/>
      <c r="D23" s="93"/>
      <c r="E23" s="93"/>
      <c r="F23" s="93"/>
      <c r="G23" s="93"/>
      <c r="H23" s="93"/>
      <c r="I23" s="93"/>
      <c r="J23" s="93"/>
      <c r="K23" s="93"/>
      <c r="L23" s="93"/>
      <c r="M23" s="902"/>
      <c r="N23" s="902"/>
      <c r="O23" s="902"/>
      <c r="P23" s="902"/>
      <c r="Q23" s="93"/>
      <c r="R23" s="93"/>
      <c r="S23" s="93"/>
      <c r="T23" s="93"/>
      <c r="U23" s="93"/>
      <c r="V23" s="93"/>
      <c r="W23" s="93"/>
      <c r="X23" s="93"/>
      <c r="Y23" s="93"/>
      <c r="Z23" s="93"/>
      <c r="AA23" s="93"/>
      <c r="AB23" s="93"/>
      <c r="AC23" s="93"/>
      <c r="AD23" s="93"/>
    </row>
    <row r="24" spans="1:30" ht="15" customHeight="1">
      <c r="B24" s="886"/>
      <c r="C24" s="1048" t="s">
        <v>3877</v>
      </c>
      <c r="D24" s="1049"/>
      <c r="E24" s="1049" t="s">
        <v>3878</v>
      </c>
      <c r="F24" s="1049"/>
      <c r="G24" s="93"/>
      <c r="H24" s="93"/>
      <c r="I24" s="93"/>
      <c r="J24" s="93"/>
      <c r="K24" s="93"/>
      <c r="L24" s="93"/>
      <c r="M24" s="902"/>
      <c r="N24" s="902"/>
      <c r="O24" s="902"/>
      <c r="P24" s="902"/>
      <c r="Q24" s="93"/>
      <c r="R24" s="93"/>
      <c r="S24" s="93"/>
      <c r="T24" s="93"/>
      <c r="U24" s="93"/>
      <c r="V24" s="93"/>
      <c r="W24" s="93"/>
      <c r="X24" s="93"/>
      <c r="Y24" s="93"/>
      <c r="Z24" s="93"/>
      <c r="AA24" s="93"/>
      <c r="AB24" s="93"/>
      <c r="AC24" s="93"/>
      <c r="AD24" s="93"/>
    </row>
    <row r="25" spans="1:30" s="887" customFormat="1" ht="15" customHeight="1">
      <c r="B25" s="886" t="s">
        <v>3879</v>
      </c>
      <c r="C25" s="886" t="s">
        <v>3867</v>
      </c>
      <c r="D25" s="886" t="s">
        <v>3868</v>
      </c>
      <c r="E25" s="886" t="s">
        <v>3867</v>
      </c>
      <c r="F25" s="886" t="s">
        <v>3868</v>
      </c>
      <c r="G25" s="905" t="s">
        <v>829</v>
      </c>
      <c r="P25"/>
    </row>
    <row r="26" spans="1:30" s="887" customFormat="1" ht="15" customHeight="1">
      <c r="B26" s="895" t="s">
        <v>605</v>
      </c>
      <c r="C26" s="895">
        <v>0</v>
      </c>
      <c r="D26" s="895">
        <v>21.9</v>
      </c>
      <c r="E26" s="895">
        <v>0.3</v>
      </c>
      <c r="F26" s="895">
        <v>21.9</v>
      </c>
      <c r="G26" s="905" t="s">
        <v>3962</v>
      </c>
    </row>
    <row r="27" spans="1:30" s="887" customFormat="1" ht="15" customHeight="1">
      <c r="B27" s="895" t="s">
        <v>606</v>
      </c>
      <c r="C27" s="895">
        <v>0</v>
      </c>
      <c r="D27" s="895">
        <v>34.700000000000003</v>
      </c>
      <c r="E27" s="895">
        <v>46</v>
      </c>
      <c r="F27" s="895">
        <v>34.700000000000003</v>
      </c>
      <c r="G27" s="905" t="s">
        <v>3963</v>
      </c>
    </row>
    <row r="28" spans="1:30" s="887" customFormat="1" ht="15" customHeight="1">
      <c r="B28" s="895" t="s">
        <v>615</v>
      </c>
      <c r="C28" s="895">
        <v>100</v>
      </c>
      <c r="D28" s="895">
        <v>45.9</v>
      </c>
      <c r="E28" s="895">
        <v>22.7</v>
      </c>
      <c r="F28" s="895">
        <v>45.9</v>
      </c>
      <c r="G28" s="905" t="s">
        <v>3964</v>
      </c>
    </row>
    <row r="29" spans="1:30" s="887" customFormat="1" ht="15" customHeight="1">
      <c r="B29" s="895" t="s">
        <v>608</v>
      </c>
      <c r="C29" s="895">
        <v>0</v>
      </c>
      <c r="D29" s="895">
        <v>100</v>
      </c>
      <c r="E29" s="895">
        <v>20.3</v>
      </c>
      <c r="F29" s="895">
        <v>100</v>
      </c>
      <c r="G29" s="905"/>
    </row>
    <row r="30" spans="1:30" s="887" customFormat="1" ht="15" customHeight="1">
      <c r="B30" s="895" t="s">
        <v>609</v>
      </c>
      <c r="C30" s="895">
        <v>0</v>
      </c>
      <c r="D30" s="895">
        <v>100</v>
      </c>
      <c r="E30" s="895">
        <v>9.8000000000000007</v>
      </c>
      <c r="F30" s="895">
        <v>100</v>
      </c>
      <c r="G30" s="905"/>
    </row>
    <row r="31" spans="1:30" s="887" customFormat="1" ht="15" customHeight="1">
      <c r="B31" s="895" t="s">
        <v>610</v>
      </c>
      <c r="C31" s="895">
        <v>0</v>
      </c>
      <c r="D31" s="895">
        <v>31.9</v>
      </c>
      <c r="E31" s="895">
        <v>0.9</v>
      </c>
      <c r="F31" s="895">
        <v>31.9</v>
      </c>
      <c r="G31" s="905" t="s">
        <v>3965</v>
      </c>
    </row>
    <row r="32" spans="1:30" s="887" customFormat="1" ht="15" customHeight="1">
      <c r="B32" s="887" t="s">
        <v>375</v>
      </c>
      <c r="C32" s="918">
        <f>SUM(C26:C31)</f>
        <v>100</v>
      </c>
      <c r="D32" s="887" t="str">
        <f>IF(C32=100,"OK","ERROR")</f>
        <v>OK</v>
      </c>
      <c r="E32" s="918">
        <f>SUM(E26:E31)</f>
        <v>100</v>
      </c>
      <c r="F32" s="887" t="str">
        <f>IF(E32=100,"OK","ERROR")</f>
        <v>OK</v>
      </c>
    </row>
    <row r="33" spans="1:15" s="887" customFormat="1" ht="15" customHeight="1">
      <c r="B33" s="888"/>
      <c r="D33" s="889"/>
    </row>
    <row r="34" spans="1:15" s="887" customFormat="1" ht="15" customHeight="1">
      <c r="A34" s="119" t="s">
        <v>3880</v>
      </c>
      <c r="B34" s="119"/>
      <c r="C34" s="119"/>
      <c r="D34" s="119"/>
      <c r="E34" s="119"/>
      <c r="F34" s="119"/>
    </row>
    <row r="35" spans="1:15" s="887" customFormat="1" ht="15" customHeight="1">
      <c r="A35" s="119"/>
      <c r="B35" s="119" t="s">
        <v>3881</v>
      </c>
      <c r="C35" s="119"/>
      <c r="D35" s="119"/>
      <c r="E35" s="119"/>
      <c r="F35" s="119"/>
      <c r="M35" s="20">
        <v>93.5</v>
      </c>
      <c r="N35" s="21">
        <v>93.5</v>
      </c>
      <c r="O35" s="887" t="s">
        <v>166</v>
      </c>
    </row>
    <row r="36" spans="1:15" s="887" customFormat="1" ht="15" customHeight="1">
      <c r="A36" s="119"/>
      <c r="B36" s="119" t="s">
        <v>3882</v>
      </c>
      <c r="C36" s="119"/>
      <c r="D36" s="119"/>
      <c r="E36" s="119"/>
      <c r="F36" s="119"/>
      <c r="M36" s="20">
        <v>93.5</v>
      </c>
      <c r="N36" s="21">
        <v>93.5</v>
      </c>
      <c r="O36" s="887" t="s">
        <v>166</v>
      </c>
    </row>
    <row r="37" spans="1:15" s="887" customFormat="1" ht="15" customHeight="1">
      <c r="A37" s="119"/>
      <c r="B37" s="119"/>
      <c r="C37" s="119"/>
      <c r="D37" s="119"/>
      <c r="E37" s="119"/>
      <c r="F37" s="119"/>
    </row>
    <row r="38" spans="1:15" s="887" customFormat="1" ht="15" customHeight="1"/>
    <row r="39" spans="1:15" s="875" customFormat="1" ht="15" customHeight="1"/>
    <row r="40" spans="1:15" s="875" customFormat="1" ht="15" customHeight="1">
      <c r="A40" s="119" t="s">
        <v>3883</v>
      </c>
      <c r="B40" s="119"/>
      <c r="C40" s="119"/>
      <c r="D40" s="119"/>
      <c r="E40" s="119"/>
    </row>
    <row r="41" spans="1:15" s="875" customFormat="1" ht="15" customHeight="1">
      <c r="B41" s="198" t="s">
        <v>640</v>
      </c>
      <c r="C41" s="1049" t="s">
        <v>3872</v>
      </c>
      <c r="D41" s="1049"/>
      <c r="E41" s="1050"/>
      <c r="F41" s="1048" t="s">
        <v>3871</v>
      </c>
      <c r="G41" s="1049"/>
      <c r="H41" s="1050"/>
    </row>
    <row r="42" spans="1:15" s="875" customFormat="1" ht="15" customHeight="1">
      <c r="B42" s="658"/>
      <c r="C42" s="904" t="s">
        <v>611</v>
      </c>
      <c r="D42" s="904" t="s">
        <v>612</v>
      </c>
      <c r="E42" s="658" t="s">
        <v>339</v>
      </c>
      <c r="F42" s="904" t="s">
        <v>611</v>
      </c>
      <c r="G42" s="904" t="s">
        <v>612</v>
      </c>
      <c r="H42" s="904" t="s">
        <v>339</v>
      </c>
    </row>
    <row r="43" spans="1:15" s="875" customFormat="1" ht="15" customHeight="1">
      <c r="B43" s="658"/>
      <c r="C43" s="904" t="s">
        <v>993</v>
      </c>
      <c r="D43" s="904" t="s">
        <v>993</v>
      </c>
      <c r="E43" s="658" t="s">
        <v>993</v>
      </c>
      <c r="F43" s="904" t="s">
        <v>3870</v>
      </c>
      <c r="G43" s="904" t="s">
        <v>3870</v>
      </c>
      <c r="H43" s="904" t="s">
        <v>3870</v>
      </c>
    </row>
    <row r="44" spans="1:15" s="875" customFormat="1" ht="15" customHeight="1">
      <c r="B44" s="881" t="s">
        <v>605</v>
      </c>
      <c r="C44" s="898">
        <f>'Fuel Specs'!C365*('Fuel Specs'!C377/D26)*('Fuel Specs'!$C$383/$M$35)</f>
        <v>13841</v>
      </c>
      <c r="D44" s="898">
        <f>'Fuel Specs'!C351*(100/D26)*(100/M35)</f>
        <v>16423.705223060584</v>
      </c>
      <c r="E44" s="898">
        <f t="shared" ref="E44:E48" si="0">SUM(C44:D44)</f>
        <v>30264.705223060584</v>
      </c>
      <c r="F44" s="906">
        <f>'Fuel Specs'!D365*('Fuel Specs'!C377/D26)*('Fuel Specs'!$C$383/$M$35)</f>
        <v>0.16966000000000001</v>
      </c>
      <c r="G44" s="906">
        <f t="shared" ref="G44:G49" si="1">1*(100/D26)*(100/$M$35)</f>
        <v>4.8836471076600008</v>
      </c>
      <c r="H44" s="906">
        <f>SUM(F44:G44)</f>
        <v>5.0533071076600011</v>
      </c>
    </row>
    <row r="45" spans="1:15" s="875" customFormat="1" ht="15" customHeight="1">
      <c r="B45" s="881" t="s">
        <v>606</v>
      </c>
      <c r="C45" s="898">
        <f>'Fuel Specs'!C366*('Fuel Specs'!C378/D27)*('Fuel Specs'!$C$383/$M$35)</f>
        <v>17099</v>
      </c>
      <c r="D45" s="898">
        <f>'Fuel Specs'!C352*(100/D27)*(100/M35)</f>
        <v>309303.57995962334</v>
      </c>
      <c r="E45" s="898">
        <f t="shared" si="0"/>
        <v>326402.57995962334</v>
      </c>
      <c r="F45" s="906">
        <f>'Fuel Specs'!D366*('Fuel Specs'!C378/D27)*('Fuel Specs'!$C$383/$M$35)</f>
        <v>7.0810999999999999E-2</v>
      </c>
      <c r="G45" s="906">
        <f t="shared" si="1"/>
        <v>3.0821865031053028</v>
      </c>
      <c r="H45" s="906">
        <f t="shared" ref="H45:H48" si="2">SUM(F45:G45)</f>
        <v>3.1529975031053028</v>
      </c>
    </row>
    <row r="46" spans="1:15" s="875" customFormat="1" ht="15" customHeight="1">
      <c r="B46" s="881" t="s">
        <v>607</v>
      </c>
      <c r="C46" s="898">
        <f>'Fuel Specs'!C367*('Fuel Specs'!C379/D28)*('Fuel Specs'!$C$383/$M$35)</f>
        <v>25299</v>
      </c>
      <c r="D46" s="898">
        <f>'Fuel Specs'!C353*(100/D28)*(100/M35)</f>
        <v>139866.95093961532</v>
      </c>
      <c r="E46" s="898">
        <f t="shared" si="0"/>
        <v>165165.95093961532</v>
      </c>
      <c r="F46" s="906">
        <f>'Fuel Specs'!D367*('Fuel Specs'!C379/D28)*('Fuel Specs'!$C$383/$M$35)</f>
        <v>0.21126</v>
      </c>
      <c r="G46" s="906">
        <f t="shared" si="1"/>
        <v>2.3301061363345101</v>
      </c>
      <c r="H46" s="906">
        <f t="shared" si="2"/>
        <v>2.5413661363345099</v>
      </c>
    </row>
    <row r="47" spans="1:15" s="875" customFormat="1" ht="15" customHeight="1">
      <c r="B47" s="881" t="s">
        <v>608</v>
      </c>
      <c r="C47" s="898">
        <f>'Fuel Specs'!C368*('Fuel Specs'!C380/D29)*('Fuel Specs'!$C$383/$M$35)</f>
        <v>4109</v>
      </c>
      <c r="D47" s="898">
        <f>'Fuel Specs'!C354*(100/D29)*(100/M35)</f>
        <v>0</v>
      </c>
      <c r="E47" s="898">
        <f t="shared" si="0"/>
        <v>4109</v>
      </c>
      <c r="F47" s="906">
        <f>'Fuel Specs'!D368*('Fuel Specs'!C380/D29)*('Fuel Specs'!$C$383/$M$35)</f>
        <v>5.2220999999999997E-2</v>
      </c>
      <c r="G47" s="906">
        <f t="shared" si="1"/>
        <v>1.0695187165775402</v>
      </c>
      <c r="H47" s="906">
        <f t="shared" si="2"/>
        <v>1.1217397165775402</v>
      </c>
    </row>
    <row r="48" spans="1:15" s="875" customFormat="1" ht="15" customHeight="1">
      <c r="B48" s="881" t="s">
        <v>609</v>
      </c>
      <c r="C48" s="898">
        <f>'Fuel Specs'!C369*('Fuel Specs'!C381/D30)*('Fuel Specs'!$C$383/$M$35)</f>
        <v>0</v>
      </c>
      <c r="D48" s="898">
        <f>'Fuel Specs'!C355*(100/D30)*(100/M35)</f>
        <v>0</v>
      </c>
      <c r="E48" s="898">
        <f t="shared" si="0"/>
        <v>0</v>
      </c>
      <c r="F48" s="906">
        <f>'Fuel Specs'!D369*('Fuel Specs'!C381/D30)*('Fuel Specs'!$C$383/$M$35)</f>
        <v>0</v>
      </c>
      <c r="G48" s="906">
        <f t="shared" si="1"/>
        <v>1.0695187165775402</v>
      </c>
      <c r="H48" s="906">
        <f t="shared" si="2"/>
        <v>1.0695187165775402</v>
      </c>
    </row>
    <row r="49" spans="1:62" s="875" customFormat="1" ht="15" customHeight="1">
      <c r="B49" s="881" t="s">
        <v>610</v>
      </c>
      <c r="C49" s="898">
        <f>'Fuel Specs'!C370*('Fuel Specs'!C382/D31)*('Fuel Specs'!$C$383/$M$35)</f>
        <v>46181</v>
      </c>
      <c r="D49" s="898">
        <f>'Fuel Specs'!C356*(100/D31)*(100/M35)</f>
        <v>286077.81670661992</v>
      </c>
      <c r="E49" s="898">
        <f>SUM(C49:D49)</f>
        <v>332258.81670661992</v>
      </c>
      <c r="F49" s="906">
        <f>'Fuel Specs'!D370*('Fuel Specs'!C382/D31)*('Fuel Specs'!$C$383/$M$35)</f>
        <v>0.44778800000000002</v>
      </c>
      <c r="G49" s="906">
        <f t="shared" si="1"/>
        <v>3.3527232494593733</v>
      </c>
      <c r="H49" s="906">
        <f>SUM(F49:G49)</f>
        <v>3.8005112494593734</v>
      </c>
    </row>
    <row r="50" spans="1:62" s="877" customFormat="1" ht="15" customHeight="1">
      <c r="A50" s="892"/>
      <c r="B50" s="891"/>
      <c r="C50" s="891"/>
      <c r="D50" s="891"/>
      <c r="E50" s="893"/>
      <c r="F50" s="893"/>
      <c r="G50" s="893"/>
    </row>
    <row r="51" spans="1:62" s="908" customFormat="1" ht="15" customHeight="1">
      <c r="A51" s="483" t="s">
        <v>3884</v>
      </c>
      <c r="B51" s="483"/>
      <c r="C51" s="483"/>
      <c r="D51" s="483"/>
      <c r="E51" s="483"/>
      <c r="F51" s="483"/>
      <c r="G51" s="483"/>
      <c r="H51" s="483"/>
      <c r="I51" s="483"/>
      <c r="J51" s="483"/>
      <c r="K51" s="483"/>
      <c r="L51" s="483"/>
      <c r="M51" s="483"/>
      <c r="N51" s="483"/>
      <c r="O51" s="483"/>
      <c r="P51" s="483"/>
      <c r="Q51" s="483"/>
      <c r="R51" s="914"/>
      <c r="S51" s="914"/>
      <c r="T51" s="914"/>
      <c r="U51" s="914"/>
      <c r="V51" s="915"/>
      <c r="W51" s="916"/>
      <c r="X51" s="914"/>
      <c r="Y51" s="914"/>
      <c r="Z51" s="914"/>
    </row>
    <row r="52" spans="1:62" s="908" customFormat="1" ht="15" customHeight="1">
      <c r="A52" s="902"/>
      <c r="B52" s="198" t="s">
        <v>640</v>
      </c>
      <c r="C52" s="900" t="s">
        <v>3872</v>
      </c>
      <c r="D52" s="900"/>
      <c r="E52" s="901"/>
      <c r="F52" s="903" t="s">
        <v>3871</v>
      </c>
      <c r="G52" s="903"/>
      <c r="H52" s="903"/>
      <c r="I52" s="907"/>
      <c r="J52" s="907"/>
      <c r="K52" s="907"/>
      <c r="L52" s="907"/>
      <c r="M52" s="907"/>
      <c r="N52" s="907"/>
      <c r="O52" s="907"/>
      <c r="P52" s="907"/>
      <c r="Q52" s="483"/>
      <c r="R52" s="907"/>
      <c r="S52" s="907"/>
      <c r="T52" s="907"/>
      <c r="U52" s="907"/>
      <c r="V52" s="907"/>
      <c r="W52" s="907"/>
      <c r="X52" s="907"/>
      <c r="Y52" s="907"/>
      <c r="Z52" s="907"/>
    </row>
    <row r="53" spans="1:62" s="908" customFormat="1" ht="15" customHeight="1">
      <c r="A53" s="902"/>
      <c r="B53" s="658"/>
      <c r="C53" s="904" t="s">
        <v>611</v>
      </c>
      <c r="D53" s="904" t="s">
        <v>612</v>
      </c>
      <c r="E53" s="904" t="s">
        <v>339</v>
      </c>
      <c r="F53" s="904" t="s">
        <v>611</v>
      </c>
      <c r="G53" s="904" t="s">
        <v>612</v>
      </c>
      <c r="H53" s="904" t="s">
        <v>339</v>
      </c>
      <c r="I53" s="909"/>
      <c r="J53" s="909"/>
      <c r="K53" s="909"/>
      <c r="L53" s="909"/>
      <c r="M53" s="909"/>
      <c r="N53" s="909"/>
      <c r="O53" s="909"/>
      <c r="P53" s="909"/>
      <c r="Q53" s="483"/>
      <c r="R53" s="910"/>
      <c r="S53" s="910"/>
      <c r="T53" s="910"/>
      <c r="U53" s="910"/>
      <c r="V53" s="910"/>
      <c r="W53" s="910"/>
      <c r="X53" s="910"/>
      <c r="Y53" s="910"/>
    </row>
    <row r="54" spans="1:62" s="908" customFormat="1" ht="15" customHeight="1">
      <c r="A54" s="902"/>
      <c r="B54" s="658"/>
      <c r="C54" s="904" t="s">
        <v>993</v>
      </c>
      <c r="D54" s="904" t="s">
        <v>993</v>
      </c>
      <c r="E54" s="904" t="s">
        <v>993</v>
      </c>
      <c r="F54" s="904" t="s">
        <v>3870</v>
      </c>
      <c r="G54" s="904" t="s">
        <v>3870</v>
      </c>
      <c r="H54" s="904" t="s">
        <v>3870</v>
      </c>
      <c r="I54" s="909"/>
      <c r="J54" s="909"/>
      <c r="K54" s="909"/>
      <c r="L54" s="909"/>
      <c r="M54" s="909"/>
      <c r="N54" s="909"/>
      <c r="O54" s="909"/>
      <c r="P54" s="909"/>
      <c r="Q54" s="483"/>
      <c r="R54" s="911"/>
      <c r="S54" s="912"/>
      <c r="T54" s="911"/>
      <c r="U54" s="911"/>
      <c r="V54" s="911"/>
      <c r="W54" s="911"/>
      <c r="X54" s="911"/>
      <c r="Y54" s="911"/>
    </row>
    <row r="55" spans="1:62" s="908" customFormat="1" ht="15" customHeight="1">
      <c r="A55" s="902"/>
      <c r="B55" s="881" t="s">
        <v>605</v>
      </c>
      <c r="C55" s="898">
        <f>'Fuel Specs'!C365*('Fuel Specs'!C377/F26)*('Fuel Specs'!$C$383/$M$36)</f>
        <v>13841</v>
      </c>
      <c r="D55" s="898">
        <f>'Fuel Specs'!C351*(100/F26)*(100/M36)</f>
        <v>16423.705223060584</v>
      </c>
      <c r="E55" s="898">
        <f t="shared" ref="E55:E60" si="3">SUM(C55:D55)</f>
        <v>30264.705223060584</v>
      </c>
      <c r="F55" s="906">
        <f>'Fuel Specs'!D365*('Fuel Specs'!C377/F26)*('Fuel Specs'!$C$383/$M$36)</f>
        <v>0.16966000000000001</v>
      </c>
      <c r="G55" s="906">
        <f t="shared" ref="G55:G60" si="4">1*(100/F26)*(100/$M$36)</f>
        <v>4.8836471076600008</v>
      </c>
      <c r="H55" s="906">
        <f>SUM(F55:G55)</f>
        <v>5.0533071076600011</v>
      </c>
      <c r="I55" s="913"/>
      <c r="J55" s="913"/>
      <c r="K55" s="913"/>
      <c r="L55" s="913"/>
      <c r="M55" s="913"/>
      <c r="N55" s="913"/>
      <c r="O55" s="913"/>
      <c r="P55" s="913"/>
      <c r="Q55" s="483"/>
      <c r="R55" s="911"/>
      <c r="S55" s="912"/>
      <c r="T55" s="911"/>
      <c r="U55" s="911"/>
      <c r="V55" s="911"/>
      <c r="W55" s="911"/>
      <c r="X55" s="911"/>
      <c r="Y55" s="911"/>
    </row>
    <row r="56" spans="1:62" s="908" customFormat="1" ht="15" customHeight="1">
      <c r="A56" s="902"/>
      <c r="B56" s="881" t="s">
        <v>606</v>
      </c>
      <c r="C56" s="898">
        <f>'Fuel Specs'!C366*('Fuel Specs'!C378/F27)*('Fuel Specs'!$C$383/$M$36)</f>
        <v>17099</v>
      </c>
      <c r="D56" s="898">
        <f>'Fuel Specs'!C352*(100/F27)*(100/M36)</f>
        <v>309303.57995962334</v>
      </c>
      <c r="E56" s="898">
        <f t="shared" si="3"/>
        <v>326402.57995962334</v>
      </c>
      <c r="F56" s="906">
        <f>'Fuel Specs'!D366*('Fuel Specs'!C378/F27)*('Fuel Specs'!$C$383/$M$36)</f>
        <v>7.0810999999999999E-2</v>
      </c>
      <c r="G56" s="906">
        <f t="shared" si="4"/>
        <v>3.0821865031053028</v>
      </c>
      <c r="H56" s="906">
        <f t="shared" ref="H56:H60" si="5">SUM(F56:G56)</f>
        <v>3.1529975031053028</v>
      </c>
      <c r="I56" s="913"/>
      <c r="J56" s="913"/>
      <c r="K56" s="913"/>
      <c r="L56" s="913"/>
      <c r="M56" s="913"/>
      <c r="N56" s="913"/>
      <c r="O56" s="913"/>
      <c r="P56" s="913"/>
      <c r="Q56" s="483"/>
      <c r="R56" s="911"/>
      <c r="S56" s="912"/>
      <c r="T56" s="911"/>
      <c r="U56" s="911"/>
      <c r="V56" s="911"/>
      <c r="W56" s="911"/>
      <c r="X56" s="911"/>
      <c r="Y56" s="911"/>
    </row>
    <row r="57" spans="1:62" s="908" customFormat="1" ht="15" customHeight="1">
      <c r="A57" s="902"/>
      <c r="B57" s="881" t="s">
        <v>607</v>
      </c>
      <c r="C57" s="898">
        <f>'Fuel Specs'!C367*('Fuel Specs'!C379/F28)*('Fuel Specs'!$C$383/$M$36)</f>
        <v>25299</v>
      </c>
      <c r="D57" s="898">
        <f>'Fuel Specs'!C353*(100/F28)*(100/M36)</f>
        <v>139866.95093961532</v>
      </c>
      <c r="E57" s="898">
        <f t="shared" si="3"/>
        <v>165165.95093961532</v>
      </c>
      <c r="F57" s="906">
        <f>'Fuel Specs'!D367*('Fuel Specs'!C379/F28)*('Fuel Specs'!$C$383/$M$36)</f>
        <v>0.21126</v>
      </c>
      <c r="G57" s="906">
        <f t="shared" si="4"/>
        <v>2.3301061363345101</v>
      </c>
      <c r="H57" s="906">
        <f t="shared" si="5"/>
        <v>2.5413661363345099</v>
      </c>
      <c r="I57" s="913"/>
      <c r="J57" s="913"/>
      <c r="K57" s="913"/>
      <c r="L57" s="913"/>
      <c r="M57" s="913"/>
      <c r="N57" s="913"/>
      <c r="O57" s="913"/>
      <c r="P57" s="913"/>
      <c r="Q57" s="483"/>
      <c r="R57" s="911"/>
      <c r="S57" s="912"/>
      <c r="T57" s="911"/>
      <c r="U57" s="911"/>
      <c r="V57" s="911"/>
      <c r="W57" s="911"/>
      <c r="X57" s="911"/>
      <c r="Y57" s="911"/>
    </row>
    <row r="58" spans="1:62" s="908" customFormat="1" ht="15" customHeight="1">
      <c r="A58" s="902"/>
      <c r="B58" s="881" t="s">
        <v>608</v>
      </c>
      <c r="C58" s="898">
        <f>'Fuel Specs'!C368*('Fuel Specs'!C380/F29)*('Fuel Specs'!$C$383/$M$36)</f>
        <v>4109</v>
      </c>
      <c r="D58" s="898">
        <f>'Fuel Specs'!C354*(100/F29)*(100/M36)</f>
        <v>0</v>
      </c>
      <c r="E58" s="898">
        <f t="shared" si="3"/>
        <v>4109</v>
      </c>
      <c r="F58" s="906">
        <f>'Fuel Specs'!D368*('Fuel Specs'!C380/F29)*('Fuel Specs'!$C$383/$M$36)</f>
        <v>5.2220999999999997E-2</v>
      </c>
      <c r="G58" s="906">
        <f t="shared" si="4"/>
        <v>1.0695187165775402</v>
      </c>
      <c r="H58" s="906">
        <f t="shared" si="5"/>
        <v>1.1217397165775402</v>
      </c>
      <c r="I58" s="913"/>
      <c r="J58" s="913"/>
      <c r="K58" s="913"/>
      <c r="L58" s="913"/>
      <c r="M58" s="913"/>
      <c r="N58" s="913"/>
      <c r="O58" s="913"/>
      <c r="P58" s="913"/>
      <c r="Q58" s="483"/>
      <c r="R58" s="911"/>
      <c r="S58" s="912"/>
      <c r="T58" s="911"/>
      <c r="U58" s="911"/>
      <c r="V58" s="911"/>
      <c r="W58" s="911"/>
      <c r="X58" s="911"/>
      <c r="Y58" s="911"/>
    </row>
    <row r="59" spans="1:62" s="908" customFormat="1" ht="15" customHeight="1">
      <c r="A59" s="902"/>
      <c r="B59" s="881" t="s">
        <v>609</v>
      </c>
      <c r="C59" s="898">
        <f>'Fuel Specs'!C369*('Fuel Specs'!C381/F30)*('Fuel Specs'!$C$383/$M$36)</f>
        <v>0</v>
      </c>
      <c r="D59" s="898">
        <f>'Fuel Specs'!C355*(100/F30)*(100/M36)</f>
        <v>0</v>
      </c>
      <c r="E59" s="898">
        <f t="shared" si="3"/>
        <v>0</v>
      </c>
      <c r="F59" s="906">
        <f>'Fuel Specs'!D369*('Fuel Specs'!C381/F30)*('Fuel Specs'!$C$383/$M$36)</f>
        <v>0</v>
      </c>
      <c r="G59" s="906">
        <f t="shared" si="4"/>
        <v>1.0695187165775402</v>
      </c>
      <c r="H59" s="906">
        <f t="shared" si="5"/>
        <v>1.0695187165775402</v>
      </c>
      <c r="I59" s="913"/>
      <c r="J59" s="913"/>
      <c r="K59" s="913"/>
      <c r="L59" s="913"/>
      <c r="M59" s="913"/>
      <c r="N59" s="913"/>
      <c r="O59" s="913"/>
      <c r="P59" s="913"/>
      <c r="Q59" s="483"/>
      <c r="R59" s="911"/>
      <c r="S59" s="912"/>
      <c r="T59" s="911"/>
      <c r="U59" s="911"/>
      <c r="V59" s="911"/>
      <c r="W59" s="911"/>
      <c r="X59" s="911"/>
      <c r="Y59" s="911"/>
    </row>
    <row r="60" spans="1:62" s="908" customFormat="1" ht="15" customHeight="1">
      <c r="A60" s="902"/>
      <c r="B60" s="881" t="s">
        <v>610</v>
      </c>
      <c r="C60" s="898">
        <f>'Fuel Specs'!C370*('Fuel Specs'!C382/F31)*('Fuel Specs'!$C$383/$M$36)</f>
        <v>46181</v>
      </c>
      <c r="D60" s="898">
        <f>'Fuel Specs'!C356*(100/F31)*(100/M36)</f>
        <v>286077.81670661992</v>
      </c>
      <c r="E60" s="898">
        <f t="shared" si="3"/>
        <v>332258.81670661992</v>
      </c>
      <c r="F60" s="906">
        <f>'Fuel Specs'!D370*('Fuel Specs'!C382/F31)*('Fuel Specs'!$C$383/$M$36)</f>
        <v>0.44778800000000002</v>
      </c>
      <c r="G60" s="906">
        <f t="shared" si="4"/>
        <v>3.3527232494593733</v>
      </c>
      <c r="H60" s="906">
        <f t="shared" si="5"/>
        <v>3.8005112494593734</v>
      </c>
      <c r="I60" s="913"/>
      <c r="J60" s="913"/>
      <c r="K60" s="913"/>
      <c r="L60" s="913"/>
      <c r="M60" s="913"/>
      <c r="N60" s="913"/>
      <c r="O60" s="913"/>
      <c r="P60" s="913"/>
      <c r="Q60" s="483"/>
      <c r="R60" s="911"/>
      <c r="S60" s="912"/>
      <c r="T60" s="911"/>
      <c r="U60" s="911"/>
      <c r="V60" s="911"/>
      <c r="W60" s="911"/>
      <c r="X60" s="911"/>
      <c r="Y60" s="911"/>
    </row>
    <row r="61" spans="1:62" s="908" customFormat="1" ht="15" customHeight="1">
      <c r="A61" s="902"/>
      <c r="B61" s="902"/>
      <c r="C61" s="902"/>
      <c r="D61" s="902"/>
      <c r="E61" s="902"/>
      <c r="F61" s="902"/>
      <c r="G61" s="902"/>
      <c r="H61" s="902"/>
      <c r="I61" s="699"/>
      <c r="J61" s="699"/>
      <c r="K61" s="699"/>
      <c r="L61" s="699"/>
      <c r="M61" s="699"/>
      <c r="N61" s="699"/>
      <c r="O61" s="699"/>
      <c r="P61" s="699"/>
      <c r="Q61" s="699"/>
      <c r="R61" s="699"/>
      <c r="S61" s="699"/>
      <c r="T61" s="699"/>
      <c r="U61" s="699"/>
      <c r="V61" s="699"/>
      <c r="W61" s="699"/>
      <c r="X61" s="699"/>
      <c r="Y61" s="699"/>
      <c r="Z61" s="699"/>
      <c r="AA61" s="699"/>
      <c r="AB61" s="699"/>
      <c r="AC61" s="699"/>
      <c r="AD61" s="699"/>
      <c r="AE61" s="699"/>
      <c r="AF61" s="699"/>
      <c r="AG61" s="699"/>
      <c r="AH61" s="699"/>
      <c r="AI61" s="699"/>
      <c r="AJ61" s="699"/>
      <c r="AK61" s="699"/>
      <c r="AL61" s="699"/>
      <c r="AM61" s="699"/>
      <c r="AN61" s="699"/>
      <c r="AO61" s="699"/>
      <c r="AP61" s="699"/>
      <c r="AQ61" s="699"/>
      <c r="AR61" s="699"/>
      <c r="AS61" s="699"/>
      <c r="AT61" s="699"/>
      <c r="AU61" s="699"/>
      <c r="AV61" s="699"/>
      <c r="AW61" s="699"/>
      <c r="AX61" s="699"/>
      <c r="AY61" s="699"/>
      <c r="AZ61" s="699"/>
      <c r="BA61" s="699"/>
      <c r="BB61" s="699"/>
      <c r="BC61" s="699"/>
      <c r="BD61" s="699"/>
      <c r="BE61" s="699"/>
      <c r="BF61" s="699"/>
      <c r="BG61" s="699"/>
      <c r="BH61" s="699"/>
      <c r="BI61" s="699"/>
      <c r="BJ61" s="699"/>
    </row>
    <row r="62" spans="1:62" ht="15" customHeight="1">
      <c r="A62" s="93"/>
      <c r="B62" s="93"/>
      <c r="C62" s="93"/>
      <c r="D62" s="93"/>
      <c r="E62" s="882"/>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row>
    <row r="63" spans="1:62" s="9" customFormat="1" ht="15" customHeight="1">
      <c r="A63" s="9" t="s">
        <v>1310</v>
      </c>
    </row>
    <row r="64" spans="1:62" ht="15" customHeight="1">
      <c r="M64" s="119"/>
      <c r="N64" s="119"/>
      <c r="O64" s="119"/>
    </row>
    <row r="65" spans="1:30" ht="15" customHeight="1">
      <c r="O65" s="119"/>
    </row>
    <row r="66" spans="1:30" ht="15" customHeight="1">
      <c r="A66" s="102" t="s">
        <v>3885</v>
      </c>
      <c r="M66" s="119" t="s">
        <v>164</v>
      </c>
      <c r="N66" s="119" t="s">
        <v>239</v>
      </c>
      <c r="O66" s="119"/>
    </row>
    <row r="67" spans="1:30" ht="15" customHeight="1">
      <c r="B67" s="102" t="s">
        <v>3886</v>
      </c>
      <c r="M67" s="896">
        <f>SUMPRODUCT(C26:C31,E44:E49)/100</f>
        <v>165165.95093961532</v>
      </c>
      <c r="N67" s="887" t="s">
        <v>3869</v>
      </c>
      <c r="O67" s="119"/>
    </row>
    <row r="68" spans="1:30" ht="15" customHeight="1">
      <c r="B68" s="102" t="s">
        <v>3887</v>
      </c>
      <c r="M68" s="896">
        <f>M67*M35/100</f>
        <v>154430.16412854032</v>
      </c>
      <c r="N68" s="887" t="s">
        <v>3869</v>
      </c>
      <c r="O68" s="119"/>
    </row>
    <row r="69" spans="1:30" ht="15" customHeight="1">
      <c r="B69" s="102" t="s">
        <v>3888</v>
      </c>
      <c r="M69" s="917">
        <f>SUMPRODUCT(C26:C31,H44:H49)/100</f>
        <v>2.5413661363345099</v>
      </c>
      <c r="N69" s="887" t="s">
        <v>3870</v>
      </c>
      <c r="O69" s="119"/>
    </row>
    <row r="70" spans="1:30" ht="15" customHeight="1">
      <c r="B70" s="102" t="s">
        <v>3889</v>
      </c>
      <c r="M70" s="917">
        <f>M69*M35/100</f>
        <v>2.3761773374727668</v>
      </c>
      <c r="N70" s="887" t="s">
        <v>3870</v>
      </c>
      <c r="O70" s="119"/>
    </row>
    <row r="71" spans="1:30" ht="15" customHeight="1">
      <c r="M71" s="119"/>
      <c r="N71" s="119"/>
      <c r="O71" s="119"/>
    </row>
    <row r="72" spans="1:30" ht="15" customHeight="1">
      <c r="A72" s="102" t="s">
        <v>3890</v>
      </c>
      <c r="M72" s="119"/>
      <c r="N72" s="119"/>
      <c r="O72" s="119"/>
    </row>
    <row r="73" spans="1:30" ht="15" customHeight="1">
      <c r="B73" s="102" t="s">
        <v>3891</v>
      </c>
      <c r="M73" s="896">
        <f>SUMPRODUCT(E26:E31,E55:E60)/100</f>
        <v>191553.1081107482</v>
      </c>
      <c r="N73" s="887" t="s">
        <v>3869</v>
      </c>
      <c r="O73" s="119"/>
    </row>
    <row r="74" spans="1:30" ht="15" customHeight="1">
      <c r="B74" s="102" t="s">
        <v>3892</v>
      </c>
      <c r="M74" s="897">
        <f>SUMPRODUCT(E26:E31,H55:H60)/100</f>
        <v>2.4091594836343266</v>
      </c>
      <c r="N74" s="887" t="s">
        <v>3870</v>
      </c>
      <c r="O74" s="119"/>
    </row>
    <row r="75" spans="1:30" ht="15" customHeight="1">
      <c r="N75" s="887"/>
      <c r="O75" s="119"/>
    </row>
    <row r="76" spans="1:30" ht="15" customHeight="1">
      <c r="A76" s="93"/>
      <c r="B76" s="93"/>
      <c r="C76" s="93"/>
      <c r="D76" s="93"/>
      <c r="E76" s="93"/>
      <c r="F76" s="93"/>
      <c r="G76" s="93"/>
      <c r="H76" s="93"/>
      <c r="I76" s="93"/>
      <c r="J76" s="93"/>
      <c r="K76" s="93"/>
      <c r="L76" s="93"/>
      <c r="M76" s="93" t="s">
        <v>164</v>
      </c>
      <c r="N76" s="93" t="s">
        <v>239</v>
      </c>
      <c r="O76" s="93"/>
      <c r="P76" s="93" t="s">
        <v>170</v>
      </c>
      <c r="Q76" s="93"/>
      <c r="U76" s="93" t="s">
        <v>348</v>
      </c>
    </row>
    <row r="77" spans="1:30" ht="15" customHeight="1">
      <c r="A77" s="92" t="s">
        <v>1494</v>
      </c>
      <c r="B77" s="93"/>
      <c r="C77" s="93"/>
      <c r="D77" s="93"/>
      <c r="E77" s="93"/>
      <c r="F77" s="93"/>
      <c r="G77" s="93"/>
      <c r="H77" s="93"/>
      <c r="I77" s="93"/>
      <c r="J77" s="93"/>
      <c r="K77" s="93"/>
      <c r="L77" s="93"/>
      <c r="M77" s="15">
        <f>M10*'Energy Consumption'!E70</f>
        <v>0</v>
      </c>
      <c r="N77" s="93" t="s">
        <v>268</v>
      </c>
      <c r="O77" s="119"/>
      <c r="P77" s="93"/>
      <c r="Q77" s="93"/>
    </row>
    <row r="78" spans="1:30" ht="15" customHeight="1">
      <c r="A78" s="93"/>
      <c r="B78" s="93"/>
      <c r="C78" s="93"/>
      <c r="D78" s="93"/>
      <c r="E78" s="93"/>
      <c r="F78" s="93"/>
      <c r="G78" s="93"/>
      <c r="H78" s="93"/>
      <c r="I78" s="93"/>
      <c r="J78" s="93"/>
      <c r="K78" s="93"/>
      <c r="L78" s="93"/>
      <c r="M78" s="530"/>
      <c r="N78" s="93"/>
      <c r="O78" s="119"/>
      <c r="P78" s="93"/>
      <c r="Q78" s="93"/>
    </row>
    <row r="79" spans="1:30" ht="15" customHeight="1">
      <c r="A79" s="92" t="s">
        <v>1591</v>
      </c>
      <c r="B79" s="93"/>
      <c r="C79" s="93"/>
      <c r="D79" s="93"/>
      <c r="E79" s="93"/>
      <c r="F79" s="93"/>
      <c r="G79" s="93"/>
      <c r="H79" s="93"/>
      <c r="I79" s="93"/>
      <c r="J79" s="93"/>
      <c r="K79" s="93"/>
      <c r="L79" s="93"/>
      <c r="M79" s="14">
        <f>((M77*1000000*'Input data'!E52)*M20)/1000000</f>
        <v>0</v>
      </c>
      <c r="N79" s="93" t="s">
        <v>268</v>
      </c>
      <c r="O79" s="93"/>
      <c r="P79" s="93"/>
      <c r="Q79" s="93"/>
    </row>
    <row r="80" spans="1:30" ht="15" customHeight="1">
      <c r="A80" s="93"/>
      <c r="C80" s="432"/>
      <c r="D80" s="93"/>
      <c r="E80" s="93"/>
      <c r="F80" s="93"/>
      <c r="G80" s="93"/>
      <c r="H80" s="93"/>
      <c r="I80" s="93"/>
      <c r="J80" s="93"/>
      <c r="K80" s="93"/>
      <c r="L80" s="93"/>
      <c r="M80" s="94"/>
      <c r="N80" s="94"/>
      <c r="O80"/>
      <c r="P80"/>
      <c r="Q80" s="93"/>
      <c r="R80" s="93"/>
      <c r="S80" s="93"/>
      <c r="T80" s="93"/>
      <c r="U80" s="93"/>
      <c r="V80" s="93"/>
      <c r="W80" s="93"/>
      <c r="X80" s="93"/>
      <c r="Y80" s="93"/>
      <c r="Z80" s="93"/>
      <c r="AA80" s="93"/>
      <c r="AB80" s="93"/>
      <c r="AC80" s="93"/>
      <c r="AD80" s="93"/>
    </row>
    <row r="81" spans="1:30" ht="15" customHeight="1">
      <c r="A81" s="92" t="s">
        <v>1654</v>
      </c>
      <c r="B81" s="93"/>
      <c r="C81" s="93"/>
      <c r="D81" s="93"/>
      <c r="E81" s="93"/>
      <c r="F81" s="93"/>
      <c r="G81" s="93"/>
      <c r="H81" s="93"/>
      <c r="I81" s="93"/>
      <c r="J81" s="93"/>
      <c r="K81" s="93"/>
      <c r="L81" s="93"/>
      <c r="M81" s="14">
        <f>(M79*IF(M15=1,'Emissions Factors'!H17,IF(M15=2,'Emissions Factors'!G17,'Emissions Factors'!K17)))/1000000</f>
        <v>0</v>
      </c>
      <c r="N81" s="93" t="s">
        <v>753</v>
      </c>
      <c r="O81"/>
      <c r="P81"/>
      <c r="Q81" s="93"/>
      <c r="R81" s="93"/>
      <c r="S81" s="93"/>
      <c r="T81" s="93"/>
      <c r="U81" s="93"/>
      <c r="V81" s="93"/>
      <c r="W81" s="93"/>
      <c r="X81" s="93"/>
      <c r="Y81" s="93"/>
      <c r="Z81" s="93"/>
      <c r="AA81" s="93"/>
      <c r="AB81" s="93"/>
      <c r="AC81" s="93"/>
      <c r="AD81" s="93"/>
    </row>
    <row r="82" spans="1:30" ht="15" customHeight="1">
      <c r="A82" s="93"/>
      <c r="B82" s="93"/>
      <c r="C82" s="93"/>
      <c r="D82" s="93"/>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row>
    <row r="83" spans="1:30" ht="15" customHeight="1">
      <c r="A83" s="93"/>
      <c r="B83" s="93"/>
      <c r="C83" s="93"/>
      <c r="D83" s="93"/>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row>
    <row r="84" spans="1:30" s="887" customFormat="1" ht="15" customHeight="1"/>
    <row r="85" spans="1:30" s="887" customFormat="1" ht="15" customHeight="1"/>
    <row r="86" spans="1:30" s="887" customFormat="1" ht="12.75"/>
    <row r="87" spans="1:30" s="887" customFormat="1" ht="12.75"/>
    <row r="88" spans="1:30">
      <c r="A88" s="93"/>
      <c r="B88" s="93"/>
      <c r="C88" s="93"/>
      <c r="D88" s="93"/>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row>
    <row r="89" spans="1:30">
      <c r="A89" s="93"/>
      <c r="B89" s="93"/>
      <c r="C89" s="93"/>
      <c r="D89" s="93"/>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row>
    <row r="90" spans="1:30">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row>
    <row r="91" spans="1:30">
      <c r="A91" s="93"/>
      <c r="B91" s="93"/>
      <c r="C91" s="93"/>
      <c r="D91" s="93"/>
      <c r="E91" s="93"/>
      <c r="F91" s="93"/>
      <c r="G91" s="93"/>
      <c r="H91" s="93"/>
      <c r="I91" s="93"/>
      <c r="J91" s="93"/>
      <c r="K91" s="93"/>
      <c r="L91" s="93"/>
      <c r="M91" s="93"/>
      <c r="N91" s="93"/>
      <c r="O91" s="93"/>
      <c r="P91" s="93"/>
      <c r="Q91" s="93"/>
      <c r="R91" s="93"/>
      <c r="S91" s="93"/>
      <c r="T91" s="93"/>
      <c r="U91" s="93"/>
      <c r="V91" s="93"/>
      <c r="W91" s="93"/>
      <c r="X91" s="93"/>
      <c r="Y91" s="93"/>
      <c r="Z91" s="93"/>
      <c r="AA91" s="93"/>
      <c r="AB91" s="93"/>
      <c r="AC91" s="93"/>
      <c r="AD91" s="93"/>
    </row>
    <row r="92" spans="1:30">
      <c r="A92" s="93"/>
      <c r="B92" s="93"/>
      <c r="C92" s="93"/>
      <c r="D92" s="93"/>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row>
    <row r="93" spans="1:30">
      <c r="A93" s="93"/>
      <c r="B93" s="93"/>
      <c r="C93" s="93"/>
      <c r="D93" s="93"/>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row>
    <row r="94" spans="1:30">
      <c r="A94" s="93"/>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row>
    <row r="95" spans="1:30">
      <c r="A95" s="93"/>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row>
    <row r="96" spans="1:30">
      <c r="A96" s="93"/>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row>
    <row r="97" spans="1:30">
      <c r="A97" s="93"/>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row>
    <row r="98" spans="1:30">
      <c r="A98" s="93"/>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row>
    <row r="99" spans="1:30">
      <c r="A99" s="93"/>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row>
    <row r="100" spans="1:30">
      <c r="A100" s="93"/>
      <c r="B100" s="93"/>
      <c r="C100" s="93"/>
      <c r="D100" s="93"/>
      <c r="E100" s="93"/>
      <c r="F100" s="93"/>
      <c r="G100" s="93"/>
      <c r="H100" s="93"/>
      <c r="I100" s="93"/>
      <c r="J100" s="93"/>
      <c r="K100" s="93"/>
      <c r="L100" s="93"/>
      <c r="M100" s="93"/>
      <c r="N100" s="93"/>
      <c r="O100" s="93"/>
      <c r="P100" s="93"/>
      <c r="Q100" s="93"/>
      <c r="R100" s="93"/>
      <c r="S100" s="93"/>
      <c r="T100" s="93"/>
      <c r="U100" s="93"/>
      <c r="V100" s="93"/>
      <c r="W100" s="93"/>
      <c r="X100" s="93"/>
      <c r="Y100" s="93"/>
      <c r="Z100" s="93"/>
      <c r="AA100" s="93"/>
      <c r="AB100" s="93"/>
      <c r="AC100" s="93"/>
      <c r="AD100" s="93"/>
    </row>
    <row r="101" spans="1:30">
      <c r="A101" s="93"/>
      <c r="B101" s="93"/>
      <c r="C101" s="93"/>
      <c r="D101" s="93"/>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row>
    <row r="102" spans="1:30">
      <c r="A102" s="93"/>
      <c r="B102" s="93"/>
      <c r="C102" s="93"/>
      <c r="D102" s="93"/>
      <c r="E102" s="93"/>
      <c r="F102" s="93"/>
      <c r="G102" s="93"/>
      <c r="H102" s="93"/>
      <c r="I102" s="93"/>
      <c r="J102" s="93"/>
      <c r="K102" s="93"/>
      <c r="L102" s="93"/>
      <c r="M102" s="93"/>
      <c r="N102" s="93"/>
      <c r="O102" s="93"/>
      <c r="P102" s="93"/>
      <c r="Q102" s="93"/>
      <c r="R102" s="93"/>
      <c r="S102" s="93"/>
      <c r="T102" s="93"/>
      <c r="U102" s="93"/>
      <c r="V102" s="93"/>
      <c r="W102" s="93"/>
      <c r="X102" s="93"/>
      <c r="Y102" s="93"/>
      <c r="Z102" s="93"/>
      <c r="AA102" s="93"/>
      <c r="AB102" s="93"/>
      <c r="AC102" s="93"/>
      <c r="AD102" s="93"/>
    </row>
    <row r="103" spans="1:30">
      <c r="A103" s="93"/>
      <c r="B103" s="93"/>
      <c r="C103" s="93"/>
      <c r="D103" s="93"/>
      <c r="E103" s="93"/>
      <c r="F103" s="93"/>
      <c r="G103" s="93"/>
      <c r="H103" s="93"/>
      <c r="I103" s="93"/>
      <c r="J103" s="93"/>
      <c r="K103" s="93"/>
      <c r="L103" s="93"/>
      <c r="M103" s="93"/>
      <c r="N103" s="93"/>
      <c r="O103" s="93"/>
      <c r="P103" s="93"/>
      <c r="Q103" s="93"/>
      <c r="R103" s="93"/>
      <c r="S103" s="93"/>
      <c r="T103" s="93"/>
      <c r="U103" s="93"/>
      <c r="V103" s="93"/>
      <c r="W103" s="93"/>
      <c r="X103" s="93"/>
      <c r="Y103" s="93"/>
      <c r="Z103" s="93"/>
      <c r="AA103" s="93"/>
      <c r="AB103" s="93"/>
      <c r="AC103" s="93"/>
      <c r="AD103" s="93"/>
    </row>
    <row r="104" spans="1:30">
      <c r="A104" s="93"/>
      <c r="B104" s="93"/>
      <c r="C104" s="93"/>
      <c r="D104" s="93"/>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row>
    <row r="105" spans="1:30">
      <c r="A105" s="93"/>
      <c r="B105" s="93"/>
      <c r="C105" s="93"/>
      <c r="D105" s="93"/>
      <c r="E105" s="93"/>
      <c r="F105" s="93"/>
      <c r="G105" s="93"/>
      <c r="H105" s="93"/>
      <c r="I105" s="93"/>
      <c r="J105" s="93"/>
      <c r="K105" s="93"/>
      <c r="L105" s="93"/>
      <c r="M105" s="93"/>
      <c r="N105" s="93"/>
      <c r="O105" s="93"/>
      <c r="P105" s="93"/>
      <c r="Q105" s="93"/>
      <c r="R105" s="93"/>
      <c r="S105" s="93"/>
      <c r="T105" s="93"/>
      <c r="U105" s="93"/>
      <c r="V105" s="93"/>
      <c r="W105" s="93"/>
      <c r="X105" s="93"/>
      <c r="Y105" s="93"/>
      <c r="Z105" s="93"/>
      <c r="AA105" s="93"/>
      <c r="AB105" s="93"/>
      <c r="AC105" s="93"/>
      <c r="AD105" s="93"/>
    </row>
    <row r="106" spans="1:30">
      <c r="A106" s="93"/>
      <c r="B106" s="93"/>
      <c r="C106" s="93"/>
      <c r="D106" s="93"/>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row>
    <row r="107" spans="1:30">
      <c r="A107" s="93"/>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row>
    <row r="108" spans="1:30">
      <c r="A108" s="93"/>
      <c r="B108" s="93"/>
      <c r="C108" s="93"/>
      <c r="D108" s="93"/>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row>
    <row r="109" spans="1:30">
      <c r="A109" s="93"/>
      <c r="B109" s="93"/>
      <c r="C109" s="93"/>
      <c r="D109" s="93"/>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row>
    <row r="110" spans="1:30">
      <c r="A110" s="93"/>
      <c r="B110" s="93"/>
      <c r="C110" s="93"/>
      <c r="D110" s="93"/>
      <c r="E110" s="93"/>
      <c r="F110" s="93"/>
      <c r="G110" s="93"/>
      <c r="H110" s="93"/>
      <c r="I110" s="93"/>
      <c r="J110" s="93"/>
      <c r="K110" s="93"/>
      <c r="L110" s="93"/>
      <c r="M110" s="93"/>
      <c r="N110" s="93"/>
      <c r="O110" s="93"/>
      <c r="P110" s="93"/>
      <c r="Q110" s="93"/>
      <c r="R110" s="93"/>
      <c r="S110" s="93"/>
      <c r="T110" s="93"/>
      <c r="U110" s="93"/>
      <c r="V110" s="93"/>
      <c r="W110" s="93"/>
      <c r="X110" s="93"/>
      <c r="Y110" s="93"/>
      <c r="Z110" s="93"/>
      <c r="AA110" s="93"/>
      <c r="AB110" s="93"/>
      <c r="AC110" s="93"/>
      <c r="AD110" s="93"/>
    </row>
    <row r="111" spans="1:30">
      <c r="A111" s="93"/>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row>
    <row r="112" spans="1:30">
      <c r="A112" s="93"/>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row>
    <row r="113" spans="1:30">
      <c r="A113" s="93"/>
      <c r="B113" s="93"/>
      <c r="C113" s="93"/>
      <c r="D113" s="93"/>
      <c r="E113" s="93"/>
      <c r="F113" s="93"/>
      <c r="G113" s="93"/>
      <c r="H113" s="93"/>
      <c r="I113" s="93"/>
      <c r="J113" s="93"/>
      <c r="K113" s="93"/>
      <c r="L113" s="93"/>
      <c r="M113" s="93"/>
      <c r="N113" s="93"/>
      <c r="O113" s="93"/>
      <c r="P113" s="93"/>
      <c r="Q113" s="93"/>
      <c r="R113" s="93"/>
      <c r="S113" s="93"/>
      <c r="T113" s="93"/>
      <c r="U113" s="93"/>
      <c r="V113" s="93"/>
      <c r="W113" s="93"/>
      <c r="X113" s="93"/>
      <c r="Y113" s="93"/>
      <c r="Z113" s="93"/>
      <c r="AA113" s="93"/>
      <c r="AB113" s="93"/>
      <c r="AC113" s="93"/>
      <c r="AD113" s="93"/>
    </row>
    <row r="114" spans="1:30">
      <c r="A114" s="93"/>
      <c r="B114" s="93"/>
      <c r="C114" s="93"/>
      <c r="D114" s="93"/>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row>
    <row r="115" spans="1:30">
      <c r="A115" s="93"/>
      <c r="B115" s="93"/>
      <c r="C115" s="93"/>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row>
    <row r="116" spans="1:30">
      <c r="A116" s="93"/>
      <c r="B116" s="93"/>
      <c r="C116" s="93"/>
      <c r="D116" s="93"/>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row>
    <row r="117" spans="1:30">
      <c r="A117" s="93"/>
      <c r="B117" s="93"/>
      <c r="C117" s="93"/>
      <c r="D117" s="93"/>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row>
    <row r="118" spans="1:30">
      <c r="A118" s="93"/>
      <c r="B118" s="93"/>
      <c r="C118" s="93"/>
      <c r="D118" s="93"/>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row>
    <row r="119" spans="1:30">
      <c r="A119" s="93"/>
      <c r="B119" s="93"/>
      <c r="C119" s="93"/>
      <c r="D119" s="93"/>
      <c r="E119" s="93"/>
      <c r="F119" s="93"/>
      <c r="G119" s="93"/>
      <c r="H119" s="93"/>
      <c r="I119" s="93"/>
      <c r="J119" s="93"/>
      <c r="K119" s="93"/>
      <c r="L119" s="93"/>
      <c r="M119" s="93"/>
      <c r="N119" s="93"/>
      <c r="O119" s="93"/>
      <c r="P119" s="93"/>
      <c r="Q119" s="93"/>
      <c r="R119" s="93"/>
      <c r="S119" s="93"/>
      <c r="T119" s="93"/>
      <c r="U119" s="93"/>
      <c r="V119" s="93"/>
      <c r="W119" s="93"/>
      <c r="X119" s="93"/>
      <c r="Y119" s="93"/>
      <c r="Z119" s="93"/>
      <c r="AA119" s="93"/>
      <c r="AB119" s="93"/>
      <c r="AC119" s="93"/>
      <c r="AD119" s="93"/>
    </row>
    <row r="120" spans="1:30">
      <c r="A120" s="93"/>
      <c r="B120" s="93"/>
      <c r="C120" s="93"/>
      <c r="D120" s="93"/>
      <c r="E120" s="93"/>
      <c r="F120" s="93"/>
      <c r="G120" s="93"/>
      <c r="H120" s="93"/>
      <c r="I120" s="93"/>
      <c r="J120" s="93"/>
      <c r="K120" s="93"/>
      <c r="L120" s="93"/>
      <c r="M120" s="93"/>
      <c r="N120" s="93"/>
      <c r="O120" s="93"/>
      <c r="P120" s="93"/>
      <c r="Q120" s="93"/>
      <c r="R120" s="93"/>
      <c r="S120" s="93"/>
      <c r="T120" s="93"/>
      <c r="U120" s="93"/>
      <c r="V120" s="93"/>
      <c r="W120" s="93"/>
      <c r="X120" s="93"/>
      <c r="Y120" s="93"/>
      <c r="Z120" s="93"/>
      <c r="AA120" s="93"/>
      <c r="AB120" s="93"/>
      <c r="AC120" s="93"/>
      <c r="AD120" s="93"/>
    </row>
    <row r="121" spans="1:30">
      <c r="A121" s="93"/>
      <c r="B121" s="93"/>
      <c r="C121" s="93"/>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row>
    <row r="122" spans="1:30">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row>
    <row r="123" spans="1:30">
      <c r="A123" s="93"/>
      <c r="B123" s="93"/>
      <c r="C123" s="93"/>
      <c r="D123" s="93"/>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row>
    <row r="124" spans="1:30">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row>
    <row r="125" spans="1:30">
      <c r="A125" s="93"/>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row>
    <row r="126" spans="1:30">
      <c r="A126" s="93"/>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row>
    <row r="127" spans="1:30">
      <c r="A127" s="93"/>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row>
    <row r="128" spans="1:30">
      <c r="A128" s="93"/>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row>
    <row r="129" spans="1:30">
      <c r="A129" s="93"/>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row>
    <row r="130" spans="1:30">
      <c r="A130" s="93"/>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row>
    <row r="131" spans="1:30">
      <c r="A131" s="93"/>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row>
    <row r="132" spans="1:30">
      <c r="A132" s="93"/>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row>
    <row r="133" spans="1:30">
      <c r="A133" s="93"/>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row>
    <row r="134" spans="1:30">
      <c r="A134" s="93"/>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row>
    <row r="135" spans="1:30">
      <c r="A135" s="93"/>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row>
    <row r="136" spans="1:30">
      <c r="A136" s="93"/>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row>
    <row r="137" spans="1:30">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row>
    <row r="138" spans="1:30">
      <c r="A138" s="93"/>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row>
    <row r="139" spans="1:30">
      <c r="A139" s="93"/>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row>
    <row r="140" spans="1:30">
      <c r="A140" s="93"/>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row>
    <row r="141" spans="1:30">
      <c r="A141" s="93"/>
      <c r="B141" s="93"/>
      <c r="C141" s="93"/>
      <c r="D141" s="93"/>
      <c r="E141" s="93"/>
      <c r="F141" s="93"/>
      <c r="G141" s="93"/>
      <c r="H141" s="93"/>
      <c r="I141" s="93"/>
      <c r="J141" s="93"/>
      <c r="K141" s="93"/>
      <c r="L141" s="93"/>
      <c r="M141" s="93"/>
      <c r="N141" s="93"/>
      <c r="O141" s="93"/>
      <c r="P141" s="93"/>
      <c r="Q141" s="93"/>
      <c r="R141" s="93"/>
      <c r="S141" s="93"/>
      <c r="T141" s="93"/>
      <c r="U141" s="93"/>
      <c r="V141" s="93"/>
      <c r="W141" s="93"/>
      <c r="X141" s="93"/>
      <c r="Y141" s="93"/>
      <c r="Z141" s="93"/>
      <c r="AA141" s="93"/>
      <c r="AB141" s="93"/>
      <c r="AC141" s="93"/>
      <c r="AD141" s="93"/>
    </row>
    <row r="142" spans="1:30">
      <c r="A142" s="93"/>
      <c r="B142" s="93"/>
      <c r="C142" s="93"/>
      <c r="D142" s="93"/>
      <c r="E142" s="93"/>
      <c r="F142" s="93"/>
      <c r="G142" s="93"/>
      <c r="H142" s="93"/>
      <c r="I142" s="93"/>
      <c r="J142" s="93"/>
      <c r="K142" s="93"/>
      <c r="L142" s="93"/>
      <c r="M142" s="93"/>
      <c r="N142" s="93"/>
      <c r="O142" s="93"/>
      <c r="P142" s="93"/>
      <c r="Q142" s="93"/>
      <c r="R142" s="93"/>
      <c r="S142" s="93"/>
      <c r="T142" s="93"/>
      <c r="U142" s="93"/>
      <c r="V142" s="93"/>
      <c r="W142" s="93"/>
      <c r="X142" s="93"/>
      <c r="Y142" s="93"/>
      <c r="Z142" s="93"/>
      <c r="AA142" s="93"/>
      <c r="AB142" s="93"/>
      <c r="AC142" s="93"/>
      <c r="AD142" s="93"/>
    </row>
    <row r="143" spans="1:30">
      <c r="A143" s="93"/>
      <c r="B143" s="93"/>
      <c r="C143" s="93"/>
      <c r="D143" s="93"/>
      <c r="E143" s="93"/>
      <c r="F143" s="93"/>
      <c r="G143" s="93"/>
      <c r="H143" s="93"/>
      <c r="I143" s="93"/>
      <c r="J143" s="93"/>
      <c r="K143" s="93"/>
      <c r="L143" s="93"/>
      <c r="M143" s="93"/>
      <c r="N143" s="93"/>
      <c r="O143" s="93"/>
      <c r="P143" s="93"/>
      <c r="Q143" s="93"/>
      <c r="R143" s="93"/>
      <c r="S143" s="93"/>
      <c r="T143" s="93"/>
      <c r="U143" s="93"/>
      <c r="V143" s="93"/>
      <c r="W143" s="93"/>
      <c r="X143" s="93"/>
      <c r="Y143" s="93"/>
      <c r="Z143" s="93"/>
      <c r="AA143" s="93"/>
      <c r="AB143" s="93"/>
      <c r="AC143" s="93"/>
      <c r="AD143" s="93"/>
    </row>
    <row r="144" spans="1:30">
      <c r="A144" s="93"/>
      <c r="B144" s="93"/>
      <c r="C144" s="93"/>
      <c r="D144" s="93"/>
      <c r="E144" s="93"/>
      <c r="F144" s="93"/>
      <c r="G144" s="93"/>
      <c r="H144" s="93"/>
      <c r="I144" s="93"/>
      <c r="J144" s="93"/>
      <c r="K144" s="93"/>
      <c r="L144" s="93"/>
      <c r="M144" s="93"/>
      <c r="N144" s="93"/>
      <c r="O144" s="93"/>
      <c r="P144" s="93"/>
      <c r="Q144" s="93"/>
      <c r="R144" s="93"/>
      <c r="S144" s="93"/>
      <c r="T144" s="93"/>
      <c r="U144" s="93"/>
      <c r="V144" s="93"/>
      <c r="W144" s="93"/>
      <c r="X144" s="93"/>
      <c r="Y144" s="93"/>
      <c r="Z144" s="93"/>
      <c r="AA144" s="93"/>
      <c r="AB144" s="93"/>
      <c r="AC144" s="93"/>
      <c r="AD144" s="93"/>
    </row>
    <row r="145" spans="1:30">
      <c r="A145" s="93"/>
      <c r="B145" s="93"/>
      <c r="C145" s="93"/>
      <c r="D145" s="93"/>
      <c r="E145" s="93"/>
      <c r="F145" s="93"/>
      <c r="G145" s="93"/>
      <c r="H145" s="93"/>
      <c r="I145" s="93"/>
      <c r="J145" s="93"/>
      <c r="K145" s="93"/>
      <c r="L145" s="93"/>
      <c r="M145" s="93"/>
      <c r="N145" s="93"/>
      <c r="O145" s="93"/>
      <c r="P145" s="93"/>
      <c r="Q145" s="93"/>
      <c r="R145" s="93"/>
      <c r="S145" s="93"/>
      <c r="T145" s="93"/>
      <c r="U145" s="93"/>
      <c r="V145" s="93"/>
      <c r="W145" s="93"/>
      <c r="X145" s="93"/>
      <c r="Y145" s="93"/>
      <c r="Z145" s="93"/>
      <c r="AA145" s="93"/>
      <c r="AB145" s="93"/>
      <c r="AC145" s="93"/>
      <c r="AD145" s="93"/>
    </row>
    <row r="146" spans="1:30">
      <c r="A146" s="93"/>
      <c r="B146" s="93"/>
      <c r="C146" s="93"/>
      <c r="D146" s="93"/>
      <c r="E146" s="93"/>
      <c r="F146" s="93"/>
      <c r="G146" s="93"/>
      <c r="H146" s="93"/>
      <c r="I146" s="93"/>
      <c r="J146" s="93"/>
      <c r="K146" s="93"/>
      <c r="L146" s="93"/>
      <c r="M146" s="93"/>
      <c r="N146" s="93"/>
      <c r="O146" s="93"/>
      <c r="P146" s="93"/>
      <c r="Q146" s="93"/>
      <c r="R146" s="93"/>
      <c r="S146" s="93"/>
      <c r="T146" s="93"/>
      <c r="U146" s="93"/>
      <c r="V146" s="93"/>
      <c r="W146" s="93"/>
      <c r="X146" s="93"/>
      <c r="Y146" s="93"/>
      <c r="Z146" s="93"/>
      <c r="AA146" s="93"/>
      <c r="AB146" s="93"/>
      <c r="AC146" s="93"/>
      <c r="AD146" s="93"/>
    </row>
    <row r="147" spans="1:30">
      <c r="A147" s="93"/>
      <c r="B147" s="93"/>
      <c r="C147" s="93"/>
      <c r="D147" s="93"/>
      <c r="E147" s="93"/>
      <c r="F147" s="93"/>
      <c r="G147" s="93"/>
      <c r="H147" s="93"/>
      <c r="I147" s="93"/>
      <c r="J147" s="93"/>
      <c r="K147" s="93"/>
      <c r="L147" s="93"/>
      <c r="M147" s="93"/>
      <c r="N147" s="93"/>
      <c r="O147" s="93"/>
      <c r="P147" s="93"/>
      <c r="Q147" s="93"/>
      <c r="R147" s="93"/>
      <c r="S147" s="93"/>
      <c r="T147" s="93"/>
      <c r="U147" s="93"/>
      <c r="V147" s="93"/>
      <c r="W147" s="93"/>
      <c r="X147" s="93"/>
      <c r="Y147" s="93"/>
      <c r="Z147" s="93"/>
      <c r="AA147" s="93"/>
      <c r="AB147" s="93"/>
      <c r="AC147" s="93"/>
      <c r="AD147" s="93"/>
    </row>
    <row r="148" spans="1:30">
      <c r="A148" s="93"/>
      <c r="B148" s="93"/>
      <c r="C148" s="93"/>
      <c r="D148" s="93"/>
      <c r="E148" s="93"/>
      <c r="F148" s="93"/>
      <c r="G148" s="93"/>
      <c r="H148" s="93"/>
      <c r="I148" s="93"/>
      <c r="J148" s="93"/>
      <c r="K148" s="93"/>
      <c r="L148" s="93"/>
      <c r="M148" s="93"/>
      <c r="N148" s="93"/>
      <c r="O148" s="93"/>
      <c r="P148" s="93"/>
      <c r="Q148" s="93"/>
      <c r="R148" s="93"/>
      <c r="S148" s="93"/>
      <c r="T148" s="93"/>
      <c r="U148" s="93"/>
      <c r="V148" s="93"/>
      <c r="W148" s="93"/>
      <c r="X148" s="93"/>
      <c r="Y148" s="93"/>
      <c r="Z148" s="93"/>
      <c r="AA148" s="93"/>
      <c r="AB148" s="93"/>
      <c r="AC148" s="93"/>
      <c r="AD148" s="93"/>
    </row>
    <row r="149" spans="1:30">
      <c r="A149" s="93"/>
      <c r="B149" s="93"/>
      <c r="C149" s="93"/>
      <c r="D149" s="93"/>
      <c r="E149" s="93"/>
      <c r="F149" s="93"/>
      <c r="G149" s="93"/>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row>
    <row r="150" spans="1:30">
      <c r="A150" s="93"/>
      <c r="B150" s="93"/>
      <c r="C150" s="93"/>
      <c r="D150" s="93"/>
      <c r="E150" s="93"/>
      <c r="F150" s="93"/>
      <c r="G150" s="93"/>
      <c r="H150" s="93"/>
      <c r="I150" s="93"/>
      <c r="J150" s="93"/>
      <c r="K150" s="93"/>
      <c r="L150" s="93"/>
      <c r="M150" s="93"/>
      <c r="N150" s="93"/>
      <c r="O150" s="93"/>
      <c r="P150" s="93"/>
      <c r="Q150" s="93"/>
      <c r="R150" s="93"/>
      <c r="S150" s="93"/>
      <c r="T150" s="93"/>
      <c r="U150" s="93"/>
      <c r="V150" s="93"/>
      <c r="W150" s="93"/>
      <c r="X150" s="93"/>
      <c r="Y150" s="93"/>
      <c r="Z150" s="93"/>
      <c r="AA150" s="93"/>
      <c r="AB150" s="93"/>
      <c r="AC150" s="93"/>
      <c r="AD150" s="93"/>
    </row>
    <row r="151" spans="1:30">
      <c r="A151" s="93"/>
      <c r="B151" s="93"/>
      <c r="C151" s="93"/>
      <c r="D151" s="93"/>
      <c r="E151" s="93"/>
      <c r="F151" s="93"/>
      <c r="G151" s="93"/>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row>
    <row r="152" spans="1:30">
      <c r="A152" s="93"/>
      <c r="B152" s="93"/>
      <c r="C152" s="93"/>
      <c r="D152" s="93"/>
      <c r="E152" s="93"/>
      <c r="F152" s="93"/>
      <c r="G152" s="93"/>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row>
    <row r="153" spans="1:30">
      <c r="A153" s="93"/>
      <c r="B153" s="93"/>
      <c r="C153" s="93"/>
      <c r="D153" s="93"/>
      <c r="E153" s="93"/>
      <c r="F153" s="93"/>
      <c r="G153" s="93"/>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row>
    <row r="154" spans="1:30">
      <c r="A154" s="93"/>
      <c r="B154" s="93"/>
      <c r="C154" s="93"/>
      <c r="D154" s="93"/>
      <c r="E154" s="93"/>
      <c r="F154" s="93"/>
      <c r="G154" s="93"/>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row>
    <row r="155" spans="1:30">
      <c r="A155" s="93"/>
      <c r="B155" s="93"/>
      <c r="C155" s="93"/>
      <c r="D155" s="93"/>
      <c r="E155" s="93"/>
      <c r="F155" s="93"/>
      <c r="G155" s="93"/>
      <c r="H155" s="93"/>
      <c r="I155" s="93"/>
      <c r="J155" s="93"/>
      <c r="K155" s="93"/>
      <c r="L155" s="93"/>
      <c r="M155" s="93"/>
      <c r="N155" s="93"/>
      <c r="O155" s="93"/>
      <c r="P155" s="93"/>
      <c r="Q155" s="93"/>
      <c r="R155" s="93"/>
      <c r="S155" s="93"/>
      <c r="T155" s="93"/>
      <c r="U155" s="93"/>
      <c r="V155" s="93"/>
      <c r="W155" s="93"/>
      <c r="X155" s="93"/>
      <c r="Y155" s="93"/>
      <c r="Z155" s="93"/>
      <c r="AA155" s="93"/>
      <c r="AB155" s="93"/>
      <c r="AC155" s="93"/>
      <c r="AD155" s="93"/>
    </row>
    <row r="156" spans="1:30">
      <c r="A156" s="93"/>
      <c r="B156" s="93"/>
      <c r="C156" s="93"/>
      <c r="D156" s="93"/>
      <c r="E156" s="93"/>
      <c r="F156" s="93"/>
      <c r="G156" s="93"/>
      <c r="H156" s="93"/>
      <c r="I156" s="93"/>
      <c r="J156" s="93"/>
      <c r="K156" s="93"/>
      <c r="L156" s="93"/>
      <c r="M156" s="93"/>
      <c r="N156" s="93"/>
      <c r="O156" s="93"/>
      <c r="P156" s="93"/>
      <c r="Q156" s="93"/>
      <c r="R156" s="93"/>
      <c r="S156" s="93"/>
      <c r="T156" s="93"/>
      <c r="U156" s="93"/>
      <c r="V156" s="93"/>
      <c r="W156" s="93"/>
      <c r="X156" s="93"/>
      <c r="Y156" s="93"/>
      <c r="Z156" s="93"/>
      <c r="AA156" s="93"/>
      <c r="AB156" s="93"/>
      <c r="AC156" s="93"/>
      <c r="AD156" s="93"/>
    </row>
    <row r="157" spans="1:30">
      <c r="A157" s="93"/>
      <c r="B157" s="93"/>
      <c r="C157" s="93"/>
      <c r="D157" s="93"/>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row>
    <row r="158" spans="1:30">
      <c r="A158" s="93"/>
      <c r="B158" s="93"/>
      <c r="C158" s="93"/>
      <c r="D158" s="93"/>
      <c r="E158" s="93"/>
      <c r="F158" s="93"/>
      <c r="G158" s="93"/>
      <c r="H158" s="93"/>
      <c r="I158" s="93"/>
      <c r="J158" s="93"/>
      <c r="K158" s="93"/>
      <c r="L158" s="93"/>
      <c r="M158" s="93"/>
      <c r="N158" s="93"/>
      <c r="O158" s="93"/>
      <c r="P158" s="93"/>
      <c r="Q158" s="93"/>
      <c r="R158" s="93"/>
      <c r="S158" s="93"/>
      <c r="T158" s="93"/>
      <c r="U158" s="93"/>
      <c r="V158" s="93"/>
      <c r="W158" s="93"/>
      <c r="X158" s="93"/>
      <c r="Y158" s="93"/>
      <c r="Z158" s="93"/>
      <c r="AA158" s="93"/>
      <c r="AB158" s="93"/>
      <c r="AC158" s="93"/>
      <c r="AD158" s="93"/>
    </row>
    <row r="159" spans="1:30">
      <c r="A159" s="93"/>
      <c r="B159" s="93"/>
      <c r="C159" s="93"/>
      <c r="D159" s="93"/>
      <c r="E159" s="93"/>
      <c r="F159" s="93"/>
      <c r="G159" s="93"/>
      <c r="H159" s="93"/>
      <c r="I159" s="93"/>
      <c r="J159" s="93"/>
      <c r="K159" s="93"/>
      <c r="L159" s="93"/>
      <c r="M159" s="93"/>
      <c r="N159" s="93"/>
      <c r="O159" s="93"/>
      <c r="P159" s="93"/>
      <c r="Q159" s="93"/>
      <c r="R159" s="93"/>
      <c r="S159" s="93"/>
      <c r="T159" s="93"/>
      <c r="U159" s="93"/>
      <c r="V159" s="93"/>
      <c r="W159" s="93"/>
      <c r="X159" s="93"/>
      <c r="Y159" s="93"/>
      <c r="Z159" s="93"/>
      <c r="AA159" s="93"/>
      <c r="AB159" s="93"/>
      <c r="AC159" s="93"/>
      <c r="AD159" s="93"/>
    </row>
    <row r="160" spans="1:30">
      <c r="A160" s="93"/>
      <c r="B160" s="93"/>
      <c r="C160" s="93"/>
      <c r="D160" s="93"/>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row>
    <row r="161" spans="1:30">
      <c r="A161" s="93"/>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row>
    <row r="162" spans="1:30">
      <c r="A162" s="93"/>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row>
    <row r="163" spans="1:30">
      <c r="A163" s="93"/>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row>
    <row r="164" spans="1:30">
      <c r="A164" s="93"/>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row>
    <row r="165" spans="1:30">
      <c r="A165" s="93"/>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row>
    <row r="166" spans="1:30">
      <c r="A166" s="93"/>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row>
    <row r="167" spans="1:30">
      <c r="A167" s="93"/>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row>
    <row r="168" spans="1:30">
      <c r="A168" s="93"/>
      <c r="B168" s="93"/>
      <c r="C168" s="93"/>
      <c r="D168" s="93"/>
      <c r="E168" s="93"/>
      <c r="F168" s="93"/>
      <c r="G168" s="93"/>
      <c r="H168" s="93"/>
      <c r="I168" s="93"/>
      <c r="J168" s="93"/>
      <c r="K168" s="93"/>
      <c r="L168" s="93"/>
      <c r="M168" s="93"/>
      <c r="N168" s="93"/>
      <c r="O168" s="93"/>
      <c r="P168" s="93"/>
      <c r="Q168" s="93"/>
      <c r="R168" s="93"/>
      <c r="S168" s="93"/>
      <c r="T168" s="93"/>
      <c r="U168" s="93"/>
      <c r="V168" s="93"/>
      <c r="W168" s="93"/>
      <c r="X168" s="93"/>
      <c r="Y168" s="93"/>
      <c r="Z168" s="93"/>
      <c r="AA168" s="93"/>
      <c r="AB168" s="93"/>
      <c r="AC168" s="93"/>
      <c r="AD168" s="93"/>
    </row>
    <row r="169" spans="1:30">
      <c r="A169" s="93"/>
      <c r="B169" s="93"/>
      <c r="C169" s="93"/>
      <c r="D169" s="93"/>
      <c r="E169" s="93"/>
      <c r="F169" s="93"/>
      <c r="G169" s="93"/>
      <c r="H169" s="93"/>
      <c r="I169" s="93"/>
      <c r="J169" s="93"/>
      <c r="K169" s="93"/>
      <c r="L169" s="93"/>
      <c r="M169" s="93"/>
      <c r="N169" s="93"/>
      <c r="O169" s="93"/>
      <c r="P169" s="93"/>
      <c r="Q169" s="93"/>
      <c r="R169" s="93"/>
      <c r="S169" s="93"/>
      <c r="T169" s="93"/>
      <c r="U169" s="93"/>
      <c r="V169" s="93"/>
      <c r="W169" s="93"/>
      <c r="X169" s="93"/>
      <c r="Y169" s="93"/>
      <c r="Z169" s="93"/>
      <c r="AA169" s="93"/>
      <c r="AB169" s="93"/>
      <c r="AC169" s="93"/>
      <c r="AD169" s="93"/>
    </row>
    <row r="170" spans="1:30">
      <c r="A170" s="93"/>
      <c r="B170" s="93"/>
      <c r="C170" s="93"/>
      <c r="D170" s="93"/>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row>
    <row r="171" spans="1:30">
      <c r="A171" s="93"/>
      <c r="B171" s="93"/>
      <c r="C171" s="93"/>
      <c r="D171" s="93"/>
      <c r="E171" s="93"/>
      <c r="F171" s="93"/>
      <c r="G171" s="93"/>
      <c r="H171" s="93"/>
      <c r="I171" s="93"/>
      <c r="J171" s="93"/>
      <c r="K171" s="93"/>
      <c r="L171" s="93"/>
      <c r="M171" s="93"/>
      <c r="N171" s="93"/>
      <c r="O171" s="93"/>
      <c r="P171" s="93"/>
      <c r="Q171" s="93"/>
      <c r="R171" s="93"/>
      <c r="S171" s="93"/>
      <c r="T171" s="93"/>
      <c r="U171" s="93"/>
      <c r="V171" s="93"/>
      <c r="W171" s="93"/>
      <c r="X171" s="93"/>
      <c r="Y171" s="93"/>
      <c r="Z171" s="93"/>
      <c r="AA171" s="93"/>
      <c r="AB171" s="93"/>
      <c r="AC171" s="93"/>
      <c r="AD171" s="93"/>
    </row>
    <row r="172" spans="1:30">
      <c r="A172" s="93"/>
      <c r="B172" s="93"/>
      <c r="C172" s="93"/>
      <c r="D172" s="93"/>
      <c r="E172" s="93"/>
      <c r="F172" s="93"/>
      <c r="G172" s="93"/>
      <c r="H172" s="93"/>
      <c r="I172" s="93"/>
      <c r="J172" s="93"/>
      <c r="K172" s="93"/>
      <c r="L172" s="93"/>
      <c r="M172" s="93"/>
      <c r="N172" s="93"/>
      <c r="O172" s="93"/>
      <c r="P172" s="93"/>
      <c r="Q172" s="93"/>
      <c r="R172" s="93"/>
      <c r="S172" s="93"/>
      <c r="T172" s="93"/>
      <c r="U172" s="93"/>
      <c r="V172" s="93"/>
      <c r="W172" s="93"/>
      <c r="X172" s="93"/>
      <c r="Y172" s="93"/>
      <c r="Z172" s="93"/>
      <c r="AA172" s="93"/>
      <c r="AB172" s="93"/>
      <c r="AC172" s="93"/>
      <c r="AD172" s="93"/>
    </row>
    <row r="173" spans="1:30">
      <c r="A173" s="93"/>
      <c r="B173" s="93"/>
      <c r="C173" s="93"/>
      <c r="D173" s="93"/>
      <c r="E173" s="93"/>
      <c r="F173" s="93"/>
      <c r="G173" s="93"/>
      <c r="H173" s="93"/>
      <c r="I173" s="93"/>
      <c r="J173" s="93"/>
      <c r="K173" s="93"/>
      <c r="L173" s="93"/>
      <c r="M173" s="93"/>
      <c r="N173" s="93"/>
      <c r="O173" s="93"/>
      <c r="P173" s="93"/>
      <c r="Q173" s="93"/>
      <c r="R173" s="93"/>
      <c r="S173" s="93"/>
      <c r="T173" s="93"/>
      <c r="U173" s="93"/>
      <c r="V173" s="93"/>
      <c r="W173" s="93"/>
      <c r="X173" s="93"/>
      <c r="Y173" s="93"/>
      <c r="Z173" s="93"/>
      <c r="AA173" s="93"/>
      <c r="AB173" s="93"/>
      <c r="AC173" s="93"/>
      <c r="AD173" s="93"/>
    </row>
    <row r="174" spans="1:30">
      <c r="A174" s="93"/>
      <c r="B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row>
    <row r="175" spans="1:30">
      <c r="A175" s="93"/>
      <c r="B175" s="93"/>
      <c r="C175" s="93"/>
      <c r="D175" s="93"/>
      <c r="E175" s="93"/>
      <c r="F175" s="93"/>
      <c r="G175" s="93"/>
      <c r="H175" s="93"/>
      <c r="I175" s="93"/>
      <c r="J175" s="93"/>
      <c r="K175" s="93"/>
      <c r="L175" s="93"/>
      <c r="M175" s="93"/>
      <c r="N175" s="93"/>
      <c r="O175" s="93"/>
      <c r="P175" s="93"/>
      <c r="Q175" s="93"/>
      <c r="R175" s="93"/>
      <c r="S175" s="93"/>
      <c r="T175" s="93"/>
      <c r="U175" s="93"/>
      <c r="V175" s="93"/>
      <c r="W175" s="93"/>
      <c r="X175" s="93"/>
      <c r="Y175" s="93"/>
      <c r="Z175" s="93"/>
      <c r="AA175" s="93"/>
      <c r="AB175" s="93"/>
      <c r="AC175" s="93"/>
      <c r="AD175" s="93"/>
    </row>
    <row r="176" spans="1:30">
      <c r="A176" s="93"/>
      <c r="B176" s="93"/>
      <c r="C176" s="93"/>
      <c r="D176" s="93"/>
      <c r="E176" s="93"/>
      <c r="F176" s="93"/>
      <c r="G176" s="93"/>
      <c r="H176" s="93"/>
      <c r="I176" s="93"/>
      <c r="J176" s="93"/>
      <c r="K176" s="93"/>
      <c r="L176" s="93"/>
      <c r="M176" s="93"/>
      <c r="N176" s="93"/>
      <c r="O176" s="93"/>
      <c r="P176" s="93"/>
      <c r="Q176" s="93"/>
      <c r="R176" s="93"/>
      <c r="S176" s="93"/>
      <c r="T176" s="93"/>
      <c r="U176" s="93"/>
      <c r="V176" s="93"/>
      <c r="W176" s="93"/>
      <c r="X176" s="93"/>
      <c r="Y176" s="93"/>
      <c r="Z176" s="93"/>
      <c r="AA176" s="93"/>
      <c r="AB176" s="93"/>
      <c r="AC176" s="93"/>
      <c r="AD176" s="93"/>
    </row>
    <row r="177" spans="1:30">
      <c r="A177" s="93"/>
      <c r="B177" s="93"/>
      <c r="C177" s="93"/>
      <c r="D177" s="93"/>
      <c r="E177" s="93"/>
      <c r="F177" s="93"/>
      <c r="G177" s="93"/>
      <c r="H177" s="93"/>
      <c r="I177" s="93"/>
      <c r="J177" s="93"/>
      <c r="K177" s="93"/>
      <c r="L177" s="93"/>
      <c r="M177" s="93"/>
      <c r="N177" s="93"/>
      <c r="O177" s="93"/>
      <c r="P177" s="93"/>
      <c r="Q177" s="93"/>
      <c r="R177" s="93"/>
      <c r="S177" s="93"/>
      <c r="T177" s="93"/>
      <c r="U177" s="93"/>
      <c r="V177" s="93"/>
      <c r="W177" s="93"/>
      <c r="X177" s="93"/>
      <c r="Y177" s="93"/>
      <c r="Z177" s="93"/>
      <c r="AA177" s="93"/>
      <c r="AB177" s="93"/>
      <c r="AC177" s="93"/>
      <c r="AD177" s="93"/>
    </row>
    <row r="178" spans="1:30">
      <c r="A178" s="93"/>
      <c r="B178" s="93"/>
      <c r="C178" s="93"/>
      <c r="D178" s="93"/>
      <c r="E178" s="93"/>
      <c r="F178" s="93"/>
      <c r="G178" s="93"/>
      <c r="H178" s="93"/>
      <c r="I178" s="93"/>
      <c r="J178" s="93"/>
      <c r="K178" s="93"/>
      <c r="L178" s="93"/>
      <c r="M178" s="93"/>
      <c r="N178" s="93"/>
      <c r="O178" s="93"/>
      <c r="P178" s="93"/>
      <c r="Q178" s="93"/>
      <c r="R178" s="93"/>
      <c r="S178" s="93"/>
      <c r="T178" s="93"/>
      <c r="U178" s="93"/>
      <c r="V178" s="93"/>
      <c r="W178" s="93"/>
      <c r="X178" s="93"/>
      <c r="Y178" s="93"/>
      <c r="Z178" s="93"/>
      <c r="AA178" s="93"/>
      <c r="AB178" s="93"/>
      <c r="AC178" s="93"/>
      <c r="AD178" s="93"/>
    </row>
    <row r="179" spans="1:30">
      <c r="E179" s="93"/>
    </row>
    <row r="180" spans="1:30">
      <c r="E180" s="93"/>
    </row>
    <row r="181" spans="1:30">
      <c r="E181" s="93"/>
    </row>
    <row r="182" spans="1:30">
      <c r="E182" s="93"/>
    </row>
    <row r="183" spans="1:30">
      <c r="E183" s="93"/>
    </row>
    <row r="184" spans="1:30">
      <c r="E184" s="93"/>
    </row>
    <row r="185" spans="1:30">
      <c r="E185" s="93"/>
    </row>
    <row r="186" spans="1:30">
      <c r="E186" s="93"/>
    </row>
    <row r="187" spans="1:30">
      <c r="E187" s="93"/>
    </row>
  </sheetData>
  <mergeCells count="4">
    <mergeCell ref="C24:D24"/>
    <mergeCell ref="E24:F24"/>
    <mergeCell ref="C41:E41"/>
    <mergeCell ref="F41:H41"/>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sheetPr>
  <dimension ref="A1:P111"/>
  <sheetViews>
    <sheetView workbookViewId="0"/>
  </sheetViews>
  <sheetFormatPr defaultColWidth="8.88671875" defaultRowHeight="15"/>
  <cols>
    <col min="1" max="16384" width="8.88671875" style="102"/>
  </cols>
  <sheetData>
    <row r="1" spans="1:16" s="6" customFormat="1" ht="24" customHeight="1">
      <c r="A1" s="6" t="s">
        <v>898</v>
      </c>
    </row>
    <row r="2" spans="1:16" s="519" customFormat="1"/>
    <row r="3" spans="1:16" s="519" customFormat="1" ht="17.100000000000001" customHeight="1">
      <c r="A3" s="117" t="s">
        <v>1352</v>
      </c>
    </row>
    <row r="5" spans="1:16" s="9" customFormat="1" ht="15.75">
      <c r="A5" s="9" t="s">
        <v>1385</v>
      </c>
    </row>
    <row r="8" spans="1:16">
      <c r="B8" s="102" t="s">
        <v>3899</v>
      </c>
    </row>
    <row r="9" spans="1:16">
      <c r="B9" s="936"/>
      <c r="C9" s="936"/>
      <c r="D9" s="899" t="s">
        <v>788</v>
      </c>
      <c r="E9" s="899" t="s">
        <v>783</v>
      </c>
      <c r="F9" s="899" t="s">
        <v>789</v>
      </c>
      <c r="G9" s="899" t="s">
        <v>790</v>
      </c>
      <c r="H9" s="899" t="s">
        <v>791</v>
      </c>
      <c r="I9" s="899" t="s">
        <v>792</v>
      </c>
      <c r="J9" s="899" t="s">
        <v>793</v>
      </c>
      <c r="K9" s="899" t="s">
        <v>795</v>
      </c>
      <c r="L9" s="899" t="s">
        <v>794</v>
      </c>
      <c r="M9" s="899" t="s">
        <v>806</v>
      </c>
      <c r="N9" s="899" t="s">
        <v>813</v>
      </c>
      <c r="O9" s="899" t="s">
        <v>814</v>
      </c>
      <c r="P9" s="899" t="s">
        <v>815</v>
      </c>
    </row>
    <row r="10" spans="1:16">
      <c r="B10" s="13" t="s">
        <v>3898</v>
      </c>
      <c r="C10" s="13"/>
      <c r="D10" s="13">
        <v>95</v>
      </c>
      <c r="E10" s="13">
        <v>145</v>
      </c>
      <c r="F10" s="13">
        <v>255</v>
      </c>
      <c r="G10" s="13">
        <v>332</v>
      </c>
      <c r="H10" s="13">
        <v>400</v>
      </c>
      <c r="I10" s="13">
        <v>500</v>
      </c>
      <c r="J10" s="13">
        <v>600</v>
      </c>
      <c r="K10" s="13">
        <v>860</v>
      </c>
      <c r="L10" s="13">
        <v>1004</v>
      </c>
      <c r="M10" s="13">
        <v>1532</v>
      </c>
      <c r="N10" s="13">
        <v>2391</v>
      </c>
      <c r="O10" s="13">
        <v>2546</v>
      </c>
      <c r="P10" s="13">
        <v>2774</v>
      </c>
    </row>
    <row r="11" spans="1:16">
      <c r="B11" s="13" t="s">
        <v>2284</v>
      </c>
      <c r="C11" s="13" t="s">
        <v>3896</v>
      </c>
      <c r="D11" s="13">
        <v>7567</v>
      </c>
      <c r="E11" s="13">
        <v>7775</v>
      </c>
      <c r="F11" s="13">
        <v>7568</v>
      </c>
      <c r="G11" s="13">
        <v>7507</v>
      </c>
      <c r="H11" s="13">
        <v>7008</v>
      </c>
      <c r="I11" s="13">
        <v>7800</v>
      </c>
      <c r="J11" s="13">
        <v>7210</v>
      </c>
      <c r="K11" s="13">
        <v>7402</v>
      </c>
      <c r="L11" s="13">
        <v>7368</v>
      </c>
      <c r="M11" s="13">
        <v>6715.7</v>
      </c>
      <c r="N11" s="13">
        <v>6501.4</v>
      </c>
      <c r="O11" s="13">
        <v>6649.9</v>
      </c>
      <c r="P11" s="13">
        <v>6050.8</v>
      </c>
    </row>
    <row r="12" spans="1:16">
      <c r="B12" s="13" t="s">
        <v>2284</v>
      </c>
      <c r="C12" s="13" t="s">
        <v>3897</v>
      </c>
      <c r="D12" s="13">
        <v>7842</v>
      </c>
      <c r="E12" s="13">
        <v>8318</v>
      </c>
      <c r="F12" s="13">
        <v>8225</v>
      </c>
      <c r="G12" s="13">
        <v>7874</v>
      </c>
      <c r="H12" s="13">
        <v>7350</v>
      </c>
      <c r="I12" s="13">
        <v>7964</v>
      </c>
      <c r="J12" s="13">
        <v>7813</v>
      </c>
      <c r="K12" s="13">
        <v>7676</v>
      </c>
      <c r="L12" s="13">
        <v>7665</v>
      </c>
      <c r="M12" s="13"/>
      <c r="N12" s="13"/>
      <c r="O12" s="13"/>
      <c r="P12" s="13"/>
    </row>
    <row r="13" spans="1:16">
      <c r="B13" s="13" t="s">
        <v>2284</v>
      </c>
      <c r="C13" s="13" t="s">
        <v>3903</v>
      </c>
      <c r="D13" s="13">
        <f>MEDIAN(D11:D12)</f>
        <v>7704.5</v>
      </c>
      <c r="E13" s="13">
        <f t="shared" ref="E13:P13" si="0">MEDIAN(E11:E12)</f>
        <v>8046.5</v>
      </c>
      <c r="F13" s="13">
        <f t="shared" si="0"/>
        <v>7896.5</v>
      </c>
      <c r="G13" s="13">
        <f t="shared" si="0"/>
        <v>7690.5</v>
      </c>
      <c r="H13" s="13">
        <f t="shared" si="0"/>
        <v>7179</v>
      </c>
      <c r="I13" s="13">
        <f t="shared" si="0"/>
        <v>7882</v>
      </c>
      <c r="J13" s="13">
        <f t="shared" si="0"/>
        <v>7511.5</v>
      </c>
      <c r="K13" s="13">
        <f t="shared" si="0"/>
        <v>7539</v>
      </c>
      <c r="L13" s="13">
        <f t="shared" si="0"/>
        <v>7516.5</v>
      </c>
      <c r="M13" s="13">
        <f t="shared" si="0"/>
        <v>6715.7</v>
      </c>
      <c r="N13" s="13">
        <f t="shared" si="0"/>
        <v>6501.4</v>
      </c>
      <c r="O13" s="13">
        <f t="shared" si="0"/>
        <v>6649.9</v>
      </c>
      <c r="P13" s="13">
        <f t="shared" si="0"/>
        <v>6050.8</v>
      </c>
    </row>
    <row r="14" spans="1:16">
      <c r="C14" s="533" t="s">
        <v>1353</v>
      </c>
    </row>
    <row r="15" spans="1:16">
      <c r="C15" s="72" t="s">
        <v>613</v>
      </c>
    </row>
    <row r="16" spans="1:16">
      <c r="C16" s="873" t="s">
        <v>845</v>
      </c>
    </row>
    <row r="17" spans="3:13">
      <c r="C17" s="874" t="s">
        <v>1014</v>
      </c>
    </row>
    <row r="21" spans="3:13">
      <c r="I21" s="102" t="s">
        <v>3906</v>
      </c>
    </row>
    <row r="22" spans="3:13">
      <c r="J22" s="102" t="s">
        <v>3904</v>
      </c>
    </row>
    <row r="23" spans="3:13">
      <c r="J23" s="102" t="s">
        <v>3905</v>
      </c>
    </row>
    <row r="25" spans="3:13">
      <c r="I25" s="102" t="s">
        <v>3910</v>
      </c>
    </row>
    <row r="26" spans="3:13">
      <c r="J26" s="102" t="s">
        <v>3907</v>
      </c>
      <c r="L26" s="102">
        <v>2000</v>
      </c>
      <c r="M26" s="102" t="s">
        <v>787</v>
      </c>
    </row>
    <row r="27" spans="3:13">
      <c r="J27" s="102" t="s">
        <v>3908</v>
      </c>
      <c r="L27" s="937">
        <f>NgEngEff(L26)</f>
        <v>6715.4</v>
      </c>
      <c r="M27" s="102" t="s">
        <v>3909</v>
      </c>
    </row>
    <row r="36" spans="2:15">
      <c r="B36" s="102" t="s">
        <v>3901</v>
      </c>
    </row>
    <row r="37" spans="2:15">
      <c r="B37" s="899"/>
      <c r="C37" s="899"/>
      <c r="D37" s="899" t="s">
        <v>796</v>
      </c>
      <c r="E37" s="899" t="s">
        <v>797</v>
      </c>
      <c r="F37" s="899" t="s">
        <v>798</v>
      </c>
      <c r="G37" s="899" t="s">
        <v>800</v>
      </c>
      <c r="H37" s="899" t="s">
        <v>801</v>
      </c>
      <c r="I37" s="899" t="s">
        <v>802</v>
      </c>
      <c r="J37" s="899" t="s">
        <v>803</v>
      </c>
      <c r="K37" s="899" t="s">
        <v>804</v>
      </c>
      <c r="L37"/>
      <c r="M37"/>
      <c r="N37"/>
      <c r="O37"/>
    </row>
    <row r="38" spans="2:15">
      <c r="B38" s="13" t="s">
        <v>3898</v>
      </c>
      <c r="C38" s="13"/>
      <c r="D38" s="13">
        <v>1590</v>
      </c>
      <c r="E38" s="13">
        <v>4700</v>
      </c>
      <c r="F38" s="13">
        <v>6130</v>
      </c>
      <c r="G38" s="13">
        <v>7770</v>
      </c>
      <c r="H38" s="13">
        <v>10915</v>
      </c>
      <c r="I38" s="13">
        <v>13220</v>
      </c>
      <c r="J38" s="13">
        <v>15900</v>
      </c>
      <c r="K38" s="13">
        <v>20500</v>
      </c>
      <c r="L38"/>
      <c r="M38"/>
      <c r="N38"/>
      <c r="O38"/>
    </row>
    <row r="39" spans="2:15">
      <c r="B39" s="13" t="s">
        <v>2284</v>
      </c>
      <c r="C39" s="13" t="s">
        <v>3896</v>
      </c>
      <c r="D39" s="13">
        <v>10370</v>
      </c>
      <c r="E39" s="13">
        <v>7775</v>
      </c>
      <c r="F39" s="13">
        <v>8500</v>
      </c>
      <c r="G39" s="13">
        <v>7507</v>
      </c>
      <c r="H39" s="13">
        <v>7205</v>
      </c>
      <c r="I39" s="13">
        <v>7655</v>
      </c>
      <c r="J39" s="13">
        <v>7395</v>
      </c>
      <c r="K39" s="13">
        <v>7025</v>
      </c>
      <c r="L39"/>
      <c r="M39"/>
      <c r="N39"/>
      <c r="O39"/>
    </row>
    <row r="40" spans="2:15">
      <c r="B40" s="72" t="s">
        <v>2274</v>
      </c>
      <c r="D40" s="72" t="s">
        <v>799</v>
      </c>
    </row>
    <row r="42" spans="2:15">
      <c r="C42" s="873"/>
    </row>
    <row r="43" spans="2:15">
      <c r="C43" s="874"/>
    </row>
    <row r="44" spans="2:15">
      <c r="I44" s="102" t="s">
        <v>3911</v>
      </c>
    </row>
    <row r="45" spans="2:15">
      <c r="J45" s="102" t="s">
        <v>3912</v>
      </c>
    </row>
    <row r="46" spans="2:15">
      <c r="J46" s="102" t="s">
        <v>3913</v>
      </c>
    </row>
    <row r="48" spans="2:15">
      <c r="I48" s="102" t="s">
        <v>3910</v>
      </c>
    </row>
    <row r="49" spans="2:13">
      <c r="J49" s="102" t="s">
        <v>3914</v>
      </c>
      <c r="L49" s="102">
        <v>1000</v>
      </c>
      <c r="M49" s="102" t="s">
        <v>787</v>
      </c>
    </row>
    <row r="50" spans="2:13">
      <c r="J50" s="102" t="s">
        <v>3918</v>
      </c>
      <c r="L50" s="937">
        <f>NgTurbEff(L49)</f>
        <v>9091.7000000000007</v>
      </c>
      <c r="M50" s="102" t="s">
        <v>3909</v>
      </c>
    </row>
    <row r="60" spans="2:13">
      <c r="B60" s="102" t="s">
        <v>3902</v>
      </c>
    </row>
    <row r="61" spans="2:13">
      <c r="B61" s="899"/>
      <c r="C61" s="899"/>
      <c r="D61" s="935" t="s">
        <v>805</v>
      </c>
      <c r="E61" s="935" t="s">
        <v>863</v>
      </c>
      <c r="F61" s="935" t="s">
        <v>828</v>
      </c>
      <c r="G61" s="935">
        <v>3512</v>
      </c>
      <c r="H61" s="935" t="s">
        <v>830</v>
      </c>
      <c r="I61" s="935" t="s">
        <v>831</v>
      </c>
      <c r="J61" s="935">
        <v>3516</v>
      </c>
      <c r="K61" s="935" t="s">
        <v>833</v>
      </c>
      <c r="L61" s="935" t="s">
        <v>834</v>
      </c>
    </row>
    <row r="62" spans="2:13">
      <c r="B62" s="658" t="s">
        <v>3898</v>
      </c>
      <c r="D62" s="401">
        <f>(275/0.96)*'Input data'!$E$58</f>
        <v>383.85416666666674</v>
      </c>
      <c r="E62" s="401">
        <f>(545/0.96)*'Input data'!$E$58</f>
        <v>760.72916666666674</v>
      </c>
      <c r="F62" s="401">
        <f>(648/0.96)*'Input data'!$E$58</f>
        <v>904.5</v>
      </c>
      <c r="G62" s="401">
        <f>(1020/0.96)*'Input data'!$E$58</f>
        <v>1423.75</v>
      </c>
      <c r="H62" s="401">
        <f>(1200/0.96)*'Input data'!$E$58</f>
        <v>1675</v>
      </c>
      <c r="I62" s="401">
        <f>(1360/0.96)*'Input data'!$E$58</f>
        <v>1898.3333333333335</v>
      </c>
      <c r="J62" s="401">
        <f>(1460/0.96)*'Input data'!$E$58</f>
        <v>2037.916666666667</v>
      </c>
      <c r="K62" s="401">
        <f>(1600/0.96)*'Input data'!$E$58</f>
        <v>2233.3333333333335</v>
      </c>
      <c r="L62" s="401">
        <f>(2000/0.96)*'Input data'!$E$58</f>
        <v>2791.666666666667</v>
      </c>
    </row>
    <row r="63" spans="2:13">
      <c r="B63" s="13" t="s">
        <v>2284</v>
      </c>
      <c r="C63" s="13" t="s">
        <v>785</v>
      </c>
      <c r="D63" s="13">
        <v>7027.2781546811384</v>
      </c>
      <c r="E63" s="13">
        <v>6737.1611666438439</v>
      </c>
      <c r="F63" s="13">
        <v>6447.3521282476504</v>
      </c>
      <c r="G63" s="13">
        <v>6306.3424056189642</v>
      </c>
      <c r="H63" s="13">
        <v>6257.6238805970152</v>
      </c>
      <c r="I63" s="13">
        <v>6157.4802458296745</v>
      </c>
      <c r="J63" s="13">
        <v>6372.3385810672653</v>
      </c>
      <c r="K63" s="13">
        <v>5964.2977611940296</v>
      </c>
      <c r="L63" s="13">
        <v>6280.6298507462679</v>
      </c>
    </row>
    <row r="64" spans="2:13">
      <c r="B64" s="13" t="s">
        <v>2284</v>
      </c>
      <c r="C64" s="13" t="s">
        <v>786</v>
      </c>
      <c r="D64" s="13">
        <v>7272.6751696065112</v>
      </c>
      <c r="E64" s="13">
        <v>7339.3969601533618</v>
      </c>
      <c r="F64" s="13">
        <v>6513.624470241386</v>
      </c>
      <c r="G64" s="13">
        <v>6459.7155399473222</v>
      </c>
      <c r="H64" s="13">
        <v>6278.0736318407962</v>
      </c>
      <c r="I64" s="13">
        <v>6198.0790166812994</v>
      </c>
      <c r="J64" s="13">
        <v>6479.4896749131049</v>
      </c>
      <c r="K64" s="13">
        <v>6027.5641791044773</v>
      </c>
      <c r="L64" s="13">
        <v>6484.6161194029846</v>
      </c>
    </row>
    <row r="65" spans="2:13">
      <c r="B65" s="13" t="s">
        <v>2284</v>
      </c>
      <c r="C65" s="13" t="s">
        <v>816</v>
      </c>
      <c r="D65" s="13">
        <v>7897.322116689279</v>
      </c>
      <c r="E65" s="13">
        <v>7969.7746131726681</v>
      </c>
      <c r="F65" s="13">
        <v>6816.5837479270313</v>
      </c>
      <c r="G65" s="13">
        <v>6712.3301141352067</v>
      </c>
      <c r="H65" s="13">
        <v>6579.7074626865669</v>
      </c>
      <c r="I65" s="13">
        <v>6482.2704126426688</v>
      </c>
      <c r="J65" s="13">
        <v>6971.1241054998964</v>
      </c>
      <c r="K65" s="13">
        <v>6338.1447761194022</v>
      </c>
      <c r="L65" s="13">
        <v>6984.6125373134319</v>
      </c>
    </row>
    <row r="66" spans="2:13">
      <c r="B66" s="13" t="s">
        <v>2284</v>
      </c>
      <c r="C66" s="13" t="s">
        <v>3903</v>
      </c>
      <c r="D66" s="13">
        <v>7272.6751696065112</v>
      </c>
      <c r="E66" s="13">
        <v>7339.3969601533618</v>
      </c>
      <c r="F66" s="13">
        <v>6513.624470241386</v>
      </c>
      <c r="G66" s="13">
        <v>6459.7155399473222</v>
      </c>
      <c r="H66" s="13">
        <v>6278.0736318407962</v>
      </c>
      <c r="I66" s="13">
        <v>6198.0790166812994</v>
      </c>
      <c r="J66" s="13">
        <v>6479.4896749131049</v>
      </c>
      <c r="K66" s="13">
        <v>6027.5641791044773</v>
      </c>
      <c r="L66" s="13">
        <v>6484.6161194029846</v>
      </c>
    </row>
    <row r="67" spans="2:13">
      <c r="B67" s="533" t="s">
        <v>832</v>
      </c>
    </row>
    <row r="68" spans="2:13" ht="12.95" customHeight="1">
      <c r="B68" s="533" t="s">
        <v>829</v>
      </c>
    </row>
    <row r="69" spans="2:13" ht="12.95" customHeight="1">
      <c r="B69" s="533" t="s">
        <v>845</v>
      </c>
    </row>
    <row r="70" spans="2:13" ht="12.95" customHeight="1"/>
    <row r="74" spans="2:13">
      <c r="I74" s="102" t="s">
        <v>3915</v>
      </c>
    </row>
    <row r="75" spans="2:13">
      <c r="J75" s="102" t="s">
        <v>3916</v>
      </c>
    </row>
    <row r="76" spans="2:13">
      <c r="J76" s="102" t="s">
        <v>3917</v>
      </c>
    </row>
    <row r="78" spans="2:13">
      <c r="I78" s="102" t="s">
        <v>3910</v>
      </c>
    </row>
    <row r="79" spans="2:13">
      <c r="J79" s="102" t="s">
        <v>3907</v>
      </c>
      <c r="L79" s="102">
        <v>1000</v>
      </c>
      <c r="M79" s="102" t="s">
        <v>787</v>
      </c>
    </row>
    <row r="80" spans="2:13">
      <c r="J80" s="102" t="s">
        <v>3908</v>
      </c>
      <c r="L80" s="937">
        <f>DieselEngEff(L79)</f>
        <v>6805.5</v>
      </c>
      <c r="M80" s="102" t="s">
        <v>3909</v>
      </c>
    </row>
    <row r="93" spans="2:16">
      <c r="B93" s="102" t="s">
        <v>1307</v>
      </c>
    </row>
    <row r="94" spans="2:16">
      <c r="B94" s="899"/>
      <c r="C94" s="899"/>
      <c r="D94" s="899" t="s">
        <v>836</v>
      </c>
      <c r="E94" s="899" t="s">
        <v>837</v>
      </c>
      <c r="F94" s="899" t="s">
        <v>838</v>
      </c>
      <c r="G94" s="899" t="s">
        <v>839</v>
      </c>
      <c r="H94" s="899" t="s">
        <v>840</v>
      </c>
      <c r="I94" s="899" t="s">
        <v>841</v>
      </c>
      <c r="J94" s="899" t="s">
        <v>842</v>
      </c>
      <c r="K94" s="899" t="s">
        <v>843</v>
      </c>
      <c r="L94" s="899" t="s">
        <v>844</v>
      </c>
      <c r="M94" s="899" t="s">
        <v>844</v>
      </c>
      <c r="N94" s="899" t="s">
        <v>844</v>
      </c>
      <c r="O94" s="899" t="s">
        <v>844</v>
      </c>
      <c r="P94" s="899" t="s">
        <v>844</v>
      </c>
    </row>
    <row r="95" spans="2:16">
      <c r="B95" s="658" t="s">
        <v>299</v>
      </c>
      <c r="C95" s="660"/>
      <c r="D95" s="13">
        <f>1.1*'Input data'!$E$58</f>
        <v>1.4740000000000002</v>
      </c>
      <c r="E95" s="13">
        <f>4*'Input data'!$E$58</f>
        <v>5.36</v>
      </c>
      <c r="F95" s="13">
        <f>11*'Input data'!$E$58</f>
        <v>14.74</v>
      </c>
      <c r="G95" s="13">
        <f>15*'Input data'!$E$58</f>
        <v>20.100000000000001</v>
      </c>
      <c r="H95" s="13">
        <f>22*'Input data'!$E$58</f>
        <v>29.48</v>
      </c>
      <c r="I95" s="13">
        <f>55*'Input data'!$E$58</f>
        <v>73.7</v>
      </c>
      <c r="J95" s="13">
        <f>110*'Input data'!$E$58</f>
        <v>147.4</v>
      </c>
      <c r="K95" s="13">
        <f>220*'Input data'!$E$58</f>
        <v>294.8</v>
      </c>
      <c r="L95" s="13">
        <f>350*'Input data'!$E$58</f>
        <v>469</v>
      </c>
      <c r="M95" s="13">
        <f>400*'Input data'!$E$58</f>
        <v>536</v>
      </c>
      <c r="N95" s="13">
        <f>450*'Input data'!$E$58</f>
        <v>603</v>
      </c>
      <c r="O95" s="13">
        <f>500*'Input data'!$E$58</f>
        <v>670</v>
      </c>
      <c r="P95" s="13">
        <f>600*'Input data'!$E$58</f>
        <v>804</v>
      </c>
    </row>
    <row r="96" spans="2:16">
      <c r="B96" s="13" t="s">
        <v>2284</v>
      </c>
      <c r="C96" s="13" t="s">
        <v>785</v>
      </c>
      <c r="D96" s="13">
        <v>3038.6328785665942</v>
      </c>
      <c r="E96" s="13">
        <v>2877.2591550720963</v>
      </c>
      <c r="F96" s="13">
        <v>2792.0771406127255</v>
      </c>
      <c r="G96" s="13">
        <v>2770.8099589105614</v>
      </c>
      <c r="H96" s="13">
        <v>2746.8978988552381</v>
      </c>
      <c r="I96" s="13">
        <v>2700.2909355660718</v>
      </c>
      <c r="J96" s="13">
        <v>2671.9562982568791</v>
      </c>
      <c r="K96" s="13">
        <v>2663.5714981577466</v>
      </c>
      <c r="L96" s="13">
        <v>2658.0108060947869</v>
      </c>
      <c r="M96" s="13">
        <v>2658.0108060947869</v>
      </c>
      <c r="N96" s="13">
        <v>2658.0108060947869</v>
      </c>
      <c r="O96" s="13">
        <v>2658.0108060947869</v>
      </c>
      <c r="P96" s="13">
        <v>2658.0108060947869</v>
      </c>
    </row>
    <row r="97" spans="2:16">
      <c r="B97" s="13" t="s">
        <v>2284</v>
      </c>
      <c r="C97" s="13" t="s">
        <v>3903</v>
      </c>
      <c r="D97" s="13">
        <f>D96</f>
        <v>3038.6328785665942</v>
      </c>
      <c r="E97" s="13">
        <f t="shared" ref="E97:P97" si="1">E96</f>
        <v>2877.2591550720963</v>
      </c>
      <c r="F97" s="13">
        <f t="shared" si="1"/>
        <v>2792.0771406127255</v>
      </c>
      <c r="G97" s="13">
        <f t="shared" si="1"/>
        <v>2770.8099589105614</v>
      </c>
      <c r="H97" s="13">
        <f t="shared" si="1"/>
        <v>2746.8978988552381</v>
      </c>
      <c r="I97" s="13">
        <f t="shared" si="1"/>
        <v>2700.2909355660718</v>
      </c>
      <c r="J97" s="13">
        <f t="shared" si="1"/>
        <v>2671.9562982568791</v>
      </c>
      <c r="K97" s="13">
        <f t="shared" si="1"/>
        <v>2663.5714981577466</v>
      </c>
      <c r="L97" s="13">
        <f t="shared" si="1"/>
        <v>2658.0108060947869</v>
      </c>
      <c r="M97" s="13">
        <f t="shared" si="1"/>
        <v>2658.0108060947869</v>
      </c>
      <c r="N97" s="13">
        <f t="shared" si="1"/>
        <v>2658.0108060947869</v>
      </c>
      <c r="O97" s="13">
        <f t="shared" si="1"/>
        <v>2658.0108060947869</v>
      </c>
      <c r="P97" s="13">
        <f t="shared" si="1"/>
        <v>2658.0108060947869</v>
      </c>
    </row>
    <row r="98" spans="2:16">
      <c r="B98" s="72" t="s">
        <v>835</v>
      </c>
    </row>
    <row r="99" spans="2:16">
      <c r="B99" s="72" t="s">
        <v>1306</v>
      </c>
    </row>
    <row r="105" spans="2:16">
      <c r="I105" s="102" t="s">
        <v>3919</v>
      </c>
    </row>
    <row r="106" spans="2:16">
      <c r="J106" s="102" t="s">
        <v>3920</v>
      </c>
    </row>
    <row r="107" spans="2:16">
      <c r="J107" s="102" t="s">
        <v>3921</v>
      </c>
    </row>
    <row r="109" spans="2:16">
      <c r="I109" s="102" t="s">
        <v>3910</v>
      </c>
    </row>
    <row r="110" spans="2:16">
      <c r="J110" s="102" t="s">
        <v>3922</v>
      </c>
      <c r="L110" s="102">
        <v>1000</v>
      </c>
      <c r="M110" s="102" t="s">
        <v>787</v>
      </c>
    </row>
    <row r="111" spans="2:16">
      <c r="J111" s="102" t="s">
        <v>3923</v>
      </c>
      <c r="L111" s="937">
        <f>ElecMotEff(L110)</f>
        <v>2630.6430715823608</v>
      </c>
      <c r="M111" s="102" t="s">
        <v>3909</v>
      </c>
    </row>
  </sheetData>
  <pageMargins left="0.7" right="0.7" top="0.75" bottom="0.75" header="0.3" footer="0.3"/>
  <pageSetup orientation="portrait"/>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sheetPr>
  <dimension ref="A1:S104"/>
  <sheetViews>
    <sheetView workbookViewId="0"/>
  </sheetViews>
  <sheetFormatPr defaultColWidth="8.88671875" defaultRowHeight="15"/>
  <cols>
    <col min="1" max="1" width="8.88671875" style="102"/>
    <col min="2" max="2" width="6.44140625" style="102" customWidth="1"/>
    <col min="3" max="4" width="8.88671875" style="102"/>
    <col min="5" max="6" width="10.5546875" style="102" customWidth="1"/>
    <col min="7" max="16384" width="8.88671875" style="102"/>
  </cols>
  <sheetData>
    <row r="1" spans="1:16" s="6" customFormat="1" ht="24" customHeight="1">
      <c r="A1" s="6" t="s">
        <v>899</v>
      </c>
    </row>
    <row r="2" spans="1:16" s="519" customFormat="1">
      <c r="A2"/>
    </row>
    <row r="3" spans="1:16" s="519" customFormat="1" ht="17.100000000000001" customHeight="1">
      <c r="A3" t="s">
        <v>1308</v>
      </c>
    </row>
    <row r="4" spans="1:16" s="519" customFormat="1" ht="17.100000000000001" customHeight="1">
      <c r="A4" t="s">
        <v>2291</v>
      </c>
    </row>
    <row r="5" spans="1:16">
      <c r="A5" t="s">
        <v>2315</v>
      </c>
    </row>
    <row r="6" spans="1:16">
      <c r="A6"/>
    </row>
    <row r="7" spans="1:16">
      <c r="A7"/>
    </row>
    <row r="8" spans="1:16" s="9" customFormat="1" ht="15.75">
      <c r="A8" s="9" t="s">
        <v>2454</v>
      </c>
    </row>
    <row r="9" spans="1:16">
      <c r="C9" s="119"/>
      <c r="D9" s="119"/>
      <c r="E9" s="119"/>
      <c r="F9" s="119"/>
      <c r="G9" s="119"/>
      <c r="H9" s="119"/>
      <c r="I9" s="119"/>
      <c r="J9" s="119"/>
      <c r="K9" s="119"/>
      <c r="L9" s="119"/>
      <c r="M9" s="119"/>
      <c r="N9" s="119"/>
      <c r="O9" s="119"/>
      <c r="P9" s="119"/>
    </row>
    <row r="10" spans="1:16">
      <c r="A10" s="102" t="s">
        <v>2455</v>
      </c>
      <c r="F10" s="640">
        <v>1</v>
      </c>
      <c r="G10" s="648">
        <v>1</v>
      </c>
      <c r="H10" s="102" t="s">
        <v>237</v>
      </c>
      <c r="I10" s="119"/>
      <c r="J10" s="119"/>
      <c r="K10" s="119"/>
      <c r="L10" s="119"/>
      <c r="O10" s="119"/>
      <c r="P10" s="119"/>
    </row>
    <row r="11" spans="1:16">
      <c r="B11" s="102" t="s">
        <v>2378</v>
      </c>
      <c r="C11" s="102" t="s">
        <v>2379</v>
      </c>
      <c r="D11" s="119"/>
      <c r="E11" s="119"/>
      <c r="F11" s="119"/>
      <c r="G11" s="119"/>
      <c r="H11" s="119"/>
      <c r="I11" s="119"/>
      <c r="J11" s="119"/>
      <c r="M11" s="119"/>
      <c r="N11" s="119"/>
    </row>
    <row r="12" spans="1:16">
      <c r="B12" s="102" t="s">
        <v>2380</v>
      </c>
      <c r="C12" s="102" t="s">
        <v>2381</v>
      </c>
      <c r="E12" s="119"/>
      <c r="F12" s="119"/>
      <c r="G12" s="119"/>
      <c r="H12" s="119"/>
      <c r="I12" s="119"/>
      <c r="J12" s="119"/>
      <c r="K12" s="119"/>
      <c r="L12" s="119"/>
      <c r="M12" s="119"/>
      <c r="N12" s="119"/>
      <c r="O12" s="119"/>
      <c r="P12" s="119"/>
    </row>
    <row r="13" spans="1:16">
      <c r="C13" s="119"/>
      <c r="D13" s="119"/>
      <c r="I13" s="119"/>
      <c r="J13" s="119"/>
      <c r="K13" s="119"/>
      <c r="L13" s="119"/>
      <c r="M13" s="119"/>
      <c r="N13" s="119"/>
      <c r="O13" s="119"/>
      <c r="P13" s="119"/>
    </row>
    <row r="14" spans="1:16">
      <c r="A14" s="671"/>
    </row>
    <row r="15" spans="1:16" s="9" customFormat="1" ht="15.75">
      <c r="A15" s="9" t="s">
        <v>2316</v>
      </c>
    </row>
    <row r="16" spans="1:16">
      <c r="C16" s="93"/>
      <c r="D16" s="93"/>
      <c r="E16" s="93"/>
      <c r="F16" s="93"/>
      <c r="G16" s="93"/>
      <c r="H16" s="93"/>
      <c r="I16" s="93"/>
      <c r="J16" s="93"/>
    </row>
    <row r="17" spans="1:17">
      <c r="C17" s="93"/>
      <c r="D17" s="93"/>
      <c r="E17" s="93"/>
      <c r="F17" s="93"/>
      <c r="G17" s="93"/>
      <c r="H17" s="93"/>
      <c r="I17" s="93"/>
      <c r="J17" s="93"/>
    </row>
    <row r="18" spans="1:17">
      <c r="A18" s="115"/>
      <c r="B18" s="115"/>
      <c r="C18" s="258"/>
      <c r="D18" s="258"/>
      <c r="E18" s="258"/>
      <c r="F18" s="258"/>
      <c r="G18" s="258"/>
      <c r="H18" s="258"/>
      <c r="I18" s="115"/>
      <c r="J18" s="115"/>
      <c r="K18" s="115"/>
      <c r="L18" s="115"/>
      <c r="M18" s="115"/>
    </row>
    <row r="19" spans="1:17">
      <c r="A19" s="115"/>
      <c r="B19" s="666" t="s">
        <v>2317</v>
      </c>
      <c r="C19" s="258"/>
      <c r="D19" s="258"/>
      <c r="E19" s="258"/>
      <c r="F19" s="258"/>
      <c r="G19" s="258"/>
      <c r="H19" s="258"/>
      <c r="I19" s="115"/>
      <c r="J19" s="115"/>
      <c r="K19" s="115"/>
      <c r="L19" s="115"/>
      <c r="M19" s="115"/>
    </row>
    <row r="20" spans="1:17">
      <c r="A20" s="115"/>
      <c r="B20" s="1089"/>
      <c r="C20" s="1089"/>
      <c r="D20" s="1089"/>
      <c r="E20" s="652" t="s">
        <v>607</v>
      </c>
      <c r="F20" s="652" t="s">
        <v>575</v>
      </c>
      <c r="G20" s="652" t="s">
        <v>2513</v>
      </c>
      <c r="H20" s="231" t="s">
        <v>829</v>
      </c>
      <c r="I20" s="115"/>
      <c r="J20" s="115"/>
      <c r="K20" s="115"/>
      <c r="L20" s="115"/>
      <c r="M20" s="115"/>
    </row>
    <row r="21" spans="1:17">
      <c r="A21" s="115"/>
      <c r="B21" s="1090" t="s">
        <v>760</v>
      </c>
      <c r="C21" s="1090"/>
      <c r="D21" s="1090"/>
      <c r="E21" s="963">
        <v>1.004</v>
      </c>
      <c r="F21" s="963">
        <v>1</v>
      </c>
      <c r="G21" s="963">
        <v>1</v>
      </c>
      <c r="H21" s="231" t="s">
        <v>3954</v>
      </c>
      <c r="I21" s="115"/>
      <c r="J21" s="115"/>
      <c r="K21" s="115"/>
      <c r="L21" s="115"/>
      <c r="M21" s="115"/>
    </row>
    <row r="22" spans="1:17">
      <c r="A22" s="115"/>
      <c r="B22" s="1090" t="s">
        <v>764</v>
      </c>
      <c r="C22" s="1090"/>
      <c r="D22" s="1090"/>
      <c r="E22" s="963">
        <v>3.5415000000000002E-2</v>
      </c>
      <c r="F22" s="963">
        <v>5.8599999999999998E-3</v>
      </c>
      <c r="G22" s="963">
        <v>1.106E-3</v>
      </c>
      <c r="H22" s="231" t="s">
        <v>3955</v>
      </c>
      <c r="I22" s="115"/>
      <c r="J22" s="115"/>
      <c r="K22" s="115"/>
      <c r="L22" s="115"/>
      <c r="M22" s="115"/>
    </row>
    <row r="23" spans="1:17">
      <c r="A23" s="115"/>
      <c r="B23" s="1090" t="s">
        <v>762</v>
      </c>
      <c r="C23" s="1090"/>
      <c r="D23" s="1090"/>
      <c r="E23" s="956"/>
      <c r="F23" s="956"/>
      <c r="G23" s="593"/>
      <c r="H23" s="258"/>
      <c r="I23" s="115"/>
      <c r="J23" s="115"/>
      <c r="K23" s="115"/>
      <c r="L23" s="115"/>
      <c r="M23" s="115"/>
    </row>
    <row r="24" spans="1:17">
      <c r="A24" s="115"/>
      <c r="B24" s="1090" t="s">
        <v>624</v>
      </c>
      <c r="C24" s="1090"/>
      <c r="D24" s="1090"/>
      <c r="E24" s="963">
        <v>4.4320000000000004</v>
      </c>
      <c r="F24" s="963">
        <v>0.153</v>
      </c>
      <c r="G24" s="963">
        <v>3.5999999999999997E-2</v>
      </c>
      <c r="H24" s="258"/>
      <c r="I24" s="115"/>
      <c r="J24" s="115"/>
      <c r="K24" s="115"/>
      <c r="L24" s="115"/>
      <c r="M24" s="115"/>
    </row>
    <row r="25" spans="1:17">
      <c r="A25" s="115"/>
      <c r="B25" s="1090" t="s">
        <v>396</v>
      </c>
      <c r="C25" s="1090"/>
      <c r="D25" s="1090"/>
      <c r="E25" s="963">
        <v>14.132</v>
      </c>
      <c r="F25" s="963">
        <v>0.82099999999999995</v>
      </c>
      <c r="G25" s="963">
        <v>0.125</v>
      </c>
      <c r="H25" s="258"/>
      <c r="I25" s="115"/>
      <c r="J25" s="115"/>
      <c r="K25" s="115"/>
      <c r="L25" s="115"/>
      <c r="M25" s="115"/>
    </row>
    <row r="26" spans="1:17">
      <c r="A26" s="115"/>
      <c r="B26" s="1090" t="s">
        <v>761</v>
      </c>
      <c r="C26" s="1090"/>
      <c r="D26" s="1090"/>
      <c r="E26" s="963">
        <v>17.518000000000001</v>
      </c>
      <c r="F26" s="963">
        <v>0.60799999999999998</v>
      </c>
      <c r="G26" s="963">
        <v>0.112</v>
      </c>
      <c r="H26" s="258"/>
      <c r="I26" s="115"/>
      <c r="J26" s="115"/>
      <c r="K26" s="115"/>
      <c r="L26" s="115"/>
      <c r="M26" s="115"/>
    </row>
    <row r="27" spans="1:17">
      <c r="A27" s="115"/>
      <c r="B27" s="1090" t="s">
        <v>626</v>
      </c>
      <c r="C27" s="1090"/>
      <c r="D27" s="1090"/>
      <c r="E27" s="963">
        <v>1.1399999999999999</v>
      </c>
      <c r="F27" s="963">
        <v>7.0000000000000001E-3</v>
      </c>
      <c r="G27" s="963">
        <v>2.279864769439741E-3</v>
      </c>
      <c r="H27" s="258"/>
      <c r="I27" s="115"/>
      <c r="J27" s="115"/>
      <c r="K27" s="115"/>
      <c r="L27" s="115"/>
      <c r="M27" s="115"/>
    </row>
    <row r="28" spans="1:17">
      <c r="A28" s="115"/>
      <c r="B28" s="1090" t="s">
        <v>627</v>
      </c>
      <c r="C28" s="1090"/>
      <c r="D28" s="1090"/>
      <c r="E28" s="963">
        <v>1820</v>
      </c>
      <c r="F28" s="963">
        <v>467</v>
      </c>
      <c r="G28" s="963">
        <v>87</v>
      </c>
      <c r="H28" s="258"/>
      <c r="I28" s="115"/>
      <c r="J28" s="115"/>
      <c r="K28" s="115"/>
      <c r="L28" s="115"/>
      <c r="M28" s="115"/>
    </row>
    <row r="29" spans="1:17">
      <c r="A29" s="115"/>
      <c r="B29" s="1090" t="s">
        <v>763</v>
      </c>
      <c r="C29" s="1090"/>
      <c r="D29" s="1090"/>
      <c r="E29" s="963">
        <v>87.400999999999996</v>
      </c>
      <c r="F29" s="963">
        <v>0.20699999999999999</v>
      </c>
      <c r="G29" s="963"/>
      <c r="H29" s="231" t="s">
        <v>2281</v>
      </c>
      <c r="I29" s="115"/>
      <c r="J29" s="115"/>
      <c r="K29" s="115"/>
      <c r="L29" s="115"/>
      <c r="M29" s="115"/>
      <c r="Q29" s="392"/>
    </row>
    <row r="30" spans="1:17">
      <c r="A30" s="115"/>
      <c r="B30" s="1090" t="s">
        <v>763</v>
      </c>
      <c r="C30" s="1090"/>
      <c r="D30" s="1090"/>
      <c r="E30" s="963"/>
      <c r="F30" s="963">
        <v>0.88</v>
      </c>
      <c r="G30" s="963"/>
      <c r="H30" s="231" t="s">
        <v>2280</v>
      </c>
      <c r="I30" s="115"/>
      <c r="J30" s="115"/>
      <c r="K30" s="115"/>
      <c r="L30" s="115"/>
      <c r="M30" s="115"/>
    </row>
    <row r="31" spans="1:17">
      <c r="A31" s="115"/>
      <c r="B31" s="1090" t="s">
        <v>628</v>
      </c>
      <c r="C31" s="1090"/>
      <c r="D31" s="1090"/>
      <c r="E31" s="965">
        <f>E24*'Input data'!C74+E25*'Input data'!C72+E26*'Input data'!C73+E27*'Input data'!C75+E28+E29*'Input data'!C73</f>
        <v>5726.9660000000003</v>
      </c>
      <c r="F31" s="965">
        <f>(F24+F29+F30)*'Input data'!C74+F25*'Input data'!C72+F26*'Input data'!C73+F27*'Input data'!C75+F28</f>
        <v>489.75799999999998</v>
      </c>
      <c r="G31" s="965">
        <f>(G24+G29+G30)*'Input data'!D74+G25*'Input data'!D72+G26*'Input data'!D73+G27*'Input data'!D75+G28</f>
        <v>87</v>
      </c>
      <c r="H31" s="258"/>
      <c r="I31" s="115"/>
      <c r="J31" s="115"/>
      <c r="K31" s="115"/>
      <c r="L31" s="115"/>
      <c r="M31" s="115"/>
    </row>
    <row r="32" spans="1:17" ht="15.75">
      <c r="A32" s="115"/>
      <c r="B32" s="231" t="s">
        <v>3953</v>
      </c>
      <c r="C32" s="580"/>
      <c r="D32" s="957"/>
      <c r="E32" s="957"/>
      <c r="F32" s="957"/>
      <c r="G32" s="115"/>
      <c r="H32" s="115"/>
      <c r="I32" s="115"/>
      <c r="J32" s="115"/>
      <c r="K32" s="115"/>
      <c r="L32" s="115"/>
      <c r="M32" s="115"/>
    </row>
    <row r="33" spans="1:13" ht="15.75">
      <c r="A33" s="115"/>
      <c r="B33" s="580"/>
      <c r="C33" s="580"/>
      <c r="D33" s="957"/>
      <c r="E33" s="957"/>
      <c r="F33" s="957"/>
      <c r="G33" s="115"/>
      <c r="H33" s="115"/>
      <c r="I33" s="115"/>
      <c r="J33" s="115"/>
      <c r="K33" s="115"/>
      <c r="L33" s="115"/>
      <c r="M33" s="115"/>
    </row>
    <row r="34" spans="1:13" ht="15.75">
      <c r="A34" s="115"/>
      <c r="B34" s="115"/>
      <c r="C34" s="580"/>
      <c r="D34" s="957"/>
      <c r="E34" s="957"/>
      <c r="F34" s="957"/>
      <c r="G34" s="115"/>
      <c r="H34" s="115"/>
      <c r="I34" s="115"/>
      <c r="J34" s="115"/>
      <c r="K34" s="115"/>
      <c r="L34" s="115"/>
      <c r="M34" s="115"/>
    </row>
    <row r="35" spans="1:13" ht="15.75">
      <c r="A35" s="115"/>
      <c r="B35" s="666" t="s">
        <v>2318</v>
      </c>
      <c r="C35" s="580"/>
      <c r="D35" s="957"/>
      <c r="E35" s="957"/>
      <c r="F35" s="957"/>
      <c r="G35" s="115"/>
      <c r="H35" s="115"/>
      <c r="I35" s="115"/>
      <c r="J35" s="115"/>
      <c r="K35" s="115"/>
      <c r="L35" s="115"/>
      <c r="M35" s="115"/>
    </row>
    <row r="36" spans="1:13">
      <c r="A36" s="115"/>
      <c r="B36" s="652" t="s">
        <v>568</v>
      </c>
      <c r="C36" s="652"/>
      <c r="D36" s="652"/>
      <c r="E36" s="652" t="s">
        <v>164</v>
      </c>
      <c r="F36" s="652" t="s">
        <v>424</v>
      </c>
      <c r="G36" s="115"/>
      <c r="H36" s="115"/>
      <c r="I36" s="115"/>
      <c r="J36" s="115"/>
      <c r="K36" s="115"/>
      <c r="L36" s="115"/>
      <c r="M36" s="115"/>
    </row>
    <row r="37" spans="1:13">
      <c r="A37" s="115"/>
      <c r="B37" s="958"/>
      <c r="C37" s="959"/>
      <c r="D37" s="960"/>
      <c r="E37" s="114" t="s">
        <v>354</v>
      </c>
      <c r="F37" s="114"/>
      <c r="G37" s="115"/>
      <c r="H37" s="115"/>
      <c r="I37" s="115"/>
      <c r="J37" s="115"/>
      <c r="K37" s="115"/>
      <c r="L37" s="115"/>
      <c r="M37" s="115"/>
    </row>
    <row r="38" spans="1:13">
      <c r="A38" s="115"/>
      <c r="B38" s="958" t="s">
        <v>1010</v>
      </c>
      <c r="C38" s="959"/>
      <c r="D38" s="960"/>
      <c r="E38" s="114">
        <f>(D56-E22)/E21</f>
        <v>7.0928286852589645E-2</v>
      </c>
      <c r="F38" s="114" t="s">
        <v>3928</v>
      </c>
      <c r="G38" s="115"/>
      <c r="H38" s="115"/>
      <c r="I38" s="115"/>
      <c r="J38" s="115"/>
      <c r="K38" s="115"/>
      <c r="L38" s="115"/>
      <c r="M38" s="115"/>
    </row>
    <row r="39" spans="1:13">
      <c r="A39" s="115"/>
      <c r="B39" s="958" t="s">
        <v>575</v>
      </c>
      <c r="C39" s="959"/>
      <c r="D39" s="960"/>
      <c r="E39" s="114">
        <f>(D57-F22)/F21</f>
        <v>0.22418199999999999</v>
      </c>
      <c r="F39" s="114" t="s">
        <v>3928</v>
      </c>
      <c r="G39" s="115"/>
      <c r="H39" s="115"/>
      <c r="I39" s="115"/>
      <c r="J39" s="115"/>
      <c r="K39" s="115"/>
      <c r="L39" s="115"/>
      <c r="M39" s="115"/>
    </row>
    <row r="40" spans="1:13">
      <c r="A40" s="115"/>
      <c r="B40" s="958" t="s">
        <v>132</v>
      </c>
      <c r="C40" s="959"/>
      <c r="D40" s="960"/>
      <c r="E40" s="114">
        <f>Electricity!M70</f>
        <v>2.3761773374727668</v>
      </c>
      <c r="F40" s="114" t="s">
        <v>3959</v>
      </c>
      <c r="G40" s="231"/>
      <c r="H40" s="115"/>
      <c r="I40" s="115"/>
      <c r="J40" s="115"/>
      <c r="K40" s="115"/>
      <c r="L40" s="115"/>
      <c r="M40" s="115"/>
    </row>
    <row r="41" spans="1:13">
      <c r="A41" s="115"/>
      <c r="B41" s="1087" t="s">
        <v>2692</v>
      </c>
      <c r="C41" s="1088"/>
      <c r="D41" s="1091"/>
      <c r="E41" s="114">
        <f>(D59-G22)/G21</f>
        <v>0.31358200000000003</v>
      </c>
      <c r="F41" s="114" t="s">
        <v>3928</v>
      </c>
      <c r="G41" s="115"/>
      <c r="H41" s="115"/>
      <c r="I41" s="115"/>
      <c r="J41" s="258"/>
      <c r="K41" s="258"/>
      <c r="L41" s="115"/>
      <c r="M41" s="115"/>
    </row>
    <row r="42" spans="1:13">
      <c r="A42" s="115"/>
      <c r="B42" s="1087" t="s">
        <v>2691</v>
      </c>
      <c r="C42" s="1088"/>
      <c r="D42" s="1091"/>
      <c r="E42" s="955" t="str">
        <f>"--"</f>
        <v>--</v>
      </c>
      <c r="F42" s="961"/>
      <c r="G42" s="115"/>
      <c r="H42" s="115"/>
      <c r="I42" s="115"/>
      <c r="J42" s="258"/>
      <c r="K42" s="258"/>
      <c r="L42" s="115"/>
      <c r="M42" s="115"/>
    </row>
    <row r="43" spans="1:13" ht="15.75">
      <c r="A43" s="115"/>
      <c r="B43" s="580"/>
      <c r="C43" s="580"/>
      <c r="D43" s="957"/>
      <c r="E43" s="957"/>
      <c r="F43" s="957"/>
      <c r="G43" s="115"/>
      <c r="H43" s="115"/>
      <c r="I43" s="115"/>
      <c r="J43" s="258"/>
      <c r="K43" s="258"/>
      <c r="L43" s="115"/>
      <c r="M43" s="115"/>
    </row>
    <row r="44" spans="1:13">
      <c r="A44" s="115"/>
      <c r="B44" s="666" t="s">
        <v>2319</v>
      </c>
      <c r="C44" s="115"/>
      <c r="D44" s="115"/>
      <c r="E44" s="115"/>
      <c r="F44" s="115"/>
      <c r="G44" s="115"/>
      <c r="H44" s="115"/>
      <c r="I44" s="115"/>
      <c r="J44" s="258"/>
      <c r="K44" s="258"/>
      <c r="L44" s="115"/>
      <c r="M44" s="115"/>
    </row>
    <row r="45" spans="1:13">
      <c r="A45" s="115"/>
      <c r="B45" s="652" t="s">
        <v>568</v>
      </c>
      <c r="C45" s="652"/>
      <c r="D45" s="652" t="s">
        <v>164</v>
      </c>
      <c r="E45" s="652" t="s">
        <v>424</v>
      </c>
      <c r="F45" s="231" t="s">
        <v>829</v>
      </c>
      <c r="G45" s="115"/>
      <c r="H45" s="115"/>
      <c r="I45" s="115"/>
      <c r="J45" s="258"/>
      <c r="K45" s="258"/>
      <c r="L45" s="115"/>
      <c r="M45" s="115"/>
    </row>
    <row r="46" spans="1:13">
      <c r="A46" s="115"/>
      <c r="B46" s="1087"/>
      <c r="C46" s="1088"/>
      <c r="D46" s="114" t="s">
        <v>993</v>
      </c>
      <c r="E46" s="114"/>
      <c r="F46" s="483"/>
      <c r="G46" s="115"/>
      <c r="H46" s="115"/>
      <c r="I46" s="115"/>
      <c r="J46" s="258"/>
      <c r="K46" s="258"/>
      <c r="L46" s="115"/>
      <c r="M46" s="115"/>
    </row>
    <row r="47" spans="1:13">
      <c r="A47" s="115"/>
      <c r="B47" s="1087" t="s">
        <v>1010</v>
      </c>
      <c r="C47" s="1088"/>
      <c r="D47" s="962">
        <f>(D69-E31)/E21</f>
        <v>7270.9501992031865</v>
      </c>
      <c r="E47" s="114" t="s">
        <v>3928</v>
      </c>
      <c r="F47" s="483"/>
      <c r="G47" s="115"/>
      <c r="H47" s="115"/>
      <c r="I47" s="115"/>
      <c r="J47" s="258"/>
      <c r="K47" s="258"/>
      <c r="L47" s="115"/>
      <c r="M47" s="115"/>
    </row>
    <row r="48" spans="1:13">
      <c r="A48" s="115"/>
      <c r="B48" s="1087" t="s">
        <v>575</v>
      </c>
      <c r="C48" s="1088"/>
      <c r="D48" s="962">
        <f>(D70-F31)/F21</f>
        <v>21269.241999999998</v>
      </c>
      <c r="E48" s="114" t="s">
        <v>3928</v>
      </c>
      <c r="F48" s="231"/>
      <c r="G48" s="115"/>
      <c r="H48" s="115"/>
      <c r="I48" s="115"/>
      <c r="J48" s="115"/>
      <c r="K48" s="115"/>
      <c r="L48" s="115"/>
      <c r="M48" s="115"/>
    </row>
    <row r="49" spans="1:18">
      <c r="A49" s="115"/>
      <c r="B49" s="1087" t="s">
        <v>132</v>
      </c>
      <c r="C49" s="1088"/>
      <c r="D49" s="962">
        <f>Electricity!M68</f>
        <v>154430.16412854032</v>
      </c>
      <c r="E49" s="114" t="s">
        <v>3959</v>
      </c>
      <c r="F49" s="231"/>
      <c r="G49" s="115"/>
      <c r="H49" s="115"/>
      <c r="I49" s="115"/>
      <c r="J49" s="115"/>
      <c r="K49" s="115"/>
      <c r="L49" s="115"/>
      <c r="M49" s="115"/>
    </row>
    <row r="50" spans="1:18">
      <c r="A50" s="115"/>
      <c r="B50" s="1087" t="s">
        <v>2692</v>
      </c>
      <c r="C50" s="1088"/>
      <c r="D50" s="962">
        <f>(D72-G31)/G21</f>
        <v>26282</v>
      </c>
      <c r="E50" s="114" t="s">
        <v>3928</v>
      </c>
      <c r="F50" s="258"/>
      <c r="G50" s="258"/>
      <c r="H50" s="258"/>
      <c r="I50" s="258"/>
      <c r="J50" s="115"/>
      <c r="K50" s="115"/>
      <c r="L50" s="115"/>
      <c r="M50" s="115"/>
      <c r="O50" s="93"/>
      <c r="R50" s="93"/>
    </row>
    <row r="51" spans="1:18">
      <c r="A51" s="115"/>
      <c r="B51" s="1087" t="s">
        <v>2691</v>
      </c>
      <c r="C51" s="1088"/>
      <c r="D51" s="962">
        <f>D47</f>
        <v>7270.9501992031865</v>
      </c>
      <c r="E51" s="114" t="s">
        <v>3959</v>
      </c>
      <c r="F51" s="231" t="s">
        <v>2693</v>
      </c>
      <c r="G51" s="258"/>
      <c r="H51" s="258"/>
      <c r="I51" s="258"/>
      <c r="J51" s="115"/>
      <c r="K51" s="115"/>
      <c r="L51" s="115"/>
      <c r="M51" s="115"/>
      <c r="O51" s="93"/>
      <c r="R51" s="93"/>
    </row>
    <row r="52" spans="1:18">
      <c r="A52" s="115"/>
      <c r="B52" s="115"/>
      <c r="C52" s="258"/>
      <c r="D52" s="258"/>
      <c r="E52" s="258"/>
      <c r="F52" s="258"/>
      <c r="G52" s="258"/>
      <c r="H52" s="258"/>
      <c r="I52" s="258"/>
      <c r="J52" s="115"/>
      <c r="K52" s="115"/>
      <c r="L52" s="115"/>
      <c r="M52" s="115"/>
      <c r="O52" s="93"/>
      <c r="R52" s="93"/>
    </row>
    <row r="53" spans="1:18">
      <c r="A53" s="115"/>
      <c r="B53" s="666" t="s">
        <v>2320</v>
      </c>
      <c r="C53" s="258"/>
      <c r="D53" s="258"/>
      <c r="E53" s="258"/>
      <c r="F53" s="258"/>
      <c r="G53" s="258"/>
      <c r="H53" s="258"/>
      <c r="I53" s="258"/>
      <c r="J53" s="115"/>
      <c r="K53" s="115"/>
      <c r="L53" s="115"/>
      <c r="M53" s="115"/>
      <c r="R53" s="93"/>
    </row>
    <row r="54" spans="1:18">
      <c r="A54" s="115"/>
      <c r="B54" s="652" t="s">
        <v>568</v>
      </c>
      <c r="C54" s="652"/>
      <c r="D54" s="652" t="s">
        <v>164</v>
      </c>
      <c r="E54" s="652" t="s">
        <v>424</v>
      </c>
      <c r="F54" s="231" t="s">
        <v>829</v>
      </c>
      <c r="G54" s="258"/>
      <c r="H54" s="258"/>
      <c r="I54" s="115"/>
      <c r="J54" s="115"/>
      <c r="K54" s="115"/>
      <c r="L54" s="115"/>
      <c r="M54" s="115"/>
    </row>
    <row r="55" spans="1:18">
      <c r="A55" s="115"/>
      <c r="B55" s="958"/>
      <c r="C55" s="959"/>
      <c r="D55" s="114" t="s">
        <v>354</v>
      </c>
      <c r="E55" s="114"/>
      <c r="F55" s="231"/>
      <c r="G55" s="258"/>
      <c r="H55" s="258"/>
      <c r="I55" s="115"/>
      <c r="J55" s="115"/>
      <c r="K55" s="115"/>
      <c r="L55" s="115"/>
      <c r="M55" s="115"/>
    </row>
    <row r="56" spans="1:18">
      <c r="A56" s="115"/>
      <c r="B56" s="958" t="s">
        <v>1010</v>
      </c>
      <c r="C56" s="959"/>
      <c r="D56" s="963">
        <v>0.106627</v>
      </c>
      <c r="E56" s="114" t="s">
        <v>3928</v>
      </c>
      <c r="F56" s="231" t="s">
        <v>3956</v>
      </c>
      <c r="G56" s="258"/>
      <c r="H56" s="258"/>
      <c r="I56" s="115"/>
      <c r="J56" s="115"/>
      <c r="K56" s="115"/>
      <c r="L56" s="115"/>
      <c r="M56" s="115"/>
    </row>
    <row r="57" spans="1:18">
      <c r="A57" s="115"/>
      <c r="B57" s="958" t="s">
        <v>575</v>
      </c>
      <c r="C57" s="959"/>
      <c r="D57" s="963">
        <f>(159516+70526)/1000000</f>
        <v>0.230042</v>
      </c>
      <c r="E57" s="114" t="s">
        <v>3928</v>
      </c>
      <c r="F57" s="231" t="s">
        <v>3957</v>
      </c>
      <c r="G57" s="258"/>
      <c r="H57" s="258"/>
      <c r="I57" s="115"/>
      <c r="J57" s="115"/>
      <c r="K57" s="115"/>
      <c r="L57" s="115"/>
      <c r="M57" s="115"/>
    </row>
    <row r="58" spans="1:18">
      <c r="A58" s="115"/>
      <c r="B58" s="958" t="s">
        <v>132</v>
      </c>
      <c r="C58" s="959"/>
      <c r="D58" s="963">
        <f>Electricity!M74</f>
        <v>2.4091594836343266</v>
      </c>
      <c r="E58" s="114" t="s">
        <v>3959</v>
      </c>
      <c r="F58" s="231"/>
      <c r="G58" s="258"/>
      <c r="H58" s="258"/>
      <c r="I58" s="115"/>
      <c r="J58" s="115"/>
      <c r="K58" s="115"/>
      <c r="L58" s="115"/>
      <c r="M58" s="115"/>
    </row>
    <row r="59" spans="1:18">
      <c r="A59" s="115"/>
      <c r="B59" s="1087" t="s">
        <v>2692</v>
      </c>
      <c r="C59" s="1088"/>
      <c r="D59" s="963">
        <f>(70526+244162)/1000000</f>
        <v>0.31468800000000002</v>
      </c>
      <c r="E59" s="114" t="s">
        <v>3928</v>
      </c>
      <c r="F59" s="231" t="s">
        <v>3958</v>
      </c>
      <c r="G59" s="258"/>
      <c r="H59" s="258"/>
      <c r="I59" s="115"/>
      <c r="J59" s="115"/>
      <c r="K59" s="115"/>
      <c r="L59" s="115"/>
      <c r="M59" s="115"/>
    </row>
    <row r="60" spans="1:18">
      <c r="A60" s="115"/>
      <c r="B60" s="1087" t="s">
        <v>2691</v>
      </c>
      <c r="C60" s="1088"/>
      <c r="D60" s="954" t="str">
        <f>"--"</f>
        <v>--</v>
      </c>
      <c r="E60" s="114"/>
      <c r="F60" s="231"/>
      <c r="G60" s="258"/>
      <c r="H60" s="258"/>
      <c r="I60" s="115"/>
      <c r="J60" s="115"/>
      <c r="K60" s="115"/>
      <c r="L60" s="115"/>
      <c r="M60" s="115"/>
    </row>
    <row r="61" spans="1:18">
      <c r="A61" s="115"/>
      <c r="B61" s="231" t="s">
        <v>613</v>
      </c>
      <c r="C61" s="258"/>
      <c r="D61" s="258"/>
      <c r="E61" s="258"/>
      <c r="F61" s="258"/>
      <c r="G61" s="258"/>
      <c r="H61" s="258"/>
      <c r="I61" s="258"/>
      <c r="J61" s="115"/>
      <c r="K61" s="115"/>
      <c r="L61" s="115"/>
      <c r="M61" s="115"/>
      <c r="R61" s="93"/>
    </row>
    <row r="62" spans="1:18">
      <c r="A62" s="115"/>
      <c r="B62" s="231" t="s">
        <v>1861</v>
      </c>
      <c r="C62" s="258"/>
      <c r="D62" s="258"/>
      <c r="E62" s="258"/>
      <c r="F62" s="258"/>
      <c r="G62" s="258"/>
      <c r="H62" s="258"/>
      <c r="I62" s="258"/>
      <c r="J62" s="258"/>
      <c r="K62" s="258"/>
      <c r="L62" s="115"/>
      <c r="M62" s="115"/>
      <c r="R62" s="93"/>
    </row>
    <row r="63" spans="1:18">
      <c r="A63" s="115"/>
      <c r="B63" s="231" t="s">
        <v>3929</v>
      </c>
      <c r="C63" s="258"/>
      <c r="D63" s="258"/>
      <c r="E63" s="258"/>
      <c r="F63" s="258"/>
      <c r="G63" s="258"/>
      <c r="H63" s="258"/>
      <c r="I63" s="258"/>
      <c r="J63" s="258"/>
      <c r="K63" s="258"/>
      <c r="L63" s="115"/>
      <c r="M63" s="115"/>
      <c r="R63" s="93"/>
    </row>
    <row r="64" spans="1:18">
      <c r="A64" s="115"/>
      <c r="B64" s="231"/>
      <c r="C64" s="258"/>
      <c r="D64" s="258"/>
      <c r="E64" s="258"/>
      <c r="F64" s="258"/>
      <c r="G64" s="258"/>
      <c r="H64" s="258"/>
      <c r="I64" s="258"/>
      <c r="J64" s="258"/>
      <c r="K64" s="258"/>
      <c r="L64" s="115"/>
      <c r="M64" s="115"/>
      <c r="R64" s="93"/>
    </row>
    <row r="65" spans="1:19">
      <c r="A65" s="115"/>
      <c r="B65" s="115"/>
      <c r="C65" s="258"/>
      <c r="D65" s="258"/>
      <c r="E65" s="258"/>
      <c r="F65" s="258"/>
      <c r="G65" s="258"/>
      <c r="H65" s="258"/>
      <c r="I65" s="258"/>
      <c r="J65" s="258"/>
      <c r="K65" s="258"/>
      <c r="L65" s="115"/>
      <c r="M65" s="115"/>
      <c r="R65" s="93"/>
    </row>
    <row r="66" spans="1:19">
      <c r="A66" s="115"/>
      <c r="B66" s="666" t="s">
        <v>2321</v>
      </c>
      <c r="C66" s="258"/>
      <c r="D66" s="258"/>
      <c r="E66" s="258"/>
      <c r="F66" s="258"/>
      <c r="G66" s="258"/>
      <c r="H66" s="258"/>
      <c r="I66" s="258"/>
      <c r="J66" s="115"/>
      <c r="K66" s="258"/>
      <c r="L66" s="258"/>
      <c r="M66" s="258"/>
      <c r="N66" s="93"/>
      <c r="O66" s="93"/>
      <c r="R66" s="93"/>
    </row>
    <row r="67" spans="1:19">
      <c r="A67" s="115"/>
      <c r="B67" s="652" t="s">
        <v>568</v>
      </c>
      <c r="C67" s="652"/>
      <c r="D67" s="652" t="s">
        <v>164</v>
      </c>
      <c r="E67" s="652" t="s">
        <v>424</v>
      </c>
      <c r="F67" s="258"/>
      <c r="G67" s="115"/>
      <c r="H67" s="115"/>
      <c r="I67" s="115"/>
      <c r="J67" s="115"/>
      <c r="K67" s="115"/>
      <c r="L67" s="115"/>
      <c r="M67" s="115"/>
      <c r="Q67" s="93"/>
      <c r="S67" s="93"/>
    </row>
    <row r="68" spans="1:19">
      <c r="A68" s="115"/>
      <c r="B68" s="114"/>
      <c r="C68" s="114"/>
      <c r="D68" s="114" t="s">
        <v>993</v>
      </c>
      <c r="E68" s="114"/>
      <c r="F68" s="258"/>
      <c r="G68" s="115"/>
      <c r="H68" s="115"/>
      <c r="I68" s="115"/>
      <c r="J68" s="115"/>
      <c r="K68" s="115"/>
      <c r="L68" s="115"/>
      <c r="M68" s="115"/>
      <c r="S68" s="93"/>
    </row>
    <row r="69" spans="1:19">
      <c r="A69" s="115"/>
      <c r="B69" s="114" t="s">
        <v>1010</v>
      </c>
      <c r="C69" s="114"/>
      <c r="D69" s="964">
        <v>13027</v>
      </c>
      <c r="E69" s="114" t="s">
        <v>3959</v>
      </c>
      <c r="F69" s="231" t="s">
        <v>3956</v>
      </c>
      <c r="G69" s="115"/>
      <c r="H69" s="115"/>
      <c r="I69" s="115"/>
      <c r="J69" s="115"/>
      <c r="K69" s="115"/>
      <c r="L69" s="115"/>
      <c r="M69" s="115"/>
      <c r="S69" s="93"/>
    </row>
    <row r="70" spans="1:19">
      <c r="A70" s="115"/>
      <c r="B70" s="114" t="s">
        <v>575</v>
      </c>
      <c r="C70" s="114"/>
      <c r="D70" s="964">
        <f>8532+13227</f>
        <v>21759</v>
      </c>
      <c r="E70" s="114" t="s">
        <v>3959</v>
      </c>
      <c r="F70" s="231" t="s">
        <v>3957</v>
      </c>
      <c r="G70" s="115"/>
      <c r="H70" s="115"/>
      <c r="I70" s="115"/>
      <c r="J70" s="115"/>
      <c r="K70" s="115"/>
      <c r="L70" s="115"/>
      <c r="M70" s="115"/>
      <c r="S70" s="93"/>
    </row>
    <row r="71" spans="1:19">
      <c r="A71" s="115"/>
      <c r="B71" s="114" t="s">
        <v>132</v>
      </c>
      <c r="C71" s="114"/>
      <c r="D71" s="964">
        <f>Electricity!M73</f>
        <v>191553.1081107482</v>
      </c>
      <c r="E71" s="114" t="s">
        <v>3959</v>
      </c>
      <c r="F71" s="231"/>
      <c r="G71" s="115"/>
      <c r="H71" s="115"/>
      <c r="I71" s="115"/>
      <c r="J71" s="115"/>
      <c r="K71" s="115"/>
      <c r="L71" s="115"/>
      <c r="M71" s="115"/>
      <c r="S71" s="93"/>
    </row>
    <row r="72" spans="1:19">
      <c r="A72" s="115"/>
      <c r="B72" s="114" t="s">
        <v>2692</v>
      </c>
      <c r="C72" s="114"/>
      <c r="D72" s="964">
        <f>8532+17837</f>
        <v>26369</v>
      </c>
      <c r="E72" s="114" t="s">
        <v>3959</v>
      </c>
      <c r="F72" s="231" t="s">
        <v>3958</v>
      </c>
      <c r="G72" s="115"/>
      <c r="H72" s="115"/>
      <c r="I72" s="115"/>
      <c r="J72" s="115"/>
      <c r="K72" s="115"/>
      <c r="L72" s="115"/>
      <c r="M72" s="115"/>
      <c r="S72" s="93"/>
    </row>
    <row r="73" spans="1:19">
      <c r="A73" s="115"/>
      <c r="B73" s="114" t="s">
        <v>2691</v>
      </c>
      <c r="C73" s="114"/>
      <c r="D73" s="964">
        <f>D69</f>
        <v>13027</v>
      </c>
      <c r="E73" s="114" t="s">
        <v>3959</v>
      </c>
      <c r="F73" s="231" t="s">
        <v>2693</v>
      </c>
      <c r="G73" s="115"/>
      <c r="H73" s="115"/>
      <c r="I73" s="115"/>
      <c r="J73" s="115"/>
      <c r="K73" s="115"/>
      <c r="L73" s="115"/>
      <c r="M73" s="115"/>
      <c r="S73" s="93"/>
    </row>
    <row r="74" spans="1:19">
      <c r="A74" s="115"/>
      <c r="B74" s="231" t="s">
        <v>613</v>
      </c>
      <c r="C74" s="258"/>
      <c r="D74" s="258"/>
      <c r="E74" s="258"/>
      <c r="F74" s="258"/>
      <c r="G74" s="115"/>
      <c r="H74" s="115"/>
      <c r="I74" s="115"/>
      <c r="J74" s="115"/>
      <c r="K74" s="115"/>
      <c r="L74" s="115"/>
      <c r="M74" s="115"/>
      <c r="S74" s="93"/>
    </row>
    <row r="75" spans="1:19">
      <c r="A75" s="115"/>
      <c r="B75" s="231" t="s">
        <v>1861</v>
      </c>
      <c r="C75" s="258"/>
      <c r="D75" s="258"/>
      <c r="E75" s="258"/>
      <c r="F75" s="258"/>
      <c r="G75" s="115"/>
      <c r="H75" s="115"/>
      <c r="I75" s="115"/>
      <c r="J75" s="115"/>
      <c r="K75" s="115"/>
      <c r="L75" s="115"/>
      <c r="M75" s="115"/>
      <c r="S75" s="93"/>
    </row>
    <row r="76" spans="1:19">
      <c r="A76" s="115"/>
      <c r="B76" s="231" t="s">
        <v>3929</v>
      </c>
      <c r="C76" s="258"/>
      <c r="D76" s="258"/>
      <c r="E76" s="258"/>
      <c r="F76" s="258"/>
      <c r="G76" s="115"/>
      <c r="H76" s="115"/>
      <c r="I76" s="115"/>
      <c r="J76" s="115"/>
      <c r="K76" s="115"/>
      <c r="L76" s="115"/>
      <c r="M76" s="115"/>
      <c r="S76" s="93"/>
    </row>
    <row r="77" spans="1:19">
      <c r="A77" s="115"/>
      <c r="B77" s="115"/>
      <c r="C77" s="115"/>
      <c r="D77" s="115"/>
      <c r="E77" s="115"/>
      <c r="F77" s="115"/>
      <c r="G77" s="115"/>
      <c r="H77" s="115"/>
      <c r="I77" s="115"/>
      <c r="J77" s="115"/>
      <c r="K77" s="115"/>
      <c r="L77" s="115"/>
      <c r="M77" s="115"/>
      <c r="S77" s="93"/>
    </row>
    <row r="78" spans="1:19">
      <c r="A78" s="115"/>
      <c r="B78" s="115"/>
      <c r="C78" s="258"/>
      <c r="D78" s="258"/>
      <c r="E78" s="258"/>
      <c r="F78" s="258"/>
      <c r="G78" s="258"/>
      <c r="H78" s="258"/>
      <c r="I78" s="115"/>
      <c r="J78" s="483"/>
      <c r="K78" s="483"/>
      <c r="L78" s="483"/>
      <c r="M78" s="483"/>
      <c r="N78" s="119"/>
      <c r="O78" s="119"/>
      <c r="P78" s="119"/>
    </row>
    <row r="79" spans="1:19">
      <c r="A79" s="115"/>
      <c r="B79" s="115"/>
      <c r="C79" s="115"/>
      <c r="D79" s="115"/>
      <c r="E79" s="115"/>
      <c r="F79" s="115"/>
      <c r="G79" s="115"/>
      <c r="H79" s="115"/>
      <c r="I79" s="115"/>
      <c r="J79" s="115"/>
      <c r="K79" s="115"/>
      <c r="L79" s="115"/>
      <c r="M79" s="115"/>
    </row>
    <row r="80" spans="1:19">
      <c r="A80" s="115"/>
      <c r="B80" s="115"/>
      <c r="C80" s="115"/>
      <c r="D80" s="115"/>
      <c r="E80" s="115"/>
      <c r="F80" s="115"/>
      <c r="G80" s="115"/>
      <c r="H80" s="115"/>
      <c r="I80" s="115"/>
      <c r="J80" s="115"/>
      <c r="K80" s="115"/>
      <c r="L80" s="115"/>
      <c r="M80" s="115"/>
    </row>
    <row r="81" spans="1:18">
      <c r="A81" s="115"/>
      <c r="B81" s="115"/>
      <c r="C81" s="115"/>
      <c r="D81" s="115"/>
      <c r="E81" s="115"/>
      <c r="F81" s="115"/>
      <c r="G81" s="115"/>
      <c r="H81" s="115"/>
      <c r="I81" s="115"/>
      <c r="J81" s="115"/>
      <c r="K81" s="115"/>
      <c r="L81" s="115"/>
      <c r="M81" s="115"/>
    </row>
    <row r="85" spans="1:18">
      <c r="I85" s="119"/>
      <c r="J85" s="119"/>
      <c r="K85" s="119"/>
      <c r="L85" s="119"/>
      <c r="M85" s="119"/>
      <c r="N85" s="119"/>
      <c r="O85" s="119"/>
      <c r="P85" s="119"/>
    </row>
    <row r="86" spans="1:18">
      <c r="I86" s="119"/>
      <c r="J86" s="119"/>
      <c r="K86" s="119"/>
      <c r="L86" s="119"/>
      <c r="M86" s="119"/>
      <c r="N86" s="119"/>
      <c r="O86" s="119"/>
      <c r="P86" s="119"/>
    </row>
    <row r="87" spans="1:18">
      <c r="I87" s="119"/>
      <c r="J87" s="119"/>
      <c r="K87" s="119"/>
      <c r="L87" s="119"/>
      <c r="M87" s="119"/>
      <c r="N87" s="119"/>
      <c r="O87" s="119"/>
      <c r="P87" s="119"/>
    </row>
    <row r="88" spans="1:18">
      <c r="I88" s="119"/>
      <c r="J88" s="119"/>
      <c r="K88" s="119"/>
      <c r="L88" s="119"/>
      <c r="M88" s="119"/>
      <c r="N88" s="119"/>
      <c r="O88" s="119"/>
      <c r="P88" s="119"/>
    </row>
    <row r="89" spans="1:18">
      <c r="I89" s="119"/>
      <c r="J89" s="119"/>
      <c r="K89" s="119"/>
      <c r="L89" s="119"/>
      <c r="M89" s="119"/>
      <c r="N89" s="119"/>
      <c r="O89" s="119"/>
      <c r="P89" s="119"/>
    </row>
    <row r="90" spans="1:18">
      <c r="I90" s="119"/>
      <c r="J90" s="119"/>
      <c r="K90" s="119"/>
      <c r="L90" s="119"/>
      <c r="M90" s="119"/>
      <c r="N90" s="119"/>
      <c r="O90" s="119"/>
      <c r="P90" s="119"/>
    </row>
    <row r="91" spans="1:18">
      <c r="K91" s="119"/>
      <c r="L91" s="119"/>
      <c r="M91" s="119"/>
      <c r="N91" s="119"/>
      <c r="O91" s="119"/>
      <c r="P91" s="119"/>
      <c r="Q91" s="119"/>
      <c r="R91" s="119"/>
    </row>
    <row r="92" spans="1:18">
      <c r="K92" s="119"/>
      <c r="L92" s="119"/>
      <c r="M92" s="119"/>
      <c r="N92" s="119"/>
      <c r="O92" s="119"/>
      <c r="P92" s="119"/>
      <c r="Q92" s="119"/>
      <c r="R92" s="119"/>
    </row>
    <row r="93" spans="1:18">
      <c r="K93" s="119"/>
      <c r="L93" s="119"/>
      <c r="M93" s="119"/>
      <c r="N93" s="119"/>
      <c r="O93" s="119"/>
      <c r="P93" s="119"/>
      <c r="Q93" s="119"/>
      <c r="R93" s="119"/>
    </row>
    <row r="94" spans="1:18">
      <c r="K94" s="119"/>
      <c r="L94" s="119"/>
      <c r="M94" s="119"/>
      <c r="N94" s="119"/>
      <c r="O94" s="119"/>
      <c r="P94" s="119"/>
      <c r="Q94" s="119"/>
      <c r="R94" s="119"/>
    </row>
    <row r="95" spans="1:18">
      <c r="K95" s="119"/>
      <c r="L95" s="119"/>
      <c r="M95" s="119"/>
      <c r="N95" s="119"/>
      <c r="O95" s="119"/>
      <c r="P95" s="119"/>
      <c r="Q95" s="119"/>
      <c r="R95" s="119"/>
    </row>
    <row r="96" spans="1:18">
      <c r="K96" s="119"/>
      <c r="L96" s="119"/>
      <c r="M96" s="119"/>
      <c r="N96" s="119"/>
      <c r="O96" s="119"/>
      <c r="P96" s="119"/>
      <c r="Q96" s="119"/>
      <c r="R96" s="119"/>
    </row>
    <row r="97" spans="4:18">
      <c r="K97" s="119"/>
      <c r="L97" s="119"/>
      <c r="M97" s="119"/>
      <c r="N97" s="119"/>
      <c r="O97" s="119"/>
      <c r="P97" s="119"/>
      <c r="Q97" s="119"/>
      <c r="R97" s="119"/>
    </row>
    <row r="98" spans="4:18">
      <c r="K98" s="119"/>
      <c r="L98" s="119"/>
      <c r="M98" s="119"/>
      <c r="N98" s="119"/>
      <c r="O98" s="119"/>
      <c r="P98" s="119"/>
      <c r="Q98" s="119"/>
      <c r="R98" s="119"/>
    </row>
    <row r="99" spans="4:18">
      <c r="K99" s="119"/>
      <c r="L99" s="119"/>
      <c r="M99" s="119"/>
      <c r="N99" s="119"/>
      <c r="O99" s="119"/>
      <c r="P99" s="119"/>
      <c r="Q99" s="119"/>
      <c r="R99" s="119"/>
    </row>
    <row r="101" spans="4:18">
      <c r="D101" s="119"/>
      <c r="E101" s="119"/>
      <c r="F101" s="119"/>
      <c r="G101" s="119"/>
      <c r="H101" s="119"/>
      <c r="I101" s="119"/>
      <c r="J101" s="119"/>
    </row>
    <row r="102" spans="4:18">
      <c r="D102" s="119"/>
      <c r="E102" s="119"/>
      <c r="F102" s="119"/>
      <c r="G102" s="119"/>
      <c r="H102" s="119"/>
      <c r="I102" s="119"/>
      <c r="J102" s="119"/>
    </row>
    <row r="103" spans="4:18">
      <c r="D103" s="119"/>
      <c r="E103" s="119"/>
      <c r="F103" s="119"/>
      <c r="G103" s="119"/>
      <c r="H103" s="119"/>
      <c r="I103" s="119"/>
      <c r="J103" s="119"/>
    </row>
    <row r="104" spans="4:18">
      <c r="D104" s="119"/>
      <c r="E104" s="119"/>
      <c r="F104" s="119"/>
      <c r="G104" s="119"/>
      <c r="H104" s="119"/>
      <c r="I104" s="119"/>
      <c r="J104" s="119"/>
    </row>
  </sheetData>
  <mergeCells count="22">
    <mergeCell ref="B41:D41"/>
    <mergeCell ref="B30:D30"/>
    <mergeCell ref="B42:D42"/>
    <mergeCell ref="B46:C46"/>
    <mergeCell ref="B47:C47"/>
    <mergeCell ref="B25:D25"/>
    <mergeCell ref="B31:D31"/>
    <mergeCell ref="B26:D26"/>
    <mergeCell ref="B27:D27"/>
    <mergeCell ref="B28:D28"/>
    <mergeCell ref="B29:D29"/>
    <mergeCell ref="B20:D20"/>
    <mergeCell ref="B21:D21"/>
    <mergeCell ref="B22:D22"/>
    <mergeCell ref="B23:D23"/>
    <mergeCell ref="B24:D24"/>
    <mergeCell ref="B60:C60"/>
    <mergeCell ref="B48:C48"/>
    <mergeCell ref="B49:C49"/>
    <mergeCell ref="B50:C50"/>
    <mergeCell ref="B51:C51"/>
    <mergeCell ref="B59:C5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U154"/>
  <sheetViews>
    <sheetView topLeftCell="A22" workbookViewId="0"/>
  </sheetViews>
  <sheetFormatPr defaultColWidth="8.88671875" defaultRowHeight="15"/>
  <cols>
    <col min="1" max="6" width="8.88671875" style="102"/>
    <col min="7" max="7" width="11.5546875" style="102" customWidth="1"/>
    <col min="8" max="8" width="11.44140625" style="102" customWidth="1"/>
    <col min="9" max="9" width="10.5546875" style="102" customWidth="1"/>
    <col min="10" max="10" width="9" style="102" customWidth="1"/>
    <col min="11" max="11" width="8.88671875" style="102"/>
    <col min="12" max="12" width="9.88671875" style="102" customWidth="1"/>
    <col min="13" max="13" width="8.88671875" style="102"/>
    <col min="14" max="14" width="8.88671875" style="102" customWidth="1"/>
    <col min="15" max="16384" width="8.88671875" style="102"/>
  </cols>
  <sheetData>
    <row r="1" spans="1:19" s="6" customFormat="1" ht="24" customHeight="1">
      <c r="A1" s="6" t="s">
        <v>900</v>
      </c>
    </row>
    <row r="2" spans="1:19" s="519" customFormat="1">
      <c r="B2" s="102"/>
      <c r="C2" s="102"/>
      <c r="D2" s="102"/>
      <c r="E2" s="102"/>
      <c r="F2" s="102"/>
      <c r="G2" s="102"/>
      <c r="H2" s="102"/>
      <c r="I2" s="102"/>
    </row>
    <row r="3" spans="1:19" s="519" customFormat="1" ht="17.100000000000001" customHeight="1">
      <c r="A3" s="92" t="s">
        <v>1303</v>
      </c>
      <c r="C3" s="102"/>
      <c r="D3" s="102"/>
      <c r="E3" s="102"/>
      <c r="F3" s="102"/>
      <c r="G3" s="102"/>
      <c r="H3" s="102"/>
      <c r="I3" s="102"/>
    </row>
    <row r="4" spans="1:19">
      <c r="A4" s="92" t="s">
        <v>901</v>
      </c>
    </row>
    <row r="5" spans="1:19">
      <c r="C5" s="93"/>
      <c r="D5" s="93"/>
      <c r="E5" s="93"/>
      <c r="F5" s="93"/>
      <c r="G5" s="93"/>
      <c r="H5" s="93"/>
      <c r="I5" s="93"/>
      <c r="J5" s="93"/>
      <c r="K5" s="93"/>
      <c r="L5" s="93"/>
      <c r="M5" s="93"/>
      <c r="N5" s="93"/>
      <c r="O5" s="93"/>
      <c r="P5" s="93"/>
      <c r="Q5" s="93"/>
      <c r="R5" s="93"/>
      <c r="S5" s="93"/>
    </row>
    <row r="6" spans="1:19" s="9" customFormat="1" ht="15.75">
      <c r="A6" s="9" t="s">
        <v>1375</v>
      </c>
    </row>
    <row r="7" spans="1:19">
      <c r="B7" s="93"/>
      <c r="C7" s="93"/>
      <c r="D7" s="93"/>
      <c r="E7" s="93"/>
      <c r="F7" s="93"/>
      <c r="G7" s="93"/>
      <c r="H7" s="93"/>
      <c r="I7" s="93"/>
      <c r="J7" s="93"/>
      <c r="K7" s="93"/>
      <c r="L7" s="93"/>
      <c r="M7" s="93"/>
      <c r="N7" s="93"/>
      <c r="O7" s="93"/>
      <c r="P7" s="93"/>
      <c r="Q7" s="93"/>
      <c r="R7" s="93"/>
    </row>
    <row r="8" spans="1:19">
      <c r="B8" s="93"/>
      <c r="C8" s="93"/>
      <c r="D8" s="93"/>
      <c r="E8" s="93"/>
      <c r="F8" s="93"/>
      <c r="G8" s="93"/>
      <c r="H8" s="93"/>
      <c r="I8" s="93"/>
      <c r="J8" s="93"/>
      <c r="K8" s="93"/>
      <c r="L8" s="93"/>
      <c r="M8" s="93"/>
      <c r="N8" s="93"/>
      <c r="O8" s="93"/>
      <c r="P8" s="93"/>
      <c r="Q8" s="93"/>
      <c r="R8" s="93"/>
    </row>
    <row r="9" spans="1:19">
      <c r="B9" s="643" t="s">
        <v>2285</v>
      </c>
      <c r="C9" s="93"/>
      <c r="D9" s="93"/>
      <c r="E9" s="93"/>
      <c r="F9" s="93"/>
      <c r="G9" s="93"/>
      <c r="H9" s="93"/>
      <c r="I9" s="93"/>
      <c r="J9" s="93"/>
      <c r="K9" s="93"/>
      <c r="L9" s="93"/>
      <c r="M9" s="93"/>
      <c r="N9" s="93"/>
      <c r="O9" s="93"/>
      <c r="P9" s="93"/>
      <c r="Q9" s="93"/>
      <c r="R9" s="93"/>
    </row>
    <row r="10" spans="1:19">
      <c r="B10" s="106"/>
      <c r="C10" s="1092" t="s">
        <v>615</v>
      </c>
      <c r="D10" s="1093"/>
      <c r="E10" s="1093"/>
      <c r="F10" s="1093"/>
      <c r="G10" s="1093"/>
      <c r="H10" s="1101"/>
      <c r="I10" s="1095" t="s">
        <v>616</v>
      </c>
      <c r="J10" s="1096"/>
      <c r="K10" s="1096"/>
      <c r="L10" s="1097"/>
      <c r="M10" s="535" t="s">
        <v>1151</v>
      </c>
      <c r="N10" s="106" t="s">
        <v>1866</v>
      </c>
      <c r="O10" s="106" t="s">
        <v>1875</v>
      </c>
      <c r="P10" s="378" t="s">
        <v>606</v>
      </c>
    </row>
    <row r="11" spans="1:19" ht="81" customHeight="1">
      <c r="B11" s="106"/>
      <c r="C11" s="389" t="s">
        <v>1354</v>
      </c>
      <c r="D11" s="389" t="s">
        <v>1355</v>
      </c>
      <c r="E11" s="389" t="s">
        <v>617</v>
      </c>
      <c r="F11" s="389" t="s">
        <v>618</v>
      </c>
      <c r="G11" s="389" t="s">
        <v>619</v>
      </c>
      <c r="H11" s="389" t="s">
        <v>620</v>
      </c>
      <c r="I11" s="536" t="s">
        <v>621</v>
      </c>
      <c r="J11" s="537" t="s">
        <v>622</v>
      </c>
      <c r="K11" s="537" t="s">
        <v>620</v>
      </c>
      <c r="L11" s="538" t="s">
        <v>623</v>
      </c>
      <c r="M11" s="539" t="s">
        <v>621</v>
      </c>
      <c r="N11" s="186" t="s">
        <v>621</v>
      </c>
      <c r="O11" s="540" t="s">
        <v>621</v>
      </c>
      <c r="P11" s="540" t="s">
        <v>621</v>
      </c>
    </row>
    <row r="12" spans="1:19">
      <c r="B12" s="106" t="s">
        <v>624</v>
      </c>
      <c r="C12" s="542">
        <v>1.5570000410079956</v>
      </c>
      <c r="D12" s="542">
        <v>2.4170000553131104</v>
      </c>
      <c r="E12" s="542">
        <v>1</v>
      </c>
      <c r="F12" s="542">
        <v>3.4289999008178711</v>
      </c>
      <c r="G12" s="542">
        <v>1</v>
      </c>
      <c r="H12" s="542">
        <v>41.119998931884766</v>
      </c>
      <c r="I12" s="542">
        <v>1.1729999780654907</v>
      </c>
      <c r="J12" s="542">
        <v>1.1729999780654907</v>
      </c>
      <c r="K12" s="542">
        <v>70.44</v>
      </c>
      <c r="L12" s="542">
        <v>1.3350000381469727</v>
      </c>
      <c r="M12" s="542">
        <v>0.81999999284744263</v>
      </c>
      <c r="N12" s="542">
        <v>0.90700000524520874</v>
      </c>
      <c r="O12" s="542">
        <v>2.0680000782012939</v>
      </c>
      <c r="P12" s="542">
        <v>2.0680000782012939</v>
      </c>
    </row>
    <row r="13" spans="1:19">
      <c r="B13" s="106" t="s">
        <v>396</v>
      </c>
      <c r="C13" s="542">
        <v>16.419000625610352</v>
      </c>
      <c r="D13" s="542">
        <v>28.822000503540039</v>
      </c>
      <c r="E13" s="542">
        <v>24</v>
      </c>
      <c r="F13" s="542">
        <v>24</v>
      </c>
      <c r="G13" s="542">
        <v>24</v>
      </c>
      <c r="H13" s="542">
        <v>342.44500732421875</v>
      </c>
      <c r="I13" s="542">
        <v>16.686000823974609</v>
      </c>
      <c r="J13" s="542">
        <v>16.686000823974609</v>
      </c>
      <c r="K13" s="542">
        <v>360.99599999999998</v>
      </c>
      <c r="L13" s="542">
        <v>8.7139997482299805</v>
      </c>
      <c r="M13" s="542">
        <v>23.739999771118164</v>
      </c>
      <c r="N13" s="542">
        <v>15.763999938964844</v>
      </c>
      <c r="O13" s="542">
        <v>76.18499755859375</v>
      </c>
      <c r="P13" s="542">
        <v>76.18499755859375</v>
      </c>
    </row>
    <row r="14" spans="1:19">
      <c r="B14" s="106" t="s">
        <v>625</v>
      </c>
      <c r="C14" s="542">
        <v>1.1000000238418579</v>
      </c>
      <c r="D14" s="542">
        <v>1.1000000238418579</v>
      </c>
      <c r="E14" s="542">
        <v>4.2600002288818359</v>
      </c>
      <c r="F14" s="542">
        <v>4.2600002288818359</v>
      </c>
      <c r="G14" s="542">
        <v>4.2600002288818359</v>
      </c>
      <c r="H14" s="542">
        <v>368.94000244140625</v>
      </c>
      <c r="I14" s="542">
        <v>0.18000000715255737</v>
      </c>
      <c r="J14" s="542">
        <v>0.75999999046325684</v>
      </c>
      <c r="K14" s="542">
        <v>3.94</v>
      </c>
      <c r="L14" s="542">
        <v>0.84399998188018799</v>
      </c>
      <c r="M14" s="542">
        <v>0.36000001430511475</v>
      </c>
      <c r="N14" s="542">
        <v>3.2400000095367432</v>
      </c>
      <c r="O14" s="542">
        <v>4</v>
      </c>
      <c r="P14" s="542">
        <v>4</v>
      </c>
    </row>
    <row r="15" spans="1:19">
      <c r="B15" s="106" t="s">
        <v>626</v>
      </c>
      <c r="C15" s="542">
        <v>1.1000000000000001</v>
      </c>
      <c r="D15" s="542">
        <v>1.1000000000000001</v>
      </c>
      <c r="E15" s="542">
        <v>1.5</v>
      </c>
      <c r="F15" s="542">
        <v>1.5</v>
      </c>
      <c r="G15" s="542">
        <v>1.5</v>
      </c>
      <c r="H15" s="542">
        <v>1.5</v>
      </c>
      <c r="I15" s="542">
        <v>0.18</v>
      </c>
      <c r="J15" s="542">
        <v>0.38999998569488525</v>
      </c>
      <c r="K15" s="542">
        <v>2</v>
      </c>
      <c r="L15" s="542">
        <v>2</v>
      </c>
      <c r="M15" s="542">
        <v>2</v>
      </c>
      <c r="N15" s="542">
        <v>0.36000001430511475</v>
      </c>
      <c r="O15" s="542">
        <v>1</v>
      </c>
      <c r="P15" s="542">
        <v>1</v>
      </c>
    </row>
    <row r="16" spans="1:19">
      <c r="B16" s="106" t="s">
        <v>627</v>
      </c>
      <c r="C16" s="542">
        <v>59379</v>
      </c>
      <c r="D16" s="542">
        <v>59357</v>
      </c>
      <c r="E16" s="542">
        <v>59360</v>
      </c>
      <c r="F16" s="542">
        <v>59353</v>
      </c>
      <c r="G16" s="542">
        <v>59360</v>
      </c>
      <c r="H16" s="542">
        <v>57732</v>
      </c>
      <c r="I16" s="542">
        <v>78168.681100745569</v>
      </c>
      <c r="J16" s="542">
        <v>78167.086100791465</v>
      </c>
      <c r="K16" s="542">
        <v>77401</v>
      </c>
      <c r="L16" s="542">
        <v>78178.877630889707</v>
      </c>
      <c r="M16" s="542">
        <v>77264.397841775266</v>
      </c>
      <c r="N16" s="542">
        <v>85044.721973208347</v>
      </c>
      <c r="O16" s="542">
        <v>98207</v>
      </c>
      <c r="P16" s="542">
        <v>99871</v>
      </c>
    </row>
    <row r="17" spans="2:21">
      <c r="B17" s="106" t="s">
        <v>628</v>
      </c>
      <c r="C17" s="542">
        <f>C12*'Input data'!C74+C13*'Input data'!C72+C14*'Input data'!C73+C15*'Input data'!C75+C16*'Input data'!C71</f>
        <v>59744.200000810626</v>
      </c>
      <c r="D17" s="542">
        <f>D12*'Input data'!C74+D13*'Input data'!C72+D14*'Input data'!C73+D15*'Input data'!C75+D16*'Input data'!C71</f>
        <v>59722.200000810626</v>
      </c>
      <c r="E17" s="542">
        <f>E12*'Input data'!C74+E13*'Input data'!C72+E14*'Input data'!C73+E15*'Input data'!C75+E16*'Input data'!C71</f>
        <v>59951.840007781982</v>
      </c>
      <c r="F17" s="542">
        <f>F12*'Input data'!C74+F13*'Input data'!C72+F14*'Input data'!C73+F15*'Input data'!C75+F16*'Input data'!C71</f>
        <v>59944.840007781982</v>
      </c>
      <c r="G17" s="542">
        <f>G12*'Input data'!C74+G13*'Input data'!C72+G14*'Input data'!C73+G15*'Input data'!C75+G16*'Input data'!C71</f>
        <v>59951.840007781982</v>
      </c>
      <c r="H17" s="542">
        <f>H12*'Input data'!C74+H13*'Input data'!C72+H14*'Input data'!C73+H15*'Input data'!C75+H16*'Input data'!C71</f>
        <v>70722.960083007813</v>
      </c>
      <c r="I17" s="542">
        <f>I12*'Input data'!C74+I13*'Input data'!C72+I14*'Input data'!C73+I15*'Input data'!C75+I16*'Input data'!C71</f>
        <v>78228.441100988755</v>
      </c>
      <c r="J17" s="542">
        <f>J12*'Input data'!C74+J13*'Input data'!C72+J14*'Input data'!C73+J15*'Input data'!C75+J16*'Input data'!C71</f>
        <v>78309.146096204291</v>
      </c>
      <c r="K17" s="542">
        <f>K12*'Input data'!C74+K13*'Input data'!C72+K14*'Input data'!C73+K15*'Input data'!C75+K16*'Input data'!C71</f>
        <v>78130.960000000006</v>
      </c>
      <c r="L17" s="542">
        <f>L12*'Input data'!C74+L13*'Input data'!C72+L14*'Input data'!C73+L15*'Input data'!C75+L16*'Input data'!C71</f>
        <v>78803.573630273633</v>
      </c>
      <c r="M17" s="542">
        <f>M12*'Input data'!$C$74+M13*'Input data'!$C$72+M14*'Input data'!$C$73+M15*'Input data'!$C$75+M16*'Input data'!$C$71</f>
        <v>77872.63784226164</v>
      </c>
      <c r="N17" s="542">
        <f>N12*'Input data'!$C$74+N13*'Input data'!$C$72+N14*'Input data'!$C$73+N15*'Input data'!$C$75+N16*'Input data'!$C$71</f>
        <v>85262.16197779552</v>
      </c>
      <c r="O17" s="542">
        <f>O12*'Input data'!$C$74+O13*'Input data'!$C$72+O14*'Input data'!$C$73+O15*'Input data'!$C$75+O16*'Input data'!$C$71</f>
        <v>98641</v>
      </c>
      <c r="P17" s="542">
        <f>P12*'Input data'!$C$74+P13*'Input data'!$C$72+P14*'Input data'!$C$73+P15*'Input data'!$C$75+P16*'Input data'!$C$71</f>
        <v>100305</v>
      </c>
    </row>
    <row r="18" spans="2:21">
      <c r="B18" s="72" t="s">
        <v>3952</v>
      </c>
      <c r="C18" s="72"/>
      <c r="D18" s="72"/>
      <c r="E18" s="72"/>
      <c r="F18" s="72"/>
      <c r="G18" s="72"/>
    </row>
    <row r="19" spans="2:21">
      <c r="B19" s="72"/>
      <c r="C19" s="72"/>
      <c r="D19" s="72"/>
      <c r="E19" s="72"/>
      <c r="F19" s="72"/>
      <c r="G19" s="72"/>
    </row>
    <row r="20" spans="2:21">
      <c r="B20" s="93"/>
      <c r="C20" s="93"/>
      <c r="D20" s="93"/>
      <c r="E20" s="93"/>
      <c r="F20" s="93"/>
      <c r="G20" s="93"/>
      <c r="H20" s="93"/>
      <c r="I20" s="93"/>
      <c r="J20" s="93"/>
      <c r="K20" s="93"/>
      <c r="L20" s="93"/>
      <c r="M20" s="93"/>
      <c r="N20" s="93"/>
      <c r="O20" s="93"/>
      <c r="P20" s="93"/>
      <c r="Q20" s="93"/>
      <c r="R20" s="93"/>
    </row>
    <row r="21" spans="2:21">
      <c r="B21" s="92" t="s">
        <v>1304</v>
      </c>
      <c r="C21" s="93"/>
      <c r="D21" s="93"/>
      <c r="E21" s="93"/>
      <c r="F21" s="93"/>
      <c r="G21" s="93"/>
      <c r="H21" s="93"/>
      <c r="I21" s="93"/>
      <c r="J21" s="93"/>
      <c r="K21" s="93"/>
      <c r="L21" s="93"/>
      <c r="M21" s="93"/>
      <c r="N21" s="93"/>
      <c r="O21" s="93"/>
      <c r="P21" s="93"/>
      <c r="Q21" s="93"/>
      <c r="R21" s="93"/>
    </row>
    <row r="22" spans="2:21">
      <c r="B22" s="543" t="s">
        <v>668</v>
      </c>
      <c r="C22" s="544"/>
      <c r="D22" s="544"/>
      <c r="E22" s="544"/>
      <c r="F22" s="545"/>
      <c r="G22" s="106" t="s">
        <v>627</v>
      </c>
      <c r="H22" s="106" t="s">
        <v>625</v>
      </c>
      <c r="I22" s="106" t="s">
        <v>624</v>
      </c>
      <c r="J22" s="106" t="s">
        <v>239</v>
      </c>
      <c r="K22" s="543" t="s">
        <v>171</v>
      </c>
      <c r="L22" s="544"/>
      <c r="M22" s="545"/>
      <c r="N22" s="424" t="s">
        <v>669</v>
      </c>
      <c r="O22" s="72"/>
      <c r="P22" s="72"/>
      <c r="Q22" s="93"/>
      <c r="R22" s="93"/>
    </row>
    <row r="23" spans="2:21">
      <c r="B23" s="531" t="s">
        <v>654</v>
      </c>
      <c r="C23" s="534"/>
      <c r="D23" s="534"/>
      <c r="E23" s="534"/>
      <c r="F23" s="532"/>
      <c r="G23" s="541"/>
      <c r="H23" s="541"/>
      <c r="I23" s="13"/>
      <c r="J23" s="13"/>
      <c r="K23" s="531"/>
      <c r="L23" s="534"/>
      <c r="M23" s="532"/>
      <c r="N23" s="72"/>
      <c r="O23" s="72"/>
      <c r="P23" s="72"/>
      <c r="Q23" s="93"/>
      <c r="R23" s="93"/>
    </row>
    <row r="24" spans="2:21">
      <c r="B24" s="531"/>
      <c r="C24" s="534" t="s">
        <v>655</v>
      </c>
      <c r="D24" s="534"/>
      <c r="E24" s="534"/>
      <c r="F24" s="532"/>
      <c r="G24" s="542">
        <v>0</v>
      </c>
      <c r="H24" s="542">
        <v>0</v>
      </c>
      <c r="I24" s="13" t="str">
        <f>"--"</f>
        <v>--</v>
      </c>
      <c r="J24" s="13" t="s">
        <v>651</v>
      </c>
      <c r="K24" s="531" t="s">
        <v>681</v>
      </c>
      <c r="L24" s="534"/>
      <c r="M24" s="532"/>
      <c r="N24" s="72" t="s">
        <v>677</v>
      </c>
      <c r="O24" s="72"/>
      <c r="P24" s="72"/>
      <c r="Q24" s="93"/>
      <c r="R24" s="93"/>
      <c r="U24" s="102" t="s">
        <v>578</v>
      </c>
    </row>
    <row r="25" spans="2:21">
      <c r="B25" s="531"/>
      <c r="C25" s="534" t="s">
        <v>3805</v>
      </c>
      <c r="D25" s="534"/>
      <c r="E25" s="534"/>
      <c r="F25" s="532"/>
      <c r="G25" s="542">
        <f>1000000*405/12889</f>
        <v>31422.142912561099</v>
      </c>
      <c r="H25" s="542">
        <f>1000000*1428/12889</f>
        <v>110792.14834354876</v>
      </c>
      <c r="I25" s="13" t="str">
        <f t="shared" ref="I25:I38" si="0">"--"</f>
        <v>--</v>
      </c>
      <c r="J25" s="13" t="s">
        <v>651</v>
      </c>
      <c r="K25" s="531" t="s">
        <v>681</v>
      </c>
      <c r="L25" s="534"/>
      <c r="M25" s="532"/>
      <c r="N25" s="72" t="s">
        <v>678</v>
      </c>
      <c r="O25" s="72"/>
      <c r="P25" s="72"/>
      <c r="Q25" s="93"/>
      <c r="R25" s="93"/>
    </row>
    <row r="26" spans="2:21">
      <c r="B26" s="531"/>
      <c r="C26" s="534" t="s">
        <v>3806</v>
      </c>
      <c r="D26" s="534"/>
      <c r="E26" s="534"/>
      <c r="F26" s="532"/>
      <c r="G26" s="542">
        <f>1000000*225/5424</f>
        <v>41482.300884955752</v>
      </c>
      <c r="H26" s="542">
        <f>1000000*575/5424</f>
        <v>106010.32448377581</v>
      </c>
      <c r="I26" s="13" t="str">
        <f>"--"</f>
        <v>--</v>
      </c>
      <c r="J26" s="13" t="s">
        <v>651</v>
      </c>
      <c r="K26" s="531" t="s">
        <v>681</v>
      </c>
      <c r="L26" s="534"/>
      <c r="M26" s="532"/>
      <c r="N26" s="72" t="s">
        <v>678</v>
      </c>
      <c r="O26" s="72"/>
      <c r="P26" s="72"/>
      <c r="Q26" s="93"/>
      <c r="R26" s="93"/>
    </row>
    <row r="27" spans="2:21">
      <c r="B27" s="531"/>
      <c r="C27" s="534" t="s">
        <v>3807</v>
      </c>
      <c r="D27" s="534"/>
      <c r="E27" s="534"/>
      <c r="F27" s="532"/>
      <c r="G27" s="542">
        <f>1000000*9/599</f>
        <v>15025.041736227045</v>
      </c>
      <c r="H27" s="542">
        <f>1000000*65/599</f>
        <v>108514.19031719533</v>
      </c>
      <c r="I27" s="13" t="str">
        <f t="shared" si="0"/>
        <v>--</v>
      </c>
      <c r="J27" s="13" t="s">
        <v>651</v>
      </c>
      <c r="K27" s="531" t="s">
        <v>681</v>
      </c>
      <c r="L27" s="534"/>
      <c r="M27" s="532"/>
      <c r="N27" s="72" t="s">
        <v>678</v>
      </c>
      <c r="O27" s="72"/>
      <c r="P27" s="72"/>
      <c r="Q27" s="93"/>
      <c r="R27" s="93"/>
    </row>
    <row r="28" spans="2:21">
      <c r="B28" s="531" t="s">
        <v>679</v>
      </c>
      <c r="C28" s="534"/>
      <c r="D28" s="534"/>
      <c r="E28" s="534"/>
      <c r="F28" s="532"/>
      <c r="G28" s="542"/>
      <c r="H28" s="542"/>
      <c r="I28" s="13"/>
      <c r="J28" s="13"/>
      <c r="K28" s="531"/>
      <c r="L28" s="534"/>
      <c r="M28" s="532"/>
      <c r="N28" s="72"/>
      <c r="O28" s="72"/>
      <c r="P28" s="72"/>
      <c r="Q28" s="93"/>
      <c r="R28" s="93"/>
    </row>
    <row r="29" spans="2:21">
      <c r="B29" s="531"/>
      <c r="C29" s="659" t="s">
        <v>655</v>
      </c>
      <c r="D29" s="534"/>
      <c r="E29" s="534"/>
      <c r="F29" s="532"/>
      <c r="G29" s="542">
        <v>0</v>
      </c>
      <c r="H29" s="542">
        <v>0</v>
      </c>
      <c r="I29" s="13" t="str">
        <f t="shared" si="0"/>
        <v>--</v>
      </c>
      <c r="J29" s="13" t="s">
        <v>651</v>
      </c>
      <c r="K29" s="531" t="s">
        <v>682</v>
      </c>
      <c r="L29" s="534"/>
      <c r="M29" s="532"/>
      <c r="N29" s="72" t="s">
        <v>677</v>
      </c>
      <c r="O29" s="72"/>
      <c r="P29" s="72"/>
      <c r="Q29" s="93"/>
      <c r="R29" s="93"/>
    </row>
    <row r="30" spans="2:21">
      <c r="B30" s="531"/>
      <c r="C30" s="659" t="s">
        <v>3805</v>
      </c>
      <c r="D30" s="534"/>
      <c r="E30" s="534"/>
      <c r="F30" s="532"/>
      <c r="G30" s="542">
        <f>1000000*103/956</f>
        <v>107740.58577405858</v>
      </c>
      <c r="H30" s="542">
        <f>1000000*90/956</f>
        <v>94142.259414225948</v>
      </c>
      <c r="I30" s="13" t="str">
        <f t="shared" si="0"/>
        <v>--</v>
      </c>
      <c r="J30" s="13" t="s">
        <v>651</v>
      </c>
      <c r="K30" s="531" t="s">
        <v>682</v>
      </c>
      <c r="L30" s="534"/>
      <c r="M30" s="532"/>
      <c r="N30" s="72" t="s">
        <v>678</v>
      </c>
      <c r="O30" s="72"/>
      <c r="P30" s="72"/>
      <c r="Q30" s="93"/>
      <c r="R30" s="93"/>
    </row>
    <row r="31" spans="2:21">
      <c r="B31" s="531"/>
      <c r="C31" s="659" t="s">
        <v>3806</v>
      </c>
      <c r="D31" s="534"/>
      <c r="E31" s="534"/>
      <c r="F31" s="532"/>
      <c r="G31" s="542">
        <f>1000000*113/1977</f>
        <v>57157.309054122408</v>
      </c>
      <c r="H31" s="542">
        <f>1000000*201/1977</f>
        <v>101669.19575113809</v>
      </c>
      <c r="I31" s="13" t="str">
        <f t="shared" si="0"/>
        <v>--</v>
      </c>
      <c r="J31" s="13" t="s">
        <v>651</v>
      </c>
      <c r="K31" s="531" t="s">
        <v>682</v>
      </c>
      <c r="L31" s="534"/>
      <c r="M31" s="532"/>
      <c r="N31" s="72" t="s">
        <v>678</v>
      </c>
      <c r="O31" s="72"/>
      <c r="P31" s="72"/>
      <c r="Q31" s="93"/>
      <c r="R31" s="93"/>
    </row>
    <row r="32" spans="2:21">
      <c r="B32" s="531"/>
      <c r="C32" s="659" t="s">
        <v>3807</v>
      </c>
      <c r="D32" s="534"/>
      <c r="E32" s="534"/>
      <c r="F32" s="532"/>
      <c r="G32" s="542">
        <f>1000000*3/187</f>
        <v>16042.780748663101</v>
      </c>
      <c r="H32" s="542">
        <f>1000000*21/187</f>
        <v>112299.46524064172</v>
      </c>
      <c r="I32" s="13" t="str">
        <f t="shared" si="0"/>
        <v>--</v>
      </c>
      <c r="J32" s="13" t="s">
        <v>651</v>
      </c>
      <c r="K32" s="531" t="s">
        <v>682</v>
      </c>
      <c r="L32" s="534"/>
      <c r="M32" s="532"/>
      <c r="N32" s="72" t="s">
        <v>678</v>
      </c>
      <c r="O32" s="72"/>
      <c r="P32" s="72"/>
      <c r="Q32" s="93"/>
      <c r="R32" s="93"/>
    </row>
    <row r="33" spans="1:18">
      <c r="B33" s="531" t="s">
        <v>661</v>
      </c>
      <c r="C33" s="534"/>
      <c r="D33" s="534"/>
      <c r="E33" s="534"/>
      <c r="F33" s="532"/>
      <c r="G33" s="542"/>
      <c r="H33" s="542"/>
      <c r="I33" s="13"/>
      <c r="J33" s="13"/>
      <c r="K33" s="531"/>
      <c r="L33" s="534"/>
      <c r="M33" s="532"/>
      <c r="N33" s="72"/>
      <c r="O33" s="72"/>
      <c r="P33" s="72"/>
      <c r="Q33" s="93"/>
      <c r="R33" s="93"/>
    </row>
    <row r="34" spans="1:18">
      <c r="B34" s="531"/>
      <c r="C34" s="534" t="s">
        <v>663</v>
      </c>
      <c r="D34" s="534"/>
      <c r="E34" s="534"/>
      <c r="F34" s="532"/>
      <c r="G34" s="542">
        <f>1000000*4/1071</f>
        <v>3734.8272642390289</v>
      </c>
      <c r="H34" s="542">
        <f>1000000*69/1071</f>
        <v>64425.770308123247</v>
      </c>
      <c r="I34" s="13" t="str">
        <f t="shared" si="0"/>
        <v>--</v>
      </c>
      <c r="J34" s="13" t="s">
        <v>662</v>
      </c>
      <c r="K34" s="531" t="s">
        <v>665</v>
      </c>
      <c r="L34" s="534"/>
      <c r="M34" s="532"/>
      <c r="N34" s="72" t="s">
        <v>676</v>
      </c>
      <c r="O34" s="72"/>
      <c r="P34" s="72"/>
      <c r="Q34" s="93"/>
      <c r="R34" s="93"/>
    </row>
    <row r="35" spans="1:18">
      <c r="B35" s="531"/>
      <c r="C35" s="534" t="s">
        <v>664</v>
      </c>
      <c r="D35" s="534"/>
      <c r="E35" s="534"/>
      <c r="F35" s="532"/>
      <c r="G35" s="542">
        <f>1000000*172/1071</f>
        <v>160597.57236227824</v>
      </c>
      <c r="H35" s="542">
        <f>1000000*3238/1071</f>
        <v>3023342.670401494</v>
      </c>
      <c r="I35" s="13" t="str">
        <f t="shared" si="0"/>
        <v>--</v>
      </c>
      <c r="J35" s="13" t="s">
        <v>662</v>
      </c>
      <c r="K35" s="531" t="s">
        <v>666</v>
      </c>
      <c r="L35" s="534"/>
      <c r="M35" s="532"/>
      <c r="N35" s="72" t="s">
        <v>676</v>
      </c>
      <c r="O35" s="72"/>
      <c r="P35" s="72"/>
      <c r="Q35" s="93"/>
      <c r="R35" s="93"/>
    </row>
    <row r="36" spans="1:18">
      <c r="B36" s="531" t="s">
        <v>670</v>
      </c>
      <c r="C36" s="534"/>
      <c r="D36" s="534"/>
      <c r="E36" s="534"/>
      <c r="F36" s="532"/>
      <c r="G36" s="542"/>
      <c r="H36" s="542"/>
      <c r="I36" s="13"/>
      <c r="J36" s="13"/>
      <c r="K36" s="531"/>
      <c r="L36" s="534"/>
      <c r="M36" s="532"/>
      <c r="N36" s="72"/>
      <c r="O36" s="72"/>
      <c r="P36" s="72"/>
      <c r="Q36" s="93"/>
      <c r="R36" s="93"/>
    </row>
    <row r="37" spans="1:18">
      <c r="B37" s="531"/>
      <c r="C37" s="534" t="s">
        <v>671</v>
      </c>
      <c r="D37" s="534"/>
      <c r="E37" s="534"/>
      <c r="F37" s="532"/>
      <c r="G37" s="542">
        <f>1000000*2659/2295</f>
        <v>1158605.6644880173</v>
      </c>
      <c r="H37" s="542">
        <f>1000000*2490/2295</f>
        <v>1084967.3202614379</v>
      </c>
      <c r="I37" s="13" t="str">
        <f t="shared" si="0"/>
        <v>--</v>
      </c>
      <c r="J37" s="13" t="s">
        <v>683</v>
      </c>
      <c r="K37" s="531" t="s">
        <v>675</v>
      </c>
      <c r="L37" s="534"/>
      <c r="M37" s="532"/>
      <c r="N37" s="72" t="s">
        <v>674</v>
      </c>
      <c r="O37" s="72"/>
      <c r="P37" s="72"/>
      <c r="Q37" s="93"/>
      <c r="R37" s="93"/>
    </row>
    <row r="38" spans="1:18">
      <c r="B38" s="531"/>
      <c r="C38" s="534" t="s">
        <v>673</v>
      </c>
      <c r="D38" s="534"/>
      <c r="E38" s="534"/>
      <c r="F38" s="532"/>
      <c r="G38" s="542">
        <f>1000000*104/1417</f>
        <v>73394.495412844029</v>
      </c>
      <c r="H38" s="542">
        <f>1000000*5/1417</f>
        <v>3528.5815102328866</v>
      </c>
      <c r="I38" s="13" t="str">
        <f t="shared" si="0"/>
        <v>--</v>
      </c>
      <c r="J38" s="13" t="s">
        <v>651</v>
      </c>
      <c r="K38" s="531" t="s">
        <v>672</v>
      </c>
      <c r="L38" s="534"/>
      <c r="M38" s="532"/>
      <c r="N38" s="72" t="s">
        <v>1356</v>
      </c>
      <c r="O38" s="72"/>
      <c r="P38" s="72"/>
      <c r="Q38" s="93"/>
      <c r="R38" s="93"/>
    </row>
    <row r="39" spans="1:18">
      <c r="B39" s="531" t="s">
        <v>659</v>
      </c>
      <c r="C39" s="534"/>
      <c r="D39" s="534"/>
      <c r="E39" s="534"/>
      <c r="F39" s="532"/>
      <c r="G39" s="542"/>
      <c r="H39" s="542"/>
      <c r="I39" s="13"/>
      <c r="J39" s="13"/>
      <c r="K39" s="531"/>
      <c r="L39" s="534"/>
      <c r="M39" s="532"/>
      <c r="N39" s="72"/>
      <c r="O39" s="93"/>
      <c r="P39" s="93"/>
      <c r="Q39" s="93"/>
      <c r="R39" s="93"/>
    </row>
    <row r="40" spans="1:18">
      <c r="B40" s="658"/>
      <c r="C40" s="659" t="s">
        <v>4006</v>
      </c>
      <c r="D40" s="659"/>
      <c r="E40" s="659"/>
      <c r="F40" s="660"/>
      <c r="G40" s="542">
        <v>148</v>
      </c>
      <c r="H40" s="542">
        <v>13677</v>
      </c>
      <c r="I40" s="1004" t="s">
        <v>4014</v>
      </c>
      <c r="J40" s="13" t="s">
        <v>660</v>
      </c>
      <c r="K40" s="658" t="s">
        <v>4018</v>
      </c>
      <c r="L40" s="659"/>
      <c r="M40" s="660"/>
      <c r="N40" s="72" t="s">
        <v>4019</v>
      </c>
      <c r="O40" s="93"/>
      <c r="P40" s="93"/>
      <c r="Q40" s="93"/>
      <c r="R40" s="93"/>
    </row>
    <row r="41" spans="1:18">
      <c r="B41" s="658"/>
      <c r="C41" s="659" t="s">
        <v>4007</v>
      </c>
      <c r="D41" s="659"/>
      <c r="E41" s="659"/>
      <c r="F41" s="660"/>
      <c r="G41" s="542">
        <v>466</v>
      </c>
      <c r="H41" s="542">
        <v>1782</v>
      </c>
      <c r="I41" s="1004" t="s">
        <v>4014</v>
      </c>
      <c r="J41" s="13" t="s">
        <v>660</v>
      </c>
      <c r="K41" s="658" t="s">
        <v>4018</v>
      </c>
      <c r="L41" s="659"/>
      <c r="M41" s="660"/>
      <c r="N41" s="72" t="s">
        <v>4020</v>
      </c>
      <c r="O41" s="93"/>
      <c r="P41" s="93"/>
      <c r="Q41" s="93"/>
      <c r="R41" s="93"/>
    </row>
    <row r="42" spans="1:18">
      <c r="B42" s="658" t="s">
        <v>2282</v>
      </c>
      <c r="C42" s="659"/>
      <c r="D42" s="659"/>
      <c r="E42" s="659"/>
      <c r="F42" s="660"/>
      <c r="G42" s="999">
        <f>'Venting &amp; Fugitives'!N337</f>
        <v>186.74603537227759</v>
      </c>
      <c r="H42" s="999">
        <f>'Venting &amp; Fugitives'!N336</f>
        <v>141.98625153890731</v>
      </c>
      <c r="I42" s="1003" t="s">
        <v>4014</v>
      </c>
      <c r="J42" s="409" t="s">
        <v>2286</v>
      </c>
      <c r="K42" s="658" t="s">
        <v>4060</v>
      </c>
      <c r="L42" s="659"/>
      <c r="M42" s="660"/>
      <c r="N42" s="72" t="s">
        <v>4061</v>
      </c>
      <c r="O42" s="93"/>
      <c r="P42" s="93"/>
      <c r="Q42" s="93"/>
      <c r="R42" s="93"/>
    </row>
    <row r="43" spans="1:18">
      <c r="B43" s="658" t="s">
        <v>4084</v>
      </c>
      <c r="C43" s="659"/>
      <c r="D43" s="659"/>
      <c r="E43" s="659"/>
      <c r="F43" s="660"/>
      <c r="G43" s="542"/>
      <c r="H43" s="542"/>
      <c r="I43" s="542"/>
      <c r="J43" s="542"/>
      <c r="K43" s="658"/>
      <c r="L43" s="659"/>
      <c r="M43" s="660"/>
      <c r="N43" s="72"/>
      <c r="O43" s="93"/>
      <c r="P43" s="93"/>
      <c r="Q43" s="93"/>
      <c r="R43" s="93"/>
    </row>
    <row r="44" spans="1:18">
      <c r="B44" s="658"/>
      <c r="C44" s="659" t="s">
        <v>4086</v>
      </c>
      <c r="D44" s="659"/>
      <c r="E44" s="659"/>
      <c r="F44" s="660"/>
      <c r="G44" s="542">
        <f>'Venting &amp; Fugitives'!N352*365</f>
        <v>20274.905964993031</v>
      </c>
      <c r="H44" s="542">
        <f>'Venting &amp; Fugitives'!N346*365</f>
        <v>364668.34292401362</v>
      </c>
      <c r="I44" s="542" t="s">
        <v>4014</v>
      </c>
      <c r="J44" s="542" t="s">
        <v>662</v>
      </c>
      <c r="K44" s="658" t="s">
        <v>4060</v>
      </c>
      <c r="L44" s="659"/>
      <c r="M44" s="660"/>
      <c r="N44" s="72" t="s">
        <v>4087</v>
      </c>
      <c r="O44" s="93"/>
      <c r="P44" s="93"/>
      <c r="Q44" s="93"/>
      <c r="R44" s="93"/>
    </row>
    <row r="45" spans="1:18">
      <c r="B45" s="658"/>
      <c r="C45" s="659" t="s">
        <v>4085</v>
      </c>
      <c r="D45" s="659"/>
      <c r="E45" s="659"/>
      <c r="F45" s="660"/>
      <c r="G45" s="542">
        <f>'Venting &amp; Fugitives'!N353*365</f>
        <v>129373.20949090792</v>
      </c>
      <c r="H45" s="542">
        <f>'Venting &amp; Fugitives'!N347*365</f>
        <v>2314241.4070177786</v>
      </c>
      <c r="I45" s="1001" t="s">
        <v>4014</v>
      </c>
      <c r="J45" s="542" t="s">
        <v>662</v>
      </c>
      <c r="K45" s="658" t="s">
        <v>4060</v>
      </c>
      <c r="L45" s="659"/>
      <c r="M45" s="660"/>
      <c r="N45" s="72" t="s">
        <v>4087</v>
      </c>
      <c r="O45" s="93"/>
      <c r="P45" s="93"/>
      <c r="Q45" s="93"/>
      <c r="R45" s="93"/>
    </row>
    <row r="46" spans="1:18">
      <c r="B46" s="658" t="s">
        <v>4111</v>
      </c>
      <c r="C46" s="659"/>
      <c r="D46" s="659"/>
      <c r="E46" s="659"/>
      <c r="F46" s="660"/>
      <c r="G46" s="542">
        <f>'Venting &amp; Fugitives'!M361*365</f>
        <v>97184.382592199923</v>
      </c>
      <c r="H46" s="542">
        <f>'Venting &amp; Fugitives'!M360*365</f>
        <v>1739187.4816376034</v>
      </c>
      <c r="I46" s="1001" t="s">
        <v>4014</v>
      </c>
      <c r="J46" s="542" t="s">
        <v>662</v>
      </c>
      <c r="K46" s="658" t="s">
        <v>4060</v>
      </c>
      <c r="L46" s="659"/>
      <c r="M46" s="660"/>
      <c r="N46" s="72" t="s">
        <v>4087</v>
      </c>
      <c r="O46" s="93"/>
      <c r="P46" s="93"/>
      <c r="Q46" s="93"/>
      <c r="R46" s="93"/>
    </row>
    <row r="47" spans="1:18">
      <c r="B47" s="72" t="s">
        <v>680</v>
      </c>
      <c r="C47" s="93"/>
      <c r="D47" s="93"/>
      <c r="E47" s="93"/>
      <c r="F47" s="93"/>
      <c r="G47" s="93"/>
      <c r="H47" s="93"/>
      <c r="I47" s="93"/>
      <c r="J47" s="93"/>
      <c r="K47" s="93"/>
      <c r="L47" s="93"/>
      <c r="M47" s="93"/>
      <c r="N47" s="93"/>
      <c r="O47" s="93"/>
      <c r="P47" s="93"/>
      <c r="Q47" s="93"/>
      <c r="R47" s="93"/>
    </row>
    <row r="48" spans="1:18" ht="15.95" customHeight="1">
      <c r="A48" s="115"/>
      <c r="B48" s="72" t="s">
        <v>716</v>
      </c>
    </row>
    <row r="49" spans="2:15">
      <c r="B49" s="72" t="s">
        <v>685</v>
      </c>
    </row>
    <row r="50" spans="2:15">
      <c r="B50" s="72" t="s">
        <v>667</v>
      </c>
    </row>
    <row r="52" spans="2:15">
      <c r="O52" s="458"/>
    </row>
    <row r="53" spans="2:15">
      <c r="B53" s="421" t="s">
        <v>1305</v>
      </c>
    </row>
    <row r="54" spans="2:15">
      <c r="B54" s="543" t="s">
        <v>684</v>
      </c>
      <c r="C54" s="544"/>
      <c r="D54" s="544"/>
      <c r="E54" s="544"/>
      <c r="F54" s="545"/>
      <c r="G54" s="106" t="s">
        <v>627</v>
      </c>
      <c r="H54" s="106" t="s">
        <v>625</v>
      </c>
      <c r="I54" s="106" t="s">
        <v>624</v>
      </c>
      <c r="J54" s="543" t="s">
        <v>239</v>
      </c>
      <c r="K54" s="1092" t="s">
        <v>171</v>
      </c>
      <c r="L54" s="1093"/>
      <c r="M54" s="1093"/>
      <c r="N54" s="1094"/>
      <c r="O54" s="424" t="s">
        <v>669</v>
      </c>
    </row>
    <row r="55" spans="2:15" ht="19.5">
      <c r="B55" s="531" t="s">
        <v>686</v>
      </c>
      <c r="C55" s="534"/>
      <c r="D55" s="534"/>
      <c r="E55" s="534"/>
      <c r="F55" s="532"/>
      <c r="G55" s="13"/>
      <c r="H55" s="13"/>
      <c r="I55" s="13"/>
      <c r="J55" s="531"/>
      <c r="K55" s="531"/>
      <c r="L55" s="534"/>
      <c r="M55" s="534"/>
      <c r="N55" s="546"/>
      <c r="O55" s="547"/>
    </row>
    <row r="56" spans="2:15">
      <c r="B56" s="531"/>
      <c r="C56" s="534" t="s">
        <v>655</v>
      </c>
      <c r="D56" s="534"/>
      <c r="E56" s="534"/>
      <c r="F56" s="532"/>
      <c r="G56" s="542">
        <f>0/47</f>
        <v>0</v>
      </c>
      <c r="H56" s="542">
        <f>0/47</f>
        <v>0</v>
      </c>
      <c r="I56" s="542" t="str">
        <f>"--"</f>
        <v>--</v>
      </c>
      <c r="J56" s="531" t="s">
        <v>662</v>
      </c>
      <c r="K56" s="531" t="s">
        <v>687</v>
      </c>
      <c r="L56" s="534"/>
      <c r="M56" s="534"/>
      <c r="N56" s="546"/>
      <c r="O56" s="72" t="s">
        <v>689</v>
      </c>
    </row>
    <row r="57" spans="2:15">
      <c r="B57" s="531"/>
      <c r="C57" s="534" t="s">
        <v>656</v>
      </c>
      <c r="D57" s="534"/>
      <c r="E57" s="534"/>
      <c r="F57" s="532"/>
      <c r="G57" s="542">
        <f>1000000*66/36619</f>
        <v>1802.3430459597478</v>
      </c>
      <c r="H57" s="542">
        <f>1000000*155/36619</f>
        <v>4232.7753352084983</v>
      </c>
      <c r="I57" s="542" t="str">
        <f t="shared" ref="I57:I71" si="1">"--"</f>
        <v>--</v>
      </c>
      <c r="J57" s="531" t="s">
        <v>662</v>
      </c>
      <c r="K57" s="531" t="s">
        <v>687</v>
      </c>
      <c r="L57" s="534"/>
      <c r="M57" s="534"/>
      <c r="N57" s="546"/>
      <c r="O57" s="72" t="s">
        <v>690</v>
      </c>
    </row>
    <row r="58" spans="2:15">
      <c r="B58" s="531"/>
      <c r="C58" s="534" t="s">
        <v>657</v>
      </c>
      <c r="D58" s="534"/>
      <c r="E58" s="534"/>
      <c r="F58" s="532"/>
      <c r="G58" s="542">
        <f>1000000*459/14261</f>
        <v>32185.681228525347</v>
      </c>
      <c r="H58" s="542">
        <f>1000000*1415/14261</f>
        <v>99221.653460486647</v>
      </c>
      <c r="I58" s="542" t="str">
        <f>"--"</f>
        <v>--</v>
      </c>
      <c r="J58" s="531" t="s">
        <v>662</v>
      </c>
      <c r="K58" s="531" t="s">
        <v>687</v>
      </c>
      <c r="L58" s="534"/>
      <c r="M58" s="534"/>
      <c r="N58" s="546"/>
      <c r="O58" s="72" t="s">
        <v>691</v>
      </c>
    </row>
    <row r="59" spans="2:15">
      <c r="B59" s="531"/>
      <c r="C59" s="534" t="s">
        <v>658</v>
      </c>
      <c r="D59" s="534"/>
      <c r="E59" s="534"/>
      <c r="F59" s="532"/>
      <c r="G59" s="542">
        <f>1000000*19/1323</f>
        <v>14361.30007558579</v>
      </c>
      <c r="H59" s="542">
        <f>1000000*139/1323</f>
        <v>105064.24792139078</v>
      </c>
      <c r="I59" s="542" t="str">
        <f t="shared" si="1"/>
        <v>--</v>
      </c>
      <c r="J59" s="531" t="s">
        <v>662</v>
      </c>
      <c r="K59" s="531" t="s">
        <v>687</v>
      </c>
      <c r="L59" s="534"/>
      <c r="M59" s="534"/>
      <c r="N59" s="546"/>
      <c r="O59" s="72" t="s">
        <v>692</v>
      </c>
    </row>
    <row r="60" spans="2:15" ht="19.5">
      <c r="B60" s="531" t="s">
        <v>693</v>
      </c>
      <c r="C60" s="534"/>
      <c r="D60" s="534"/>
      <c r="E60" s="534"/>
      <c r="F60" s="532"/>
      <c r="G60" s="542"/>
      <c r="H60" s="542"/>
      <c r="I60" s="542"/>
      <c r="J60" s="531"/>
      <c r="K60" s="531"/>
      <c r="L60" s="534"/>
      <c r="M60" s="534"/>
      <c r="N60" s="546"/>
      <c r="O60" s="547"/>
    </row>
    <row r="61" spans="2:15">
      <c r="B61" s="531"/>
      <c r="C61" s="534" t="s">
        <v>655</v>
      </c>
      <c r="D61" s="534"/>
      <c r="E61" s="534"/>
      <c r="F61" s="532"/>
      <c r="G61" s="542" t="str">
        <f>"--"</f>
        <v>--</v>
      </c>
      <c r="H61" s="542">
        <f>1000000*3/22</f>
        <v>136363.63636363635</v>
      </c>
      <c r="I61" s="542" t="str">
        <f t="shared" si="1"/>
        <v>--</v>
      </c>
      <c r="J61" s="531" t="s">
        <v>662</v>
      </c>
      <c r="K61" s="531" t="s">
        <v>688</v>
      </c>
      <c r="L61" s="534"/>
      <c r="M61" s="534"/>
      <c r="N61" s="546"/>
      <c r="O61" s="72" t="s">
        <v>689</v>
      </c>
    </row>
    <row r="62" spans="2:15">
      <c r="B62" s="531"/>
      <c r="C62" s="534" t="s">
        <v>656</v>
      </c>
      <c r="D62" s="534"/>
      <c r="E62" s="534"/>
      <c r="F62" s="532"/>
      <c r="G62" s="542" t="str">
        <f t="shared" ref="G62:G64" si="2">"--"</f>
        <v>--</v>
      </c>
      <c r="H62" s="542">
        <f>1000000*933/7461</f>
        <v>125050.26135906715</v>
      </c>
      <c r="I62" s="542" t="str">
        <f t="shared" si="1"/>
        <v>--</v>
      </c>
      <c r="J62" s="531" t="s">
        <v>662</v>
      </c>
      <c r="K62" s="531" t="s">
        <v>688</v>
      </c>
      <c r="L62" s="534"/>
      <c r="M62" s="534"/>
      <c r="N62" s="546"/>
      <c r="O62" s="72" t="s">
        <v>690</v>
      </c>
    </row>
    <row r="63" spans="2:15">
      <c r="B63" s="531"/>
      <c r="C63" s="534" t="s">
        <v>657</v>
      </c>
      <c r="D63" s="534"/>
      <c r="E63" s="534"/>
      <c r="F63" s="532"/>
      <c r="G63" s="542" t="str">
        <f t="shared" si="2"/>
        <v>--</v>
      </c>
      <c r="H63" s="542">
        <f>1000000*850/4998</f>
        <v>170068.02721088435</v>
      </c>
      <c r="I63" s="542" t="str">
        <f t="shared" si="1"/>
        <v>--</v>
      </c>
      <c r="J63" s="531" t="s">
        <v>662</v>
      </c>
      <c r="K63" s="531" t="s">
        <v>688</v>
      </c>
      <c r="L63" s="534"/>
      <c r="M63" s="534"/>
      <c r="N63" s="546"/>
      <c r="O63" s="72" t="s">
        <v>691</v>
      </c>
    </row>
    <row r="64" spans="2:15">
      <c r="B64" s="531"/>
      <c r="C64" s="534" t="s">
        <v>658</v>
      </c>
      <c r="D64" s="534"/>
      <c r="E64" s="534"/>
      <c r="F64" s="532"/>
      <c r="G64" s="542" t="str">
        <f t="shared" si="2"/>
        <v>--</v>
      </c>
      <c r="H64" s="542">
        <f>1000000*369/2168</f>
        <v>170202.9520295203</v>
      </c>
      <c r="I64" s="542" t="str">
        <f t="shared" si="1"/>
        <v>--</v>
      </c>
      <c r="J64" s="531" t="s">
        <v>662</v>
      </c>
      <c r="K64" s="531" t="s">
        <v>688</v>
      </c>
      <c r="L64" s="534"/>
      <c r="M64" s="534"/>
      <c r="N64" s="546"/>
      <c r="O64" s="72" t="s">
        <v>692</v>
      </c>
    </row>
    <row r="65" spans="2:15">
      <c r="B65" s="531" t="s">
        <v>659</v>
      </c>
      <c r="C65" s="534"/>
      <c r="D65" s="534"/>
      <c r="E65" s="534"/>
      <c r="F65" s="532"/>
      <c r="G65" s="542"/>
      <c r="H65" s="542"/>
      <c r="I65" s="542"/>
      <c r="J65" s="531"/>
      <c r="K65" s="531"/>
      <c r="L65" s="534"/>
      <c r="M65" s="534"/>
      <c r="N65" s="546"/>
      <c r="O65" s="72"/>
    </row>
    <row r="66" spans="2:15">
      <c r="B66" s="658"/>
      <c r="C66" s="659" t="s">
        <v>4006</v>
      </c>
      <c r="D66" s="659"/>
      <c r="E66" s="659"/>
      <c r="F66" s="660"/>
      <c r="G66" s="542">
        <v>172</v>
      </c>
      <c r="H66" s="542">
        <v>3925</v>
      </c>
      <c r="I66" s="1001" t="s">
        <v>4014</v>
      </c>
      <c r="J66" s="658" t="s">
        <v>660</v>
      </c>
      <c r="K66" s="658" t="s">
        <v>4018</v>
      </c>
      <c r="L66" s="659"/>
      <c r="M66" s="659"/>
      <c r="N66" s="546"/>
      <c r="O66" s="72" t="s">
        <v>4015</v>
      </c>
    </row>
    <row r="67" spans="2:15">
      <c r="B67" s="658"/>
      <c r="C67" s="659" t="s">
        <v>4007</v>
      </c>
      <c r="D67" s="659"/>
      <c r="E67" s="659"/>
      <c r="F67" s="660"/>
      <c r="G67" s="542">
        <v>25863</v>
      </c>
      <c r="H67" s="542">
        <v>748</v>
      </c>
      <c r="I67" s="1001" t="s">
        <v>4014</v>
      </c>
      <c r="J67" s="658" t="s">
        <v>660</v>
      </c>
      <c r="K67" s="658" t="s">
        <v>4018</v>
      </c>
      <c r="L67" s="659"/>
      <c r="M67" s="659"/>
      <c r="N67" s="546"/>
      <c r="O67" s="72" t="s">
        <v>4016</v>
      </c>
    </row>
    <row r="68" spans="2:15">
      <c r="B68" s="548" t="s">
        <v>694</v>
      </c>
      <c r="C68" s="549"/>
      <c r="D68" s="549"/>
      <c r="E68" s="549"/>
      <c r="F68" s="550"/>
      <c r="G68" s="551">
        <v>0</v>
      </c>
      <c r="H68" s="551">
        <f>IF('Surface Processing'!M58=1,965*'Input data'!D84,0)</f>
        <v>18540.829869424295</v>
      </c>
      <c r="I68" s="552" t="str">
        <f t="shared" si="1"/>
        <v>--</v>
      </c>
      <c r="J68" s="548" t="s">
        <v>660</v>
      </c>
      <c r="K68" s="548" t="s">
        <v>2126</v>
      </c>
      <c r="L68" s="549"/>
      <c r="M68" s="549"/>
      <c r="N68" s="553"/>
      <c r="O68" s="72" t="s">
        <v>1153</v>
      </c>
    </row>
    <row r="69" spans="2:15">
      <c r="B69" s="531" t="s">
        <v>695</v>
      </c>
      <c r="C69" s="534"/>
      <c r="D69" s="534"/>
      <c r="E69" s="534"/>
      <c r="F69" s="532"/>
      <c r="G69" s="542">
        <f>1000000*327/2295</f>
        <v>142483.66013071896</v>
      </c>
      <c r="H69" s="542">
        <f>1000000*867/2295</f>
        <v>377777.77777777775</v>
      </c>
      <c r="I69" s="542" t="str">
        <f t="shared" si="1"/>
        <v>--</v>
      </c>
      <c r="J69" s="531" t="s">
        <v>683</v>
      </c>
      <c r="K69" s="531" t="s">
        <v>696</v>
      </c>
      <c r="L69" s="534"/>
      <c r="M69" s="534"/>
      <c r="N69" s="546"/>
      <c r="O69" s="72" t="s">
        <v>698</v>
      </c>
    </row>
    <row r="70" spans="2:15">
      <c r="B70" s="531" t="s">
        <v>713</v>
      </c>
      <c r="C70" s="534"/>
      <c r="D70" s="534"/>
      <c r="E70" s="534"/>
      <c r="F70" s="532"/>
      <c r="G70" s="542">
        <f>1000000*11/4618</f>
        <v>2381.9835426591599</v>
      </c>
      <c r="H70" s="542">
        <f>1000000*170/4618</f>
        <v>36812.472932005199</v>
      </c>
      <c r="I70" s="542" t="str">
        <f t="shared" si="1"/>
        <v>--</v>
      </c>
      <c r="J70" s="531" t="s">
        <v>662</v>
      </c>
      <c r="K70" s="531" t="s">
        <v>697</v>
      </c>
      <c r="L70" s="534"/>
      <c r="M70" s="534"/>
      <c r="N70" s="546"/>
      <c r="O70" s="72" t="s">
        <v>717</v>
      </c>
    </row>
    <row r="71" spans="2:15">
      <c r="B71" s="531" t="s">
        <v>699</v>
      </c>
      <c r="C71" s="534"/>
      <c r="D71" s="534"/>
      <c r="E71" s="534"/>
      <c r="F71" s="532"/>
      <c r="G71" s="542" t="str">
        <f>"--"</f>
        <v>--</v>
      </c>
      <c r="H71" s="542">
        <f>1000000*264/250</f>
        <v>1056000</v>
      </c>
      <c r="I71" s="542" t="str">
        <f t="shared" si="1"/>
        <v>--</v>
      </c>
      <c r="J71" s="531" t="s">
        <v>662</v>
      </c>
      <c r="K71" s="531" t="s">
        <v>700</v>
      </c>
      <c r="L71" s="534"/>
      <c r="M71" s="534"/>
      <c r="N71" s="546"/>
      <c r="O71" s="72" t="s">
        <v>701</v>
      </c>
    </row>
    <row r="72" spans="2:15">
      <c r="B72" s="531" t="s">
        <v>710</v>
      </c>
      <c r="C72" s="534"/>
      <c r="D72" s="534"/>
      <c r="E72" s="534"/>
      <c r="F72" s="532"/>
      <c r="G72" s="542"/>
      <c r="H72" s="542"/>
      <c r="I72" s="542"/>
      <c r="J72" s="531"/>
      <c r="K72" s="531"/>
      <c r="L72" s="534"/>
      <c r="M72" s="534"/>
      <c r="N72" s="546"/>
    </row>
    <row r="73" spans="2:15">
      <c r="B73" s="531"/>
      <c r="C73" s="534" t="s">
        <v>707</v>
      </c>
      <c r="D73" s="534"/>
      <c r="E73" s="534"/>
      <c r="F73" s="532"/>
      <c r="G73" s="542"/>
      <c r="H73" s="542"/>
      <c r="I73" s="542"/>
      <c r="J73" s="531"/>
      <c r="K73" s="531"/>
      <c r="L73" s="534"/>
      <c r="M73" s="534"/>
      <c r="N73" s="546"/>
      <c r="O73" s="554"/>
    </row>
    <row r="74" spans="2:15">
      <c r="B74" s="531"/>
      <c r="C74" s="534"/>
      <c r="D74" s="534" t="s">
        <v>702</v>
      </c>
      <c r="E74" s="534"/>
      <c r="F74" s="532"/>
      <c r="G74" s="542" t="str">
        <f>"--"</f>
        <v>--</v>
      </c>
      <c r="H74" s="542">
        <f>0.687*1.3*10^-3*'Input data'!$E$24</f>
        <v>147.86272116115504</v>
      </c>
      <c r="I74" s="542">
        <f>0.171*1.3*10^-3*'Input data'!$E$24</f>
        <v>36.804258105615006</v>
      </c>
      <c r="J74" s="531" t="s">
        <v>662</v>
      </c>
      <c r="K74" s="531" t="s">
        <v>718</v>
      </c>
      <c r="L74" s="534"/>
      <c r="M74" s="534"/>
      <c r="N74" s="555"/>
    </row>
    <row r="75" spans="2:15">
      <c r="B75" s="531"/>
      <c r="C75" s="534"/>
      <c r="D75" s="534" t="s">
        <v>704</v>
      </c>
      <c r="E75" s="534"/>
      <c r="F75" s="532"/>
      <c r="G75" s="542" t="str">
        <f t="shared" ref="G75:G121" si="3">"--"</f>
        <v>--</v>
      </c>
      <c r="H75" s="542">
        <f>0.942*4.4*10^-4*'Input data'!$E$24</f>
        <v>68.621812413924005</v>
      </c>
      <c r="I75" s="542">
        <f>0.03*4.4*10^-4*'Input data'!$E$24</f>
        <v>2.1854080386599999</v>
      </c>
      <c r="J75" s="531" t="s">
        <v>662</v>
      </c>
      <c r="K75" s="531" t="s">
        <v>718</v>
      </c>
      <c r="L75" s="534"/>
      <c r="M75" s="534"/>
      <c r="N75" s="546"/>
    </row>
    <row r="76" spans="2:15">
      <c r="B76" s="531"/>
      <c r="C76" s="534"/>
      <c r="D76" s="534" t="s">
        <v>703</v>
      </c>
      <c r="E76" s="534"/>
      <c r="F76" s="532"/>
      <c r="G76" s="542" t="str">
        <f t="shared" si="3"/>
        <v>--</v>
      </c>
      <c r="H76" s="542">
        <f>0.612*1*10^-3*'Input data'!$E$24</f>
        <v>101.3234636106</v>
      </c>
      <c r="I76" s="542">
        <f>0.296*1*10^-3*'Input data'!$E$24</f>
        <v>49.006119654799996</v>
      </c>
      <c r="J76" s="531" t="s">
        <v>662</v>
      </c>
      <c r="K76" s="531" t="s">
        <v>718</v>
      </c>
      <c r="L76" s="534"/>
      <c r="M76" s="534"/>
      <c r="N76" s="546"/>
    </row>
    <row r="77" spans="2:15">
      <c r="B77" s="531"/>
      <c r="C77" s="534" t="s">
        <v>705</v>
      </c>
      <c r="D77" s="534"/>
      <c r="E77" s="534"/>
      <c r="F77" s="532"/>
      <c r="G77" s="542"/>
      <c r="H77" s="542"/>
      <c r="I77" s="542"/>
      <c r="J77" s="531"/>
      <c r="K77" s="531"/>
      <c r="L77" s="534"/>
      <c r="M77" s="534"/>
      <c r="N77" s="546"/>
    </row>
    <row r="78" spans="2:15">
      <c r="B78" s="531"/>
      <c r="C78" s="534"/>
      <c r="D78" s="534" t="s">
        <v>702</v>
      </c>
      <c r="E78" s="534"/>
      <c r="F78" s="532"/>
      <c r="G78" s="542" t="str">
        <f t="shared" si="3"/>
        <v>--</v>
      </c>
      <c r="H78" s="542">
        <f>0.687*5.3*10^-4*'Input data'!$E$24</f>
        <v>60.282494011855512</v>
      </c>
      <c r="I78" s="542">
        <f>0.171*5.3*10^-4*'Input data'!$E$24</f>
        <v>15.0048129199815</v>
      </c>
      <c r="J78" s="531" t="s">
        <v>662</v>
      </c>
      <c r="K78" s="531" t="s">
        <v>718</v>
      </c>
      <c r="L78" s="534"/>
      <c r="M78" s="534"/>
      <c r="N78" s="546"/>
    </row>
    <row r="79" spans="2:15">
      <c r="B79" s="531"/>
      <c r="C79" s="534"/>
      <c r="D79" s="534" t="s">
        <v>704</v>
      </c>
      <c r="E79" s="534"/>
      <c r="F79" s="532"/>
      <c r="G79" s="542" t="str">
        <f t="shared" si="3"/>
        <v>--</v>
      </c>
      <c r="H79" s="542">
        <f>0.942*4*10^-4*'Input data'!$E$24</f>
        <v>62.383465830840002</v>
      </c>
      <c r="I79" s="542">
        <f>0.03*4*10^-4*'Input data'!$E$24</f>
        <v>1.9867345806000001</v>
      </c>
      <c r="J79" s="531" t="s">
        <v>662</v>
      </c>
      <c r="K79" s="531" t="s">
        <v>718</v>
      </c>
      <c r="L79" s="534"/>
      <c r="M79" s="534"/>
      <c r="N79" s="546"/>
    </row>
    <row r="80" spans="2:15">
      <c r="B80" s="531"/>
      <c r="C80" s="534"/>
      <c r="D80" s="534" t="s">
        <v>703</v>
      </c>
      <c r="E80" s="534"/>
      <c r="F80" s="532"/>
      <c r="G80" s="542" t="str">
        <f t="shared" si="3"/>
        <v>--</v>
      </c>
      <c r="H80" s="542">
        <f>0.612*5.1*10^-4*'Input data'!$E$24</f>
        <v>51.674966441405999</v>
      </c>
      <c r="I80" s="542">
        <f>0.296*5.1*10^-4*'Input data'!$E$24</f>
        <v>24.993121023947996</v>
      </c>
      <c r="J80" s="531" t="s">
        <v>662</v>
      </c>
      <c r="K80" s="531" t="s">
        <v>718</v>
      </c>
      <c r="L80" s="534"/>
      <c r="M80" s="534"/>
      <c r="N80" s="546"/>
    </row>
    <row r="81" spans="2:14">
      <c r="B81" s="531"/>
      <c r="C81" s="534" t="s">
        <v>706</v>
      </c>
      <c r="D81" s="534"/>
      <c r="E81" s="534"/>
      <c r="F81" s="532"/>
      <c r="G81" s="542"/>
      <c r="H81" s="542"/>
      <c r="I81" s="542"/>
      <c r="J81" s="531"/>
      <c r="K81" s="531"/>
      <c r="L81" s="534"/>
      <c r="M81" s="534"/>
      <c r="N81" s="546"/>
    </row>
    <row r="82" spans="2:14">
      <c r="B82" s="531"/>
      <c r="C82" s="534"/>
      <c r="D82" s="534" t="s">
        <v>702</v>
      </c>
      <c r="E82" s="534"/>
      <c r="F82" s="532"/>
      <c r="G82" s="542" t="str">
        <f t="shared" si="3"/>
        <v>--</v>
      </c>
      <c r="H82" s="542">
        <f>0.687*3*10^-4*'Input data'!$E$24</f>
        <v>34.122166421804998</v>
      </c>
      <c r="I82" s="542">
        <f>0.171*3*10^-4*'Input data'!$E$24</f>
        <v>8.4932903320650013</v>
      </c>
      <c r="J82" s="531" t="s">
        <v>662</v>
      </c>
      <c r="K82" s="531" t="s">
        <v>718</v>
      </c>
      <c r="L82" s="534"/>
      <c r="M82" s="534"/>
      <c r="N82" s="546"/>
    </row>
    <row r="83" spans="2:14">
      <c r="B83" s="531"/>
      <c r="C83" s="534"/>
      <c r="D83" s="534" t="s">
        <v>704</v>
      </c>
      <c r="E83" s="534"/>
      <c r="F83" s="532"/>
      <c r="G83" s="542" t="str">
        <f t="shared" si="3"/>
        <v>--</v>
      </c>
      <c r="H83" s="542">
        <f>0.942*2.1*10^-5*'Input data'!$E$24</f>
        <v>3.2751319561191004</v>
      </c>
      <c r="I83" s="542">
        <f>0.03*2.1*10^-5*'Input data'!$E$24</f>
        <v>0.10430356548149999</v>
      </c>
      <c r="J83" s="531" t="s">
        <v>662</v>
      </c>
      <c r="K83" s="531" t="s">
        <v>718</v>
      </c>
      <c r="L83" s="534"/>
      <c r="M83" s="534"/>
      <c r="N83" s="546"/>
    </row>
    <row r="84" spans="2:14">
      <c r="B84" s="531"/>
      <c r="C84" s="534"/>
      <c r="D84" s="534" t="s">
        <v>703</v>
      </c>
      <c r="E84" s="534"/>
      <c r="F84" s="532"/>
      <c r="G84" s="542" t="str">
        <f t="shared" si="3"/>
        <v>--</v>
      </c>
      <c r="H84" s="542">
        <f>0.612*1.3*10^-4*'Input data'!$E$24</f>
        <v>13.172050269378001</v>
      </c>
      <c r="I84" s="542">
        <f>0.296*1.3*10^-4*'Input data'!$E$24</f>
        <v>6.3707955551239994</v>
      </c>
      <c r="J84" s="531" t="s">
        <v>662</v>
      </c>
      <c r="K84" s="531" t="s">
        <v>718</v>
      </c>
      <c r="L84" s="534"/>
      <c r="M84" s="534"/>
      <c r="N84" s="546"/>
    </row>
    <row r="85" spans="2:14">
      <c r="B85" s="531"/>
      <c r="C85" s="534" t="s">
        <v>708</v>
      </c>
      <c r="D85" s="534"/>
      <c r="E85" s="534"/>
      <c r="F85" s="532"/>
      <c r="G85" s="542"/>
      <c r="H85" s="542"/>
      <c r="I85" s="542"/>
      <c r="J85" s="531"/>
      <c r="K85" s="531"/>
      <c r="L85" s="534"/>
      <c r="M85" s="534"/>
      <c r="N85" s="546"/>
    </row>
    <row r="86" spans="2:14">
      <c r="B86" s="531"/>
      <c r="C86" s="534"/>
      <c r="D86" s="534" t="s">
        <v>702</v>
      </c>
      <c r="E86" s="534"/>
      <c r="F86" s="532"/>
      <c r="G86" s="542" t="str">
        <f t="shared" si="3"/>
        <v>--</v>
      </c>
      <c r="H86" s="542">
        <f>0.687*7.9*10^-4*'Input data'!$E$24</f>
        <v>89.855038244086515</v>
      </c>
      <c r="I86" s="542">
        <f>0.171*7.9*10^-4*'Input data'!$E$24</f>
        <v>22.365664541104508</v>
      </c>
      <c r="J86" s="531" t="s">
        <v>662</v>
      </c>
      <c r="K86" s="531" t="s">
        <v>718</v>
      </c>
      <c r="L86" s="534"/>
      <c r="M86" s="534"/>
      <c r="N86" s="546"/>
    </row>
    <row r="87" spans="2:14">
      <c r="B87" s="531"/>
      <c r="C87" s="534"/>
      <c r="D87" s="534" t="s">
        <v>704</v>
      </c>
      <c r="E87" s="534"/>
      <c r="F87" s="532"/>
      <c r="G87" s="542" t="str">
        <f t="shared" si="3"/>
        <v>--</v>
      </c>
      <c r="H87" s="542">
        <f>0.942*3.8*10^-4*'Input data'!$E$24</f>
        <v>59.264292539297998</v>
      </c>
      <c r="I87" s="542">
        <f>0.03*3.8*10^-4*'Input data'!$E$24</f>
        <v>1.8873978515699998</v>
      </c>
      <c r="J87" s="531" t="s">
        <v>662</v>
      </c>
      <c r="K87" s="531" t="s">
        <v>718</v>
      </c>
      <c r="L87" s="534"/>
      <c r="M87" s="534"/>
      <c r="N87" s="546"/>
    </row>
    <row r="88" spans="2:14">
      <c r="B88" s="531"/>
      <c r="C88" s="534"/>
      <c r="D88" s="534" t="s">
        <v>703</v>
      </c>
      <c r="E88" s="534"/>
      <c r="F88" s="532"/>
      <c r="G88" s="542" t="str">
        <f t="shared" si="3"/>
        <v>--</v>
      </c>
      <c r="H88" s="542">
        <f>0.612*7.4*10^-4*'Input data'!$E$24</f>
        <v>74.979363071844006</v>
      </c>
      <c r="I88" s="542">
        <f>0.296*7.4*10^-4*'Input data'!$E$24</f>
        <v>36.264528544552</v>
      </c>
      <c r="J88" s="531" t="s">
        <v>662</v>
      </c>
      <c r="K88" s="531" t="s">
        <v>718</v>
      </c>
      <c r="L88" s="534"/>
      <c r="M88" s="534"/>
      <c r="N88" s="546"/>
    </row>
    <row r="89" spans="2:14">
      <c r="B89" s="531"/>
      <c r="C89" s="534" t="s">
        <v>709</v>
      </c>
      <c r="D89" s="534"/>
      <c r="E89" s="534"/>
      <c r="F89" s="532"/>
      <c r="G89" s="542"/>
      <c r="H89" s="542"/>
      <c r="I89" s="542"/>
      <c r="J89" s="531"/>
      <c r="K89" s="531"/>
      <c r="L89" s="534"/>
      <c r="M89" s="534"/>
      <c r="N89" s="546"/>
    </row>
    <row r="90" spans="2:14">
      <c r="B90" s="531"/>
      <c r="C90" s="534"/>
      <c r="D90" s="534" t="s">
        <v>702</v>
      </c>
      <c r="E90" s="534"/>
      <c r="F90" s="532"/>
      <c r="G90" s="542" t="str">
        <f t="shared" si="3"/>
        <v>--</v>
      </c>
      <c r="H90" s="542">
        <f>0.687*1.9*10^-2*'Input data'!$E$24</f>
        <v>2161.0705400476504</v>
      </c>
      <c r="I90" s="542">
        <f>0.171*1.9*10^-2*'Input data'!$E$24</f>
        <v>537.90838769745005</v>
      </c>
      <c r="J90" s="531" t="s">
        <v>662</v>
      </c>
      <c r="K90" s="531" t="s">
        <v>718</v>
      </c>
      <c r="L90" s="534"/>
      <c r="M90" s="534"/>
      <c r="N90" s="546"/>
    </row>
    <row r="91" spans="2:14">
      <c r="B91" s="531"/>
      <c r="C91" s="534"/>
      <c r="D91" s="534" t="s">
        <v>704</v>
      </c>
      <c r="E91" s="534"/>
      <c r="F91" s="532"/>
      <c r="G91" s="542" t="str">
        <f t="shared" si="3"/>
        <v>--</v>
      </c>
      <c r="H91" s="542" t="str">
        <f>"--"</f>
        <v>--</v>
      </c>
      <c r="I91" s="542" t="str">
        <f>"--"</f>
        <v>--</v>
      </c>
      <c r="J91" s="531" t="s">
        <v>662</v>
      </c>
      <c r="K91" s="531" t="s">
        <v>718</v>
      </c>
      <c r="L91" s="534"/>
      <c r="M91" s="534"/>
      <c r="N91" s="546"/>
    </row>
    <row r="92" spans="2:14">
      <c r="B92" s="531"/>
      <c r="C92" s="534"/>
      <c r="D92" s="534" t="s">
        <v>703</v>
      </c>
      <c r="E92" s="534"/>
      <c r="F92" s="532"/>
      <c r="G92" s="542" t="str">
        <f t="shared" si="3"/>
        <v>--</v>
      </c>
      <c r="H92" s="542">
        <f>0.612*2.7*10^-2*'Input data'!$E$24</f>
        <v>2735.7335174862001</v>
      </c>
      <c r="I92" s="542">
        <f>0.296*2.7*10^-2*'Input data'!$E$24</f>
        <v>1323.1652306796002</v>
      </c>
      <c r="J92" s="531" t="s">
        <v>662</v>
      </c>
      <c r="K92" s="531" t="s">
        <v>718</v>
      </c>
      <c r="L92" s="534"/>
      <c r="M92" s="534"/>
      <c r="N92" s="546"/>
    </row>
    <row r="93" spans="2:14">
      <c r="B93" s="531"/>
      <c r="C93" s="534" t="s">
        <v>711</v>
      </c>
      <c r="D93" s="534"/>
      <c r="E93" s="534"/>
      <c r="F93" s="532"/>
      <c r="G93" s="542"/>
      <c r="H93" s="542"/>
      <c r="I93" s="542"/>
      <c r="J93" s="531"/>
      <c r="K93" s="531"/>
      <c r="L93" s="534"/>
      <c r="M93" s="534"/>
      <c r="N93" s="546"/>
    </row>
    <row r="94" spans="2:14">
      <c r="B94" s="531"/>
      <c r="C94" s="534"/>
      <c r="D94" s="534" t="s">
        <v>702</v>
      </c>
      <c r="E94" s="534"/>
      <c r="F94" s="532"/>
      <c r="G94" s="542" t="str">
        <f t="shared" si="3"/>
        <v>--</v>
      </c>
      <c r="H94" s="542">
        <f>0.687*6.3*10^-3*'Input data'!$E$24</f>
        <v>716.56549485790504</v>
      </c>
      <c r="I94" s="542">
        <f>0.171*6.3*10^-3*'Input data'!$E$24</f>
        <v>178.35909697336504</v>
      </c>
      <c r="J94" s="531" t="s">
        <v>662</v>
      </c>
      <c r="K94" s="531" t="s">
        <v>718</v>
      </c>
      <c r="L94" s="534"/>
      <c r="M94" s="534"/>
      <c r="N94" s="546"/>
    </row>
    <row r="95" spans="2:14">
      <c r="B95" s="531"/>
      <c r="C95" s="534"/>
      <c r="D95" s="534" t="s">
        <v>704</v>
      </c>
      <c r="E95" s="534"/>
      <c r="F95" s="532"/>
      <c r="G95" s="542" t="str">
        <f t="shared" si="3"/>
        <v>--</v>
      </c>
      <c r="H95" s="542">
        <f>0.942*1.7*10^-3*'Input data'!$E$24</f>
        <v>265.12972978107001</v>
      </c>
      <c r="I95" s="542">
        <f>0.03*1.7*10^-3*'Input data'!$E$24</f>
        <v>8.4436219675499995</v>
      </c>
      <c r="J95" s="531" t="s">
        <v>662</v>
      </c>
      <c r="K95" s="531" t="s">
        <v>718</v>
      </c>
      <c r="L95" s="534"/>
      <c r="M95" s="534"/>
      <c r="N95" s="546"/>
    </row>
    <row r="96" spans="2:14">
      <c r="B96" s="531"/>
      <c r="C96" s="534"/>
      <c r="D96" s="534" t="s">
        <v>703</v>
      </c>
      <c r="E96" s="534"/>
      <c r="F96" s="532"/>
      <c r="G96" s="542" t="str">
        <f t="shared" si="3"/>
        <v>--</v>
      </c>
      <c r="H96" s="542">
        <f>0.612*5.8*10^-3*'Input data'!$E$24</f>
        <v>587.67608894147997</v>
      </c>
      <c r="I96" s="542">
        <f>0.296*5.8*10^-3*'Input data'!$E$24</f>
        <v>284.23549399783997</v>
      </c>
      <c r="J96" s="531" t="s">
        <v>662</v>
      </c>
      <c r="K96" s="531" t="s">
        <v>718</v>
      </c>
      <c r="L96" s="534"/>
      <c r="M96" s="534"/>
      <c r="N96" s="546"/>
    </row>
    <row r="97" spans="2:14">
      <c r="B97" s="531" t="s">
        <v>712</v>
      </c>
      <c r="C97" s="534"/>
      <c r="D97" s="534"/>
      <c r="E97" s="534"/>
      <c r="F97" s="532"/>
      <c r="G97" s="542"/>
      <c r="H97" s="542"/>
      <c r="I97" s="542"/>
      <c r="J97" s="531"/>
      <c r="K97" s="531"/>
      <c r="L97" s="534"/>
      <c r="M97" s="534"/>
      <c r="N97" s="546"/>
    </row>
    <row r="98" spans="2:14">
      <c r="B98" s="531"/>
      <c r="C98" s="534" t="s">
        <v>707</v>
      </c>
      <c r="D98" s="534"/>
      <c r="E98" s="534"/>
      <c r="F98" s="532"/>
      <c r="G98" s="542"/>
      <c r="H98" s="542"/>
      <c r="I98" s="542"/>
      <c r="J98" s="531"/>
      <c r="K98" s="531"/>
      <c r="L98" s="534"/>
      <c r="M98" s="534"/>
      <c r="N98" s="546"/>
    </row>
    <row r="99" spans="2:14">
      <c r="B99" s="531"/>
      <c r="C99" s="534"/>
      <c r="D99" s="534" t="s">
        <v>702</v>
      </c>
      <c r="E99" s="534"/>
      <c r="F99" s="532"/>
      <c r="G99" s="542" t="str">
        <f t="shared" si="3"/>
        <v>--</v>
      </c>
      <c r="H99" s="542">
        <f>0.687*5.2*'Input data'!$E$24</f>
        <v>591450.88464462012</v>
      </c>
      <c r="I99" s="542">
        <f>0.171*5.2*'Input data'!$E$24</f>
        <v>147217.03242246</v>
      </c>
      <c r="J99" s="531" t="s">
        <v>662</v>
      </c>
      <c r="K99" s="531" t="s">
        <v>718</v>
      </c>
      <c r="L99" s="534"/>
      <c r="M99" s="534"/>
      <c r="N99" s="546"/>
    </row>
    <row r="100" spans="2:14">
      <c r="B100" s="531"/>
      <c r="C100" s="534"/>
      <c r="D100" s="534" t="s">
        <v>704</v>
      </c>
      <c r="E100" s="534"/>
      <c r="F100" s="532"/>
      <c r="G100" s="542" t="str">
        <f t="shared" si="3"/>
        <v>--</v>
      </c>
      <c r="H100" s="542" t="str">
        <f>"--"</f>
        <v>--</v>
      </c>
      <c r="I100" s="542" t="str">
        <f>"--"</f>
        <v>--</v>
      </c>
      <c r="J100" s="531" t="s">
        <v>662</v>
      </c>
      <c r="K100" s="531" t="s">
        <v>718</v>
      </c>
      <c r="L100" s="534"/>
      <c r="M100" s="534"/>
      <c r="N100" s="546"/>
    </row>
    <row r="101" spans="2:14">
      <c r="B101" s="531"/>
      <c r="C101" s="534"/>
      <c r="D101" s="534" t="s">
        <v>703</v>
      </c>
      <c r="E101" s="534"/>
      <c r="F101" s="532"/>
      <c r="G101" s="542" t="str">
        <f t="shared" si="3"/>
        <v>--</v>
      </c>
      <c r="H101" s="542">
        <f>0.612*4.6*'Input data'!$E$24</f>
        <v>466087.93260875996</v>
      </c>
      <c r="I101" s="542">
        <f>0.296*4.6*'Input data'!$E$24</f>
        <v>225428.15041207999</v>
      </c>
      <c r="J101" s="531" t="s">
        <v>662</v>
      </c>
      <c r="K101" s="531" t="s">
        <v>718</v>
      </c>
      <c r="L101" s="534"/>
      <c r="M101" s="534"/>
      <c r="N101" s="546"/>
    </row>
    <row r="102" spans="2:14">
      <c r="B102" s="531"/>
      <c r="C102" s="534" t="s">
        <v>705</v>
      </c>
      <c r="D102" s="534"/>
      <c r="E102" s="534"/>
      <c r="F102" s="532"/>
      <c r="G102" s="542"/>
      <c r="H102" s="542"/>
      <c r="I102" s="542"/>
      <c r="J102" s="531"/>
      <c r="K102" s="531"/>
      <c r="L102" s="534"/>
      <c r="M102" s="534"/>
      <c r="N102" s="546"/>
    </row>
    <row r="103" spans="2:14">
      <c r="B103" s="531"/>
      <c r="C103" s="534"/>
      <c r="D103" s="534" t="s">
        <v>702</v>
      </c>
      <c r="E103" s="534"/>
      <c r="F103" s="532"/>
      <c r="G103" s="542" t="str">
        <f t="shared" si="3"/>
        <v>--</v>
      </c>
      <c r="H103" s="542">
        <f>0.687*1.4*'Input data'!$E$24</f>
        <v>159236.77663509001</v>
      </c>
      <c r="I103" s="542">
        <f>0.171*1.4*'Input data'!$E$24</f>
        <v>39635.354882970001</v>
      </c>
      <c r="J103" s="531" t="s">
        <v>662</v>
      </c>
      <c r="K103" s="531" t="s">
        <v>718</v>
      </c>
      <c r="L103" s="534"/>
      <c r="M103" s="534"/>
      <c r="N103" s="546"/>
    </row>
    <row r="104" spans="2:14">
      <c r="B104" s="531"/>
      <c r="C104" s="534"/>
      <c r="D104" s="534" t="s">
        <v>704</v>
      </c>
      <c r="E104" s="534"/>
      <c r="F104" s="532"/>
      <c r="G104" s="542" t="str">
        <f t="shared" si="3"/>
        <v>--</v>
      </c>
      <c r="H104" s="542" t="str">
        <f>"--"</f>
        <v>--</v>
      </c>
      <c r="I104" s="542" t="str">
        <f>"--"</f>
        <v>--</v>
      </c>
      <c r="J104" s="531" t="s">
        <v>662</v>
      </c>
      <c r="K104" s="531" t="s">
        <v>718</v>
      </c>
      <c r="L104" s="534"/>
      <c r="M104" s="534"/>
      <c r="N104" s="546"/>
    </row>
    <row r="105" spans="2:14">
      <c r="B105" s="531"/>
      <c r="C105" s="534"/>
      <c r="D105" s="534" t="s">
        <v>703</v>
      </c>
      <c r="E105" s="534"/>
      <c r="F105" s="532"/>
      <c r="G105" s="542" t="str">
        <f t="shared" si="3"/>
        <v>--</v>
      </c>
      <c r="H105" s="542">
        <f>0.612*1.4*'Input data'!$E$24</f>
        <v>141852.84905483999</v>
      </c>
      <c r="I105" s="542">
        <f>0.296*1.4*'Input data'!$E$24</f>
        <v>68608.567516719995</v>
      </c>
      <c r="J105" s="531" t="s">
        <v>662</v>
      </c>
      <c r="K105" s="531" t="s">
        <v>718</v>
      </c>
      <c r="L105" s="534"/>
      <c r="M105" s="534"/>
      <c r="N105" s="546"/>
    </row>
    <row r="106" spans="2:14">
      <c r="B106" s="531"/>
      <c r="C106" s="534" t="s">
        <v>706</v>
      </c>
      <c r="D106" s="534"/>
      <c r="E106" s="534"/>
      <c r="F106" s="532"/>
      <c r="G106" s="542"/>
      <c r="H106" s="542"/>
      <c r="I106" s="542"/>
      <c r="J106" s="531"/>
      <c r="K106" s="531"/>
      <c r="L106" s="534"/>
      <c r="M106" s="534"/>
      <c r="N106" s="546"/>
    </row>
    <row r="107" spans="2:14">
      <c r="B107" s="531"/>
      <c r="C107" s="534"/>
      <c r="D107" s="534" t="s">
        <v>702</v>
      </c>
      <c r="E107" s="534"/>
      <c r="F107" s="532"/>
      <c r="G107" s="542" t="str">
        <f t="shared" si="3"/>
        <v>--</v>
      </c>
      <c r="H107" s="542">
        <f>0.687*4.3*'Input data'!$E$24</f>
        <v>489084.38537920499</v>
      </c>
      <c r="I107" s="542">
        <f>0.171*4.3*'Input data'!$E$24</f>
        <v>121737.16142626501</v>
      </c>
      <c r="J107" s="531" t="s">
        <v>662</v>
      </c>
      <c r="K107" s="531" t="s">
        <v>718</v>
      </c>
      <c r="L107" s="534"/>
      <c r="M107" s="534"/>
      <c r="N107" s="546"/>
    </row>
    <row r="108" spans="2:14">
      <c r="B108" s="531"/>
      <c r="C108" s="534"/>
      <c r="D108" s="534" t="s">
        <v>704</v>
      </c>
      <c r="E108" s="534"/>
      <c r="F108" s="532"/>
      <c r="G108" s="542" t="str">
        <f t="shared" si="3"/>
        <v>--</v>
      </c>
      <c r="H108" s="542" t="str">
        <f>"--"</f>
        <v>--</v>
      </c>
      <c r="I108" s="542" t="str">
        <f>"--"</f>
        <v>--</v>
      </c>
      <c r="J108" s="531" t="s">
        <v>662</v>
      </c>
      <c r="K108" s="531" t="s">
        <v>718</v>
      </c>
      <c r="L108" s="534"/>
      <c r="M108" s="534"/>
      <c r="N108" s="546"/>
    </row>
    <row r="109" spans="2:14">
      <c r="B109" s="531"/>
      <c r="C109" s="534"/>
      <c r="D109" s="534" t="s">
        <v>703</v>
      </c>
      <c r="E109" s="534"/>
      <c r="F109" s="532"/>
      <c r="G109" s="542" t="str">
        <f t="shared" si="3"/>
        <v>--</v>
      </c>
      <c r="H109" s="542">
        <f>0.612*3.9*'Input data'!$E$24</f>
        <v>395161.50808134</v>
      </c>
      <c r="I109" s="542">
        <f>0.296*3.9*'Input data'!$E$24</f>
        <v>191123.86665371998</v>
      </c>
      <c r="J109" s="531" t="s">
        <v>662</v>
      </c>
      <c r="K109" s="531" t="s">
        <v>718</v>
      </c>
      <c r="L109" s="534"/>
      <c r="M109" s="534"/>
      <c r="N109" s="546"/>
    </row>
    <row r="110" spans="2:14">
      <c r="B110" s="531"/>
      <c r="C110" s="534" t="s">
        <v>708</v>
      </c>
      <c r="D110" s="534"/>
      <c r="E110" s="534"/>
      <c r="F110" s="532"/>
      <c r="G110" s="542"/>
      <c r="H110" s="542"/>
      <c r="I110" s="542"/>
      <c r="J110" s="531"/>
      <c r="K110" s="531"/>
      <c r="L110" s="534"/>
      <c r="M110" s="534"/>
      <c r="N110" s="546"/>
    </row>
    <row r="111" spans="2:14">
      <c r="B111" s="531"/>
      <c r="C111" s="534"/>
      <c r="D111" s="534" t="s">
        <v>702</v>
      </c>
      <c r="E111" s="534"/>
      <c r="F111" s="532"/>
      <c r="G111" s="542" t="str">
        <f t="shared" si="3"/>
        <v>--</v>
      </c>
      <c r="H111" s="542">
        <f>0.687*2.9*'Input data'!$E$24</f>
        <v>329847.60874411504</v>
      </c>
      <c r="I111" s="542">
        <f>0.171*2.9*'Input data'!$E$24</f>
        <v>82101.806543294995</v>
      </c>
      <c r="J111" s="531" t="s">
        <v>662</v>
      </c>
      <c r="K111" s="531" t="s">
        <v>718</v>
      </c>
      <c r="L111" s="534"/>
      <c r="M111" s="534"/>
      <c r="N111" s="546"/>
    </row>
    <row r="112" spans="2:14">
      <c r="B112" s="531"/>
      <c r="C112" s="534"/>
      <c r="D112" s="534" t="s">
        <v>704</v>
      </c>
      <c r="E112" s="534"/>
      <c r="F112" s="532"/>
      <c r="G112" s="542" t="str">
        <f t="shared" si="3"/>
        <v>--</v>
      </c>
      <c r="H112" s="542">
        <f>0.942*1.6*'Input data'!$E$24</f>
        <v>249533.86332336001</v>
      </c>
      <c r="I112" s="542">
        <f>0.03*1.6*'Input data'!$E$24</f>
        <v>7946.9383224000003</v>
      </c>
      <c r="J112" s="531" t="s">
        <v>662</v>
      </c>
      <c r="K112" s="531" t="s">
        <v>718</v>
      </c>
      <c r="L112" s="534"/>
      <c r="M112" s="534"/>
      <c r="N112" s="546"/>
    </row>
    <row r="113" spans="2:16">
      <c r="B113" s="531"/>
      <c r="C113" s="534"/>
      <c r="D113" s="534" t="s">
        <v>703</v>
      </c>
      <c r="E113" s="534"/>
      <c r="F113" s="532"/>
      <c r="G113" s="542" t="str">
        <f t="shared" si="3"/>
        <v>--</v>
      </c>
      <c r="H113" s="542">
        <f>0.612*2.3*'Input data'!$E$24</f>
        <v>233043.96630437998</v>
      </c>
      <c r="I113" s="542">
        <f>0.296*2.3*'Input data'!$E$24</f>
        <v>112714.07520604</v>
      </c>
      <c r="J113" s="531" t="s">
        <v>662</v>
      </c>
      <c r="K113" s="531" t="s">
        <v>718</v>
      </c>
      <c r="L113" s="534"/>
      <c r="M113" s="534"/>
      <c r="N113" s="546"/>
    </row>
    <row r="114" spans="2:16">
      <c r="B114" s="531"/>
      <c r="C114" s="534" t="s">
        <v>709</v>
      </c>
      <c r="D114" s="534"/>
      <c r="E114" s="534"/>
      <c r="F114" s="532"/>
      <c r="G114" s="542"/>
      <c r="H114" s="542"/>
      <c r="I114" s="542"/>
      <c r="J114" s="531"/>
      <c r="K114" s="531"/>
      <c r="L114" s="534"/>
      <c r="M114" s="534"/>
      <c r="N114" s="546"/>
    </row>
    <row r="115" spans="2:16">
      <c r="B115" s="531"/>
      <c r="C115" s="534"/>
      <c r="D115" s="534" t="s">
        <v>702</v>
      </c>
      <c r="E115" s="534"/>
      <c r="F115" s="532"/>
      <c r="G115" s="542" t="str">
        <f t="shared" si="3"/>
        <v>--</v>
      </c>
      <c r="H115" s="542">
        <f>0.687*3.9*'Input data'!$E$24</f>
        <v>443588.16348346497</v>
      </c>
      <c r="I115" s="542">
        <f>0.171*3.9*'Input data'!$E$24</f>
        <v>110412.77431684501</v>
      </c>
      <c r="J115" s="531" t="s">
        <v>662</v>
      </c>
      <c r="K115" s="531" t="s">
        <v>718</v>
      </c>
      <c r="L115" s="534"/>
      <c r="M115" s="534"/>
      <c r="N115" s="546"/>
    </row>
    <row r="116" spans="2:16">
      <c r="B116" s="531"/>
      <c r="C116" s="534"/>
      <c r="D116" s="534" t="s">
        <v>704</v>
      </c>
      <c r="E116" s="534"/>
      <c r="F116" s="532"/>
      <c r="G116" s="542" t="str">
        <f t="shared" si="3"/>
        <v>--</v>
      </c>
      <c r="H116" s="542" t="str">
        <f>"--"</f>
        <v>--</v>
      </c>
      <c r="I116" s="542" t="str">
        <f>"--"</f>
        <v>--</v>
      </c>
      <c r="J116" s="531" t="s">
        <v>662</v>
      </c>
      <c r="K116" s="531" t="s">
        <v>718</v>
      </c>
      <c r="L116" s="534"/>
      <c r="M116" s="534"/>
      <c r="N116" s="546"/>
    </row>
    <row r="117" spans="2:16">
      <c r="B117" s="531"/>
      <c r="C117" s="534"/>
      <c r="D117" s="534" t="s">
        <v>703</v>
      </c>
      <c r="E117" s="534"/>
      <c r="F117" s="532"/>
      <c r="G117" s="542" t="str">
        <f t="shared" si="3"/>
        <v>--</v>
      </c>
      <c r="H117" s="542">
        <f>0.612*5.3*'Input data'!$E$24</f>
        <v>537014.35713617993</v>
      </c>
      <c r="I117" s="542">
        <f>0.296*5.3*'Input data'!$E$24</f>
        <v>259732.43417043998</v>
      </c>
      <c r="J117" s="531" t="s">
        <v>662</v>
      </c>
      <c r="K117" s="531" t="s">
        <v>718</v>
      </c>
      <c r="L117" s="534"/>
      <c r="M117" s="534"/>
      <c r="N117" s="546"/>
    </row>
    <row r="118" spans="2:16">
      <c r="B118" s="531"/>
      <c r="C118" s="534" t="s">
        <v>711</v>
      </c>
      <c r="D118" s="534"/>
      <c r="E118" s="534"/>
      <c r="F118" s="532"/>
      <c r="G118" s="542"/>
      <c r="H118" s="542"/>
      <c r="I118" s="542"/>
      <c r="J118" s="531"/>
      <c r="K118" s="531"/>
      <c r="L118" s="534"/>
      <c r="M118" s="534"/>
      <c r="N118" s="546"/>
    </row>
    <row r="119" spans="2:16">
      <c r="B119" s="531"/>
      <c r="C119" s="534"/>
      <c r="D119" s="534" t="s">
        <v>702</v>
      </c>
      <c r="E119" s="534"/>
      <c r="F119" s="532"/>
      <c r="G119" s="542" t="str">
        <f t="shared" si="3"/>
        <v>--</v>
      </c>
      <c r="H119" s="542">
        <f>0.687*4.7*'Input data'!$E$24</f>
        <v>534580.60727494501</v>
      </c>
      <c r="I119" s="542">
        <f>0.171*4.7*'Input data'!$E$24</f>
        <v>133061.54853568503</v>
      </c>
      <c r="J119" s="531" t="s">
        <v>662</v>
      </c>
      <c r="K119" s="531" t="s">
        <v>718</v>
      </c>
      <c r="L119" s="534"/>
      <c r="M119" s="534"/>
      <c r="N119" s="546"/>
    </row>
    <row r="120" spans="2:16">
      <c r="B120" s="531"/>
      <c r="C120" s="534"/>
      <c r="D120" s="534" t="s">
        <v>704</v>
      </c>
      <c r="E120" s="534"/>
      <c r="F120" s="532"/>
      <c r="G120" s="542" t="str">
        <f t="shared" si="3"/>
        <v>--</v>
      </c>
      <c r="H120" s="542" t="str">
        <f>"--"</f>
        <v>--</v>
      </c>
      <c r="I120" s="542" t="str">
        <f>"--"</f>
        <v>--</v>
      </c>
      <c r="J120" s="531" t="s">
        <v>662</v>
      </c>
      <c r="K120" s="531" t="s">
        <v>718</v>
      </c>
      <c r="L120" s="534"/>
      <c r="M120" s="534"/>
      <c r="N120" s="546"/>
    </row>
    <row r="121" spans="2:16">
      <c r="B121" s="531"/>
      <c r="C121" s="534"/>
      <c r="D121" s="534" t="s">
        <v>703</v>
      </c>
      <c r="E121" s="534"/>
      <c r="F121" s="532"/>
      <c r="G121" s="542" t="str">
        <f t="shared" si="3"/>
        <v>--</v>
      </c>
      <c r="H121" s="542">
        <f>0.612*4.4*'Input data'!$E$24</f>
        <v>445823.23988663999</v>
      </c>
      <c r="I121" s="542">
        <f>0.296*4.4*'Input data'!$E$24</f>
        <v>215626.92648112</v>
      </c>
      <c r="J121" s="531" t="s">
        <v>662</v>
      </c>
      <c r="K121" s="531" t="s">
        <v>718</v>
      </c>
      <c r="L121" s="534"/>
      <c r="M121" s="534"/>
      <c r="N121" s="546"/>
    </row>
    <row r="124" spans="2:16" ht="19.5">
      <c r="B124" s="643" t="s">
        <v>2764</v>
      </c>
      <c r="C124" s="93"/>
      <c r="D124" s="93"/>
      <c r="E124" s="93"/>
      <c r="F124" s="93"/>
      <c r="G124" s="93"/>
      <c r="H124" s="93"/>
      <c r="I124" s="93"/>
      <c r="J124" s="93"/>
      <c r="K124" s="93"/>
      <c r="L124" s="93"/>
      <c r="M124" s="93"/>
      <c r="N124" s="93"/>
      <c r="O124" s="93"/>
      <c r="P124" s="93"/>
    </row>
    <row r="125" spans="2:16">
      <c r="B125" s="92"/>
      <c r="C125" s="93"/>
      <c r="D125" s="1048" t="s">
        <v>1942</v>
      </c>
      <c r="E125" s="1049"/>
      <c r="F125" s="1049"/>
      <c r="G125" s="1049"/>
      <c r="H125" s="1049"/>
      <c r="I125" s="1049"/>
      <c r="J125" s="1049"/>
      <c r="K125" s="1049"/>
      <c r="L125" s="1050"/>
      <c r="M125" s="1048" t="s">
        <v>1943</v>
      </c>
      <c r="N125" s="1049"/>
      <c r="O125" s="1049"/>
      <c r="P125" s="93"/>
    </row>
    <row r="126" spans="2:16" ht="30" customHeight="1">
      <c r="D126" s="1098" t="s">
        <v>934</v>
      </c>
      <c r="E126" s="1099"/>
      <c r="F126" s="1100"/>
      <c r="G126" s="1048" t="s">
        <v>935</v>
      </c>
      <c r="H126" s="1049"/>
      <c r="I126" s="1050"/>
      <c r="J126" s="1048" t="s">
        <v>1357</v>
      </c>
      <c r="K126" s="1049"/>
      <c r="L126" s="1050"/>
      <c r="M126" s="1048"/>
      <c r="N126" s="1049"/>
      <c r="O126" s="1049"/>
    </row>
    <row r="127" spans="2:16">
      <c r="B127" s="1048"/>
      <c r="C127" s="1050"/>
      <c r="D127" s="13" t="s">
        <v>936</v>
      </c>
      <c r="E127" s="13" t="s">
        <v>937</v>
      </c>
      <c r="F127" s="13" t="s">
        <v>938</v>
      </c>
      <c r="G127" s="13" t="s">
        <v>936</v>
      </c>
      <c r="H127" s="13" t="s">
        <v>937</v>
      </c>
      <c r="I127" s="13" t="s">
        <v>938</v>
      </c>
      <c r="J127" s="13" t="s">
        <v>936</v>
      </c>
      <c r="K127" s="13" t="s">
        <v>937</v>
      </c>
      <c r="L127" s="13" t="s">
        <v>938</v>
      </c>
      <c r="M127" s="13" t="s">
        <v>936</v>
      </c>
      <c r="N127" s="13" t="s">
        <v>937</v>
      </c>
      <c r="O127" s="13" t="s">
        <v>938</v>
      </c>
    </row>
    <row r="128" spans="2:16">
      <c r="B128" s="729" t="s">
        <v>2769</v>
      </c>
      <c r="C128" s="728"/>
      <c r="D128" s="401">
        <v>1</v>
      </c>
      <c r="E128" s="401">
        <v>2</v>
      </c>
      <c r="F128" s="401">
        <v>3</v>
      </c>
      <c r="G128" s="401">
        <v>4</v>
      </c>
      <c r="H128" s="401">
        <v>5</v>
      </c>
      <c r="I128" s="401">
        <v>6</v>
      </c>
      <c r="J128" s="401">
        <v>7</v>
      </c>
      <c r="K128" s="401">
        <v>8</v>
      </c>
      <c r="L128" s="401">
        <v>9</v>
      </c>
      <c r="M128" s="401">
        <v>10</v>
      </c>
      <c r="N128" s="401">
        <v>11</v>
      </c>
      <c r="O128" s="401">
        <v>12</v>
      </c>
    </row>
    <row r="129" spans="2:16">
      <c r="B129" s="1092" t="s">
        <v>939</v>
      </c>
      <c r="C129" s="1094"/>
      <c r="D129" s="13">
        <v>0.03</v>
      </c>
      <c r="E129" s="13">
        <v>0.13</v>
      </c>
      <c r="F129" s="13">
        <v>0.35</v>
      </c>
      <c r="G129" s="13">
        <f t="shared" ref="G129:I131" si="4">AVERAGE(D129,J129)</f>
        <v>9.5000000000000001E-2</v>
      </c>
      <c r="H129" s="13">
        <f t="shared" si="4"/>
        <v>0.35</v>
      </c>
      <c r="I129" s="13">
        <f t="shared" si="4"/>
        <v>1.5</v>
      </c>
      <c r="J129" s="13">
        <v>0.16</v>
      </c>
      <c r="K129" s="13">
        <v>0.56999999999999995</v>
      </c>
      <c r="L129" s="13">
        <v>2.65</v>
      </c>
      <c r="M129" s="13">
        <v>0.77</v>
      </c>
      <c r="N129" s="13">
        <v>1.21</v>
      </c>
      <c r="O129" s="13">
        <v>2.16</v>
      </c>
    </row>
    <row r="130" spans="2:16">
      <c r="B130" s="1092" t="s">
        <v>605</v>
      </c>
      <c r="C130" s="1094"/>
      <c r="D130" s="13">
        <v>0</v>
      </c>
      <c r="E130" s="13">
        <v>0</v>
      </c>
      <c r="F130" s="13">
        <v>0</v>
      </c>
      <c r="G130" s="13">
        <f t="shared" si="4"/>
        <v>0.01</v>
      </c>
      <c r="H130" s="13">
        <f t="shared" si="4"/>
        <v>8.5000000000000006E-2</v>
      </c>
      <c r="I130" s="13">
        <f t="shared" si="4"/>
        <v>0.32500000000000001</v>
      </c>
      <c r="J130" s="13">
        <v>0.02</v>
      </c>
      <c r="K130" s="13">
        <v>0.17</v>
      </c>
      <c r="L130" s="13">
        <v>0.65</v>
      </c>
      <c r="M130" s="13">
        <v>0.03</v>
      </c>
      <c r="N130" s="13">
        <v>0.04</v>
      </c>
      <c r="O130" s="13">
        <v>0.13</v>
      </c>
    </row>
    <row r="131" spans="2:16">
      <c r="B131" s="1092" t="s">
        <v>940</v>
      </c>
      <c r="C131" s="1094"/>
      <c r="D131" s="13">
        <v>0</v>
      </c>
      <c r="E131" s="13">
        <v>0</v>
      </c>
      <c r="F131" s="13">
        <v>0</v>
      </c>
      <c r="G131" s="13">
        <f t="shared" si="4"/>
        <v>1.4999999999999999E-2</v>
      </c>
      <c r="H131" s="13">
        <f t="shared" si="4"/>
        <v>2.5000000000000001E-2</v>
      </c>
      <c r="I131" s="13">
        <f t="shared" si="4"/>
        <v>4.4999999999999998E-2</v>
      </c>
      <c r="J131" s="13">
        <v>0.03</v>
      </c>
      <c r="K131" s="13">
        <v>0.05</v>
      </c>
      <c r="L131" s="13">
        <v>0.09</v>
      </c>
      <c r="M131" s="13">
        <v>0.03</v>
      </c>
      <c r="N131" s="13">
        <v>0.03</v>
      </c>
      <c r="O131" s="13">
        <v>0.04</v>
      </c>
    </row>
    <row r="134" spans="2:16" ht="19.5">
      <c r="B134" s="643" t="s">
        <v>2765</v>
      </c>
      <c r="C134" s="93"/>
      <c r="D134" s="93"/>
      <c r="E134" s="93"/>
      <c r="F134" s="93"/>
      <c r="G134" s="93"/>
      <c r="H134" s="93"/>
      <c r="I134" s="93"/>
      <c r="J134" s="93"/>
      <c r="K134" s="93"/>
      <c r="L134" s="93"/>
      <c r="M134" s="93"/>
      <c r="N134" s="93"/>
      <c r="O134" s="93"/>
      <c r="P134" s="93"/>
    </row>
    <row r="135" spans="2:16">
      <c r="B135" s="92"/>
      <c r="C135" s="93"/>
      <c r="D135" s="1048" t="s">
        <v>1942</v>
      </c>
      <c r="E135" s="1049"/>
      <c r="F135" s="1049"/>
      <c r="G135" s="1049"/>
      <c r="H135" s="1049"/>
      <c r="I135" s="1049"/>
      <c r="J135" s="1049"/>
      <c r="K135" s="1049"/>
      <c r="L135" s="1050"/>
      <c r="M135" s="1048" t="s">
        <v>1943</v>
      </c>
      <c r="N135" s="1049"/>
      <c r="O135" s="1049"/>
      <c r="P135" s="93"/>
    </row>
    <row r="136" spans="2:16" ht="30" customHeight="1">
      <c r="D136" s="1098" t="s">
        <v>934</v>
      </c>
      <c r="E136" s="1099"/>
      <c r="F136" s="1100"/>
      <c r="G136" s="1048" t="s">
        <v>935</v>
      </c>
      <c r="H136" s="1049"/>
      <c r="I136" s="1050"/>
      <c r="J136" s="1048" t="s">
        <v>1357</v>
      </c>
      <c r="K136" s="1049"/>
      <c r="L136" s="1050"/>
      <c r="M136" s="1048"/>
      <c r="N136" s="1049"/>
      <c r="O136" s="1049"/>
    </row>
    <row r="137" spans="2:16">
      <c r="B137" s="1048"/>
      <c r="C137" s="1050"/>
      <c r="D137" s="13" t="s">
        <v>936</v>
      </c>
      <c r="E137" s="13" t="s">
        <v>937</v>
      </c>
      <c r="F137" s="13" t="s">
        <v>938</v>
      </c>
      <c r="G137" s="13" t="s">
        <v>936</v>
      </c>
      <c r="H137" s="13" t="s">
        <v>937</v>
      </c>
      <c r="I137" s="13" t="s">
        <v>938</v>
      </c>
      <c r="J137" s="13" t="s">
        <v>936</v>
      </c>
      <c r="K137" s="13" t="s">
        <v>937</v>
      </c>
      <c r="L137" s="13" t="s">
        <v>938</v>
      </c>
      <c r="M137" s="13" t="s">
        <v>936</v>
      </c>
      <c r="N137" s="13" t="s">
        <v>937</v>
      </c>
      <c r="O137" s="13" t="s">
        <v>938</v>
      </c>
    </row>
    <row r="138" spans="2:16">
      <c r="B138" s="729" t="s">
        <v>2769</v>
      </c>
      <c r="C138" s="728"/>
      <c r="D138" s="401">
        <v>1</v>
      </c>
      <c r="E138" s="401">
        <v>2</v>
      </c>
      <c r="F138" s="401">
        <v>3</v>
      </c>
      <c r="G138" s="401">
        <v>4</v>
      </c>
      <c r="H138" s="401">
        <v>5</v>
      </c>
      <c r="I138" s="401">
        <v>6</v>
      </c>
      <c r="J138" s="401">
        <v>7</v>
      </c>
      <c r="K138" s="401">
        <v>8</v>
      </c>
      <c r="L138" s="401">
        <v>9</v>
      </c>
      <c r="M138" s="401">
        <v>10</v>
      </c>
      <c r="N138" s="401">
        <v>11</v>
      </c>
      <c r="O138" s="401">
        <v>12</v>
      </c>
    </row>
    <row r="139" spans="2:16">
      <c r="B139" s="1092" t="s">
        <v>939</v>
      </c>
      <c r="C139" s="1094"/>
      <c r="D139" s="13">
        <v>0.03</v>
      </c>
      <c r="E139" s="13">
        <v>0.13</v>
      </c>
      <c r="F139" s="13">
        <v>0.35</v>
      </c>
      <c r="G139" s="13">
        <f t="shared" ref="G139:G141" si="5">AVERAGE(D139,J139)</f>
        <v>0.21500000000000002</v>
      </c>
      <c r="H139" s="13">
        <f t="shared" ref="H139:H141" si="6">AVERAGE(E139,K139)</f>
        <v>0.57000000000000006</v>
      </c>
      <c r="I139" s="13">
        <f t="shared" ref="I139:I141" si="7">AVERAGE(F139,L139)</f>
        <v>1.93</v>
      </c>
      <c r="J139" s="13">
        <v>0.4</v>
      </c>
      <c r="K139" s="13">
        <v>1.01</v>
      </c>
      <c r="L139" s="13">
        <v>3.51</v>
      </c>
      <c r="M139" s="13">
        <v>0.96</v>
      </c>
      <c r="N139" s="13">
        <v>1.4</v>
      </c>
      <c r="O139" s="13">
        <v>2.39</v>
      </c>
    </row>
    <row r="140" spans="2:16">
      <c r="B140" s="1092" t="s">
        <v>605</v>
      </c>
      <c r="C140" s="1094"/>
      <c r="D140" s="13">
        <v>0</v>
      </c>
      <c r="E140" s="13">
        <v>0</v>
      </c>
      <c r="F140" s="13">
        <v>0</v>
      </c>
      <c r="G140" s="13">
        <f t="shared" si="5"/>
        <v>0.34</v>
      </c>
      <c r="H140" s="13">
        <f t="shared" si="6"/>
        <v>0.68</v>
      </c>
      <c r="I140" s="13">
        <f t="shared" si="7"/>
        <v>1.47</v>
      </c>
      <c r="J140" s="13">
        <v>0.68</v>
      </c>
      <c r="K140" s="13">
        <v>1.36</v>
      </c>
      <c r="L140" s="13">
        <v>2.94</v>
      </c>
      <c r="M140" s="13">
        <v>0.24299999999999999</v>
      </c>
      <c r="N140" s="13">
        <v>0.31</v>
      </c>
      <c r="O140" s="13">
        <v>0.47</v>
      </c>
    </row>
    <row r="141" spans="2:16">
      <c r="B141" s="1092" t="s">
        <v>940</v>
      </c>
      <c r="C141" s="1094"/>
      <c r="D141" s="13">
        <v>0</v>
      </c>
      <c r="E141" s="13">
        <v>0</v>
      </c>
      <c r="F141" s="13">
        <v>0</v>
      </c>
      <c r="G141" s="13">
        <f t="shared" si="5"/>
        <v>5.0000000000000001E-3</v>
      </c>
      <c r="H141" s="13">
        <f t="shared" si="6"/>
        <v>5.0000000000000001E-3</v>
      </c>
      <c r="I141" s="13">
        <f t="shared" si="7"/>
        <v>0.01</v>
      </c>
      <c r="J141" s="13">
        <v>0.01</v>
      </c>
      <c r="K141" s="13">
        <v>0.01</v>
      </c>
      <c r="L141" s="13">
        <v>0.02</v>
      </c>
      <c r="M141" s="13">
        <v>0.01</v>
      </c>
      <c r="N141" s="13">
        <v>0.01</v>
      </c>
      <c r="O141" s="13">
        <v>0.01</v>
      </c>
    </row>
    <row r="142" spans="2:16" customFormat="1">
      <c r="B142" s="211" t="s">
        <v>2766</v>
      </c>
    </row>
    <row r="145" spans="2:13">
      <c r="B145" s="666" t="s">
        <v>2763</v>
      </c>
      <c r="C145" s="337"/>
      <c r="D145" s="337"/>
      <c r="E145" s="337"/>
      <c r="F145" s="337"/>
      <c r="G145" s="337"/>
      <c r="H145" s="337"/>
      <c r="I145" s="337"/>
      <c r="J145" s="337"/>
      <c r="K145" s="337"/>
      <c r="L145" s="337"/>
      <c r="M145" s="337"/>
    </row>
    <row r="146" spans="2:13">
      <c r="B146" s="337"/>
      <c r="C146" s="1048" t="s">
        <v>1862</v>
      </c>
      <c r="D146" s="1049"/>
      <c r="E146" s="1050"/>
      <c r="F146" s="1048" t="s">
        <v>966</v>
      </c>
      <c r="G146" s="1049"/>
      <c r="H146" s="1050"/>
      <c r="I146" s="106" t="s">
        <v>1863</v>
      </c>
      <c r="J146" s="106" t="s">
        <v>1864</v>
      </c>
      <c r="K146" s="1092" t="s">
        <v>1865</v>
      </c>
      <c r="L146" s="1093"/>
      <c r="M146" s="106" t="s">
        <v>1876</v>
      </c>
    </row>
    <row r="147" spans="2:13">
      <c r="B147" s="337"/>
      <c r="C147" s="106" t="s">
        <v>575</v>
      </c>
      <c r="D147" s="106" t="s">
        <v>1866</v>
      </c>
      <c r="E147" s="106" t="s">
        <v>1010</v>
      </c>
      <c r="F147" s="106" t="s">
        <v>575</v>
      </c>
      <c r="G147" s="106" t="s">
        <v>1866</v>
      </c>
      <c r="H147" s="106" t="s">
        <v>1010</v>
      </c>
      <c r="I147" s="106" t="s">
        <v>575</v>
      </c>
      <c r="J147" s="106" t="s">
        <v>1010</v>
      </c>
      <c r="K147" s="106" t="s">
        <v>1010</v>
      </c>
      <c r="L147" s="543" t="s">
        <v>575</v>
      </c>
      <c r="M147" s="408" t="s">
        <v>575</v>
      </c>
    </row>
    <row r="148" spans="2:13">
      <c r="B148" s="106" t="s">
        <v>624</v>
      </c>
      <c r="C148" s="401">
        <v>79.925003051757813</v>
      </c>
      <c r="D148" s="401">
        <v>79.925003051757813</v>
      </c>
      <c r="E148" s="401">
        <v>79.925003051757813</v>
      </c>
      <c r="F148" s="401">
        <v>24.746999740600586</v>
      </c>
      <c r="G148" s="401">
        <v>24.746999740600586</v>
      </c>
      <c r="H148" s="401">
        <v>24.746999740600586</v>
      </c>
      <c r="I148" s="401">
        <v>58.387999999999998</v>
      </c>
      <c r="J148" s="401">
        <v>0.90800000000000003</v>
      </c>
      <c r="K148" s="401">
        <v>154.08600000000001</v>
      </c>
      <c r="L148" s="401">
        <v>40.86</v>
      </c>
      <c r="M148" s="401">
        <v>31.440999999999999</v>
      </c>
    </row>
    <row r="149" spans="2:13">
      <c r="B149" s="106" t="s">
        <v>396</v>
      </c>
      <c r="C149" s="401">
        <v>181.66900634765625</v>
      </c>
      <c r="D149" s="401">
        <v>181.66900634765625</v>
      </c>
      <c r="E149" s="401">
        <v>90.834503173828125</v>
      </c>
      <c r="F149" s="401">
        <v>219.99299621582031</v>
      </c>
      <c r="G149" s="401">
        <v>219.99299621582031</v>
      </c>
      <c r="H149" s="401">
        <v>109.99649810791016</v>
      </c>
      <c r="I149" s="401">
        <v>206.53</v>
      </c>
      <c r="J149" s="401">
        <v>77.180000000000007</v>
      </c>
      <c r="K149" s="401">
        <v>499.053</v>
      </c>
      <c r="L149" s="401">
        <v>459.6</v>
      </c>
      <c r="M149" s="401">
        <v>123.78400000000001</v>
      </c>
    </row>
    <row r="150" spans="2:13">
      <c r="B150" s="106" t="s">
        <v>625</v>
      </c>
      <c r="C150" s="401">
        <v>4.5809998512268066</v>
      </c>
      <c r="D150" s="401">
        <v>4.5809998512268066</v>
      </c>
      <c r="E150" s="401">
        <v>91.619997024536133</v>
      </c>
      <c r="F150" s="401">
        <v>1.2126029872894288</v>
      </c>
      <c r="G150" s="401">
        <v>1.2126029872894288</v>
      </c>
      <c r="H150" s="401">
        <v>24.252059745788578</v>
      </c>
      <c r="I150" s="401">
        <v>6.8250000000000002</v>
      </c>
      <c r="J150" s="401">
        <v>23.154</v>
      </c>
      <c r="K150" s="401">
        <v>407.76</v>
      </c>
      <c r="L150" s="401">
        <v>4.54</v>
      </c>
      <c r="M150" s="401">
        <v>1.54</v>
      </c>
    </row>
    <row r="151" spans="2:13">
      <c r="B151" s="106" t="s">
        <v>626</v>
      </c>
      <c r="C151" s="401">
        <v>2</v>
      </c>
      <c r="D151" s="401">
        <v>2</v>
      </c>
      <c r="E151" s="401">
        <v>2</v>
      </c>
      <c r="F151" s="401">
        <v>2</v>
      </c>
      <c r="G151" s="401">
        <v>2</v>
      </c>
      <c r="H151" s="401">
        <v>2</v>
      </c>
      <c r="I151" s="401">
        <v>2.1320000000000001</v>
      </c>
      <c r="J151" s="401">
        <v>2</v>
      </c>
      <c r="K151" s="401">
        <v>40.981000000000002</v>
      </c>
      <c r="L151" s="401">
        <v>2</v>
      </c>
      <c r="M151" s="401">
        <v>2.1</v>
      </c>
    </row>
    <row r="152" spans="2:13">
      <c r="B152" s="106" t="s">
        <v>627</v>
      </c>
      <c r="C152" s="401">
        <v>77652</v>
      </c>
      <c r="D152" s="401">
        <v>84534</v>
      </c>
      <c r="E152" s="401">
        <v>58768.887746953653</v>
      </c>
      <c r="F152" s="401">
        <v>77773</v>
      </c>
      <c r="G152" s="401">
        <v>84655</v>
      </c>
      <c r="H152" s="401">
        <v>59096.009311798327</v>
      </c>
      <c r="I152" s="401">
        <v>77674</v>
      </c>
      <c r="J152" s="401">
        <v>59224.895974698455</v>
      </c>
      <c r="K152" s="401">
        <v>57027</v>
      </c>
      <c r="L152" s="401">
        <v>77336.992237705985</v>
      </c>
      <c r="M152" s="401">
        <v>77902</v>
      </c>
    </row>
    <row r="153" spans="2:13">
      <c r="B153" s="106" t="s">
        <v>628</v>
      </c>
      <c r="C153" s="401">
        <f>C148*'Input data'!$C$74+C149*'Input data'!$C$72+C150*'Input data'!$C$73+C151*'Input data'!$C$75+C152*'Input data'!$C$71</f>
        <v>78403.753994941711</v>
      </c>
      <c r="D153" s="401">
        <f>D148*'Input data'!$C$74+D149*'Input data'!$C$72+D150*'Input data'!$C$73+D151*'Input data'!$C$75+D152*'Input data'!$C$71</f>
        <v>85285.753994941711</v>
      </c>
      <c r="E153" s="401">
        <f>E148*'Input data'!$C$74+E149*'Input data'!$C$72+E150*'Input data'!$C$73+E151*'Input data'!$C$75+E152*'Input data'!$C$71</f>
        <v>62479.967645787881</v>
      </c>
      <c r="F153" s="401">
        <f>F148*'Input data'!$C$74+F149*'Input data'!$C$72+F150*'Input data'!$C$73+F151*'Input data'!$C$75+F152*'Input data'!$C$71</f>
        <v>78410.228501567835</v>
      </c>
      <c r="G153" s="401">
        <f>G148*'Input data'!$C$74+G149*'Input data'!$C$72+G150*'Input data'!$C$73+G151*'Input data'!$C$75+G152*'Input data'!$C$71</f>
        <v>85292.228501567835</v>
      </c>
      <c r="H153" s="401">
        <f>H148*'Input data'!$C$74+H149*'Input data'!$C$72+H150*'Input data'!$C$73+H151*'Input data'!$C$75+H152*'Input data'!$C$71</f>
        <v>60516.579343155136</v>
      </c>
      <c r="I153" s="401">
        <f>I148*'Input data'!$C$74+I149*'Input data'!$C$72+I150*'Input data'!$C$73+I151*'Input data'!$C$75+I152*'Input data'!$C$71</f>
        <v>78541.385999999999</v>
      </c>
      <c r="J153" s="401">
        <f>J148*'Input data'!$C$74+J149*'Input data'!$C$72+J150*'Input data'!$C$73+J151*'Input data'!$C$75+J152*'Input data'!$C$71</f>
        <v>60608.131974698452</v>
      </c>
      <c r="K153" s="401">
        <f>K148*'Input data'!$C$74+K149*'Input data'!$C$72+K150*'Input data'!$C$73+K151*'Input data'!$C$75+K152*'Input data'!$C$71</f>
        <v>83103.178</v>
      </c>
      <c r="L153" s="401">
        <f>L148*'Input data'!$C$74+L149*'Input data'!$C$72+L150*'Input data'!$C$73+L151*'Input data'!$C$75+L152*'Input data'!$C$71</f>
        <v>78087.352237705985</v>
      </c>
      <c r="M153" s="401">
        <f>M148*'Input data'!$C$74+M149*'Input data'!$C$72+M150*'Input data'!$C$73+M151*'Input data'!$C$75+M152*'Input data'!$C$71</f>
        <v>78580.160000000003</v>
      </c>
    </row>
    <row r="154" spans="2:13">
      <c r="B154" s="211" t="s">
        <v>3926</v>
      </c>
    </row>
  </sheetData>
  <mergeCells count="26">
    <mergeCell ref="M135:O135"/>
    <mergeCell ref="D136:F136"/>
    <mergeCell ref="G136:I136"/>
    <mergeCell ref="J136:L136"/>
    <mergeCell ref="M136:O136"/>
    <mergeCell ref="I10:L10"/>
    <mergeCell ref="D126:F126"/>
    <mergeCell ref="G126:I126"/>
    <mergeCell ref="J126:L126"/>
    <mergeCell ref="C10:H10"/>
    <mergeCell ref="K54:N54"/>
    <mergeCell ref="D125:L125"/>
    <mergeCell ref="M125:O125"/>
    <mergeCell ref="M126:O126"/>
    <mergeCell ref="C146:E146"/>
    <mergeCell ref="F146:H146"/>
    <mergeCell ref="K146:L146"/>
    <mergeCell ref="B127:C127"/>
    <mergeCell ref="B129:C129"/>
    <mergeCell ref="B130:C130"/>
    <mergeCell ref="B131:C131"/>
    <mergeCell ref="D135:L135"/>
    <mergeCell ref="B137:C137"/>
    <mergeCell ref="B139:C139"/>
    <mergeCell ref="B140:C140"/>
    <mergeCell ref="B141:C141"/>
  </mergeCells>
  <pageMargins left="0.7" right="0.7" top="0.75" bottom="0.75" header="0.3" footer="0.3"/>
  <pageSetup orientation="portrait"/>
  <ignoredErrors>
    <ignoredError sqref="H61:H64 H71 H109 H117" formula="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sheetPr>
  <dimension ref="A1:X383"/>
  <sheetViews>
    <sheetView workbookViewId="0"/>
  </sheetViews>
  <sheetFormatPr defaultColWidth="8.88671875" defaultRowHeight="15"/>
  <cols>
    <col min="1" max="2" width="8.88671875" style="607"/>
    <col min="3" max="3" width="11.44140625" style="607" customWidth="1"/>
    <col min="4" max="4" width="8.88671875" style="607"/>
    <col min="5" max="6" width="9.44140625" style="607" bestFit="1" customWidth="1"/>
    <col min="7" max="8" width="9" style="607" bestFit="1" customWidth="1"/>
    <col min="9" max="13" width="8.88671875" style="607"/>
    <col min="14" max="15" width="9.44140625" style="607" customWidth="1"/>
    <col min="16" max="16384" width="8.88671875" style="607"/>
  </cols>
  <sheetData>
    <row r="1" spans="1:15" s="6" customFormat="1" ht="24" customHeight="1">
      <c r="A1" s="6" t="s">
        <v>902</v>
      </c>
    </row>
    <row r="2" spans="1:15" s="519" customFormat="1">
      <c r="I2" s="606"/>
    </row>
    <row r="3" spans="1:15" s="519" customFormat="1">
      <c r="A3" s="519" t="s">
        <v>521</v>
      </c>
      <c r="I3" s="606"/>
    </row>
    <row r="4" spans="1:15" s="519" customFormat="1">
      <c r="I4" s="606"/>
    </row>
    <row r="5" spans="1:15" s="519" customFormat="1">
      <c r="I5" s="606"/>
    </row>
    <row r="6" spans="1:15" s="9" customFormat="1" ht="15.75">
      <c r="A6" s="9" t="s">
        <v>1381</v>
      </c>
    </row>
    <row r="9" spans="1:15">
      <c r="A9" s="92" t="s">
        <v>1495</v>
      </c>
      <c r="M9" s="95" t="s">
        <v>222</v>
      </c>
      <c r="N9" s="95" t="s">
        <v>221</v>
      </c>
    </row>
    <row r="10" spans="1:15">
      <c r="C10" s="95" t="s">
        <v>1025</v>
      </c>
      <c r="M10" s="20">
        <v>2</v>
      </c>
      <c r="N10" s="21">
        <v>2</v>
      </c>
    </row>
    <row r="11" spans="1:15">
      <c r="C11" s="95" t="s">
        <v>1026</v>
      </c>
    </row>
    <row r="13" spans="1:15">
      <c r="A13" s="92" t="s">
        <v>1592</v>
      </c>
    </row>
    <row r="14" spans="1:15">
      <c r="C14" s="96" t="s">
        <v>1800</v>
      </c>
      <c r="L14" s="92"/>
      <c r="M14" s="14">
        <f>IF(M10=1,VLOOKUP('Production &amp; Extraction'!M32,'Fuel Specs'!B21:O62,8,TRUE),VLOOKUP('Production &amp; Extraction'!M32,'Fuel Specs'!B21:O62,5,TRUE))</f>
        <v>5.72166</v>
      </c>
      <c r="N14" s="210">
        <f>IF(N10=1,VLOOKUP('Production &amp; Extraction'!N32,'Fuel Specs'!B21:O62,8,TRUE),VLOOKUP('Production &amp; Extraction'!N32,'Fuel Specs'!B21:O62,5,TRUE))</f>
        <v>5.5145999999999997</v>
      </c>
      <c r="O14" s="608" t="s">
        <v>614</v>
      </c>
    </row>
    <row r="15" spans="1:15">
      <c r="C15" s="96" t="s">
        <v>1801</v>
      </c>
      <c r="L15" s="92"/>
      <c r="M15" s="14">
        <f>M14*'Input data'!E48</f>
        <v>6036.6373829999993</v>
      </c>
      <c r="N15" s="210">
        <f>N14*'Input data'!E48</f>
        <v>5818.1787299999996</v>
      </c>
      <c r="O15" s="609" t="s">
        <v>533</v>
      </c>
    </row>
    <row r="16" spans="1:15">
      <c r="M16" s="102"/>
      <c r="N16" s="102"/>
      <c r="O16" s="609"/>
    </row>
    <row r="17" spans="2:19">
      <c r="N17" s="610"/>
      <c r="P17" s="609"/>
    </row>
    <row r="18" spans="2:19">
      <c r="B18" s="92" t="s">
        <v>1290</v>
      </c>
      <c r="K18" s="611"/>
      <c r="L18" s="612"/>
      <c r="S18" s="612"/>
    </row>
    <row r="19" spans="2:19" s="611" customFormat="1">
      <c r="B19" s="1039" t="s">
        <v>522</v>
      </c>
      <c r="C19" s="1039"/>
      <c r="D19" s="1039" t="s">
        <v>523</v>
      </c>
      <c r="E19" s="1039"/>
      <c r="F19" s="1039"/>
      <c r="G19" s="1039" t="s">
        <v>524</v>
      </c>
      <c r="H19" s="1039"/>
      <c r="I19" s="1039"/>
      <c r="J19" s="1039" t="s">
        <v>525</v>
      </c>
      <c r="K19" s="1039"/>
      <c r="L19" s="1039"/>
      <c r="M19" s="1039" t="s">
        <v>526</v>
      </c>
      <c r="N19" s="1039"/>
      <c r="O19" s="1039"/>
    </row>
    <row r="20" spans="2:19" s="611" customFormat="1">
      <c r="B20" s="106" t="s">
        <v>527</v>
      </c>
      <c r="C20" s="106" t="s">
        <v>340</v>
      </c>
      <c r="D20" s="106" t="s">
        <v>528</v>
      </c>
      <c r="E20" s="106" t="s">
        <v>529</v>
      </c>
      <c r="F20" s="106" t="s">
        <v>614</v>
      </c>
      <c r="G20" s="106" t="s">
        <v>528</v>
      </c>
      <c r="H20" s="106" t="s">
        <v>530</v>
      </c>
      <c r="I20" s="106" t="s">
        <v>614</v>
      </c>
      <c r="J20" s="106" t="s">
        <v>531</v>
      </c>
      <c r="K20" s="106" t="s">
        <v>532</v>
      </c>
      <c r="L20" s="106" t="s">
        <v>533</v>
      </c>
      <c r="M20" s="106" t="s">
        <v>531</v>
      </c>
      <c r="N20" s="106" t="s">
        <v>532</v>
      </c>
      <c r="O20" s="106" t="s">
        <v>533</v>
      </c>
    </row>
    <row r="21" spans="2:19" s="611" customFormat="1">
      <c r="B21" s="401">
        <v>4</v>
      </c>
      <c r="C21" s="400">
        <f t="shared" ref="C21:C28" si="0">141.5/(B21+131.5)</f>
        <v>1.0442804428044281</v>
      </c>
      <c r="D21" s="401">
        <v>16910</v>
      </c>
      <c r="E21" s="401">
        <v>147250</v>
      </c>
      <c r="F21" s="400">
        <f>E21*42/1000000</f>
        <v>6.1844999999999999</v>
      </c>
      <c r="G21" s="401">
        <v>17930</v>
      </c>
      <c r="H21" s="401">
        <f>G21*2.204*C21</f>
        <v>41267.582140221406</v>
      </c>
      <c r="I21" s="400">
        <f>H21*158.98/1000000</f>
        <v>6.5607202086523984</v>
      </c>
      <c r="J21" s="401">
        <f t="shared" ref="J21:J62" si="1">D21*1.055/1000</f>
        <v>17.840049999999998</v>
      </c>
      <c r="K21" s="401">
        <f>J21/0.45359</f>
        <v>39.330783306510284</v>
      </c>
      <c r="L21" s="401">
        <f>F21*1055.055</f>
        <v>6524.9876475000001</v>
      </c>
      <c r="M21" s="401">
        <f>G21*1.055/1000</f>
        <v>18.916149999999998</v>
      </c>
      <c r="N21" s="401">
        <f>M21*'Input data'!$E$18</f>
        <v>41.691194600000003</v>
      </c>
      <c r="O21" s="401">
        <f>N21*C21*'Input data'!$E$33</f>
        <v>6921.8776424121343</v>
      </c>
    </row>
    <row r="22" spans="2:19" s="611" customFormat="1">
      <c r="B22" s="401">
        <v>5</v>
      </c>
      <c r="C22" s="400">
        <f t="shared" si="0"/>
        <v>1.0366300366300367</v>
      </c>
      <c r="D22" s="401">
        <v>16990</v>
      </c>
      <c r="E22" s="401">
        <v>146860</v>
      </c>
      <c r="F22" s="400">
        <f t="shared" ref="F22:F62" si="2">E22*42/1000000</f>
        <v>6.16812</v>
      </c>
      <c r="G22" s="401">
        <v>17980</v>
      </c>
      <c r="H22" s="401">
        <f t="shared" ref="H22:H62" si="3">G22*2.204*C22</f>
        <v>41079.492161172173</v>
      </c>
      <c r="I22" s="400">
        <f t="shared" ref="I22:I62" si="4">H22*158.98/1000000</f>
        <v>6.5308176637831519</v>
      </c>
      <c r="J22" s="401">
        <f t="shared" si="1"/>
        <v>17.92445</v>
      </c>
      <c r="K22" s="401">
        <f t="shared" ref="K22:K62" si="5">J22/0.45359</f>
        <v>39.516854428007676</v>
      </c>
      <c r="L22" s="401">
        <f t="shared" ref="L22:L62" si="6">F22*1055.055</f>
        <v>6507.7058466000008</v>
      </c>
      <c r="M22" s="401">
        <f t="shared" ref="M22:M62" si="7">G22*1.055/1000</f>
        <v>18.968899999999998</v>
      </c>
      <c r="N22" s="401">
        <f>M22*'Input data'!$E$18</f>
        <v>41.807455599999997</v>
      </c>
      <c r="O22" s="401">
        <f>N22*C22*'Input data'!$E$33</f>
        <v>6890.3290090001037</v>
      </c>
    </row>
    <row r="23" spans="2:19" s="611" customFormat="1">
      <c r="B23" s="401">
        <v>6</v>
      </c>
      <c r="C23" s="400">
        <f t="shared" si="0"/>
        <v>1.0290909090909091</v>
      </c>
      <c r="D23" s="401">
        <v>17050</v>
      </c>
      <c r="E23" s="401">
        <v>146340</v>
      </c>
      <c r="F23" s="400">
        <f t="shared" si="2"/>
        <v>6.14628</v>
      </c>
      <c r="G23" s="401">
        <v>18030</v>
      </c>
      <c r="H23" s="401">
        <f t="shared" si="3"/>
        <v>40894.138036363634</v>
      </c>
      <c r="I23" s="400">
        <f t="shared" si="4"/>
        <v>6.5013500650210903</v>
      </c>
      <c r="J23" s="401">
        <f t="shared" si="1"/>
        <v>17.987749999999998</v>
      </c>
      <c r="K23" s="401">
        <f t="shared" si="5"/>
        <v>39.656407769130709</v>
      </c>
      <c r="L23" s="401">
        <f t="shared" si="6"/>
        <v>6484.6634454000005</v>
      </c>
      <c r="M23" s="401">
        <f t="shared" si="7"/>
        <v>19.021649999999998</v>
      </c>
      <c r="N23" s="401">
        <f>M23*'Input data'!$E$18</f>
        <v>41.923716599999999</v>
      </c>
      <c r="O23" s="401">
        <f>N23*C23*'Input data'!$E$33</f>
        <v>6859.2392648013374</v>
      </c>
    </row>
    <row r="24" spans="2:19" s="611" customFormat="1">
      <c r="B24" s="401">
        <v>7</v>
      </c>
      <c r="C24" s="400">
        <f t="shared" si="0"/>
        <v>1.0216606498194947</v>
      </c>
      <c r="D24" s="401">
        <v>17110</v>
      </c>
      <c r="E24" s="401">
        <v>145790</v>
      </c>
      <c r="F24" s="400">
        <f t="shared" si="2"/>
        <v>6.1231799999999996</v>
      </c>
      <c r="G24" s="401">
        <v>18090</v>
      </c>
      <c r="H24" s="401">
        <f t="shared" si="3"/>
        <v>40733.977906137188</v>
      </c>
      <c r="I24" s="400">
        <f t="shared" si="4"/>
        <v>6.4758878075176893</v>
      </c>
      <c r="J24" s="401">
        <f t="shared" si="1"/>
        <v>18.05105</v>
      </c>
      <c r="K24" s="401">
        <f t="shared" si="5"/>
        <v>39.795961110253756</v>
      </c>
      <c r="L24" s="401">
        <f t="shared" si="6"/>
        <v>6460.2916748999996</v>
      </c>
      <c r="M24" s="401">
        <f t="shared" si="7"/>
        <v>19.084949999999996</v>
      </c>
      <c r="N24" s="401">
        <f>M24*'Input data'!$E$18</f>
        <v>42.063229799999995</v>
      </c>
      <c r="O24" s="401">
        <f>N24*C24*'Input data'!$E$33</f>
        <v>6832.3753496620066</v>
      </c>
    </row>
    <row r="25" spans="2:19" s="611" customFormat="1">
      <c r="B25" s="401">
        <v>8</v>
      </c>
      <c r="C25" s="400">
        <f t="shared" si="0"/>
        <v>1.0143369175627239</v>
      </c>
      <c r="D25" s="401">
        <v>17170</v>
      </c>
      <c r="E25" s="401">
        <v>145260</v>
      </c>
      <c r="F25" s="400">
        <f t="shared" si="2"/>
        <v>6.1009200000000003</v>
      </c>
      <c r="G25" s="401">
        <v>18150</v>
      </c>
      <c r="H25" s="401">
        <f t="shared" si="3"/>
        <v>40576.113978494628</v>
      </c>
      <c r="I25" s="400">
        <f t="shared" si="4"/>
        <v>6.450790600301076</v>
      </c>
      <c r="J25" s="401">
        <f t="shared" si="1"/>
        <v>18.114349999999998</v>
      </c>
      <c r="K25" s="401">
        <f t="shared" si="5"/>
        <v>39.93551445137679</v>
      </c>
      <c r="L25" s="401">
        <f t="shared" si="6"/>
        <v>6436.8061506000004</v>
      </c>
      <c r="M25" s="401">
        <f t="shared" si="7"/>
        <v>19.148250000000001</v>
      </c>
      <c r="N25" s="401">
        <f>M25*'Input data'!$E$18</f>
        <v>42.202743000000005</v>
      </c>
      <c r="O25" s="401">
        <f>N25*C25*'Input data'!$E$33</f>
        <v>6805.8965802594403</v>
      </c>
    </row>
    <row r="26" spans="2:19" s="611" customFormat="1">
      <c r="B26" s="401">
        <v>9</v>
      </c>
      <c r="C26" s="400">
        <f t="shared" si="0"/>
        <v>1.0071174377224199</v>
      </c>
      <c r="D26" s="401">
        <v>17230</v>
      </c>
      <c r="E26" s="401">
        <v>144700</v>
      </c>
      <c r="F26" s="400">
        <f t="shared" si="2"/>
        <v>6.0773999999999999</v>
      </c>
      <c r="G26" s="401">
        <v>18210</v>
      </c>
      <c r="H26" s="401">
        <f t="shared" si="3"/>
        <v>40420.497224199295</v>
      </c>
      <c r="I26" s="400">
        <f t="shared" si="4"/>
        <v>6.4260506487032032</v>
      </c>
      <c r="J26" s="401">
        <f t="shared" si="1"/>
        <v>18.177649999999996</v>
      </c>
      <c r="K26" s="401">
        <f t="shared" si="5"/>
        <v>40.07506779249983</v>
      </c>
      <c r="L26" s="401">
        <f t="shared" si="6"/>
        <v>6411.9912570000006</v>
      </c>
      <c r="M26" s="401">
        <f t="shared" si="7"/>
        <v>19.211549999999999</v>
      </c>
      <c r="N26" s="401">
        <f>M26*'Input data'!$E$18</f>
        <v>42.342256200000001</v>
      </c>
      <c r="O26" s="401">
        <f>N26*C26*'Input data'!$E$33</f>
        <v>6779.7947328412511</v>
      </c>
    </row>
    <row r="27" spans="2:19" s="611" customFormat="1">
      <c r="B27" s="401">
        <v>10</v>
      </c>
      <c r="C27" s="400">
        <f t="shared" si="0"/>
        <v>1</v>
      </c>
      <c r="D27" s="401">
        <v>17270</v>
      </c>
      <c r="E27" s="401">
        <v>144000</v>
      </c>
      <c r="F27" s="400">
        <f t="shared" si="2"/>
        <v>6.048</v>
      </c>
      <c r="G27" s="401">
        <v>18260</v>
      </c>
      <c r="H27" s="401">
        <f t="shared" si="3"/>
        <v>40245.040000000001</v>
      </c>
      <c r="I27" s="400">
        <f t="shared" si="4"/>
        <v>6.3981564591999991</v>
      </c>
      <c r="J27" s="401">
        <f t="shared" si="1"/>
        <v>18.219849999999997</v>
      </c>
      <c r="K27" s="401">
        <f t="shared" si="5"/>
        <v>40.168103353248526</v>
      </c>
      <c r="L27" s="401">
        <f t="shared" si="6"/>
        <v>6380.9726400000009</v>
      </c>
      <c r="M27" s="401">
        <f t="shared" si="7"/>
        <v>19.264299999999999</v>
      </c>
      <c r="N27" s="401">
        <f>M27*'Input data'!$E$18</f>
        <v>42.458517200000003</v>
      </c>
      <c r="O27" s="401">
        <f>N27*C27*'Input data'!$E$33</f>
        <v>6750.3650116315603</v>
      </c>
    </row>
    <row r="28" spans="2:19" s="611" customFormat="1">
      <c r="B28" s="401">
        <v>11</v>
      </c>
      <c r="C28" s="400">
        <f t="shared" si="0"/>
        <v>0.99298245614035086</v>
      </c>
      <c r="D28" s="401">
        <v>17310</v>
      </c>
      <c r="E28" s="401">
        <v>143410</v>
      </c>
      <c r="F28" s="400">
        <f t="shared" si="2"/>
        <v>6.0232200000000002</v>
      </c>
      <c r="G28" s="401">
        <v>18310</v>
      </c>
      <c r="H28" s="401">
        <f t="shared" si="3"/>
        <v>40072.045333333335</v>
      </c>
      <c r="I28" s="400">
        <f t="shared" si="4"/>
        <v>6.3706537670933336</v>
      </c>
      <c r="J28" s="401">
        <f t="shared" si="1"/>
        <v>18.262049999999999</v>
      </c>
      <c r="K28" s="401">
        <f t="shared" si="5"/>
        <v>40.261138913997222</v>
      </c>
      <c r="L28" s="401">
        <f t="shared" si="6"/>
        <v>6354.8283771000006</v>
      </c>
      <c r="M28" s="401">
        <f t="shared" si="7"/>
        <v>19.317049999999998</v>
      </c>
      <c r="N28" s="401">
        <f>M28*'Input data'!$E$18</f>
        <v>42.574778199999997</v>
      </c>
      <c r="O28" s="401">
        <f>N28*C28*'Input data'!$E$33</f>
        <v>6721.3483391406007</v>
      </c>
    </row>
    <row r="29" spans="2:19" s="611" customFormat="1">
      <c r="B29" s="401">
        <v>12</v>
      </c>
      <c r="C29" s="400">
        <f>141.5/(B29+131.5)</f>
        <v>0.98606271777003485</v>
      </c>
      <c r="D29" s="401">
        <v>17350</v>
      </c>
      <c r="E29" s="401">
        <v>142720</v>
      </c>
      <c r="F29" s="400">
        <f t="shared" si="2"/>
        <v>5.9942399999999996</v>
      </c>
      <c r="G29" s="401">
        <v>18360</v>
      </c>
      <c r="H29" s="401">
        <f t="shared" si="3"/>
        <v>39901.461742160282</v>
      </c>
      <c r="I29" s="400">
        <f t="shared" si="4"/>
        <v>6.3435343877686412</v>
      </c>
      <c r="J29" s="401">
        <f t="shared" si="1"/>
        <v>18.30425</v>
      </c>
      <c r="K29" s="401">
        <f t="shared" si="5"/>
        <v>40.354174474745918</v>
      </c>
      <c r="L29" s="401">
        <f t="shared" si="6"/>
        <v>6324.2528831999998</v>
      </c>
      <c r="M29" s="401">
        <f t="shared" si="7"/>
        <v>19.369799999999998</v>
      </c>
      <c r="N29" s="401">
        <f>M29*'Input data'!$E$18</f>
        <v>42.691039199999999</v>
      </c>
      <c r="O29" s="401">
        <f>N29*C29*'Input data'!$E$33</f>
        <v>6692.7360802035228</v>
      </c>
    </row>
    <row r="30" spans="2:19" s="611" customFormat="1">
      <c r="B30" s="401">
        <v>13</v>
      </c>
      <c r="C30" s="400">
        <f>141.5/(B30+131.5)</f>
        <v>0.97923875432525953</v>
      </c>
      <c r="D30" s="401">
        <v>17400</v>
      </c>
      <c r="E30" s="401">
        <v>142030</v>
      </c>
      <c r="F30" s="400">
        <f t="shared" si="2"/>
        <v>5.9652599999999998</v>
      </c>
      <c r="G30" s="401">
        <v>18410</v>
      </c>
      <c r="H30" s="401">
        <f t="shared" si="3"/>
        <v>39733.239169550179</v>
      </c>
      <c r="I30" s="400">
        <f t="shared" si="4"/>
        <v>6.3167903631750866</v>
      </c>
      <c r="J30" s="401">
        <f t="shared" si="1"/>
        <v>18.356999999999999</v>
      </c>
      <c r="K30" s="401">
        <f t="shared" si="5"/>
        <v>40.470468925681779</v>
      </c>
      <c r="L30" s="401">
        <f t="shared" si="6"/>
        <v>6293.6773893</v>
      </c>
      <c r="M30" s="401">
        <f t="shared" si="7"/>
        <v>19.422549999999998</v>
      </c>
      <c r="N30" s="401">
        <f>M30*'Input data'!$E$18</f>
        <v>42.8073002</v>
      </c>
      <c r="O30" s="401">
        <f>N30*C30*'Input data'!$E$33</f>
        <v>6664.5198386911816</v>
      </c>
    </row>
    <row r="31" spans="2:19" s="611" customFormat="1">
      <c r="B31" s="401">
        <v>14</v>
      </c>
      <c r="C31" s="400">
        <f>141.5/(B31+131.5)</f>
        <v>0.97250859106529208</v>
      </c>
      <c r="D31" s="401">
        <v>17440</v>
      </c>
      <c r="E31" s="401">
        <v>141440</v>
      </c>
      <c r="F31" s="400">
        <f t="shared" si="2"/>
        <v>5.94048</v>
      </c>
      <c r="G31" s="401">
        <v>18450</v>
      </c>
      <c r="H31" s="401">
        <f t="shared" si="3"/>
        <v>39545.894845360825</v>
      </c>
      <c r="I31" s="400">
        <f t="shared" si="4"/>
        <v>6.2870063625154637</v>
      </c>
      <c r="J31" s="401">
        <f t="shared" si="1"/>
        <v>18.3992</v>
      </c>
      <c r="K31" s="401">
        <f t="shared" si="5"/>
        <v>40.563504486430482</v>
      </c>
      <c r="L31" s="401">
        <f t="shared" si="6"/>
        <v>6267.5331264000006</v>
      </c>
      <c r="M31" s="401">
        <f t="shared" si="7"/>
        <v>19.464749999999999</v>
      </c>
      <c r="N31" s="401">
        <f>M31*'Input data'!$E$18</f>
        <v>42.900309</v>
      </c>
      <c r="O31" s="401">
        <f>N31*C31*'Input data'!$E$33</f>
        <v>6633.0962751629659</v>
      </c>
    </row>
    <row r="32" spans="2:19" s="611" customFormat="1">
      <c r="B32" s="401">
        <v>15</v>
      </c>
      <c r="C32" s="400">
        <f t="shared" ref="C32:C62" si="8">141.5/(B32+131.5)</f>
        <v>0.96587030716723554</v>
      </c>
      <c r="D32" s="401">
        <v>17480</v>
      </c>
      <c r="E32" s="401">
        <v>140750</v>
      </c>
      <c r="F32" s="400">
        <f t="shared" si="2"/>
        <v>5.9115000000000002</v>
      </c>
      <c r="G32" s="401">
        <v>18500</v>
      </c>
      <c r="H32" s="401">
        <f t="shared" si="3"/>
        <v>39382.39590443686</v>
      </c>
      <c r="I32" s="400">
        <f t="shared" si="4"/>
        <v>6.2610133008873712</v>
      </c>
      <c r="J32" s="401">
        <f t="shared" si="1"/>
        <v>18.441399999999998</v>
      </c>
      <c r="K32" s="401">
        <f t="shared" si="5"/>
        <v>40.656540047179163</v>
      </c>
      <c r="L32" s="401">
        <f t="shared" si="6"/>
        <v>6236.9576325000007</v>
      </c>
      <c r="M32" s="401">
        <f t="shared" si="7"/>
        <v>19.517499999999998</v>
      </c>
      <c r="N32" s="401">
        <f>M32*'Input data'!$E$18</f>
        <v>43.016570000000002</v>
      </c>
      <c r="O32" s="401">
        <f>N32*C32*'Input data'!$E$33</f>
        <v>6605.6723359582356</v>
      </c>
    </row>
    <row r="33" spans="2:15" s="611" customFormat="1">
      <c r="B33" s="401">
        <v>16</v>
      </c>
      <c r="C33" s="400">
        <f t="shared" si="8"/>
        <v>0.95932203389830506</v>
      </c>
      <c r="D33" s="401">
        <v>17520</v>
      </c>
      <c r="E33" s="401">
        <v>140160</v>
      </c>
      <c r="F33" s="400">
        <f t="shared" si="2"/>
        <v>5.8867200000000004</v>
      </c>
      <c r="G33" s="401">
        <v>18550</v>
      </c>
      <c r="H33" s="401">
        <f t="shared" si="3"/>
        <v>39221.113898305091</v>
      </c>
      <c r="I33" s="400">
        <f t="shared" si="4"/>
        <v>6.2353726875525437</v>
      </c>
      <c r="J33" s="401">
        <f t="shared" si="1"/>
        <v>18.483599999999999</v>
      </c>
      <c r="K33" s="401">
        <f t="shared" si="5"/>
        <v>40.749575607927866</v>
      </c>
      <c r="L33" s="401">
        <f t="shared" si="6"/>
        <v>6210.8133696000004</v>
      </c>
      <c r="M33" s="401">
        <f t="shared" si="7"/>
        <v>19.570250000000001</v>
      </c>
      <c r="N33" s="401">
        <f>M33*'Input data'!$E$18</f>
        <v>43.13283100000001</v>
      </c>
      <c r="O33" s="401">
        <f>N33*C33*'Input data'!$E$33</f>
        <v>6578.6202467766216</v>
      </c>
    </row>
    <row r="34" spans="2:15" s="611" customFormat="1">
      <c r="B34" s="401">
        <v>17</v>
      </c>
      <c r="C34" s="400">
        <f t="shared" si="8"/>
        <v>0.95286195286195285</v>
      </c>
      <c r="D34" s="401">
        <v>17550</v>
      </c>
      <c r="E34" s="401">
        <v>139470</v>
      </c>
      <c r="F34" s="400">
        <f t="shared" si="2"/>
        <v>5.8577399999999997</v>
      </c>
      <c r="G34" s="401">
        <v>18600</v>
      </c>
      <c r="H34" s="401">
        <f t="shared" si="3"/>
        <v>39062.004040404041</v>
      </c>
      <c r="I34" s="400">
        <f t="shared" si="4"/>
        <v>6.2100774023434342</v>
      </c>
      <c r="J34" s="401">
        <f t="shared" si="1"/>
        <v>18.515250000000002</v>
      </c>
      <c r="K34" s="401">
        <f t="shared" si="5"/>
        <v>40.81935227848939</v>
      </c>
      <c r="L34" s="401">
        <f t="shared" si="6"/>
        <v>6180.2378756999997</v>
      </c>
      <c r="M34" s="401">
        <f t="shared" si="7"/>
        <v>19.623000000000001</v>
      </c>
      <c r="N34" s="401">
        <f>M34*'Input data'!$E$18</f>
        <v>43.249092000000005</v>
      </c>
      <c r="O34" s="401">
        <f>N34*C34*'Input data'!$E$33</f>
        <v>6551.9324954964413</v>
      </c>
    </row>
    <row r="35" spans="2:15" s="611" customFormat="1">
      <c r="B35" s="401">
        <v>18</v>
      </c>
      <c r="C35" s="400">
        <f t="shared" si="8"/>
        <v>0.94648829431438131</v>
      </c>
      <c r="D35" s="401">
        <v>17590</v>
      </c>
      <c r="E35" s="401">
        <v>138790</v>
      </c>
      <c r="F35" s="400">
        <f t="shared" si="2"/>
        <v>5.82918</v>
      </c>
      <c r="G35" s="401">
        <v>18650</v>
      </c>
      <c r="H35" s="401">
        <f t="shared" si="3"/>
        <v>38905.022742474925</v>
      </c>
      <c r="I35" s="400">
        <f t="shared" si="4"/>
        <v>6.1851205155986628</v>
      </c>
      <c r="J35" s="401">
        <f t="shared" si="1"/>
        <v>18.557449999999996</v>
      </c>
      <c r="K35" s="401">
        <f t="shared" si="5"/>
        <v>40.912387839238072</v>
      </c>
      <c r="L35" s="401">
        <f t="shared" si="6"/>
        <v>6150.1055049000006</v>
      </c>
      <c r="M35" s="401">
        <f t="shared" si="7"/>
        <v>19.675750000000001</v>
      </c>
      <c r="N35" s="401">
        <f>M35*'Input data'!$E$18</f>
        <v>43.365353000000006</v>
      </c>
      <c r="O35" s="401">
        <f>N35*C35*'Input data'!$E$33</f>
        <v>6525.6017709892403</v>
      </c>
    </row>
    <row r="36" spans="2:15" s="611" customFormat="1">
      <c r="B36" s="401">
        <v>19</v>
      </c>
      <c r="C36" s="400">
        <f t="shared" si="8"/>
        <v>0.94019933554817281</v>
      </c>
      <c r="D36" s="401">
        <v>17630</v>
      </c>
      <c r="E36" s="401">
        <v>138190</v>
      </c>
      <c r="F36" s="400">
        <f t="shared" si="2"/>
        <v>5.8039800000000001</v>
      </c>
      <c r="G36" s="401">
        <v>18700</v>
      </c>
      <c r="H36" s="401">
        <f t="shared" si="3"/>
        <v>38750.127574750833</v>
      </c>
      <c r="I36" s="400">
        <f t="shared" si="4"/>
        <v>6.1604952818338869</v>
      </c>
      <c r="J36" s="401">
        <f t="shared" si="1"/>
        <v>18.599649999999997</v>
      </c>
      <c r="K36" s="401">
        <f t="shared" si="5"/>
        <v>41.005423399986768</v>
      </c>
      <c r="L36" s="401">
        <f t="shared" si="6"/>
        <v>6123.5181189000004</v>
      </c>
      <c r="M36" s="401">
        <f t="shared" si="7"/>
        <v>19.7285</v>
      </c>
      <c r="N36" s="401">
        <f>M36*'Input data'!$E$18</f>
        <v>43.481614000000008</v>
      </c>
      <c r="O36" s="401">
        <f>N36*C36*'Input data'!$E$33</f>
        <v>6499.6209564422697</v>
      </c>
    </row>
    <row r="37" spans="2:15" s="611" customFormat="1">
      <c r="B37" s="401">
        <v>20</v>
      </c>
      <c r="C37" s="400">
        <f t="shared" si="8"/>
        <v>0.93399339933993397</v>
      </c>
      <c r="D37" s="401">
        <v>17660</v>
      </c>
      <c r="E37" s="401">
        <v>137510</v>
      </c>
      <c r="F37" s="400">
        <f t="shared" si="2"/>
        <v>5.7754200000000004</v>
      </c>
      <c r="G37" s="401">
        <v>18740</v>
      </c>
      <c r="H37" s="401">
        <f t="shared" si="3"/>
        <v>38576.692013201326</v>
      </c>
      <c r="I37" s="400">
        <f t="shared" si="4"/>
        <v>6.1329224962587459</v>
      </c>
      <c r="J37" s="401">
        <f t="shared" si="1"/>
        <v>18.6313</v>
      </c>
      <c r="K37" s="401">
        <f t="shared" si="5"/>
        <v>41.075200070548291</v>
      </c>
      <c r="L37" s="401">
        <f t="shared" si="6"/>
        <v>6093.3857481000005</v>
      </c>
      <c r="M37" s="401">
        <f t="shared" si="7"/>
        <v>19.770699999999998</v>
      </c>
      <c r="N37" s="401">
        <f>M37*'Input data'!$E$18</f>
        <v>43.5746228</v>
      </c>
      <c r="O37" s="401">
        <f>N37*C37*'Input data'!$E$33</f>
        <v>6470.5303319465165</v>
      </c>
    </row>
    <row r="38" spans="2:15" s="611" customFormat="1">
      <c r="B38" s="401">
        <v>21</v>
      </c>
      <c r="C38" s="400">
        <f t="shared" si="8"/>
        <v>0.9278688524590164</v>
      </c>
      <c r="D38" s="401">
        <v>17690</v>
      </c>
      <c r="E38" s="401">
        <v>136910</v>
      </c>
      <c r="F38" s="400">
        <f t="shared" si="2"/>
        <v>5.7502199999999997</v>
      </c>
      <c r="G38" s="401">
        <v>18780</v>
      </c>
      <c r="H38" s="401">
        <f t="shared" si="3"/>
        <v>38405.531016393448</v>
      </c>
      <c r="I38" s="400">
        <f t="shared" si="4"/>
        <v>6.1057113209862299</v>
      </c>
      <c r="J38" s="401">
        <f t="shared" si="1"/>
        <v>18.662949999999999</v>
      </c>
      <c r="K38" s="401">
        <f t="shared" si="5"/>
        <v>41.144976741109808</v>
      </c>
      <c r="L38" s="401">
        <f t="shared" si="6"/>
        <v>6066.7983621000003</v>
      </c>
      <c r="M38" s="401">
        <f t="shared" si="7"/>
        <v>19.812899999999999</v>
      </c>
      <c r="N38" s="401">
        <f>M38*'Input data'!$E$18</f>
        <v>43.6676316</v>
      </c>
      <c r="O38" s="401">
        <f>N38*C38*'Input data'!$E$33</f>
        <v>6441.8212238375954</v>
      </c>
    </row>
    <row r="39" spans="2:15" s="611" customFormat="1">
      <c r="B39" s="401">
        <v>22</v>
      </c>
      <c r="C39" s="400">
        <f t="shared" si="8"/>
        <v>0.92182410423452765</v>
      </c>
      <c r="D39" s="401">
        <v>17730</v>
      </c>
      <c r="E39" s="401">
        <v>136230</v>
      </c>
      <c r="F39" s="400">
        <f t="shared" si="2"/>
        <v>5.72166</v>
      </c>
      <c r="G39" s="401">
        <v>18820</v>
      </c>
      <c r="H39" s="401">
        <f t="shared" si="3"/>
        <v>38236.600130293162</v>
      </c>
      <c r="I39" s="400">
        <f t="shared" si="4"/>
        <v>6.0788546887140074</v>
      </c>
      <c r="J39" s="401">
        <f t="shared" si="1"/>
        <v>18.705149999999996</v>
      </c>
      <c r="K39" s="401">
        <f t="shared" si="5"/>
        <v>41.238012301858497</v>
      </c>
      <c r="L39" s="401">
        <f t="shared" si="6"/>
        <v>6036.6659913000003</v>
      </c>
      <c r="M39" s="401">
        <f t="shared" si="7"/>
        <v>19.8551</v>
      </c>
      <c r="N39" s="401">
        <f>M39*'Input data'!$E$18</f>
        <v>43.760640400000007</v>
      </c>
      <c r="O39" s="401">
        <f>N39*C39*'Input data'!$E$33</f>
        <v>6413.4861757691815</v>
      </c>
    </row>
    <row r="40" spans="2:15" s="611" customFormat="1">
      <c r="B40" s="401">
        <v>23</v>
      </c>
      <c r="C40" s="400">
        <f t="shared" si="8"/>
        <v>0.91585760517799353</v>
      </c>
      <c r="D40" s="401">
        <v>17760</v>
      </c>
      <c r="E40" s="401">
        <v>135640</v>
      </c>
      <c r="F40" s="400">
        <f t="shared" si="2"/>
        <v>5.6968800000000002</v>
      </c>
      <c r="G40" s="401">
        <v>18860</v>
      </c>
      <c r="H40" s="401">
        <f t="shared" si="3"/>
        <v>38069.856051779934</v>
      </c>
      <c r="I40" s="400">
        <f t="shared" si="4"/>
        <v>6.0523457151119739</v>
      </c>
      <c r="J40" s="401">
        <f t="shared" si="1"/>
        <v>18.736799999999999</v>
      </c>
      <c r="K40" s="401">
        <f t="shared" si="5"/>
        <v>41.307788972420028</v>
      </c>
      <c r="L40" s="401">
        <f t="shared" si="6"/>
        <v>6010.5217284000009</v>
      </c>
      <c r="M40" s="401">
        <f t="shared" si="7"/>
        <v>19.897299999999998</v>
      </c>
      <c r="N40" s="401">
        <f>M40*'Input data'!$E$18</f>
        <v>43.8536492</v>
      </c>
      <c r="O40" s="401">
        <f>N40*C40*'Input data'!$E$33</f>
        <v>6385.5179244395149</v>
      </c>
    </row>
    <row r="41" spans="2:15" s="611" customFormat="1">
      <c r="B41" s="401">
        <v>24</v>
      </c>
      <c r="C41" s="400">
        <f t="shared" si="8"/>
        <v>0.909967845659164</v>
      </c>
      <c r="D41" s="401">
        <v>17800</v>
      </c>
      <c r="E41" s="401">
        <v>135040</v>
      </c>
      <c r="F41" s="400">
        <f t="shared" si="2"/>
        <v>5.6716800000000003</v>
      </c>
      <c r="G41" s="401">
        <v>18900</v>
      </c>
      <c r="H41" s="401">
        <f t="shared" si="3"/>
        <v>37905.256591639874</v>
      </c>
      <c r="I41" s="400">
        <f t="shared" si="4"/>
        <v>6.0261776929389068</v>
      </c>
      <c r="J41" s="401">
        <f t="shared" si="1"/>
        <v>18.779</v>
      </c>
      <c r="K41" s="401">
        <f t="shared" si="5"/>
        <v>41.400824533168723</v>
      </c>
      <c r="L41" s="401">
        <f t="shared" si="6"/>
        <v>5983.9343424000008</v>
      </c>
      <c r="M41" s="401">
        <f t="shared" si="7"/>
        <v>19.939499999999999</v>
      </c>
      <c r="N41" s="401">
        <f>M41*'Input data'!$E$18</f>
        <v>43.946657999999999</v>
      </c>
      <c r="O41" s="401">
        <f>N41*C41*'Input data'!$E$33</f>
        <v>6357.9093933841868</v>
      </c>
    </row>
    <row r="42" spans="2:15" s="611" customFormat="1">
      <c r="B42" s="401">
        <v>25</v>
      </c>
      <c r="C42" s="400">
        <f t="shared" si="8"/>
        <v>0.90415335463258784</v>
      </c>
      <c r="D42" s="401">
        <v>17830</v>
      </c>
      <c r="E42" s="401">
        <v>134350</v>
      </c>
      <c r="F42" s="400">
        <f t="shared" si="2"/>
        <v>5.6426999999999996</v>
      </c>
      <c r="G42" s="401">
        <v>18940</v>
      </c>
      <c r="H42" s="401">
        <f t="shared" si="3"/>
        <v>37742.760638977634</v>
      </c>
      <c r="I42" s="400">
        <f t="shared" si="4"/>
        <v>6.000344086384664</v>
      </c>
      <c r="J42" s="401">
        <f t="shared" si="1"/>
        <v>18.810649999999999</v>
      </c>
      <c r="K42" s="401">
        <f t="shared" si="5"/>
        <v>41.47060120373024</v>
      </c>
      <c r="L42" s="401">
        <f t="shared" si="6"/>
        <v>5953.3588485</v>
      </c>
      <c r="M42" s="401">
        <f t="shared" si="7"/>
        <v>19.981699999999996</v>
      </c>
      <c r="N42" s="401">
        <f>M42*'Input data'!$E$18</f>
        <v>44.039666799999999</v>
      </c>
      <c r="O42" s="401">
        <f>N42*C42*'Input data'!$E$33</f>
        <v>6330.6536870068821</v>
      </c>
    </row>
    <row r="43" spans="2:15" s="611" customFormat="1">
      <c r="B43" s="401">
        <v>26</v>
      </c>
      <c r="C43" s="400">
        <f t="shared" si="8"/>
        <v>0.89841269841269844</v>
      </c>
      <c r="D43" s="401">
        <v>17860</v>
      </c>
      <c r="E43" s="401">
        <v>133760</v>
      </c>
      <c r="F43" s="400">
        <f t="shared" si="2"/>
        <v>5.6179199999999998</v>
      </c>
      <c r="G43" s="401">
        <v>18980</v>
      </c>
      <c r="H43" s="401">
        <f t="shared" si="3"/>
        <v>37582.328126984132</v>
      </c>
      <c r="I43" s="400">
        <f t="shared" si="4"/>
        <v>5.9748385256279368</v>
      </c>
      <c r="J43" s="401">
        <f t="shared" si="1"/>
        <v>18.842299999999998</v>
      </c>
      <c r="K43" s="401">
        <f t="shared" si="5"/>
        <v>41.540377874291757</v>
      </c>
      <c r="L43" s="401">
        <f t="shared" si="6"/>
        <v>5927.2145855999997</v>
      </c>
      <c r="M43" s="401">
        <f t="shared" si="7"/>
        <v>20.023899999999998</v>
      </c>
      <c r="N43" s="401">
        <f>M43*'Input data'!$E$18</f>
        <v>44.132675599999999</v>
      </c>
      <c r="O43" s="401">
        <f>N43*C43*'Input data'!$E$33</f>
        <v>6303.7440848375436</v>
      </c>
    </row>
    <row r="44" spans="2:15" s="611" customFormat="1">
      <c r="B44" s="401">
        <v>27</v>
      </c>
      <c r="C44" s="400">
        <f t="shared" si="8"/>
        <v>0.89274447949526814</v>
      </c>
      <c r="D44" s="401">
        <v>17890</v>
      </c>
      <c r="E44" s="401">
        <v>133170</v>
      </c>
      <c r="F44" s="400">
        <f t="shared" si="2"/>
        <v>5.59314</v>
      </c>
      <c r="G44" s="401">
        <v>19020</v>
      </c>
      <c r="H44" s="401">
        <f t="shared" si="3"/>
        <v>37423.919999999998</v>
      </c>
      <c r="I44" s="400">
        <f t="shared" si="4"/>
        <v>5.9496548015999986</v>
      </c>
      <c r="J44" s="401">
        <f t="shared" si="1"/>
        <v>18.873949999999997</v>
      </c>
      <c r="K44" s="401">
        <f t="shared" si="5"/>
        <v>41.610154544853273</v>
      </c>
      <c r="L44" s="401">
        <f t="shared" si="6"/>
        <v>5901.0703227000004</v>
      </c>
      <c r="M44" s="401">
        <f t="shared" si="7"/>
        <v>20.066099999999999</v>
      </c>
      <c r="N44" s="401">
        <f>M44*'Input data'!$E$18</f>
        <v>44.225684399999999</v>
      </c>
      <c r="O44" s="401">
        <f>N44*C44*'Input data'!$E$33</f>
        <v>6277.1740360078793</v>
      </c>
    </row>
    <row r="45" spans="2:15" s="611" customFormat="1">
      <c r="B45" s="401">
        <v>28</v>
      </c>
      <c r="C45" s="400">
        <f t="shared" si="8"/>
        <v>0.88714733542319746</v>
      </c>
      <c r="D45" s="401">
        <v>17920</v>
      </c>
      <c r="E45" s="401">
        <v>132580</v>
      </c>
      <c r="F45" s="400">
        <f t="shared" si="2"/>
        <v>5.5683600000000002</v>
      </c>
      <c r="G45" s="401">
        <v>19060</v>
      </c>
      <c r="H45" s="401">
        <f t="shared" si="3"/>
        <v>37267.498181818184</v>
      </c>
      <c r="I45" s="400">
        <f t="shared" si="4"/>
        <v>5.9247868609454546</v>
      </c>
      <c r="J45" s="401">
        <f t="shared" si="1"/>
        <v>18.9056</v>
      </c>
      <c r="K45" s="401">
        <f t="shared" si="5"/>
        <v>41.679931215414804</v>
      </c>
      <c r="L45" s="401">
        <f t="shared" si="6"/>
        <v>5874.926059800001</v>
      </c>
      <c r="M45" s="401">
        <f t="shared" si="7"/>
        <v>20.1083</v>
      </c>
      <c r="N45" s="401">
        <f>M45*'Input data'!$E$18</f>
        <v>44.318693200000006</v>
      </c>
      <c r="O45" s="401">
        <f>N45*C45*'Input data'!$E$33</f>
        <v>6250.937153934703</v>
      </c>
    </row>
    <row r="46" spans="2:15" s="611" customFormat="1">
      <c r="B46" s="401">
        <v>29</v>
      </c>
      <c r="C46" s="400">
        <f t="shared" si="8"/>
        <v>0.88161993769470404</v>
      </c>
      <c r="D46" s="401">
        <v>17950</v>
      </c>
      <c r="E46" s="401">
        <v>131890</v>
      </c>
      <c r="F46" s="400">
        <f t="shared" si="2"/>
        <v>5.5393800000000004</v>
      </c>
      <c r="G46" s="401">
        <v>19090</v>
      </c>
      <c r="H46" s="401">
        <f t="shared" si="3"/>
        <v>37093.594641744545</v>
      </c>
      <c r="I46" s="400">
        <f t="shared" si="4"/>
        <v>5.8971396761445476</v>
      </c>
      <c r="J46" s="401">
        <f t="shared" si="1"/>
        <v>18.937249999999999</v>
      </c>
      <c r="K46" s="401">
        <f t="shared" si="5"/>
        <v>41.749707885976321</v>
      </c>
      <c r="L46" s="401">
        <f t="shared" si="6"/>
        <v>5844.3505659000011</v>
      </c>
      <c r="M46" s="401">
        <f t="shared" si="7"/>
        <v>20.139949999999995</v>
      </c>
      <c r="N46" s="401">
        <f>M46*'Input data'!$E$18</f>
        <v>44.388449799999997</v>
      </c>
      <c r="O46" s="401">
        <f>N46*C46*'Input data'!$E$33</f>
        <v>6221.7680346516318</v>
      </c>
    </row>
    <row r="47" spans="2:15" s="611" customFormat="1">
      <c r="B47" s="401">
        <v>30</v>
      </c>
      <c r="C47" s="400">
        <f t="shared" si="8"/>
        <v>0.87616099071207432</v>
      </c>
      <c r="D47" s="401">
        <v>17980</v>
      </c>
      <c r="E47" s="401">
        <v>131300</v>
      </c>
      <c r="F47" s="400">
        <f t="shared" si="2"/>
        <v>5.5145999999999997</v>
      </c>
      <c r="G47" s="401">
        <v>19130</v>
      </c>
      <c r="H47" s="401">
        <f t="shared" si="3"/>
        <v>36941.155294117649</v>
      </c>
      <c r="I47" s="400">
        <f t="shared" si="4"/>
        <v>5.8729048686588232</v>
      </c>
      <c r="J47" s="401">
        <f t="shared" si="1"/>
        <v>18.968899999999998</v>
      </c>
      <c r="K47" s="401">
        <f t="shared" si="5"/>
        <v>41.819484556537837</v>
      </c>
      <c r="L47" s="401">
        <f t="shared" si="6"/>
        <v>5818.2063029999999</v>
      </c>
      <c r="M47" s="401">
        <f t="shared" si="7"/>
        <v>20.182149999999996</v>
      </c>
      <c r="N47" s="401">
        <f>M47*'Input data'!$E$18</f>
        <v>44.481458599999996</v>
      </c>
      <c r="O47" s="401">
        <f>N47*C47*'Input data'!$E$33</f>
        <v>6196.1991387425569</v>
      </c>
    </row>
    <row r="48" spans="2:15" s="611" customFormat="1">
      <c r="B48" s="401">
        <v>31</v>
      </c>
      <c r="C48" s="400">
        <f t="shared" si="8"/>
        <v>0.87076923076923074</v>
      </c>
      <c r="D48" s="401">
        <v>18000</v>
      </c>
      <c r="E48" s="401">
        <v>130710</v>
      </c>
      <c r="F48" s="400">
        <f t="shared" si="2"/>
        <v>5.4898199999999999</v>
      </c>
      <c r="G48" s="401">
        <v>19160</v>
      </c>
      <c r="H48" s="401">
        <f t="shared" si="3"/>
        <v>36771.400369230774</v>
      </c>
      <c r="I48" s="400">
        <f t="shared" si="4"/>
        <v>5.8459172307003087</v>
      </c>
      <c r="J48" s="401">
        <f t="shared" si="1"/>
        <v>18.989999999999998</v>
      </c>
      <c r="K48" s="401">
        <f t="shared" si="5"/>
        <v>41.866002336912189</v>
      </c>
      <c r="L48" s="401">
        <f t="shared" si="6"/>
        <v>5792.0620401000006</v>
      </c>
      <c r="M48" s="401">
        <f t="shared" si="7"/>
        <v>20.213799999999999</v>
      </c>
      <c r="N48" s="401">
        <f>M48*'Input data'!$E$18</f>
        <v>44.551215200000001</v>
      </c>
      <c r="O48" s="401">
        <f>N48*C48*'Input data'!$E$33</f>
        <v>6167.725873328769</v>
      </c>
    </row>
    <row r="49" spans="2:19" s="611" customFormat="1">
      <c r="B49" s="401">
        <v>32</v>
      </c>
      <c r="C49" s="400">
        <f t="shared" si="8"/>
        <v>0.86544342507645255</v>
      </c>
      <c r="D49" s="401">
        <v>18030</v>
      </c>
      <c r="E49" s="401">
        <v>130120</v>
      </c>
      <c r="F49" s="400">
        <f t="shared" si="2"/>
        <v>5.4650400000000001</v>
      </c>
      <c r="G49" s="401">
        <v>19200</v>
      </c>
      <c r="H49" s="401">
        <f t="shared" si="3"/>
        <v>36622.796330275232</v>
      </c>
      <c r="I49" s="400">
        <f t="shared" si="4"/>
        <v>5.822292160587156</v>
      </c>
      <c r="J49" s="401">
        <f t="shared" si="1"/>
        <v>19.021649999999998</v>
      </c>
      <c r="K49" s="401">
        <f t="shared" si="5"/>
        <v>41.935779007473705</v>
      </c>
      <c r="L49" s="401">
        <f t="shared" si="6"/>
        <v>5765.9177772000003</v>
      </c>
      <c r="M49" s="401">
        <f t="shared" si="7"/>
        <v>20.256</v>
      </c>
      <c r="N49" s="401">
        <f>M49*'Input data'!$E$18</f>
        <v>44.644224000000001</v>
      </c>
      <c r="O49" s="401">
        <f>N49*C49*'Input data'!$E$33</f>
        <v>6142.8002798853868</v>
      </c>
    </row>
    <row r="50" spans="2:19" s="611" customFormat="1">
      <c r="B50" s="401">
        <v>33</v>
      </c>
      <c r="C50" s="400">
        <f t="shared" si="8"/>
        <v>0.86018237082066873</v>
      </c>
      <c r="D50" s="401">
        <v>18050</v>
      </c>
      <c r="E50" s="401">
        <v>129530</v>
      </c>
      <c r="F50" s="400">
        <f t="shared" si="2"/>
        <v>5.4402600000000003</v>
      </c>
      <c r="G50" s="401">
        <v>19230</v>
      </c>
      <c r="H50" s="401">
        <f t="shared" si="3"/>
        <v>36457.040607902745</v>
      </c>
      <c r="I50" s="400">
        <f t="shared" si="4"/>
        <v>5.7959403158443781</v>
      </c>
      <c r="J50" s="401">
        <f t="shared" si="1"/>
        <v>19.042750000000002</v>
      </c>
      <c r="K50" s="401">
        <f t="shared" si="5"/>
        <v>41.982296787848064</v>
      </c>
      <c r="L50" s="401">
        <f t="shared" si="6"/>
        <v>5739.7735143000009</v>
      </c>
      <c r="M50" s="401">
        <f t="shared" si="7"/>
        <v>20.287649999999999</v>
      </c>
      <c r="N50" s="401">
        <f>M50*'Input data'!$E$18</f>
        <v>44.713980599999999</v>
      </c>
      <c r="O50" s="401">
        <f>N50*C50*'Input data'!$E$33</f>
        <v>6114.9978071140595</v>
      </c>
    </row>
    <row r="51" spans="2:19" s="611" customFormat="1">
      <c r="B51" s="401">
        <v>34</v>
      </c>
      <c r="C51" s="400">
        <f t="shared" si="8"/>
        <v>0.85498489425981872</v>
      </c>
      <c r="D51" s="401">
        <v>18080</v>
      </c>
      <c r="E51" s="401">
        <v>128940</v>
      </c>
      <c r="F51" s="400">
        <f t="shared" si="2"/>
        <v>5.4154799999999996</v>
      </c>
      <c r="G51" s="401">
        <v>19270</v>
      </c>
      <c r="H51" s="401">
        <f t="shared" si="3"/>
        <v>36312.1318429003</v>
      </c>
      <c r="I51" s="400">
        <f t="shared" si="4"/>
        <v>5.7729027203842893</v>
      </c>
      <c r="J51" s="401">
        <f t="shared" si="1"/>
        <v>19.074399999999997</v>
      </c>
      <c r="K51" s="401">
        <f t="shared" si="5"/>
        <v>42.052073458409573</v>
      </c>
      <c r="L51" s="401">
        <f t="shared" si="6"/>
        <v>5713.6292513999997</v>
      </c>
      <c r="M51" s="401">
        <f t="shared" si="7"/>
        <v>20.329849999999997</v>
      </c>
      <c r="N51" s="401">
        <f>M51*'Input data'!$E$18</f>
        <v>44.806989399999999</v>
      </c>
      <c r="O51" s="401">
        <f>N51*C51*'Input data'!$E$33</f>
        <v>6090.6920278888147</v>
      </c>
    </row>
    <row r="52" spans="2:19" s="611" customFormat="1">
      <c r="B52" s="401">
        <v>35</v>
      </c>
      <c r="C52" s="400">
        <f t="shared" si="8"/>
        <v>0.8498498498498499</v>
      </c>
      <c r="D52" s="401">
        <v>18110</v>
      </c>
      <c r="E52" s="401">
        <v>128350</v>
      </c>
      <c r="F52" s="400">
        <f t="shared" si="2"/>
        <v>5.3906999999999998</v>
      </c>
      <c r="G52" s="401">
        <v>19300</v>
      </c>
      <c r="H52" s="401">
        <f t="shared" si="3"/>
        <v>36150.233033033037</v>
      </c>
      <c r="I52" s="400">
        <f t="shared" si="4"/>
        <v>5.7471640475915926</v>
      </c>
      <c r="J52" s="401">
        <f t="shared" si="1"/>
        <v>19.10605</v>
      </c>
      <c r="K52" s="401">
        <f t="shared" si="5"/>
        <v>42.121850128971097</v>
      </c>
      <c r="L52" s="401">
        <f t="shared" si="6"/>
        <v>5687.4849885000003</v>
      </c>
      <c r="M52" s="401">
        <f t="shared" si="7"/>
        <v>20.361499999999999</v>
      </c>
      <c r="N52" s="401">
        <f>M52*'Input data'!$E$18</f>
        <v>44.876746000000004</v>
      </c>
      <c r="O52" s="401">
        <f>N52*C52*'Input data'!$E$33</f>
        <v>6063.5364812288335</v>
      </c>
    </row>
    <row r="53" spans="2:19" s="611" customFormat="1">
      <c r="B53" s="401">
        <v>36</v>
      </c>
      <c r="C53" s="400">
        <f t="shared" si="8"/>
        <v>0.84477611940298503</v>
      </c>
      <c r="D53" s="401">
        <v>18130</v>
      </c>
      <c r="E53" s="401">
        <v>127560</v>
      </c>
      <c r="F53" s="400">
        <f t="shared" si="2"/>
        <v>5.3575200000000001</v>
      </c>
      <c r="G53" s="401">
        <v>19330</v>
      </c>
      <c r="H53" s="401">
        <f t="shared" si="3"/>
        <v>35990.267343283587</v>
      </c>
      <c r="I53" s="400">
        <f t="shared" si="4"/>
        <v>5.7217327022352249</v>
      </c>
      <c r="J53" s="401">
        <f t="shared" si="1"/>
        <v>19.127149999999997</v>
      </c>
      <c r="K53" s="401">
        <f t="shared" si="5"/>
        <v>42.168367909345434</v>
      </c>
      <c r="L53" s="401">
        <f t="shared" si="6"/>
        <v>5652.4782636</v>
      </c>
      <c r="M53" s="401">
        <f t="shared" si="7"/>
        <v>20.393149999999999</v>
      </c>
      <c r="N53" s="401">
        <f>M53*'Input data'!$E$18</f>
        <v>44.946502600000002</v>
      </c>
      <c r="O53" s="401">
        <f>N53*C53*'Input data'!$E$33</f>
        <v>6036.7051799021056</v>
      </c>
    </row>
    <row r="54" spans="2:19" s="611" customFormat="1">
      <c r="B54" s="401">
        <v>37</v>
      </c>
      <c r="C54" s="400">
        <f t="shared" si="8"/>
        <v>0.83976261127596441</v>
      </c>
      <c r="D54" s="401">
        <v>18150</v>
      </c>
      <c r="E54" s="401">
        <v>127160</v>
      </c>
      <c r="F54" s="400">
        <f t="shared" si="2"/>
        <v>5.3407200000000001</v>
      </c>
      <c r="G54" s="401">
        <v>19360</v>
      </c>
      <c r="H54" s="401">
        <f t="shared" si="3"/>
        <v>35832.200356083085</v>
      </c>
      <c r="I54" s="400">
        <f t="shared" si="4"/>
        <v>5.6966032126100883</v>
      </c>
      <c r="J54" s="401">
        <f t="shared" si="1"/>
        <v>19.148250000000001</v>
      </c>
      <c r="K54" s="401">
        <f t="shared" si="5"/>
        <v>42.214885689719793</v>
      </c>
      <c r="L54" s="401">
        <f t="shared" si="6"/>
        <v>5634.7533396000008</v>
      </c>
      <c r="M54" s="401">
        <f t="shared" si="7"/>
        <v>20.424799999999998</v>
      </c>
      <c r="N54" s="401">
        <f>M54*'Input data'!$E$18</f>
        <v>45.0162592</v>
      </c>
      <c r="O54" s="401">
        <f>N54*C54*'Input data'!$E$33</f>
        <v>6010.1923509946873</v>
      </c>
    </row>
    <row r="55" spans="2:19" s="611" customFormat="1">
      <c r="B55" s="401">
        <v>38</v>
      </c>
      <c r="C55" s="400">
        <f t="shared" si="8"/>
        <v>0.83480825958702065</v>
      </c>
      <c r="D55" s="401">
        <v>18180</v>
      </c>
      <c r="E55" s="401">
        <v>126570</v>
      </c>
      <c r="F55" s="400">
        <f t="shared" si="2"/>
        <v>5.3159400000000003</v>
      </c>
      <c r="G55" s="401">
        <v>19390</v>
      </c>
      <c r="H55" s="401">
        <f t="shared" si="3"/>
        <v>35675.9984660767</v>
      </c>
      <c r="I55" s="400">
        <f t="shared" si="4"/>
        <v>5.6717702361368731</v>
      </c>
      <c r="J55" s="401">
        <f t="shared" si="1"/>
        <v>19.179899999999996</v>
      </c>
      <c r="K55" s="401">
        <f t="shared" si="5"/>
        <v>42.284662360281303</v>
      </c>
      <c r="L55" s="401">
        <f t="shared" si="6"/>
        <v>5608.6090767000005</v>
      </c>
      <c r="M55" s="401">
        <f t="shared" si="7"/>
        <v>20.456449999999997</v>
      </c>
      <c r="N55" s="401">
        <f>M55*'Input data'!$E$18</f>
        <v>45.086015799999998</v>
      </c>
      <c r="O55" s="401">
        <f>N55*C55*'Input data'!$E$33</f>
        <v>5983.992357826588</v>
      </c>
    </row>
    <row r="56" spans="2:19" s="611" customFormat="1">
      <c r="B56" s="401">
        <v>39</v>
      </c>
      <c r="C56" s="400">
        <f t="shared" si="8"/>
        <v>0.8299120234604106</v>
      </c>
      <c r="D56" s="401">
        <v>18200</v>
      </c>
      <c r="E56" s="401">
        <v>125980</v>
      </c>
      <c r="F56" s="400">
        <f t="shared" si="2"/>
        <v>5.2911599999999996</v>
      </c>
      <c r="G56" s="401">
        <v>19420</v>
      </c>
      <c r="H56" s="401">
        <f t="shared" si="3"/>
        <v>35521.628856304989</v>
      </c>
      <c r="I56" s="400">
        <f t="shared" si="4"/>
        <v>5.6472285555753672</v>
      </c>
      <c r="J56" s="401">
        <f t="shared" si="1"/>
        <v>19.201000000000001</v>
      </c>
      <c r="K56" s="401">
        <f t="shared" si="5"/>
        <v>42.331180140655661</v>
      </c>
      <c r="L56" s="401">
        <f t="shared" si="6"/>
        <v>5582.4648138000002</v>
      </c>
      <c r="M56" s="401">
        <f t="shared" si="7"/>
        <v>20.488099999999999</v>
      </c>
      <c r="N56" s="401">
        <f>M56*'Input data'!$E$18</f>
        <v>45.155772400000004</v>
      </c>
      <c r="O56" s="401">
        <f>N56*C56*'Input data'!$E$33</f>
        <v>5958.0996959566492</v>
      </c>
    </row>
    <row r="57" spans="2:19" s="611" customFormat="1">
      <c r="B57" s="401">
        <v>40</v>
      </c>
      <c r="C57" s="400">
        <f t="shared" si="8"/>
        <v>0.82507288629737607</v>
      </c>
      <c r="D57" s="401">
        <v>18230</v>
      </c>
      <c r="E57" s="401">
        <v>125390</v>
      </c>
      <c r="F57" s="400">
        <f t="shared" si="2"/>
        <v>5.2663799999999998</v>
      </c>
      <c r="G57" s="401">
        <v>19450</v>
      </c>
      <c r="H57" s="401">
        <f t="shared" si="3"/>
        <v>35369.059475218659</v>
      </c>
      <c r="I57" s="400">
        <f t="shared" si="4"/>
        <v>5.622973075370262</v>
      </c>
      <c r="J57" s="401">
        <f t="shared" si="1"/>
        <v>19.23265</v>
      </c>
      <c r="K57" s="401">
        <f t="shared" si="5"/>
        <v>42.400956811217178</v>
      </c>
      <c r="L57" s="401">
        <f t="shared" si="6"/>
        <v>5556.3205508999999</v>
      </c>
      <c r="M57" s="401">
        <f t="shared" si="7"/>
        <v>20.519749999999998</v>
      </c>
      <c r="N57" s="401">
        <f>M57*'Input data'!$E$18</f>
        <v>45.225529000000002</v>
      </c>
      <c r="O57" s="401">
        <f>N57*C57*'Input data'!$E$33</f>
        <v>5932.5089893271752</v>
      </c>
    </row>
    <row r="58" spans="2:19" s="611" customFormat="1">
      <c r="B58" s="401">
        <v>41</v>
      </c>
      <c r="C58" s="400">
        <f t="shared" si="8"/>
        <v>0.82028985507246377</v>
      </c>
      <c r="D58" s="401">
        <v>18250</v>
      </c>
      <c r="E58" s="401">
        <v>124800</v>
      </c>
      <c r="F58" s="400">
        <f t="shared" si="2"/>
        <v>5.2416</v>
      </c>
      <c r="G58" s="401">
        <v>19480</v>
      </c>
      <c r="H58" s="401">
        <f t="shared" si="3"/>
        <v>35218.25901449276</v>
      </c>
      <c r="I58" s="400">
        <f t="shared" si="4"/>
        <v>5.5989988181240591</v>
      </c>
      <c r="J58" s="401">
        <f t="shared" si="1"/>
        <v>19.25375</v>
      </c>
      <c r="K58" s="401">
        <f t="shared" si="5"/>
        <v>42.447474591591529</v>
      </c>
      <c r="L58" s="401">
        <f t="shared" si="6"/>
        <v>5530.1762880000006</v>
      </c>
      <c r="M58" s="401">
        <f t="shared" si="7"/>
        <v>20.551399999999997</v>
      </c>
      <c r="N58" s="401">
        <f>M58*'Input data'!$E$18</f>
        <v>45.2952856</v>
      </c>
      <c r="O58" s="401">
        <f>N58*C58*'Input data'!$E$33</f>
        <v>5907.2149865426818</v>
      </c>
    </row>
    <row r="59" spans="2:19" s="611" customFormat="1">
      <c r="B59" s="401">
        <v>42</v>
      </c>
      <c r="C59" s="400">
        <f t="shared" si="8"/>
        <v>0.81556195965417866</v>
      </c>
      <c r="D59" s="401">
        <v>18280</v>
      </c>
      <c r="E59" s="401">
        <v>124310</v>
      </c>
      <c r="F59" s="400">
        <f t="shared" si="2"/>
        <v>5.2210200000000002</v>
      </c>
      <c r="G59" s="401">
        <v>19510</v>
      </c>
      <c r="H59" s="401">
        <f t="shared" si="3"/>
        <v>35069.196887608072</v>
      </c>
      <c r="I59" s="400">
        <f t="shared" si="4"/>
        <v>5.5753009211919311</v>
      </c>
      <c r="J59" s="401">
        <f t="shared" si="1"/>
        <v>19.285399999999999</v>
      </c>
      <c r="K59" s="401">
        <f t="shared" si="5"/>
        <v>42.517251262153046</v>
      </c>
      <c r="L59" s="401">
        <f t="shared" si="6"/>
        <v>5508.4632561000008</v>
      </c>
      <c r="M59" s="401">
        <f t="shared" si="7"/>
        <v>20.58305</v>
      </c>
      <c r="N59" s="401">
        <f>M59*'Input data'!$E$18</f>
        <v>45.365042200000005</v>
      </c>
      <c r="O59" s="401">
        <f>N59*C59*'Input data'!$E$33</f>
        <v>5882.2125572773184</v>
      </c>
    </row>
    <row r="60" spans="2:19" s="611" customFormat="1">
      <c r="B60" s="401">
        <v>43</v>
      </c>
      <c r="C60" s="400">
        <f t="shared" si="8"/>
        <v>0.81088825214899718</v>
      </c>
      <c r="D60" s="401">
        <v>18300</v>
      </c>
      <c r="E60" s="401">
        <v>123720</v>
      </c>
      <c r="F60" s="400">
        <f t="shared" si="2"/>
        <v>5.1962400000000004</v>
      </c>
      <c r="G60" s="401">
        <v>19530</v>
      </c>
      <c r="H60" s="401">
        <f t="shared" si="3"/>
        <v>34903.971232091695</v>
      </c>
      <c r="I60" s="400">
        <f t="shared" si="4"/>
        <v>5.5490333464779367</v>
      </c>
      <c r="J60" s="401">
        <f t="shared" si="1"/>
        <v>19.3065</v>
      </c>
      <c r="K60" s="401">
        <f t="shared" si="5"/>
        <v>42.56376904252739</v>
      </c>
      <c r="L60" s="401">
        <f t="shared" si="6"/>
        <v>5482.3189932000005</v>
      </c>
      <c r="M60" s="401">
        <f t="shared" si="7"/>
        <v>20.604149999999997</v>
      </c>
      <c r="N60" s="401">
        <f>M60*'Input data'!$E$18</f>
        <v>45.411546599999994</v>
      </c>
      <c r="O60" s="401">
        <f>N60*C60*'Input data'!$E$33</f>
        <v>5854.4989934686673</v>
      </c>
    </row>
    <row r="61" spans="2:19" s="611" customFormat="1">
      <c r="B61" s="401">
        <v>44</v>
      </c>
      <c r="C61" s="400">
        <f t="shared" si="8"/>
        <v>0.80626780626780625</v>
      </c>
      <c r="D61" s="401">
        <v>18320</v>
      </c>
      <c r="E61" s="401">
        <v>123120</v>
      </c>
      <c r="F61" s="400">
        <f t="shared" si="2"/>
        <v>5.1710399999999996</v>
      </c>
      <c r="G61" s="401">
        <v>19560</v>
      </c>
      <c r="H61" s="401">
        <f t="shared" si="3"/>
        <v>34758.398632478638</v>
      </c>
      <c r="I61" s="400">
        <f t="shared" si="4"/>
        <v>5.5258902145914535</v>
      </c>
      <c r="J61" s="401">
        <f t="shared" si="1"/>
        <v>19.327599999999997</v>
      </c>
      <c r="K61" s="401">
        <f t="shared" si="5"/>
        <v>42.610286822901735</v>
      </c>
      <c r="L61" s="401">
        <f t="shared" si="6"/>
        <v>5455.7316072000003</v>
      </c>
      <c r="M61" s="401">
        <f t="shared" si="7"/>
        <v>20.6358</v>
      </c>
      <c r="N61" s="401">
        <f>M61*'Input data'!$E$18</f>
        <v>45.481303200000006</v>
      </c>
      <c r="O61" s="401">
        <f>N61*C61*'Input data'!$E$33</f>
        <v>5830.0818682010522</v>
      </c>
    </row>
    <row r="62" spans="2:19" s="611" customFormat="1">
      <c r="B62" s="401">
        <v>45</v>
      </c>
      <c r="C62" s="400">
        <f t="shared" si="8"/>
        <v>0.80169971671388107</v>
      </c>
      <c r="D62" s="401">
        <v>18340</v>
      </c>
      <c r="E62" s="401">
        <v>122530</v>
      </c>
      <c r="F62" s="400">
        <f t="shared" si="2"/>
        <v>5.1462599999999998</v>
      </c>
      <c r="G62" s="401">
        <v>19590</v>
      </c>
      <c r="H62" s="401">
        <f t="shared" si="3"/>
        <v>34614.475580736544</v>
      </c>
      <c r="I62" s="400">
        <f t="shared" si="4"/>
        <v>5.5030093278254952</v>
      </c>
      <c r="J62" s="401">
        <f t="shared" si="1"/>
        <v>19.348699999999997</v>
      </c>
      <c r="K62" s="401">
        <f t="shared" si="5"/>
        <v>42.656804603276079</v>
      </c>
      <c r="L62" s="401">
        <f t="shared" si="6"/>
        <v>5429.5873443</v>
      </c>
      <c r="M62" s="401">
        <f t="shared" si="7"/>
        <v>20.667449999999999</v>
      </c>
      <c r="N62" s="401">
        <f>M62*'Input data'!$E$18</f>
        <v>45.551059800000004</v>
      </c>
      <c r="O62" s="401">
        <f>N62*C62*'Input data'!$E$33</f>
        <v>5805.9414242395842</v>
      </c>
    </row>
    <row r="63" spans="2:19">
      <c r="B63" s="72" t="s">
        <v>925</v>
      </c>
      <c r="C63" s="72"/>
      <c r="D63" s="72"/>
      <c r="E63" s="72"/>
    </row>
    <row r="64" spans="2:19">
      <c r="B64" s="72" t="s">
        <v>924</v>
      </c>
      <c r="C64" s="72"/>
      <c r="K64" s="611"/>
      <c r="L64" s="612"/>
      <c r="S64" s="612"/>
    </row>
    <row r="65" spans="2:19">
      <c r="B65" s="72"/>
      <c r="C65" s="72"/>
      <c r="K65" s="611"/>
      <c r="L65" s="612"/>
      <c r="S65" s="612"/>
    </row>
    <row r="66" spans="2:19">
      <c r="B66" s="72"/>
      <c r="C66" s="72"/>
      <c r="K66" s="611"/>
      <c r="L66" s="612"/>
      <c r="S66" s="612"/>
    </row>
    <row r="67" spans="2:19" s="613" customFormat="1">
      <c r="B67" s="92" t="s">
        <v>1291</v>
      </c>
    </row>
    <row r="68" spans="2:19" s="613" customFormat="1">
      <c r="B68" s="1039" t="s">
        <v>522</v>
      </c>
      <c r="C68" s="1039"/>
      <c r="D68" s="1039" t="s">
        <v>1361</v>
      </c>
      <c r="E68" s="1039"/>
      <c r="F68" s="1039"/>
      <c r="G68" s="1039"/>
      <c r="H68" s="1048" t="s">
        <v>1123</v>
      </c>
      <c r="I68" s="1049"/>
      <c r="J68" s="1049"/>
      <c r="K68" s="1050"/>
      <c r="L68" s="106" t="s">
        <v>1124</v>
      </c>
      <c r="M68" s="1048" t="s">
        <v>1765</v>
      </c>
      <c r="N68" s="1049"/>
      <c r="O68" s="1049"/>
      <c r="P68" s="1050"/>
      <c r="Q68" s="106" t="s">
        <v>1766</v>
      </c>
    </row>
    <row r="69" spans="2:19" s="613" customFormat="1" ht="16.5">
      <c r="B69" s="106" t="s">
        <v>527</v>
      </c>
      <c r="C69" s="106" t="s">
        <v>340</v>
      </c>
      <c r="D69" s="106" t="s">
        <v>537</v>
      </c>
      <c r="E69" s="106" t="s">
        <v>538</v>
      </c>
      <c r="F69" s="106" t="s">
        <v>539</v>
      </c>
      <c r="G69" s="106" t="s">
        <v>540</v>
      </c>
      <c r="H69" s="106" t="s">
        <v>381</v>
      </c>
      <c r="I69" s="106" t="s">
        <v>380</v>
      </c>
      <c r="J69" s="106" t="s">
        <v>382</v>
      </c>
      <c r="K69" s="106" t="s">
        <v>378</v>
      </c>
      <c r="L69" s="106" t="s">
        <v>1125</v>
      </c>
      <c r="M69" s="106" t="s">
        <v>381</v>
      </c>
      <c r="N69" s="106" t="s">
        <v>380</v>
      </c>
      <c r="O69" s="106" t="s">
        <v>382</v>
      </c>
      <c r="P69" s="106" t="s">
        <v>378</v>
      </c>
      <c r="Q69" s="106"/>
      <c r="R69" s="72"/>
    </row>
    <row r="70" spans="2:19" s="613" customFormat="1">
      <c r="B70" s="13">
        <v>4</v>
      </c>
      <c r="C70" s="13">
        <f t="shared" ref="C70:C77" si="9">141.5/(B70+131.5)</f>
        <v>1.0442804428044281</v>
      </c>
      <c r="D70" s="13">
        <f>100-E70-F70-G70</f>
        <v>85.964206642066415</v>
      </c>
      <c r="E70" s="13">
        <f>IF(B70&lt;=9,24.5-15*C70,IF(B70&lt;=15,25-15*C70,IF(B70&lt;=30,25.2-15*C70,IF(B70&lt;=45,25.45-15*C70,"ERROR"))))</f>
        <v>8.8357933579335786</v>
      </c>
      <c r="F70" s="13">
        <v>5</v>
      </c>
      <c r="G70" s="13">
        <f t="shared" ref="G70:G111" si="10">$G$116</f>
        <v>0.2</v>
      </c>
      <c r="H70" s="13">
        <f>(D70/12)/(D70/12)</f>
        <v>1</v>
      </c>
      <c r="I70" s="13">
        <f>(E70/1)/(D70/12)</f>
        <v>1.233414748264746</v>
      </c>
      <c r="J70" s="13">
        <f>(F70/32)/(D70/12)</f>
        <v>2.1811403527598805E-2</v>
      </c>
      <c r="K70" s="13">
        <f>(G70/14)/(D70/12)</f>
        <v>1.9941854653804623E-3</v>
      </c>
      <c r="L70" s="13">
        <f>H70*1+I70/4+J70</f>
        <v>1.3301650905937854</v>
      </c>
      <c r="M70" s="13">
        <f>D70/100/12</f>
        <v>7.1636838868388675E-2</v>
      </c>
      <c r="N70" s="13">
        <f>E70/100/1</f>
        <v>8.8357933579335787E-2</v>
      </c>
      <c r="O70" s="13">
        <f>F70/100/32</f>
        <v>1.5625000000000001E-3</v>
      </c>
      <c r="P70" s="13">
        <f>G70/100/14</f>
        <v>1.4285714285714287E-4</v>
      </c>
      <c r="Q70" s="13">
        <f>M70*L70</f>
        <v>9.5288822263222633E-2</v>
      </c>
    </row>
    <row r="71" spans="2:19" s="613" customFormat="1">
      <c r="B71" s="13">
        <v>5</v>
      </c>
      <c r="C71" s="13">
        <f t="shared" si="9"/>
        <v>1.0366300366300367</v>
      </c>
      <c r="D71" s="13">
        <f t="shared" ref="D71:D111" si="11">100-E71-F71-G71</f>
        <v>85.849450549450552</v>
      </c>
      <c r="E71" s="13">
        <f t="shared" ref="E71:E111" si="12">IF(B71&lt;=9,24.5-15*C71,IF(B71&lt;=15,25-15*C71,IF(B71&lt;=30,25.2-15*C71,IF(B71&lt;=45,25.45-15*C71,"ERROR"))))</f>
        <v>8.9505494505494489</v>
      </c>
      <c r="F71" s="13">
        <v>5</v>
      </c>
      <c r="G71" s="13">
        <f t="shared" si="10"/>
        <v>0.2</v>
      </c>
      <c r="H71" s="13">
        <f t="shared" ref="H71:H111" si="13">(D71/12)/(D71/12)</f>
        <v>1</v>
      </c>
      <c r="I71" s="13">
        <f t="shared" ref="I71:I111" si="14">(E71/1)/(D71/12)</f>
        <v>1.2511040282631234</v>
      </c>
      <c r="J71" s="13">
        <f t="shared" ref="J71:J111" si="15">(F71/32)/(D71/12)</f>
        <v>2.1840559118313427E-2</v>
      </c>
      <c r="K71" s="13">
        <f t="shared" ref="K71:K111" si="16">(G71/14)/(D71/12)</f>
        <v>1.9968511193886565E-3</v>
      </c>
      <c r="L71" s="13">
        <f t="shared" ref="L71:L111" si="17">H71*1+I71/4+J71</f>
        <v>1.3346165661840943</v>
      </c>
      <c r="M71" s="13">
        <f t="shared" ref="M71:M111" si="18">D71/100/12</f>
        <v>7.1541208791208802E-2</v>
      </c>
      <c r="N71" s="13">
        <f t="shared" ref="N71:N111" si="19">E71/100/1</f>
        <v>8.9505494505494484E-2</v>
      </c>
      <c r="O71" s="13">
        <f t="shared" ref="O71:O111" si="20">F71/100/32</f>
        <v>1.5625000000000001E-3</v>
      </c>
      <c r="P71" s="13">
        <f t="shared" ref="P71:P111" si="21">G71/100/14</f>
        <v>1.4285714285714287E-4</v>
      </c>
      <c r="Q71" s="13">
        <f t="shared" ref="Q71:Q111" si="22">M71*L71</f>
        <v>9.5480082417582435E-2</v>
      </c>
    </row>
    <row r="72" spans="2:19" s="613" customFormat="1">
      <c r="B72" s="13">
        <v>6</v>
      </c>
      <c r="C72" s="13">
        <f t="shared" si="9"/>
        <v>1.0290909090909091</v>
      </c>
      <c r="D72" s="13">
        <f t="shared" si="11"/>
        <v>86.236363636363635</v>
      </c>
      <c r="E72" s="13">
        <f t="shared" si="12"/>
        <v>9.0636363636363644</v>
      </c>
      <c r="F72" s="13">
        <v>4.5</v>
      </c>
      <c r="G72" s="13">
        <f t="shared" si="10"/>
        <v>0.2</v>
      </c>
      <c r="H72" s="13">
        <f t="shared" si="13"/>
        <v>1</v>
      </c>
      <c r="I72" s="13">
        <f t="shared" si="14"/>
        <v>1.2612270714737508</v>
      </c>
      <c r="J72" s="13">
        <f t="shared" si="15"/>
        <v>1.9568311195445921E-2</v>
      </c>
      <c r="K72" s="13">
        <f t="shared" si="16"/>
        <v>1.9878919309659349E-3</v>
      </c>
      <c r="L72" s="13">
        <f t="shared" si="17"/>
        <v>1.3348750790638837</v>
      </c>
      <c r="M72" s="13">
        <f t="shared" si="18"/>
        <v>7.1863636363636366E-2</v>
      </c>
      <c r="N72" s="13">
        <f t="shared" si="19"/>
        <v>9.063636363636364E-2</v>
      </c>
      <c r="O72" s="13">
        <f t="shared" si="20"/>
        <v>1.4062499999999999E-3</v>
      </c>
      <c r="P72" s="13">
        <f t="shared" si="21"/>
        <v>1.4285714285714287E-4</v>
      </c>
      <c r="Q72" s="13">
        <f t="shared" si="22"/>
        <v>9.5928977272727284E-2</v>
      </c>
    </row>
    <row r="73" spans="2:19" s="613" customFormat="1">
      <c r="B73" s="13">
        <v>7</v>
      </c>
      <c r="C73" s="13">
        <f t="shared" si="9"/>
        <v>1.0216606498194947</v>
      </c>
      <c r="D73" s="13">
        <f t="shared" si="11"/>
        <v>86.124909747292421</v>
      </c>
      <c r="E73" s="13">
        <f t="shared" si="12"/>
        <v>9.1750902527075802</v>
      </c>
      <c r="F73" s="13">
        <v>4.5</v>
      </c>
      <c r="G73" s="13">
        <f t="shared" si="10"/>
        <v>0.2</v>
      </c>
      <c r="H73" s="13">
        <f t="shared" si="13"/>
        <v>1</v>
      </c>
      <c r="I73" s="13">
        <f t="shared" si="14"/>
        <v>1.2783883705138199</v>
      </c>
      <c r="J73" s="13">
        <f t="shared" si="15"/>
        <v>1.9593634465933957E-2</v>
      </c>
      <c r="K73" s="13">
        <f t="shared" si="16"/>
        <v>1.9904644536821799E-3</v>
      </c>
      <c r="L73" s="13">
        <f t="shared" si="17"/>
        <v>1.339190727094389</v>
      </c>
      <c r="M73" s="13">
        <f t="shared" si="18"/>
        <v>7.177075812274368E-2</v>
      </c>
      <c r="N73" s="13">
        <f t="shared" si="19"/>
        <v>9.1750902527075795E-2</v>
      </c>
      <c r="O73" s="13">
        <f t="shared" si="20"/>
        <v>1.4062499999999999E-3</v>
      </c>
      <c r="P73" s="13">
        <f t="shared" si="21"/>
        <v>1.4285714285714287E-4</v>
      </c>
      <c r="Q73" s="13">
        <f t="shared" si="22"/>
        <v>9.6114733754512641E-2</v>
      </c>
    </row>
    <row r="74" spans="2:19" s="613" customFormat="1">
      <c r="B74" s="13">
        <v>8</v>
      </c>
      <c r="C74" s="13">
        <f t="shared" si="9"/>
        <v>1.0143369175627239</v>
      </c>
      <c r="D74" s="13">
        <f t="shared" si="11"/>
        <v>86.015053763440861</v>
      </c>
      <c r="E74" s="13">
        <f t="shared" si="12"/>
        <v>9.2849462365591418</v>
      </c>
      <c r="F74" s="13">
        <v>4.5</v>
      </c>
      <c r="G74" s="13">
        <f t="shared" si="10"/>
        <v>0.2</v>
      </c>
      <c r="H74" s="13">
        <f t="shared" si="13"/>
        <v>1</v>
      </c>
      <c r="I74" s="13">
        <f t="shared" si="14"/>
        <v>1.2953471510363281</v>
      </c>
      <c r="J74" s="13">
        <f t="shared" si="15"/>
        <v>1.9618658899417458E-2</v>
      </c>
      <c r="K74" s="13">
        <f t="shared" si="16"/>
        <v>1.9930066183535197E-3</v>
      </c>
      <c r="L74" s="13">
        <f t="shared" si="17"/>
        <v>1.3434554466584994</v>
      </c>
      <c r="M74" s="13">
        <f t="shared" si="18"/>
        <v>7.1679211469534057E-2</v>
      </c>
      <c r="N74" s="13">
        <f t="shared" si="19"/>
        <v>9.2849462365591412E-2</v>
      </c>
      <c r="O74" s="13">
        <f t="shared" si="20"/>
        <v>1.4062499999999999E-3</v>
      </c>
      <c r="P74" s="13">
        <f t="shared" si="21"/>
        <v>1.4285714285714287E-4</v>
      </c>
      <c r="Q74" s="13">
        <f t="shared" si="22"/>
        <v>9.6297827060931901E-2</v>
      </c>
    </row>
    <row r="75" spans="2:19" s="613" customFormat="1">
      <c r="B75" s="13">
        <v>9</v>
      </c>
      <c r="C75" s="13">
        <f t="shared" si="9"/>
        <v>1.0071174377224199</v>
      </c>
      <c r="D75" s="13">
        <f t="shared" si="11"/>
        <v>86.406761565836291</v>
      </c>
      <c r="E75" s="13">
        <f t="shared" si="12"/>
        <v>9.3932384341637007</v>
      </c>
      <c r="F75" s="13">
        <v>4</v>
      </c>
      <c r="G75" s="13">
        <f t="shared" si="10"/>
        <v>0.2</v>
      </c>
      <c r="H75" s="13">
        <f t="shared" si="13"/>
        <v>1</v>
      </c>
      <c r="I75" s="13">
        <f t="shared" si="14"/>
        <v>1.3045143593777673</v>
      </c>
      <c r="J75" s="13">
        <f t="shared" si="15"/>
        <v>1.7359752556599384E-2</v>
      </c>
      <c r="K75" s="13">
        <f t="shared" si="16"/>
        <v>1.9839717207542156E-3</v>
      </c>
      <c r="L75" s="13">
        <f t="shared" si="17"/>
        <v>1.3434883424010413</v>
      </c>
      <c r="M75" s="13">
        <f t="shared" si="18"/>
        <v>7.2005634638196911E-2</v>
      </c>
      <c r="N75" s="13">
        <f t="shared" si="19"/>
        <v>9.3932384341637004E-2</v>
      </c>
      <c r="O75" s="13">
        <f t="shared" si="20"/>
        <v>1.25E-3</v>
      </c>
      <c r="P75" s="13">
        <f t="shared" si="21"/>
        <v>1.4285714285714287E-4</v>
      </c>
      <c r="Q75" s="13">
        <f t="shared" si="22"/>
        <v>9.673873072360617E-2</v>
      </c>
    </row>
    <row r="76" spans="2:19" s="613" customFormat="1">
      <c r="B76" s="13">
        <v>10</v>
      </c>
      <c r="C76" s="13">
        <f t="shared" si="9"/>
        <v>1</v>
      </c>
      <c r="D76" s="13">
        <f t="shared" si="11"/>
        <v>85.8</v>
      </c>
      <c r="E76" s="13">
        <f t="shared" si="12"/>
        <v>10</v>
      </c>
      <c r="F76" s="13">
        <v>4</v>
      </c>
      <c r="G76" s="13">
        <f t="shared" si="10"/>
        <v>0.2</v>
      </c>
      <c r="H76" s="13">
        <f t="shared" si="13"/>
        <v>1</v>
      </c>
      <c r="I76" s="13">
        <f t="shared" si="14"/>
        <v>1.3986013986013988</v>
      </c>
      <c r="J76" s="13">
        <f t="shared" si="15"/>
        <v>1.7482517482517484E-2</v>
      </c>
      <c r="K76" s="13">
        <f t="shared" si="16"/>
        <v>1.9980019980019984E-3</v>
      </c>
      <c r="L76" s="13">
        <f t="shared" si="17"/>
        <v>1.3671328671328671</v>
      </c>
      <c r="M76" s="13">
        <f t="shared" si="18"/>
        <v>7.1499999999999994E-2</v>
      </c>
      <c r="N76" s="13">
        <f t="shared" si="19"/>
        <v>0.1</v>
      </c>
      <c r="O76" s="13">
        <f t="shared" si="20"/>
        <v>1.25E-3</v>
      </c>
      <c r="P76" s="13">
        <f t="shared" si="21"/>
        <v>1.4285714285714287E-4</v>
      </c>
      <c r="Q76" s="13">
        <f t="shared" si="22"/>
        <v>9.774999999999999E-2</v>
      </c>
    </row>
    <row r="77" spans="2:19" s="613" customFormat="1">
      <c r="B77" s="13">
        <v>11</v>
      </c>
      <c r="C77" s="13">
        <f t="shared" si="9"/>
        <v>0.99298245614035086</v>
      </c>
      <c r="D77" s="13">
        <f t="shared" si="11"/>
        <v>85.694736842105257</v>
      </c>
      <c r="E77" s="13">
        <f t="shared" si="12"/>
        <v>10.105263157894736</v>
      </c>
      <c r="F77" s="13">
        <v>4</v>
      </c>
      <c r="G77" s="13">
        <f t="shared" si="10"/>
        <v>0.2</v>
      </c>
      <c r="H77" s="13">
        <f t="shared" si="13"/>
        <v>1</v>
      </c>
      <c r="I77" s="13">
        <f t="shared" si="14"/>
        <v>1.4150595749907875</v>
      </c>
      <c r="J77" s="13">
        <f t="shared" si="15"/>
        <v>1.7503992138557918E-2</v>
      </c>
      <c r="K77" s="13">
        <f t="shared" si="16"/>
        <v>2.0004562444066194E-3</v>
      </c>
      <c r="L77" s="13">
        <f t="shared" si="17"/>
        <v>1.371268885886255</v>
      </c>
      <c r="M77" s="13">
        <f t="shared" si="18"/>
        <v>7.1412280701754385E-2</v>
      </c>
      <c r="N77" s="13">
        <f t="shared" si="19"/>
        <v>0.10105263157894737</v>
      </c>
      <c r="O77" s="13">
        <f t="shared" si="20"/>
        <v>1.25E-3</v>
      </c>
      <c r="P77" s="13">
        <f t="shared" si="21"/>
        <v>1.4285714285714287E-4</v>
      </c>
      <c r="Q77" s="13">
        <f t="shared" si="22"/>
        <v>9.7925438596491235E-2</v>
      </c>
    </row>
    <row r="78" spans="2:19" s="613" customFormat="1">
      <c r="B78" s="13">
        <v>12</v>
      </c>
      <c r="C78" s="13">
        <f>141.5/(B78+131.5)</f>
        <v>0.98606271777003485</v>
      </c>
      <c r="D78" s="13">
        <f t="shared" si="11"/>
        <v>85.590940766550517</v>
      </c>
      <c r="E78" s="13">
        <f t="shared" si="12"/>
        <v>10.209059233449477</v>
      </c>
      <c r="F78" s="13">
        <v>4</v>
      </c>
      <c r="G78" s="13">
        <f t="shared" si="10"/>
        <v>0.2</v>
      </c>
      <c r="H78" s="13">
        <f t="shared" si="13"/>
        <v>1</v>
      </c>
      <c r="I78" s="13">
        <f t="shared" si="14"/>
        <v>1.4313280085977382</v>
      </c>
      <c r="J78" s="13">
        <f t="shared" si="15"/>
        <v>1.752521921789893E-2</v>
      </c>
      <c r="K78" s="13">
        <f t="shared" si="16"/>
        <v>2.0028821963313063E-3</v>
      </c>
      <c r="L78" s="13">
        <f t="shared" si="17"/>
        <v>1.3753572213673335</v>
      </c>
      <c r="M78" s="13">
        <f t="shared" si="18"/>
        <v>7.1325783972125426E-2</v>
      </c>
      <c r="N78" s="13">
        <f t="shared" si="19"/>
        <v>0.10209059233449476</v>
      </c>
      <c r="O78" s="13">
        <f t="shared" si="20"/>
        <v>1.25E-3</v>
      </c>
      <c r="P78" s="13">
        <f t="shared" si="21"/>
        <v>1.4285714285714287E-4</v>
      </c>
      <c r="Q78" s="13">
        <f t="shared" si="22"/>
        <v>9.8098432055749113E-2</v>
      </c>
    </row>
    <row r="79" spans="2:19" s="613" customFormat="1">
      <c r="B79" s="13">
        <v>13</v>
      </c>
      <c r="C79" s="13">
        <f>141.5/(B79+131.5)</f>
        <v>0.97923875432525953</v>
      </c>
      <c r="D79" s="13">
        <f t="shared" si="11"/>
        <v>85.488581314878886</v>
      </c>
      <c r="E79" s="13">
        <f t="shared" si="12"/>
        <v>10.311418685121106</v>
      </c>
      <c r="F79" s="13">
        <v>4</v>
      </c>
      <c r="G79" s="13">
        <f t="shared" si="10"/>
        <v>0.2</v>
      </c>
      <c r="H79" s="13">
        <f t="shared" si="13"/>
        <v>1</v>
      </c>
      <c r="I79" s="13">
        <f t="shared" si="14"/>
        <v>1.4474099618719187</v>
      </c>
      <c r="J79" s="13">
        <f t="shared" si="15"/>
        <v>1.7546202977390291E-2</v>
      </c>
      <c r="K79" s="13">
        <f t="shared" si="16"/>
        <v>2.0052803402731763E-3</v>
      </c>
      <c r="L79" s="13">
        <f t="shared" si="17"/>
        <v>1.3793986934453699</v>
      </c>
      <c r="M79" s="13">
        <f t="shared" si="18"/>
        <v>7.1240484429065734E-2</v>
      </c>
      <c r="N79" s="13">
        <f t="shared" si="19"/>
        <v>0.10311418685121106</v>
      </c>
      <c r="O79" s="13">
        <f t="shared" si="20"/>
        <v>1.25E-3</v>
      </c>
      <c r="P79" s="13">
        <f t="shared" si="21"/>
        <v>1.4285714285714287E-4</v>
      </c>
      <c r="Q79" s="13">
        <f t="shared" si="22"/>
        <v>9.8269031141868496E-2</v>
      </c>
    </row>
    <row r="80" spans="2:19" s="613" customFormat="1">
      <c r="B80" s="13">
        <v>14</v>
      </c>
      <c r="C80" s="13">
        <f>141.5/(B80+131.5)</f>
        <v>0.97250859106529208</v>
      </c>
      <c r="D80" s="13">
        <f t="shared" si="11"/>
        <v>85.88762886597938</v>
      </c>
      <c r="E80" s="13">
        <f t="shared" si="12"/>
        <v>10.412371134020619</v>
      </c>
      <c r="F80" s="13">
        <v>3.5</v>
      </c>
      <c r="G80" s="13">
        <f t="shared" si="10"/>
        <v>0.2</v>
      </c>
      <c r="H80" s="13">
        <f t="shared" si="13"/>
        <v>1</v>
      </c>
      <c r="I80" s="13">
        <f t="shared" si="14"/>
        <v>1.4547898836888287</v>
      </c>
      <c r="J80" s="13">
        <f t="shared" si="15"/>
        <v>1.5281595467585313E-2</v>
      </c>
      <c r="K80" s="13">
        <f t="shared" si="16"/>
        <v>1.9959634896437963E-3</v>
      </c>
      <c r="L80" s="13">
        <f t="shared" si="17"/>
        <v>1.3789790663897925</v>
      </c>
      <c r="M80" s="13">
        <f t="shared" si="18"/>
        <v>7.1573024054982823E-2</v>
      </c>
      <c r="N80" s="13">
        <f t="shared" si="19"/>
        <v>0.10412371134020619</v>
      </c>
      <c r="O80" s="13">
        <f t="shared" si="20"/>
        <v>1.0937500000000001E-3</v>
      </c>
      <c r="P80" s="13">
        <f t="shared" si="21"/>
        <v>1.4285714285714287E-4</v>
      </c>
      <c r="Q80" s="13">
        <f t="shared" si="22"/>
        <v>9.8697701890034378E-2</v>
      </c>
    </row>
    <row r="81" spans="2:17" s="613" customFormat="1">
      <c r="B81" s="13">
        <v>15</v>
      </c>
      <c r="C81" s="13">
        <f t="shared" ref="C81:C111" si="23">141.5/(B81+131.5)</f>
        <v>0.96587030716723554</v>
      </c>
      <c r="D81" s="13">
        <f t="shared" si="11"/>
        <v>85.788054607508528</v>
      </c>
      <c r="E81" s="13">
        <f t="shared" si="12"/>
        <v>10.511945392491468</v>
      </c>
      <c r="F81" s="13">
        <v>3.5</v>
      </c>
      <c r="G81" s="13">
        <f t="shared" si="10"/>
        <v>0.2</v>
      </c>
      <c r="H81" s="13">
        <f t="shared" si="13"/>
        <v>1</v>
      </c>
      <c r="I81" s="13">
        <f t="shared" si="14"/>
        <v>1.4704068682641163</v>
      </c>
      <c r="J81" s="13">
        <f t="shared" si="15"/>
        <v>1.5299332826753767E-2</v>
      </c>
      <c r="K81" s="13">
        <f t="shared" si="16"/>
        <v>1.9982802059433495E-3</v>
      </c>
      <c r="L81" s="13">
        <f t="shared" si="17"/>
        <v>1.3829010498927827</v>
      </c>
      <c r="M81" s="13">
        <f t="shared" si="18"/>
        <v>7.1490045506257108E-2</v>
      </c>
      <c r="N81" s="13">
        <f t="shared" si="19"/>
        <v>0.10511945392491467</v>
      </c>
      <c r="O81" s="13">
        <f t="shared" si="20"/>
        <v>1.0937500000000001E-3</v>
      </c>
      <c r="P81" s="13">
        <f t="shared" si="21"/>
        <v>1.4285714285714287E-4</v>
      </c>
      <c r="Q81" s="13">
        <f t="shared" si="22"/>
        <v>9.8863658987485767E-2</v>
      </c>
    </row>
    <row r="82" spans="2:17" s="613" customFormat="1">
      <c r="B82" s="13">
        <v>16</v>
      </c>
      <c r="C82" s="13">
        <f t="shared" si="23"/>
        <v>0.95932203389830506</v>
      </c>
      <c r="D82" s="13">
        <f t="shared" si="11"/>
        <v>85.489830508474569</v>
      </c>
      <c r="E82" s="13">
        <f t="shared" si="12"/>
        <v>10.810169491525423</v>
      </c>
      <c r="F82" s="13">
        <v>3.5</v>
      </c>
      <c r="G82" s="13">
        <f t="shared" si="10"/>
        <v>0.2</v>
      </c>
      <c r="H82" s="13">
        <f t="shared" si="13"/>
        <v>1</v>
      </c>
      <c r="I82" s="13">
        <f t="shared" si="14"/>
        <v>1.517397252126331</v>
      </c>
      <c r="J82" s="13">
        <f t="shared" si="15"/>
        <v>1.5352703265330401E-2</v>
      </c>
      <c r="K82" s="13">
        <f t="shared" si="16"/>
        <v>2.0052510387370322E-3</v>
      </c>
      <c r="L82" s="13">
        <f t="shared" si="17"/>
        <v>1.3947020162969133</v>
      </c>
      <c r="M82" s="13">
        <f t="shared" si="18"/>
        <v>7.1241525423728816E-2</v>
      </c>
      <c r="N82" s="13">
        <f t="shared" si="19"/>
        <v>0.10810169491525423</v>
      </c>
      <c r="O82" s="13">
        <f t="shared" si="20"/>
        <v>1.0937500000000001E-3</v>
      </c>
      <c r="P82" s="13">
        <f t="shared" si="21"/>
        <v>1.4285714285714287E-4</v>
      </c>
      <c r="Q82" s="13">
        <f t="shared" si="22"/>
        <v>9.9360699152542392E-2</v>
      </c>
    </row>
    <row r="83" spans="2:17" s="613" customFormat="1">
      <c r="B83" s="13">
        <v>17</v>
      </c>
      <c r="C83" s="13">
        <f t="shared" si="23"/>
        <v>0.95286195286195285</v>
      </c>
      <c r="D83" s="13">
        <f t="shared" si="11"/>
        <v>85.392929292929296</v>
      </c>
      <c r="E83" s="13">
        <f t="shared" si="12"/>
        <v>10.907070707070707</v>
      </c>
      <c r="F83" s="13">
        <v>3.5</v>
      </c>
      <c r="G83" s="13">
        <f t="shared" si="10"/>
        <v>0.2</v>
      </c>
      <c r="H83" s="13">
        <f t="shared" si="13"/>
        <v>1</v>
      </c>
      <c r="I83" s="13">
        <f t="shared" si="14"/>
        <v>1.5327363701960042</v>
      </c>
      <c r="J83" s="13">
        <f t="shared" si="15"/>
        <v>1.5370125031050758E-2</v>
      </c>
      <c r="K83" s="13">
        <f t="shared" si="16"/>
        <v>2.0075265346678542E-3</v>
      </c>
      <c r="L83" s="13">
        <f t="shared" si="17"/>
        <v>1.3985542175800518</v>
      </c>
      <c r="M83" s="13">
        <f t="shared" si="18"/>
        <v>7.1160774410774411E-2</v>
      </c>
      <c r="N83" s="13">
        <f t="shared" si="19"/>
        <v>0.10907070707070707</v>
      </c>
      <c r="O83" s="13">
        <f t="shared" si="20"/>
        <v>1.0937500000000001E-3</v>
      </c>
      <c r="P83" s="13">
        <f t="shared" si="21"/>
        <v>1.4285714285714287E-4</v>
      </c>
      <c r="Q83" s="13">
        <f t="shared" si="22"/>
        <v>9.9522201178451175E-2</v>
      </c>
    </row>
    <row r="84" spans="2:17" s="613" customFormat="1">
      <c r="B84" s="13">
        <v>18</v>
      </c>
      <c r="C84" s="13">
        <f t="shared" si="23"/>
        <v>0.94648829431438131</v>
      </c>
      <c r="D84" s="13">
        <f t="shared" si="11"/>
        <v>85.297324414715717</v>
      </c>
      <c r="E84" s="13">
        <f t="shared" si="12"/>
        <v>11.00267558528428</v>
      </c>
      <c r="F84" s="13">
        <v>3.5</v>
      </c>
      <c r="G84" s="13">
        <f t="shared" si="10"/>
        <v>0.2</v>
      </c>
      <c r="H84" s="13">
        <f t="shared" si="13"/>
        <v>1</v>
      </c>
      <c r="I84" s="13">
        <f t="shared" si="14"/>
        <v>1.5479044381447542</v>
      </c>
      <c r="J84" s="13">
        <f t="shared" si="15"/>
        <v>1.5387352522555374E-2</v>
      </c>
      <c r="K84" s="13">
        <f t="shared" si="16"/>
        <v>2.0097766560072329E-3</v>
      </c>
      <c r="L84" s="13">
        <f t="shared" si="17"/>
        <v>1.402363462058744</v>
      </c>
      <c r="M84" s="13">
        <f t="shared" si="18"/>
        <v>7.1081103678929766E-2</v>
      </c>
      <c r="N84" s="13">
        <f t="shared" si="19"/>
        <v>0.1100267558528428</v>
      </c>
      <c r="O84" s="13">
        <f t="shared" si="20"/>
        <v>1.0937500000000001E-3</v>
      </c>
      <c r="P84" s="13">
        <f t="shared" si="21"/>
        <v>1.4285714285714287E-4</v>
      </c>
      <c r="Q84" s="13">
        <f t="shared" si="22"/>
        <v>9.9681542642140464E-2</v>
      </c>
    </row>
    <row r="85" spans="2:17" s="613" customFormat="1">
      <c r="B85" s="13">
        <v>19</v>
      </c>
      <c r="C85" s="13">
        <f t="shared" si="23"/>
        <v>0.94019933554817281</v>
      </c>
      <c r="D85" s="13">
        <f t="shared" si="11"/>
        <v>85.202990033222591</v>
      </c>
      <c r="E85" s="13">
        <f t="shared" si="12"/>
        <v>11.097009966777406</v>
      </c>
      <c r="F85" s="13">
        <v>3.5</v>
      </c>
      <c r="G85" s="13">
        <f t="shared" si="10"/>
        <v>0.2</v>
      </c>
      <c r="H85" s="13">
        <f t="shared" si="13"/>
        <v>1</v>
      </c>
      <c r="I85" s="13">
        <f t="shared" si="14"/>
        <v>1.5629043012387847</v>
      </c>
      <c r="J85" s="13">
        <f t="shared" si="15"/>
        <v>1.5404388971422555E-2</v>
      </c>
      <c r="K85" s="13">
        <f t="shared" si="16"/>
        <v>2.0120018248388646E-3</v>
      </c>
      <c r="L85" s="13">
        <f t="shared" si="17"/>
        <v>1.4061304642811188</v>
      </c>
      <c r="M85" s="13">
        <f t="shared" si="18"/>
        <v>7.100249169435216E-2</v>
      </c>
      <c r="N85" s="13">
        <f t="shared" si="19"/>
        <v>0.11097009966777406</v>
      </c>
      <c r="O85" s="13">
        <f t="shared" si="20"/>
        <v>1.0937500000000001E-3</v>
      </c>
      <c r="P85" s="13">
        <f t="shared" si="21"/>
        <v>1.4285714285714287E-4</v>
      </c>
      <c r="Q85" s="13">
        <f t="shared" si="22"/>
        <v>9.9838766611295676E-2</v>
      </c>
    </row>
    <row r="86" spans="2:17" s="613" customFormat="1">
      <c r="B86" s="13">
        <v>20</v>
      </c>
      <c r="C86" s="13">
        <f t="shared" si="23"/>
        <v>0.93399339933993397</v>
      </c>
      <c r="D86" s="13">
        <f t="shared" si="11"/>
        <v>85.609900990099007</v>
      </c>
      <c r="E86" s="13">
        <f t="shared" si="12"/>
        <v>11.19009900990099</v>
      </c>
      <c r="F86" s="13">
        <v>3</v>
      </c>
      <c r="G86" s="13">
        <f t="shared" si="10"/>
        <v>0.2</v>
      </c>
      <c r="H86" s="13">
        <f t="shared" si="13"/>
        <v>1</v>
      </c>
      <c r="I86" s="13">
        <f t="shared" si="14"/>
        <v>1.5685240441329542</v>
      </c>
      <c r="J86" s="13">
        <f t="shared" si="15"/>
        <v>1.3141003400180418E-2</v>
      </c>
      <c r="K86" s="13">
        <f t="shared" si="16"/>
        <v>2.0024386133608257E-3</v>
      </c>
      <c r="L86" s="13">
        <f t="shared" si="17"/>
        <v>1.405272014433419</v>
      </c>
      <c r="M86" s="13">
        <f t="shared" si="18"/>
        <v>7.1341584158415836E-2</v>
      </c>
      <c r="N86" s="13">
        <f t="shared" si="19"/>
        <v>0.1119009900990099</v>
      </c>
      <c r="O86" s="13">
        <f t="shared" si="20"/>
        <v>9.3749999999999997E-4</v>
      </c>
      <c r="P86" s="13">
        <f t="shared" si="21"/>
        <v>1.4285714285714287E-4</v>
      </c>
      <c r="Q86" s="13">
        <f t="shared" si="22"/>
        <v>0.10025433168316832</v>
      </c>
    </row>
    <row r="87" spans="2:17" s="613" customFormat="1">
      <c r="B87" s="13">
        <v>21</v>
      </c>
      <c r="C87" s="13">
        <f t="shared" si="23"/>
        <v>0.9278688524590164</v>
      </c>
      <c r="D87" s="13">
        <f t="shared" si="11"/>
        <v>85.518032786885243</v>
      </c>
      <c r="E87" s="13">
        <f t="shared" si="12"/>
        <v>11.281967213114754</v>
      </c>
      <c r="F87" s="13">
        <v>3</v>
      </c>
      <c r="G87" s="13">
        <f t="shared" si="10"/>
        <v>0.2</v>
      </c>
      <c r="H87" s="13">
        <f t="shared" si="13"/>
        <v>1</v>
      </c>
      <c r="I87" s="13">
        <f t="shared" si="14"/>
        <v>1.5831001035157</v>
      </c>
      <c r="J87" s="13">
        <f t="shared" si="15"/>
        <v>1.3155120193229307E-2</v>
      </c>
      <c r="K87" s="13">
        <f t="shared" si="16"/>
        <v>2.0045897437301805E-3</v>
      </c>
      <c r="L87" s="13">
        <f t="shared" si="17"/>
        <v>1.4089301460721544</v>
      </c>
      <c r="M87" s="13">
        <f t="shared" si="18"/>
        <v>7.1265027322404376E-2</v>
      </c>
      <c r="N87" s="13">
        <f t="shared" si="19"/>
        <v>0.11281967213114755</v>
      </c>
      <c r="O87" s="13">
        <f t="shared" si="20"/>
        <v>9.3749999999999997E-4</v>
      </c>
      <c r="P87" s="13">
        <f t="shared" si="21"/>
        <v>1.4285714285714287E-4</v>
      </c>
      <c r="Q87" s="13">
        <f t="shared" si="22"/>
        <v>0.10040744535519128</v>
      </c>
    </row>
    <row r="88" spans="2:17" s="613" customFormat="1">
      <c r="B88" s="13">
        <v>22</v>
      </c>
      <c r="C88" s="13">
        <f t="shared" si="23"/>
        <v>0.92182410423452765</v>
      </c>
      <c r="D88" s="13">
        <f t="shared" si="11"/>
        <v>85.42736156351792</v>
      </c>
      <c r="E88" s="13">
        <f t="shared" si="12"/>
        <v>11.372638436482085</v>
      </c>
      <c r="F88" s="13">
        <v>3</v>
      </c>
      <c r="G88" s="13">
        <f t="shared" si="10"/>
        <v>0.2</v>
      </c>
      <c r="H88" s="13">
        <f t="shared" si="13"/>
        <v>1</v>
      </c>
      <c r="I88" s="13">
        <f t="shared" si="14"/>
        <v>1.5975169868299639</v>
      </c>
      <c r="J88" s="13">
        <f t="shared" si="15"/>
        <v>1.3169082825571376E-2</v>
      </c>
      <c r="K88" s="13">
        <f t="shared" si="16"/>
        <v>2.0067173829442096E-3</v>
      </c>
      <c r="L88" s="13">
        <f t="shared" si="17"/>
        <v>1.4125483295330623</v>
      </c>
      <c r="M88" s="13">
        <f t="shared" si="18"/>
        <v>7.1189467969598269E-2</v>
      </c>
      <c r="N88" s="13">
        <f t="shared" si="19"/>
        <v>0.11372638436482084</v>
      </c>
      <c r="O88" s="13">
        <f t="shared" si="20"/>
        <v>9.3749999999999997E-4</v>
      </c>
      <c r="P88" s="13">
        <f t="shared" si="21"/>
        <v>1.4285714285714287E-4</v>
      </c>
      <c r="Q88" s="13">
        <f t="shared" si="22"/>
        <v>0.10055856406080348</v>
      </c>
    </row>
    <row r="89" spans="2:17" s="613" customFormat="1">
      <c r="B89" s="13">
        <v>23</v>
      </c>
      <c r="C89" s="13">
        <f t="shared" si="23"/>
        <v>0.91585760517799353</v>
      </c>
      <c r="D89" s="13">
        <f t="shared" si="11"/>
        <v>85.337864077669906</v>
      </c>
      <c r="E89" s="13">
        <f t="shared" si="12"/>
        <v>11.462135922330097</v>
      </c>
      <c r="F89" s="13">
        <v>3</v>
      </c>
      <c r="G89" s="13">
        <f t="shared" si="10"/>
        <v>0.2</v>
      </c>
      <c r="H89" s="13">
        <f t="shared" si="13"/>
        <v>1</v>
      </c>
      <c r="I89" s="13">
        <f t="shared" si="14"/>
        <v>1.6117772873102914</v>
      </c>
      <c r="J89" s="13">
        <f t="shared" si="15"/>
        <v>1.3182893808732849E-2</v>
      </c>
      <c r="K89" s="13">
        <f t="shared" si="16"/>
        <v>2.0088219137116723E-3</v>
      </c>
      <c r="L89" s="13">
        <f t="shared" si="17"/>
        <v>1.4161272156363056</v>
      </c>
      <c r="M89" s="13">
        <f t="shared" si="18"/>
        <v>7.1114886731391588E-2</v>
      </c>
      <c r="N89" s="13">
        <f t="shared" si="19"/>
        <v>0.11462135922330097</v>
      </c>
      <c r="O89" s="13">
        <f t="shared" si="20"/>
        <v>9.3749999999999997E-4</v>
      </c>
      <c r="P89" s="13">
        <f t="shared" si="21"/>
        <v>1.4285714285714287E-4</v>
      </c>
      <c r="Q89" s="13">
        <f t="shared" si="22"/>
        <v>0.10070772653721682</v>
      </c>
    </row>
    <row r="90" spans="2:17" s="613" customFormat="1">
      <c r="B90" s="13">
        <v>24</v>
      </c>
      <c r="C90" s="13">
        <f t="shared" si="23"/>
        <v>0.909967845659164</v>
      </c>
      <c r="D90" s="13">
        <f t="shared" si="11"/>
        <v>85.249517684887465</v>
      </c>
      <c r="E90" s="13">
        <f t="shared" si="12"/>
        <v>11.550482315112539</v>
      </c>
      <c r="F90" s="13">
        <v>3</v>
      </c>
      <c r="G90" s="13">
        <f t="shared" si="10"/>
        <v>0.2</v>
      </c>
      <c r="H90" s="13">
        <f t="shared" si="13"/>
        <v>1</v>
      </c>
      <c r="I90" s="13">
        <f t="shared" si="14"/>
        <v>1.6258835421648574</v>
      </c>
      <c r="J90" s="13">
        <f t="shared" si="15"/>
        <v>1.3196555599978878E-2</v>
      </c>
      <c r="K90" s="13">
        <f t="shared" si="16"/>
        <v>2.0109037104729722E-3</v>
      </c>
      <c r="L90" s="13">
        <f t="shared" si="17"/>
        <v>1.4196674411411931</v>
      </c>
      <c r="M90" s="13">
        <f t="shared" si="18"/>
        <v>7.1041264737406226E-2</v>
      </c>
      <c r="N90" s="13">
        <f t="shared" si="19"/>
        <v>0.1155048231511254</v>
      </c>
      <c r="O90" s="13">
        <f t="shared" si="20"/>
        <v>9.3749999999999997E-4</v>
      </c>
      <c r="P90" s="13">
        <f t="shared" si="21"/>
        <v>1.4285714285714287E-4</v>
      </c>
      <c r="Q90" s="13">
        <f t="shared" si="22"/>
        <v>0.10085497052518758</v>
      </c>
    </row>
    <row r="91" spans="2:17" s="613" customFormat="1">
      <c r="B91" s="13">
        <v>25</v>
      </c>
      <c r="C91" s="13">
        <f t="shared" si="23"/>
        <v>0.90415335463258784</v>
      </c>
      <c r="D91" s="13">
        <f t="shared" si="11"/>
        <v>85.662300319488821</v>
      </c>
      <c r="E91" s="13">
        <f t="shared" si="12"/>
        <v>11.637699680511181</v>
      </c>
      <c r="F91" s="13">
        <v>2.5</v>
      </c>
      <c r="G91" s="13">
        <f t="shared" si="10"/>
        <v>0.2</v>
      </c>
      <c r="H91" s="13">
        <f t="shared" si="13"/>
        <v>1</v>
      </c>
      <c r="I91" s="13">
        <f t="shared" si="14"/>
        <v>1.6302667059521188</v>
      </c>
      <c r="J91" s="13">
        <f t="shared" si="15"/>
        <v>1.0944137578648604E-2</v>
      </c>
      <c r="K91" s="13">
        <f t="shared" si="16"/>
        <v>2.0012137286671734E-3</v>
      </c>
      <c r="L91" s="13">
        <f t="shared" si="17"/>
        <v>1.4185108140666782</v>
      </c>
      <c r="M91" s="13">
        <f t="shared" si="18"/>
        <v>7.1385250266240693E-2</v>
      </c>
      <c r="N91" s="13">
        <f t="shared" si="19"/>
        <v>0.11637699680511181</v>
      </c>
      <c r="O91" s="13">
        <f t="shared" si="20"/>
        <v>7.8125000000000004E-4</v>
      </c>
      <c r="P91" s="13">
        <f t="shared" si="21"/>
        <v>1.4285714285714287E-4</v>
      </c>
      <c r="Q91" s="13">
        <f t="shared" si="22"/>
        <v>0.10126074946751865</v>
      </c>
    </row>
    <row r="92" spans="2:17" s="613" customFormat="1">
      <c r="B92" s="13">
        <v>26</v>
      </c>
      <c r="C92" s="13">
        <f t="shared" si="23"/>
        <v>0.89841269841269844</v>
      </c>
      <c r="D92" s="13">
        <f t="shared" si="11"/>
        <v>85.576190476190476</v>
      </c>
      <c r="E92" s="13">
        <f t="shared" si="12"/>
        <v>11.723809523809523</v>
      </c>
      <c r="F92" s="13">
        <v>2.5</v>
      </c>
      <c r="G92" s="13">
        <f t="shared" si="10"/>
        <v>0.2</v>
      </c>
      <c r="H92" s="13">
        <f t="shared" si="13"/>
        <v>1</v>
      </c>
      <c r="I92" s="13">
        <f t="shared" si="14"/>
        <v>1.6439819709532022</v>
      </c>
      <c r="J92" s="13">
        <f t="shared" si="15"/>
        <v>1.0955149963830617E-2</v>
      </c>
      <c r="K92" s="13">
        <f t="shared" si="16"/>
        <v>2.0032274219575984E-3</v>
      </c>
      <c r="L92" s="13">
        <f t="shared" si="17"/>
        <v>1.4219506427021311</v>
      </c>
      <c r="M92" s="13">
        <f t="shared" si="18"/>
        <v>7.1313492063492065E-2</v>
      </c>
      <c r="N92" s="13">
        <f t="shared" si="19"/>
        <v>0.11723809523809522</v>
      </c>
      <c r="O92" s="13">
        <f t="shared" si="20"/>
        <v>7.8125000000000004E-4</v>
      </c>
      <c r="P92" s="13">
        <f t="shared" si="21"/>
        <v>1.4285714285714287E-4</v>
      </c>
      <c r="Q92" s="13">
        <f t="shared" si="22"/>
        <v>0.10140426587301588</v>
      </c>
    </row>
    <row r="93" spans="2:17" s="613" customFormat="1">
      <c r="B93" s="13">
        <v>27</v>
      </c>
      <c r="C93" s="13">
        <f t="shared" si="23"/>
        <v>0.89274447949526814</v>
      </c>
      <c r="D93" s="13">
        <f t="shared" si="11"/>
        <v>85.491167192429018</v>
      </c>
      <c r="E93" s="13">
        <f t="shared" si="12"/>
        <v>11.808832807570978</v>
      </c>
      <c r="F93" s="13">
        <v>2.5</v>
      </c>
      <c r="G93" s="13">
        <f t="shared" si="10"/>
        <v>0.2</v>
      </c>
      <c r="H93" s="13">
        <f t="shared" si="13"/>
        <v>1</v>
      </c>
      <c r="I93" s="13">
        <f t="shared" si="14"/>
        <v>1.6575512809632225</v>
      </c>
      <c r="J93" s="13">
        <f t="shared" si="15"/>
        <v>1.0966045157505157E-2</v>
      </c>
      <c r="K93" s="13">
        <f t="shared" si="16"/>
        <v>2.0052196859438004E-3</v>
      </c>
      <c r="L93" s="13">
        <f t="shared" si="17"/>
        <v>1.4253538653983107</v>
      </c>
      <c r="M93" s="13">
        <f t="shared" si="18"/>
        <v>7.1242639327024182E-2</v>
      </c>
      <c r="N93" s="13">
        <f t="shared" si="19"/>
        <v>0.11808832807570978</v>
      </c>
      <c r="O93" s="13">
        <f t="shared" si="20"/>
        <v>7.8125000000000004E-4</v>
      </c>
      <c r="P93" s="13">
        <f t="shared" si="21"/>
        <v>1.4285714285714287E-4</v>
      </c>
      <c r="Q93" s="13">
        <f t="shared" si="22"/>
        <v>0.10154597134595161</v>
      </c>
    </row>
    <row r="94" spans="2:17" s="613" customFormat="1">
      <c r="B94" s="13">
        <v>28</v>
      </c>
      <c r="C94" s="13">
        <f t="shared" si="23"/>
        <v>0.88714733542319746</v>
      </c>
      <c r="D94" s="13">
        <f t="shared" si="11"/>
        <v>85.907210031347958</v>
      </c>
      <c r="E94" s="13">
        <f t="shared" si="12"/>
        <v>11.892789968652037</v>
      </c>
      <c r="F94" s="13">
        <v>2</v>
      </c>
      <c r="G94" s="13">
        <f t="shared" si="10"/>
        <v>0.2</v>
      </c>
      <c r="H94" s="13">
        <f t="shared" si="13"/>
        <v>1</v>
      </c>
      <c r="I94" s="13">
        <f t="shared" si="14"/>
        <v>1.6612514778648684</v>
      </c>
      <c r="J94" s="13">
        <f t="shared" si="15"/>
        <v>8.7303498708236633E-3</v>
      </c>
      <c r="K94" s="13">
        <f t="shared" si="16"/>
        <v>1.9955085419025519E-3</v>
      </c>
      <c r="L94" s="13">
        <f t="shared" si="17"/>
        <v>1.4240432193370409</v>
      </c>
      <c r="M94" s="13">
        <f t="shared" si="18"/>
        <v>7.1589341692789965E-2</v>
      </c>
      <c r="N94" s="13">
        <f t="shared" si="19"/>
        <v>0.11892789968652037</v>
      </c>
      <c r="O94" s="13">
        <f t="shared" si="20"/>
        <v>6.2500000000000001E-4</v>
      </c>
      <c r="P94" s="13">
        <f t="shared" si="21"/>
        <v>1.4285714285714287E-4</v>
      </c>
      <c r="Q94" s="13">
        <f t="shared" si="22"/>
        <v>0.10194631661442007</v>
      </c>
    </row>
    <row r="95" spans="2:17" s="613" customFormat="1">
      <c r="B95" s="13">
        <v>29</v>
      </c>
      <c r="C95" s="13">
        <f t="shared" si="23"/>
        <v>0.88161993769470404</v>
      </c>
      <c r="D95" s="13">
        <f t="shared" si="11"/>
        <v>85.824299065420561</v>
      </c>
      <c r="E95" s="13">
        <f t="shared" si="12"/>
        <v>11.975700934579439</v>
      </c>
      <c r="F95" s="13">
        <v>2</v>
      </c>
      <c r="G95" s="13">
        <f t="shared" si="10"/>
        <v>0.2</v>
      </c>
      <c r="H95" s="13">
        <f t="shared" si="13"/>
        <v>1</v>
      </c>
      <c r="I95" s="13">
        <f t="shared" si="14"/>
        <v>1.6744489938147924</v>
      </c>
      <c r="J95" s="13">
        <f t="shared" si="15"/>
        <v>8.7387838661904353E-3</v>
      </c>
      <c r="K95" s="13">
        <f t="shared" si="16"/>
        <v>1.9974363122720997E-3</v>
      </c>
      <c r="L95" s="13">
        <f t="shared" si="17"/>
        <v>1.4273510323198886</v>
      </c>
      <c r="M95" s="13">
        <f t="shared" si="18"/>
        <v>7.1520249221183801E-2</v>
      </c>
      <c r="N95" s="13">
        <f t="shared" si="19"/>
        <v>0.11975700934579439</v>
      </c>
      <c r="O95" s="13">
        <f t="shared" si="20"/>
        <v>6.2500000000000001E-4</v>
      </c>
      <c r="P95" s="13">
        <f t="shared" si="21"/>
        <v>1.4285714285714287E-4</v>
      </c>
      <c r="Q95" s="13">
        <f t="shared" si="22"/>
        <v>0.10208450155763241</v>
      </c>
    </row>
    <row r="96" spans="2:17" s="613" customFormat="1">
      <c r="B96" s="13">
        <v>30</v>
      </c>
      <c r="C96" s="13">
        <f t="shared" si="23"/>
        <v>0.87616099071207432</v>
      </c>
      <c r="D96" s="13">
        <f t="shared" si="11"/>
        <v>86.242414860681109</v>
      </c>
      <c r="E96" s="13">
        <f t="shared" si="12"/>
        <v>12.057585139318885</v>
      </c>
      <c r="F96" s="13">
        <v>1.5</v>
      </c>
      <c r="G96" s="13">
        <f t="shared" si="10"/>
        <v>0.2</v>
      </c>
      <c r="H96" s="13">
        <f t="shared" si="13"/>
        <v>1</v>
      </c>
      <c r="I96" s="13">
        <f t="shared" si="14"/>
        <v>1.6777246080778856</v>
      </c>
      <c r="J96" s="13">
        <f t="shared" si="15"/>
        <v>6.5223127263850551E-3</v>
      </c>
      <c r="K96" s="13">
        <f t="shared" si="16"/>
        <v>1.9877524499459218E-3</v>
      </c>
      <c r="L96" s="13">
        <f t="shared" si="17"/>
        <v>1.4259534647458565</v>
      </c>
      <c r="M96" s="13">
        <f t="shared" si="18"/>
        <v>7.1868679050567583E-2</v>
      </c>
      <c r="N96" s="13">
        <f t="shared" si="19"/>
        <v>0.12057585139318885</v>
      </c>
      <c r="O96" s="13">
        <f t="shared" si="20"/>
        <v>4.6874999999999998E-4</v>
      </c>
      <c r="P96" s="13">
        <f t="shared" si="21"/>
        <v>1.4285714285714287E-4</v>
      </c>
      <c r="Q96" s="13">
        <f t="shared" si="22"/>
        <v>0.10248139189886479</v>
      </c>
    </row>
    <row r="97" spans="2:17" s="613" customFormat="1">
      <c r="B97" s="13">
        <v>31</v>
      </c>
      <c r="C97" s="13">
        <f t="shared" si="23"/>
        <v>0.87076923076923074</v>
      </c>
      <c r="D97" s="13">
        <f t="shared" si="11"/>
        <v>85.911538461538456</v>
      </c>
      <c r="E97" s="13">
        <f t="shared" si="12"/>
        <v>12.388461538461538</v>
      </c>
      <c r="F97" s="13">
        <v>1.5</v>
      </c>
      <c r="G97" s="13">
        <f t="shared" si="10"/>
        <v>0.2</v>
      </c>
      <c r="H97" s="13">
        <f t="shared" si="13"/>
        <v>1</v>
      </c>
      <c r="I97" s="13">
        <f t="shared" si="14"/>
        <v>1.7304024712360659</v>
      </c>
      <c r="J97" s="13">
        <f t="shared" si="15"/>
        <v>6.5474325110802707E-3</v>
      </c>
      <c r="K97" s="13">
        <f t="shared" si="16"/>
        <v>1.9954080033768445E-3</v>
      </c>
      <c r="L97" s="13">
        <f t="shared" si="17"/>
        <v>1.4391480503200968</v>
      </c>
      <c r="M97" s="13">
        <f t="shared" si="18"/>
        <v>7.1592948717948704E-2</v>
      </c>
      <c r="N97" s="13">
        <f t="shared" si="19"/>
        <v>0.12388461538461538</v>
      </c>
      <c r="O97" s="13">
        <f t="shared" si="20"/>
        <v>4.6874999999999998E-4</v>
      </c>
      <c r="P97" s="13">
        <f t="shared" si="21"/>
        <v>1.4285714285714287E-4</v>
      </c>
      <c r="Q97" s="13">
        <f t="shared" si="22"/>
        <v>0.10303285256410255</v>
      </c>
    </row>
    <row r="98" spans="2:17" s="613" customFormat="1">
      <c r="B98" s="13">
        <v>32</v>
      </c>
      <c r="C98" s="13">
        <f t="shared" si="23"/>
        <v>0.86544342507645255</v>
      </c>
      <c r="D98" s="13">
        <f t="shared" si="11"/>
        <v>85.83165137614678</v>
      </c>
      <c r="E98" s="13">
        <f t="shared" si="12"/>
        <v>12.468348623853212</v>
      </c>
      <c r="F98" s="13">
        <v>1.5</v>
      </c>
      <c r="G98" s="13">
        <f t="shared" si="10"/>
        <v>0.2</v>
      </c>
      <c r="H98" s="13">
        <f t="shared" si="13"/>
        <v>1</v>
      </c>
      <c r="I98" s="13">
        <f t="shared" si="14"/>
        <v>1.7431819274983569</v>
      </c>
      <c r="J98" s="13">
        <f t="shared" si="15"/>
        <v>6.553526478651938E-3</v>
      </c>
      <c r="K98" s="13">
        <f t="shared" si="16"/>
        <v>1.9972652125415432E-3</v>
      </c>
      <c r="L98" s="13">
        <f t="shared" si="17"/>
        <v>1.4423490083532413</v>
      </c>
      <c r="M98" s="13">
        <f t="shared" si="18"/>
        <v>7.1526376146788986E-2</v>
      </c>
      <c r="N98" s="13">
        <f t="shared" si="19"/>
        <v>0.12468348623853212</v>
      </c>
      <c r="O98" s="13">
        <f t="shared" si="20"/>
        <v>4.6874999999999998E-4</v>
      </c>
      <c r="P98" s="13">
        <f t="shared" si="21"/>
        <v>1.4285714285714287E-4</v>
      </c>
      <c r="Q98" s="13">
        <f t="shared" si="22"/>
        <v>0.10316599770642203</v>
      </c>
    </row>
    <row r="99" spans="2:17" s="613" customFormat="1">
      <c r="B99" s="13">
        <v>33</v>
      </c>
      <c r="C99" s="13">
        <f t="shared" si="23"/>
        <v>0.86018237082066873</v>
      </c>
      <c r="D99" s="13">
        <f t="shared" si="11"/>
        <v>86.252735562310036</v>
      </c>
      <c r="E99" s="13">
        <f t="shared" si="12"/>
        <v>12.547264437689968</v>
      </c>
      <c r="F99" s="13">
        <v>1</v>
      </c>
      <c r="G99" s="13">
        <f t="shared" si="10"/>
        <v>0.2</v>
      </c>
      <c r="H99" s="13">
        <f t="shared" si="13"/>
        <v>1</v>
      </c>
      <c r="I99" s="13">
        <f t="shared" si="14"/>
        <v>1.7456509903214379</v>
      </c>
      <c r="J99" s="13">
        <f t="shared" si="15"/>
        <v>4.3476881927889156E-3</v>
      </c>
      <c r="K99" s="13">
        <f t="shared" si="16"/>
        <v>1.9875146024177903E-3</v>
      </c>
      <c r="L99" s="13">
        <f t="shared" si="17"/>
        <v>1.4407604357731483</v>
      </c>
      <c r="M99" s="13">
        <f t="shared" si="18"/>
        <v>7.1877279635258362E-2</v>
      </c>
      <c r="N99" s="13">
        <f t="shared" si="19"/>
        <v>0.12547264437689967</v>
      </c>
      <c r="O99" s="13">
        <f t="shared" si="20"/>
        <v>3.1250000000000001E-4</v>
      </c>
      <c r="P99" s="13">
        <f t="shared" si="21"/>
        <v>1.4285714285714287E-4</v>
      </c>
      <c r="Q99" s="13">
        <f t="shared" si="22"/>
        <v>0.10355794072948328</v>
      </c>
    </row>
    <row r="100" spans="2:17" s="613" customFormat="1">
      <c r="B100" s="13">
        <v>34</v>
      </c>
      <c r="C100" s="13">
        <f t="shared" si="23"/>
        <v>0.85498489425981872</v>
      </c>
      <c r="D100" s="13">
        <f t="shared" si="11"/>
        <v>86.174773413897285</v>
      </c>
      <c r="E100" s="13">
        <f t="shared" si="12"/>
        <v>12.625226586102718</v>
      </c>
      <c r="F100" s="13">
        <v>1</v>
      </c>
      <c r="G100" s="13">
        <f t="shared" si="10"/>
        <v>0.2</v>
      </c>
      <c r="H100" s="13">
        <f t="shared" si="13"/>
        <v>1</v>
      </c>
      <c r="I100" s="13">
        <f t="shared" si="14"/>
        <v>1.7580866538002407</v>
      </c>
      <c r="J100" s="13">
        <f t="shared" si="15"/>
        <v>4.3516215377657642E-3</v>
      </c>
      <c r="K100" s="13">
        <f t="shared" si="16"/>
        <v>1.9893127029786354E-3</v>
      </c>
      <c r="L100" s="13">
        <f t="shared" si="17"/>
        <v>1.443873284987826</v>
      </c>
      <c r="M100" s="13">
        <f t="shared" si="18"/>
        <v>7.181231117824774E-2</v>
      </c>
      <c r="N100" s="13">
        <f t="shared" si="19"/>
        <v>0.12625226586102717</v>
      </c>
      <c r="O100" s="13">
        <f t="shared" si="20"/>
        <v>3.1250000000000001E-4</v>
      </c>
      <c r="P100" s="13">
        <f t="shared" si="21"/>
        <v>1.4285714285714287E-4</v>
      </c>
      <c r="Q100" s="13">
        <f t="shared" si="22"/>
        <v>0.10368787764350454</v>
      </c>
    </row>
    <row r="101" spans="2:17" s="613" customFormat="1">
      <c r="B101" s="13">
        <v>35</v>
      </c>
      <c r="C101" s="13">
        <f t="shared" si="23"/>
        <v>0.8498498498498499</v>
      </c>
      <c r="D101" s="13">
        <f t="shared" si="11"/>
        <v>86.097747747747746</v>
      </c>
      <c r="E101" s="13">
        <f t="shared" si="12"/>
        <v>12.702252252252251</v>
      </c>
      <c r="F101" s="13">
        <v>1</v>
      </c>
      <c r="G101" s="13">
        <f t="shared" si="10"/>
        <v>0.2</v>
      </c>
      <c r="H101" s="13">
        <f t="shared" si="13"/>
        <v>1</v>
      </c>
      <c r="I101" s="13">
        <f t="shared" si="14"/>
        <v>1.7703950569486806</v>
      </c>
      <c r="J101" s="13">
        <f t="shared" si="15"/>
        <v>4.3555146308668653E-3</v>
      </c>
      <c r="K101" s="13">
        <f t="shared" si="16"/>
        <v>1.9910924026819957E-3</v>
      </c>
      <c r="L101" s="13">
        <f t="shared" si="17"/>
        <v>1.4469542788680372</v>
      </c>
      <c r="M101" s="13">
        <f t="shared" si="18"/>
        <v>7.174812312312312E-2</v>
      </c>
      <c r="N101" s="13">
        <f t="shared" si="19"/>
        <v>0.1270225225225225</v>
      </c>
      <c r="O101" s="13">
        <f t="shared" si="20"/>
        <v>3.1250000000000001E-4</v>
      </c>
      <c r="P101" s="13">
        <f t="shared" si="21"/>
        <v>1.4285714285714287E-4</v>
      </c>
      <c r="Q101" s="13">
        <f t="shared" si="22"/>
        <v>0.10381625375375375</v>
      </c>
    </row>
    <row r="102" spans="2:17" s="613" customFormat="1">
      <c r="B102" s="13">
        <v>36</v>
      </c>
      <c r="C102" s="13">
        <f t="shared" si="23"/>
        <v>0.84477611940298503</v>
      </c>
      <c r="D102" s="13">
        <f t="shared" si="11"/>
        <v>86.521641791044772</v>
      </c>
      <c r="E102" s="13">
        <f t="shared" si="12"/>
        <v>12.778358208955224</v>
      </c>
      <c r="F102" s="13">
        <v>0.5</v>
      </c>
      <c r="G102" s="13">
        <f t="shared" si="10"/>
        <v>0.2</v>
      </c>
      <c r="H102" s="13">
        <f t="shared" si="13"/>
        <v>1</v>
      </c>
      <c r="I102" s="13">
        <f t="shared" si="14"/>
        <v>1.7722768007314191</v>
      </c>
      <c r="J102" s="13">
        <f t="shared" si="15"/>
        <v>2.1670878651704776E-3</v>
      </c>
      <c r="K102" s="13">
        <f t="shared" si="16"/>
        <v>1.981337476727294E-3</v>
      </c>
      <c r="L102" s="13">
        <f t="shared" si="17"/>
        <v>1.4452362880480252</v>
      </c>
      <c r="M102" s="13">
        <f t="shared" si="18"/>
        <v>7.2101368159203968E-2</v>
      </c>
      <c r="N102" s="13">
        <f t="shared" si="19"/>
        <v>0.12778358208955223</v>
      </c>
      <c r="O102" s="13">
        <f t="shared" si="20"/>
        <v>1.5625E-4</v>
      </c>
      <c r="P102" s="13">
        <f t="shared" si="21"/>
        <v>1.4285714285714287E-4</v>
      </c>
      <c r="Q102" s="13">
        <f t="shared" si="22"/>
        <v>0.10420351368159202</v>
      </c>
    </row>
    <row r="103" spans="2:17" s="613" customFormat="1">
      <c r="B103" s="13">
        <v>37</v>
      </c>
      <c r="C103" s="13">
        <f t="shared" si="23"/>
        <v>0.83976261127596441</v>
      </c>
      <c r="D103" s="13">
        <f t="shared" si="11"/>
        <v>86.446439169139467</v>
      </c>
      <c r="E103" s="13">
        <f t="shared" si="12"/>
        <v>12.853560830860534</v>
      </c>
      <c r="F103" s="13">
        <v>0.5</v>
      </c>
      <c r="G103" s="13">
        <f t="shared" si="10"/>
        <v>0.2</v>
      </c>
      <c r="H103" s="13">
        <f t="shared" si="13"/>
        <v>1</v>
      </c>
      <c r="I103" s="13">
        <f t="shared" si="14"/>
        <v>1.7842577606758099</v>
      </c>
      <c r="J103" s="13">
        <f t="shared" si="15"/>
        <v>2.1689730867125831E-3</v>
      </c>
      <c r="K103" s="13">
        <f t="shared" si="16"/>
        <v>1.983061107851505E-3</v>
      </c>
      <c r="L103" s="13">
        <f t="shared" si="17"/>
        <v>1.4482334132556649</v>
      </c>
      <c r="M103" s="13">
        <f t="shared" si="18"/>
        <v>7.2038699307616222E-2</v>
      </c>
      <c r="N103" s="13">
        <f t="shared" si="19"/>
        <v>0.12853560830860533</v>
      </c>
      <c r="O103" s="13">
        <f t="shared" si="20"/>
        <v>1.5625E-4</v>
      </c>
      <c r="P103" s="13">
        <f t="shared" si="21"/>
        <v>1.4285714285714287E-4</v>
      </c>
      <c r="Q103" s="13">
        <f t="shared" si="22"/>
        <v>0.10432885138476755</v>
      </c>
    </row>
    <row r="104" spans="2:17" s="613" customFormat="1">
      <c r="B104" s="13">
        <v>38</v>
      </c>
      <c r="C104" s="13">
        <f t="shared" si="23"/>
        <v>0.83480825958702065</v>
      </c>
      <c r="D104" s="13">
        <f t="shared" si="11"/>
        <v>86.372123893805309</v>
      </c>
      <c r="E104" s="13">
        <f t="shared" si="12"/>
        <v>12.92787610619469</v>
      </c>
      <c r="F104" s="13">
        <v>0.5</v>
      </c>
      <c r="G104" s="13">
        <f t="shared" si="10"/>
        <v>0.2</v>
      </c>
      <c r="H104" s="13">
        <f t="shared" si="13"/>
        <v>1</v>
      </c>
      <c r="I104" s="13">
        <f t="shared" si="14"/>
        <v>1.7961178477569275</v>
      </c>
      <c r="J104" s="13">
        <f t="shared" si="15"/>
        <v>2.1708392887331519E-3</v>
      </c>
      <c r="K104" s="13">
        <f t="shared" si="16"/>
        <v>1.984767349698882E-3</v>
      </c>
      <c r="L104" s="13">
        <f t="shared" si="17"/>
        <v>1.4512003012279651</v>
      </c>
      <c r="M104" s="13">
        <f t="shared" si="18"/>
        <v>7.1976769911504423E-2</v>
      </c>
      <c r="N104" s="13">
        <f t="shared" si="19"/>
        <v>0.12927876106194691</v>
      </c>
      <c r="O104" s="13">
        <f t="shared" si="20"/>
        <v>1.5625E-4</v>
      </c>
      <c r="P104" s="13">
        <f t="shared" si="21"/>
        <v>1.4285714285714287E-4</v>
      </c>
      <c r="Q104" s="13">
        <f t="shared" si="22"/>
        <v>0.10445271017699115</v>
      </c>
    </row>
    <row r="105" spans="2:17" s="613" customFormat="1">
      <c r="B105" s="13">
        <v>39</v>
      </c>
      <c r="C105" s="13">
        <f t="shared" si="23"/>
        <v>0.8299120234604106</v>
      </c>
      <c r="D105" s="13">
        <f t="shared" si="11"/>
        <v>86.298680351906157</v>
      </c>
      <c r="E105" s="13">
        <f t="shared" si="12"/>
        <v>13.00131964809384</v>
      </c>
      <c r="F105" s="13">
        <v>0.5</v>
      </c>
      <c r="G105" s="13">
        <f t="shared" si="10"/>
        <v>0.2</v>
      </c>
      <c r="H105" s="13">
        <f t="shared" si="13"/>
        <v>1</v>
      </c>
      <c r="I105" s="13">
        <f t="shared" si="14"/>
        <v>1.8078588819774464</v>
      </c>
      <c r="J105" s="13">
        <f t="shared" si="15"/>
        <v>2.172686757612262E-3</v>
      </c>
      <c r="K105" s="13">
        <f t="shared" si="16"/>
        <v>1.9864564641026397E-3</v>
      </c>
      <c r="L105" s="13">
        <f t="shared" si="17"/>
        <v>1.4541374072519737</v>
      </c>
      <c r="M105" s="13">
        <f t="shared" si="18"/>
        <v>7.1915566959921795E-2</v>
      </c>
      <c r="N105" s="13">
        <f t="shared" si="19"/>
        <v>0.1300131964809384</v>
      </c>
      <c r="O105" s="13">
        <f t="shared" si="20"/>
        <v>1.5625E-4</v>
      </c>
      <c r="P105" s="13">
        <f t="shared" si="21"/>
        <v>1.4285714285714287E-4</v>
      </c>
      <c r="Q105" s="13">
        <f t="shared" si="22"/>
        <v>0.10457511608015639</v>
      </c>
    </row>
    <row r="106" spans="2:17" s="613" customFormat="1">
      <c r="B106" s="13">
        <v>40</v>
      </c>
      <c r="C106" s="13">
        <f t="shared" si="23"/>
        <v>0.82507288629737607</v>
      </c>
      <c r="D106" s="13">
        <f t="shared" si="11"/>
        <v>86.22609329446064</v>
      </c>
      <c r="E106" s="13">
        <f t="shared" si="12"/>
        <v>13.073906705539358</v>
      </c>
      <c r="F106" s="13">
        <v>0.5</v>
      </c>
      <c r="G106" s="13">
        <f t="shared" si="10"/>
        <v>0.2</v>
      </c>
      <c r="H106" s="13">
        <f t="shared" si="13"/>
        <v>1</v>
      </c>
      <c r="I106" s="13">
        <f t="shared" si="14"/>
        <v>1.8194826469837415</v>
      </c>
      <c r="J106" s="13">
        <f t="shared" si="15"/>
        <v>2.1745157740092748E-3</v>
      </c>
      <c r="K106" s="13">
        <f t="shared" si="16"/>
        <v>1.9881287076656227E-3</v>
      </c>
      <c r="L106" s="13">
        <f t="shared" si="17"/>
        <v>1.4570451775199447</v>
      </c>
      <c r="M106" s="13">
        <f t="shared" si="18"/>
        <v>7.1855077745383869E-2</v>
      </c>
      <c r="N106" s="13">
        <f t="shared" si="19"/>
        <v>0.13073906705539357</v>
      </c>
      <c r="O106" s="13">
        <f t="shared" si="20"/>
        <v>1.5625E-4</v>
      </c>
      <c r="P106" s="13">
        <f t="shared" si="21"/>
        <v>1.4285714285714287E-4</v>
      </c>
      <c r="Q106" s="13">
        <f t="shared" si="22"/>
        <v>0.10469609450923227</v>
      </c>
    </row>
    <row r="107" spans="2:17" s="613" customFormat="1">
      <c r="B107" s="13">
        <v>41</v>
      </c>
      <c r="C107" s="13">
        <f t="shared" si="23"/>
        <v>0.82028985507246377</v>
      </c>
      <c r="D107" s="13">
        <f t="shared" si="11"/>
        <v>86.154347826086948</v>
      </c>
      <c r="E107" s="13">
        <f t="shared" si="12"/>
        <v>13.145652173913042</v>
      </c>
      <c r="F107" s="13">
        <v>0.5</v>
      </c>
      <c r="G107" s="13">
        <f t="shared" si="10"/>
        <v>0.2</v>
      </c>
      <c r="H107" s="13">
        <f t="shared" si="13"/>
        <v>1</v>
      </c>
      <c r="I107" s="13">
        <f t="shared" si="14"/>
        <v>1.8309908909691908</v>
      </c>
      <c r="J107" s="13">
        <f t="shared" si="15"/>
        <v>2.1763266130049711E-3</v>
      </c>
      <c r="K107" s="13">
        <f t="shared" si="16"/>
        <v>1.9897843318902593E-3</v>
      </c>
      <c r="L107" s="13">
        <f t="shared" si="17"/>
        <v>1.4599240493553027</v>
      </c>
      <c r="M107" s="13">
        <f t="shared" si="18"/>
        <v>7.1795289855072456E-2</v>
      </c>
      <c r="N107" s="13">
        <f t="shared" si="19"/>
        <v>0.13145652173913042</v>
      </c>
      <c r="O107" s="13">
        <f t="shared" si="20"/>
        <v>1.5625E-4</v>
      </c>
      <c r="P107" s="13">
        <f t="shared" si="21"/>
        <v>1.4285714285714287E-4</v>
      </c>
      <c r="Q107" s="13">
        <f t="shared" si="22"/>
        <v>0.10481567028985507</v>
      </c>
    </row>
    <row r="108" spans="2:17" s="613" customFormat="1">
      <c r="B108" s="13">
        <v>42</v>
      </c>
      <c r="C108" s="13">
        <f t="shared" si="23"/>
        <v>0.81556195965417866</v>
      </c>
      <c r="D108" s="13">
        <f t="shared" si="11"/>
        <v>86.083429394812683</v>
      </c>
      <c r="E108" s="13">
        <f t="shared" si="12"/>
        <v>13.21657060518732</v>
      </c>
      <c r="F108" s="13">
        <v>0.5</v>
      </c>
      <c r="G108" s="13">
        <f t="shared" si="10"/>
        <v>0.2</v>
      </c>
      <c r="H108" s="13">
        <f t="shared" si="13"/>
        <v>1</v>
      </c>
      <c r="I108" s="13">
        <f t="shared" si="14"/>
        <v>1.8423853275506803</v>
      </c>
      <c r="J108" s="13">
        <f t="shared" si="15"/>
        <v>2.17811954423947E-3</v>
      </c>
      <c r="K108" s="13">
        <f t="shared" si="16"/>
        <v>1.9914235833046585E-3</v>
      </c>
      <c r="L108" s="13">
        <f t="shared" si="17"/>
        <v>1.4627744514319094</v>
      </c>
      <c r="M108" s="13">
        <f t="shared" si="18"/>
        <v>7.1736191162343907E-2</v>
      </c>
      <c r="N108" s="13">
        <f t="shared" si="19"/>
        <v>0.13216570605187319</v>
      </c>
      <c r="O108" s="13">
        <f t="shared" si="20"/>
        <v>1.5625E-4</v>
      </c>
      <c r="P108" s="13">
        <f t="shared" si="21"/>
        <v>1.4285714285714287E-4</v>
      </c>
      <c r="Q108" s="13">
        <f t="shared" si="22"/>
        <v>0.1049338676753122</v>
      </c>
    </row>
    <row r="109" spans="2:17" s="613" customFormat="1">
      <c r="B109" s="13">
        <v>43</v>
      </c>
      <c r="C109" s="13">
        <f t="shared" si="23"/>
        <v>0.81088825214899718</v>
      </c>
      <c r="D109" s="13">
        <f t="shared" si="11"/>
        <v>86.013323782234963</v>
      </c>
      <c r="E109" s="13">
        <f t="shared" si="12"/>
        <v>13.286676217765041</v>
      </c>
      <c r="F109" s="13">
        <v>0.5</v>
      </c>
      <c r="G109" s="13">
        <f t="shared" si="10"/>
        <v>0.2</v>
      </c>
      <c r="H109" s="13">
        <f t="shared" si="13"/>
        <v>1</v>
      </c>
      <c r="I109" s="13">
        <f t="shared" si="14"/>
        <v>1.8536676366192346</v>
      </c>
      <c r="J109" s="13">
        <f t="shared" si="15"/>
        <v>2.1798948320460778E-3</v>
      </c>
      <c r="K109" s="13">
        <f t="shared" si="16"/>
        <v>1.9930467035849855E-3</v>
      </c>
      <c r="L109" s="13">
        <f t="shared" si="17"/>
        <v>1.4655968039868548</v>
      </c>
      <c r="M109" s="13">
        <f t="shared" si="18"/>
        <v>7.1677769818529136E-2</v>
      </c>
      <c r="N109" s="13">
        <f t="shared" si="19"/>
        <v>0.13286676217765042</v>
      </c>
      <c r="O109" s="13">
        <f t="shared" si="20"/>
        <v>1.5625E-4</v>
      </c>
      <c r="P109" s="13">
        <f t="shared" si="21"/>
        <v>1.4285714285714287E-4</v>
      </c>
      <c r="Q109" s="13">
        <f t="shared" si="22"/>
        <v>0.10505071036294174</v>
      </c>
    </row>
    <row r="110" spans="2:17" s="613" customFormat="1">
      <c r="B110" s="13">
        <v>44</v>
      </c>
      <c r="C110" s="13">
        <f t="shared" si="23"/>
        <v>0.80626780626780625</v>
      </c>
      <c r="D110" s="13">
        <f t="shared" si="11"/>
        <v>85.944017094017099</v>
      </c>
      <c r="E110" s="13">
        <f t="shared" si="12"/>
        <v>13.355982905982906</v>
      </c>
      <c r="F110" s="13">
        <v>0.5</v>
      </c>
      <c r="G110" s="13">
        <f t="shared" si="10"/>
        <v>0.2</v>
      </c>
      <c r="H110" s="13">
        <f t="shared" si="13"/>
        <v>1</v>
      </c>
      <c r="I110" s="13">
        <f t="shared" si="14"/>
        <v>1.8648394651656561</v>
      </c>
      <c r="J110" s="13">
        <f t="shared" si="15"/>
        <v>2.1816527355812019E-3</v>
      </c>
      <c r="K110" s="13">
        <f t="shared" si="16"/>
        <v>1.994653929674242E-3</v>
      </c>
      <c r="L110" s="13">
        <f t="shared" si="17"/>
        <v>1.4683915190269952</v>
      </c>
      <c r="M110" s="13">
        <f t="shared" si="18"/>
        <v>7.1620014245014255E-2</v>
      </c>
      <c r="N110" s="13">
        <f t="shared" si="19"/>
        <v>0.13355982905982905</v>
      </c>
      <c r="O110" s="13">
        <f t="shared" si="20"/>
        <v>1.5625E-4</v>
      </c>
      <c r="P110" s="13">
        <f t="shared" si="21"/>
        <v>1.4285714285714287E-4</v>
      </c>
      <c r="Q110" s="13">
        <f t="shared" si="22"/>
        <v>0.10516622150997151</v>
      </c>
    </row>
    <row r="111" spans="2:17" s="613" customFormat="1">
      <c r="B111" s="13">
        <v>45</v>
      </c>
      <c r="C111" s="13">
        <f t="shared" si="23"/>
        <v>0.80169971671388107</v>
      </c>
      <c r="D111" s="13">
        <f t="shared" si="11"/>
        <v>85.875495750708211</v>
      </c>
      <c r="E111" s="13">
        <f t="shared" si="12"/>
        <v>13.424504249291783</v>
      </c>
      <c r="F111" s="13">
        <v>0.5</v>
      </c>
      <c r="G111" s="13">
        <f t="shared" si="10"/>
        <v>0.2</v>
      </c>
      <c r="H111" s="13">
        <f t="shared" si="13"/>
        <v>1</v>
      </c>
      <c r="I111" s="13">
        <f t="shared" si="14"/>
        <v>1.8759024280820278</v>
      </c>
      <c r="J111" s="13">
        <f t="shared" si="15"/>
        <v>2.1833935089504704E-3</v>
      </c>
      <c r="K111" s="13">
        <f t="shared" si="16"/>
        <v>1.9962454938975732E-3</v>
      </c>
      <c r="L111" s="13">
        <f t="shared" si="17"/>
        <v>1.4711590005294573</v>
      </c>
      <c r="M111" s="13">
        <f t="shared" si="18"/>
        <v>7.1562913125590169E-2</v>
      </c>
      <c r="N111" s="13">
        <f t="shared" si="19"/>
        <v>0.13424504249291783</v>
      </c>
      <c r="O111" s="13">
        <f t="shared" si="20"/>
        <v>1.5625E-4</v>
      </c>
      <c r="P111" s="13">
        <f t="shared" si="21"/>
        <v>1.4285714285714287E-4</v>
      </c>
      <c r="Q111" s="13">
        <f t="shared" si="22"/>
        <v>0.10528042374881962</v>
      </c>
    </row>
    <row r="112" spans="2:17" s="613" customFormat="1">
      <c r="B112" s="72" t="s">
        <v>534</v>
      </c>
      <c r="K112" s="501"/>
    </row>
    <row r="113" spans="1:24" s="613" customFormat="1">
      <c r="K113" s="501"/>
    </row>
    <row r="114" spans="1:24" s="613" customFormat="1">
      <c r="B114" s="72" t="s">
        <v>535</v>
      </c>
      <c r="K114" s="501"/>
    </row>
    <row r="115" spans="1:24" s="613" customFormat="1">
      <c r="B115" s="72" t="s">
        <v>1126</v>
      </c>
      <c r="G115" s="72">
        <v>1</v>
      </c>
      <c r="K115" s="501"/>
    </row>
    <row r="116" spans="1:24" s="613" customFormat="1">
      <c r="B116" s="72" t="s">
        <v>536</v>
      </c>
      <c r="G116" s="72">
        <v>0.2</v>
      </c>
      <c r="K116" s="501"/>
    </row>
    <row r="117" spans="1:24" s="613" customFormat="1">
      <c r="B117" s="72" t="s">
        <v>1127</v>
      </c>
      <c r="K117" s="501"/>
    </row>
    <row r="118" spans="1:24" s="613" customFormat="1">
      <c r="B118" s="72" t="s">
        <v>1128</v>
      </c>
      <c r="K118" s="501"/>
    </row>
    <row r="119" spans="1:24" s="613" customFormat="1">
      <c r="B119" s="72"/>
      <c r="K119" s="501"/>
    </row>
    <row r="120" spans="1:24" s="613" customFormat="1">
      <c r="B120" s="72"/>
      <c r="K120" s="501"/>
    </row>
    <row r="121" spans="1:24">
      <c r="B121" s="72"/>
      <c r="C121" s="72"/>
      <c r="K121" s="611"/>
      <c r="L121" s="612"/>
      <c r="S121" s="612"/>
    </row>
    <row r="123" spans="1:24" s="9" customFormat="1" ht="15.75">
      <c r="A123" s="9" t="s">
        <v>1382</v>
      </c>
    </row>
    <row r="125" spans="1:24">
      <c r="B125" s="92" t="s">
        <v>1292</v>
      </c>
    </row>
    <row r="126" spans="1:24">
      <c r="B126" s="106" t="s">
        <v>748</v>
      </c>
      <c r="C126" s="106" t="s">
        <v>543</v>
      </c>
      <c r="D126" s="106" t="s">
        <v>543</v>
      </c>
      <c r="E126" s="106" t="s">
        <v>544</v>
      </c>
      <c r="F126" s="106" t="s">
        <v>545</v>
      </c>
      <c r="G126" s="106" t="s">
        <v>546</v>
      </c>
      <c r="H126" s="106" t="s">
        <v>546</v>
      </c>
      <c r="I126" s="106" t="s">
        <v>528</v>
      </c>
      <c r="J126" s="106" t="s">
        <v>528</v>
      </c>
      <c r="K126" s="106" t="s">
        <v>479</v>
      </c>
      <c r="L126" s="106" t="s">
        <v>479</v>
      </c>
      <c r="M126" s="106" t="s">
        <v>1767</v>
      </c>
      <c r="N126" s="106" t="s">
        <v>1767</v>
      </c>
      <c r="O126" s="106" t="s">
        <v>532</v>
      </c>
      <c r="P126" s="106" t="s">
        <v>532</v>
      </c>
      <c r="Q126" s="691" t="s">
        <v>2451</v>
      </c>
      <c r="R126" s="115"/>
      <c r="T126" s="115"/>
      <c r="U126" s="115"/>
      <c r="V126" s="115"/>
      <c r="W126" s="115"/>
      <c r="X126" s="115"/>
    </row>
    <row r="127" spans="1:24">
      <c r="B127" s="106"/>
      <c r="C127" s="106" t="s">
        <v>547</v>
      </c>
      <c r="D127" s="106" t="s">
        <v>548</v>
      </c>
      <c r="E127" s="106" t="s">
        <v>549</v>
      </c>
      <c r="F127" s="106" t="s">
        <v>549</v>
      </c>
      <c r="G127" s="106" t="s">
        <v>550</v>
      </c>
      <c r="H127" s="106" t="s">
        <v>551</v>
      </c>
      <c r="I127" s="106" t="s">
        <v>550</v>
      </c>
      <c r="J127" s="106" t="s">
        <v>551</v>
      </c>
      <c r="K127" s="106" t="s">
        <v>550</v>
      </c>
      <c r="L127" s="106" t="s">
        <v>551</v>
      </c>
      <c r="M127" s="106" t="s">
        <v>550</v>
      </c>
      <c r="N127" s="106" t="s">
        <v>551</v>
      </c>
      <c r="O127" s="106" t="s">
        <v>550</v>
      </c>
      <c r="P127" s="106" t="s">
        <v>551</v>
      </c>
      <c r="Q127" s="691" t="s">
        <v>2452</v>
      </c>
      <c r="R127" s="115"/>
      <c r="T127" s="115"/>
      <c r="U127" s="115"/>
      <c r="V127" s="115"/>
      <c r="W127" s="115"/>
      <c r="X127" s="115"/>
    </row>
    <row r="128" spans="1:24" ht="19.5">
      <c r="B128" s="13" t="s">
        <v>389</v>
      </c>
      <c r="C128" s="13">
        <v>28.01</v>
      </c>
      <c r="D128" s="13">
        <f>1/(C128/1000)</f>
        <v>35.701535166012135</v>
      </c>
      <c r="E128" s="13">
        <v>0</v>
      </c>
      <c r="F128" s="13">
        <v>0</v>
      </c>
      <c r="G128" s="13">
        <v>0</v>
      </c>
      <c r="H128" s="13">
        <v>0</v>
      </c>
      <c r="I128" s="13">
        <v>0</v>
      </c>
      <c r="J128" s="13">
        <v>0</v>
      </c>
      <c r="K128" s="13">
        <v>0</v>
      </c>
      <c r="L128" s="13">
        <v>0</v>
      </c>
      <c r="M128" s="13">
        <f>K128*453.59</f>
        <v>0</v>
      </c>
      <c r="N128" s="13">
        <f>L128*453.59</f>
        <v>0</v>
      </c>
      <c r="O128" s="13">
        <f t="shared" ref="O128:O138" si="24">K128*1055.05/1000000*D128</f>
        <v>0</v>
      </c>
      <c r="P128" s="13">
        <f t="shared" ref="P128:P138" si="25">L128*1055.05/1000000*D128</f>
        <v>0</v>
      </c>
      <c r="Q128" s="13">
        <f>IFERROR(M128/N128,0)</f>
        <v>0</v>
      </c>
      <c r="U128" s="115"/>
      <c r="V128" s="115"/>
      <c r="W128" s="115"/>
      <c r="X128" s="115"/>
    </row>
    <row r="129" spans="2:24" ht="19.5">
      <c r="B129" s="13" t="s">
        <v>390</v>
      </c>
      <c r="C129" s="13">
        <f>15.999*2</f>
        <v>31.998000000000001</v>
      </c>
      <c r="D129" s="13">
        <f>1/(C129/1000)</f>
        <v>31.251953247077942</v>
      </c>
      <c r="E129" s="13">
        <v>0</v>
      </c>
      <c r="F129" s="13">
        <v>0</v>
      </c>
      <c r="G129" s="13">
        <v>0</v>
      </c>
      <c r="H129" s="13">
        <v>0</v>
      </c>
      <c r="I129" s="13">
        <v>0</v>
      </c>
      <c r="J129" s="13">
        <v>0</v>
      </c>
      <c r="K129" s="13">
        <v>0</v>
      </c>
      <c r="L129" s="13">
        <v>0</v>
      </c>
      <c r="M129" s="13">
        <f t="shared" ref="M129:N139" si="26">K129*453.59</f>
        <v>0</v>
      </c>
      <c r="N129" s="13">
        <f t="shared" si="26"/>
        <v>0</v>
      </c>
      <c r="O129" s="13">
        <f t="shared" si="24"/>
        <v>0</v>
      </c>
      <c r="P129" s="13">
        <f t="shared" si="25"/>
        <v>0</v>
      </c>
      <c r="Q129" s="13">
        <f t="shared" ref="Q129:Q139" si="27">IFERROR(M129/N129,0)</f>
        <v>0</v>
      </c>
      <c r="R129" s="115"/>
      <c r="U129" s="115"/>
      <c r="V129" s="115"/>
      <c r="W129" s="115"/>
      <c r="X129" s="115"/>
    </row>
    <row r="130" spans="2:24" ht="19.5">
      <c r="B130" s="13" t="s">
        <v>215</v>
      </c>
      <c r="C130" s="13">
        <v>44.01</v>
      </c>
      <c r="D130" s="13">
        <f t="shared" ref="D130:D139" si="28">1/(C130/1000)</f>
        <v>22.722108611679165</v>
      </c>
      <c r="E130" s="13">
        <v>1</v>
      </c>
      <c r="F130" s="13">
        <v>0</v>
      </c>
      <c r="G130" s="13">
        <v>0</v>
      </c>
      <c r="H130" s="13">
        <v>0</v>
      </c>
      <c r="I130" s="13">
        <v>0</v>
      </c>
      <c r="J130" s="13">
        <v>0</v>
      </c>
      <c r="K130" s="13">
        <f>I130/453*$C130</f>
        <v>0</v>
      </c>
      <c r="L130" s="13">
        <f>J130/453*$C130</f>
        <v>0</v>
      </c>
      <c r="M130" s="13">
        <f t="shared" si="26"/>
        <v>0</v>
      </c>
      <c r="N130" s="13">
        <f t="shared" si="26"/>
        <v>0</v>
      </c>
      <c r="O130" s="13">
        <f t="shared" si="24"/>
        <v>0</v>
      </c>
      <c r="P130" s="13">
        <f t="shared" si="25"/>
        <v>0</v>
      </c>
      <c r="Q130" s="13">
        <f t="shared" si="27"/>
        <v>0</v>
      </c>
      <c r="R130" s="115"/>
      <c r="U130" s="115"/>
      <c r="W130" s="115"/>
      <c r="X130" s="115"/>
    </row>
    <row r="131" spans="2:24" ht="19.5">
      <c r="B131" s="13" t="s">
        <v>391</v>
      </c>
      <c r="C131" s="13">
        <v>18.010000000000002</v>
      </c>
      <c r="D131" s="13">
        <f t="shared" si="28"/>
        <v>55.524708495280393</v>
      </c>
      <c r="E131" s="13">
        <v>0</v>
      </c>
      <c r="F131" s="13">
        <v>2</v>
      </c>
      <c r="G131" s="13">
        <v>0</v>
      </c>
      <c r="H131" s="13">
        <v>0</v>
      </c>
      <c r="I131" s="13">
        <v>0</v>
      </c>
      <c r="J131" s="13">
        <v>0</v>
      </c>
      <c r="K131" s="13">
        <v>0</v>
      </c>
      <c r="L131" s="13">
        <v>0</v>
      </c>
      <c r="M131" s="13">
        <f t="shared" si="26"/>
        <v>0</v>
      </c>
      <c r="N131" s="13">
        <f t="shared" si="26"/>
        <v>0</v>
      </c>
      <c r="O131" s="13">
        <f t="shared" si="24"/>
        <v>0</v>
      </c>
      <c r="P131" s="13">
        <f t="shared" si="25"/>
        <v>0</v>
      </c>
      <c r="Q131" s="13">
        <f t="shared" si="27"/>
        <v>0</v>
      </c>
    </row>
    <row r="132" spans="2:24" ht="19.5">
      <c r="B132" s="13" t="s">
        <v>392</v>
      </c>
      <c r="C132" s="13">
        <v>16.041</v>
      </c>
      <c r="D132" s="13">
        <f t="shared" si="28"/>
        <v>62.340253101427592</v>
      </c>
      <c r="E132" s="13">
        <v>1</v>
      </c>
      <c r="F132" s="13">
        <v>4</v>
      </c>
      <c r="G132" s="13">
        <v>1013</v>
      </c>
      <c r="H132" s="13">
        <v>913</v>
      </c>
      <c r="I132" s="13">
        <v>23879</v>
      </c>
      <c r="J132" s="13">
        <v>21520</v>
      </c>
      <c r="K132" s="13">
        <f t="shared" ref="K132:L138" si="29">I132/453*$C132</f>
        <v>845.56962251655636</v>
      </c>
      <c r="L132" s="13">
        <f t="shared" si="29"/>
        <v>762.03602649006621</v>
      </c>
      <c r="M132" s="108">
        <f t="shared" si="26"/>
        <v>383541.9250772848</v>
      </c>
      <c r="N132" s="108">
        <f t="shared" si="26"/>
        <v>345651.9212556291</v>
      </c>
      <c r="O132" s="13">
        <f t="shared" si="24"/>
        <v>55.614876269315673</v>
      </c>
      <c r="P132" s="13">
        <f t="shared" si="25"/>
        <v>50.120697571743925</v>
      </c>
      <c r="Q132" s="13">
        <f t="shared" si="27"/>
        <v>1.1096189591078069</v>
      </c>
    </row>
    <row r="133" spans="2:24" ht="19.5">
      <c r="B133" s="13" t="s">
        <v>393</v>
      </c>
      <c r="C133" s="13">
        <v>30.067</v>
      </c>
      <c r="D133" s="13">
        <f t="shared" si="28"/>
        <v>33.259054777663216</v>
      </c>
      <c r="E133" s="13">
        <v>2</v>
      </c>
      <c r="F133" s="13">
        <v>6</v>
      </c>
      <c r="G133" s="13">
        <v>1792</v>
      </c>
      <c r="H133" s="13">
        <v>1641</v>
      </c>
      <c r="I133" s="13">
        <v>22320</v>
      </c>
      <c r="J133" s="13">
        <v>20432</v>
      </c>
      <c r="K133" s="13">
        <f t="shared" si="29"/>
        <v>1481.4468874172185</v>
      </c>
      <c r="L133" s="13">
        <f t="shared" si="29"/>
        <v>1356.1345342163356</v>
      </c>
      <c r="M133" s="108">
        <f t="shared" si="26"/>
        <v>671969.49366357608</v>
      </c>
      <c r="N133" s="108">
        <f t="shared" si="26"/>
        <v>615129.06337518769</v>
      </c>
      <c r="O133" s="13">
        <f t="shared" si="24"/>
        <v>51.983920529801317</v>
      </c>
      <c r="P133" s="13">
        <f t="shared" si="25"/>
        <v>47.586714348785868</v>
      </c>
      <c r="Q133" s="13">
        <f t="shared" si="27"/>
        <v>1.0924040720438526</v>
      </c>
    </row>
    <row r="134" spans="2:24" ht="19.5">
      <c r="B134" s="13" t="s">
        <v>394</v>
      </c>
      <c r="C134" s="13">
        <v>44.091999999999999</v>
      </c>
      <c r="D134" s="13">
        <f t="shared" si="28"/>
        <v>22.679851220175998</v>
      </c>
      <c r="E134" s="13">
        <v>3</v>
      </c>
      <c r="F134" s="13">
        <v>8</v>
      </c>
      <c r="G134" s="13">
        <v>2590</v>
      </c>
      <c r="H134" s="13">
        <v>2385</v>
      </c>
      <c r="I134" s="13">
        <v>21611</v>
      </c>
      <c r="J134" s="13">
        <v>19944</v>
      </c>
      <c r="K134" s="13">
        <f t="shared" si="29"/>
        <v>2103.4706666666666</v>
      </c>
      <c r="L134" s="13">
        <f t="shared" si="29"/>
        <v>1941.2159999999999</v>
      </c>
      <c r="M134" s="108">
        <f t="shared" si="26"/>
        <v>954113.2596933333</v>
      </c>
      <c r="N134" s="108">
        <f t="shared" si="26"/>
        <v>880516.1654399999</v>
      </c>
      <c r="O134" s="13">
        <f t="shared" si="24"/>
        <v>50.332639183222959</v>
      </c>
      <c r="P134" s="13">
        <f t="shared" si="25"/>
        <v>46.450148344370859</v>
      </c>
      <c r="Q134" s="13">
        <f t="shared" si="27"/>
        <v>1.0835840352988368</v>
      </c>
    </row>
    <row r="135" spans="2:24" ht="19.5">
      <c r="B135" s="13" t="s">
        <v>567</v>
      </c>
      <c r="C135" s="13">
        <v>58.118000000000002</v>
      </c>
      <c r="D135" s="13">
        <f t="shared" si="28"/>
        <v>17.206373240648336</v>
      </c>
      <c r="E135" s="13">
        <v>4</v>
      </c>
      <c r="F135" s="13">
        <v>10</v>
      </c>
      <c r="G135" s="13">
        <v>3370</v>
      </c>
      <c r="H135" s="13">
        <v>3113</v>
      </c>
      <c r="I135" s="13">
        <v>21308</v>
      </c>
      <c r="J135" s="13">
        <v>19680</v>
      </c>
      <c r="K135" s="13">
        <f t="shared" si="29"/>
        <v>2733.7270286975718</v>
      </c>
      <c r="L135" s="13">
        <f t="shared" si="29"/>
        <v>2524.8614569536426</v>
      </c>
      <c r="M135" s="108">
        <f t="shared" si="26"/>
        <v>1239991.2429469314</v>
      </c>
      <c r="N135" s="108">
        <f t="shared" si="26"/>
        <v>1145251.9082596027</v>
      </c>
      <c r="O135" s="13">
        <f t="shared" si="24"/>
        <v>49.626943487858718</v>
      </c>
      <c r="P135" s="13">
        <f t="shared" si="25"/>
        <v>45.835284768211928</v>
      </c>
      <c r="Q135" s="13">
        <f t="shared" si="27"/>
        <v>1.0827235772357722</v>
      </c>
    </row>
    <row r="136" spans="2:24">
      <c r="B136" s="13" t="s">
        <v>396</v>
      </c>
      <c r="C136" s="13">
        <v>28.01</v>
      </c>
      <c r="D136" s="13">
        <f t="shared" si="28"/>
        <v>35.701535166012135</v>
      </c>
      <c r="E136" s="13">
        <v>1</v>
      </c>
      <c r="F136" s="13">
        <v>0</v>
      </c>
      <c r="G136" s="13">
        <v>323</v>
      </c>
      <c r="H136" s="13">
        <v>323</v>
      </c>
      <c r="I136" s="13">
        <v>4347</v>
      </c>
      <c r="J136" s="13">
        <v>4347</v>
      </c>
      <c r="K136" s="13">
        <f t="shared" si="29"/>
        <v>268.78470198675501</v>
      </c>
      <c r="L136" s="13">
        <f t="shared" si="29"/>
        <v>268.78470198675501</v>
      </c>
      <c r="M136" s="108">
        <f t="shared" si="26"/>
        <v>121918.0529741722</v>
      </c>
      <c r="N136" s="108">
        <f t="shared" si="26"/>
        <v>121918.0529741722</v>
      </c>
      <c r="O136" s="13">
        <f t="shared" si="24"/>
        <v>10.124287748344372</v>
      </c>
      <c r="P136" s="13">
        <f t="shared" si="25"/>
        <v>10.124287748344372</v>
      </c>
      <c r="Q136" s="13">
        <f t="shared" si="27"/>
        <v>1</v>
      </c>
    </row>
    <row r="137" spans="2:24" ht="19.5">
      <c r="B137" s="13" t="s">
        <v>397</v>
      </c>
      <c r="C137" s="13">
        <v>2.016</v>
      </c>
      <c r="D137" s="13">
        <f t="shared" si="28"/>
        <v>496.03174603174602</v>
      </c>
      <c r="E137" s="13">
        <v>0</v>
      </c>
      <c r="F137" s="13">
        <v>2</v>
      </c>
      <c r="G137" s="13">
        <v>325</v>
      </c>
      <c r="H137" s="13">
        <v>279</v>
      </c>
      <c r="I137" s="13">
        <v>61100</v>
      </c>
      <c r="J137" s="13">
        <v>51623</v>
      </c>
      <c r="K137" s="13">
        <f t="shared" si="29"/>
        <v>271.9152317880795</v>
      </c>
      <c r="L137" s="13">
        <f t="shared" si="29"/>
        <v>229.73944370860926</v>
      </c>
      <c r="M137" s="108">
        <f t="shared" si="26"/>
        <v>123338.02998675498</v>
      </c>
      <c r="N137" s="108">
        <f t="shared" si="26"/>
        <v>104207.51427178807</v>
      </c>
      <c r="O137" s="13">
        <f t="shared" si="24"/>
        <v>142.30365342163356</v>
      </c>
      <c r="P137" s="13">
        <f t="shared" si="25"/>
        <v>120.23144845474613</v>
      </c>
      <c r="Q137" s="13">
        <f t="shared" si="27"/>
        <v>1.1835809619743141</v>
      </c>
    </row>
    <row r="138" spans="2:24" ht="19.5">
      <c r="B138" s="13" t="s">
        <v>214</v>
      </c>
      <c r="C138" s="13">
        <v>34.076000000000001</v>
      </c>
      <c r="D138" s="13">
        <f t="shared" si="28"/>
        <v>29.346167390538795</v>
      </c>
      <c r="E138" s="13">
        <v>0</v>
      </c>
      <c r="F138" s="13">
        <v>2</v>
      </c>
      <c r="G138" s="13">
        <v>640</v>
      </c>
      <c r="H138" s="13">
        <v>594</v>
      </c>
      <c r="I138" s="13">
        <v>7100</v>
      </c>
      <c r="J138" s="13">
        <v>6545</v>
      </c>
      <c r="K138" s="13">
        <f t="shared" si="29"/>
        <v>534.0830022075055</v>
      </c>
      <c r="L138" s="13">
        <f t="shared" si="29"/>
        <v>492.33426048565121</v>
      </c>
      <c r="M138" s="108">
        <f t="shared" si="26"/>
        <v>242254.7089713024</v>
      </c>
      <c r="N138" s="108">
        <f t="shared" si="26"/>
        <v>223317.89721368652</v>
      </c>
      <c r="O138" s="13">
        <f t="shared" si="24"/>
        <v>16.536103752759377</v>
      </c>
      <c r="P138" s="13">
        <f t="shared" si="25"/>
        <v>15.243492825607063</v>
      </c>
      <c r="Q138" s="13">
        <f t="shared" si="27"/>
        <v>1.0847975553857907</v>
      </c>
    </row>
    <row r="139" spans="2:24" ht="19.5">
      <c r="B139" s="13" t="s">
        <v>398</v>
      </c>
      <c r="C139" s="13">
        <v>64.06</v>
      </c>
      <c r="D139" s="13">
        <f t="shared" si="28"/>
        <v>15.61036528254761</v>
      </c>
      <c r="E139" s="13">
        <v>0</v>
      </c>
      <c r="F139" s="13">
        <v>0</v>
      </c>
      <c r="G139" s="13">
        <v>0</v>
      </c>
      <c r="H139" s="13">
        <v>0</v>
      </c>
      <c r="I139" s="13">
        <v>0</v>
      </c>
      <c r="J139" s="13">
        <v>0</v>
      </c>
      <c r="K139" s="13">
        <v>0</v>
      </c>
      <c r="L139" s="13">
        <v>0</v>
      </c>
      <c r="M139" s="13">
        <f t="shared" si="26"/>
        <v>0</v>
      </c>
      <c r="N139" s="13">
        <f t="shared" si="26"/>
        <v>0</v>
      </c>
      <c r="O139" s="13">
        <v>0</v>
      </c>
      <c r="P139" s="13">
        <v>0</v>
      </c>
      <c r="Q139" s="13">
        <f t="shared" si="27"/>
        <v>0</v>
      </c>
    </row>
    <row r="140" spans="2:24" ht="15.75">
      <c r="B140" s="72" t="s">
        <v>541</v>
      </c>
      <c r="C140" s="611"/>
      <c r="D140" s="611"/>
      <c r="E140" s="611"/>
      <c r="F140" s="611"/>
      <c r="G140" s="611"/>
      <c r="H140" s="614"/>
      <c r="I140" s="614"/>
      <c r="J140" s="611"/>
      <c r="K140" s="611"/>
      <c r="L140" s="611"/>
      <c r="M140" s="611"/>
      <c r="N140" s="615"/>
      <c r="O140" s="615"/>
      <c r="P140" s="611"/>
      <c r="Q140" s="611"/>
    </row>
    <row r="141" spans="2:24">
      <c r="B141" s="72" t="s">
        <v>542</v>
      </c>
      <c r="C141" s="616"/>
      <c r="D141" s="617"/>
      <c r="E141" s="617"/>
      <c r="F141" s="611"/>
      <c r="G141" s="611"/>
      <c r="H141" s="615"/>
      <c r="I141" s="615"/>
      <c r="J141" s="611"/>
      <c r="K141" s="611"/>
      <c r="L141" s="615"/>
      <c r="M141" s="615"/>
      <c r="N141" s="618"/>
      <c r="O141" s="618"/>
    </row>
    <row r="142" spans="2:24">
      <c r="B142" s="72" t="s">
        <v>1293</v>
      </c>
      <c r="C142" s="616"/>
      <c r="D142" s="617"/>
      <c r="E142" s="617"/>
      <c r="F142" s="611"/>
      <c r="G142" s="611"/>
      <c r="H142" s="615"/>
      <c r="I142" s="615"/>
      <c r="J142" s="611"/>
      <c r="K142" s="611"/>
      <c r="L142" s="615"/>
      <c r="M142" s="615"/>
      <c r="N142" s="618"/>
      <c r="O142" s="618"/>
    </row>
    <row r="143" spans="2:24">
      <c r="C143" s="616"/>
      <c r="D143" s="617"/>
      <c r="E143" s="617"/>
      <c r="F143" s="611"/>
      <c r="G143" s="611"/>
      <c r="H143" s="615"/>
      <c r="I143" s="615"/>
      <c r="J143" s="611"/>
      <c r="K143" s="611"/>
      <c r="L143" s="615"/>
      <c r="M143" s="615"/>
      <c r="N143" s="618"/>
      <c r="O143" s="618"/>
    </row>
    <row r="144" spans="2:24">
      <c r="C144" s="616"/>
      <c r="D144" s="617"/>
      <c r="E144" s="617"/>
      <c r="F144" s="611"/>
      <c r="G144" s="611"/>
      <c r="H144" s="615"/>
      <c r="I144" s="615"/>
      <c r="J144" s="611"/>
      <c r="K144" s="611"/>
      <c r="L144" s="615"/>
      <c r="M144" s="615"/>
      <c r="N144" s="618"/>
      <c r="O144" s="618"/>
    </row>
    <row r="145" spans="2:15">
      <c r="B145" s="619" t="s">
        <v>1294</v>
      </c>
      <c r="C145" s="616"/>
      <c r="E145" s="617"/>
      <c r="F145" s="611"/>
      <c r="G145" s="611"/>
      <c r="H145" s="615"/>
      <c r="I145" s="615"/>
      <c r="J145" s="611"/>
      <c r="K145" s="611"/>
      <c r="L145" s="615"/>
      <c r="M145" s="615"/>
      <c r="N145" s="618"/>
      <c r="O145" s="618"/>
    </row>
    <row r="146" spans="2:15">
      <c r="B146" s="106" t="s">
        <v>748</v>
      </c>
      <c r="C146" s="106" t="s">
        <v>543</v>
      </c>
      <c r="D146" s="106" t="s">
        <v>543</v>
      </c>
      <c r="E146" s="106" t="s">
        <v>543</v>
      </c>
      <c r="F146" s="106" t="s">
        <v>544</v>
      </c>
      <c r="G146" s="106" t="s">
        <v>545</v>
      </c>
      <c r="H146" s="106" t="s">
        <v>552</v>
      </c>
      <c r="J146" s="611"/>
      <c r="K146" s="611"/>
      <c r="L146" s="615"/>
      <c r="M146" s="615"/>
      <c r="N146" s="618"/>
      <c r="O146" s="618"/>
    </row>
    <row r="147" spans="2:15">
      <c r="B147" s="106"/>
      <c r="C147" s="106" t="s">
        <v>547</v>
      </c>
      <c r="D147" s="106" t="s">
        <v>548</v>
      </c>
      <c r="E147" s="106" t="s">
        <v>240</v>
      </c>
      <c r="F147" s="106" t="s">
        <v>553</v>
      </c>
      <c r="G147" s="106" t="s">
        <v>553</v>
      </c>
      <c r="H147" s="106" t="s">
        <v>553</v>
      </c>
      <c r="J147" s="611"/>
      <c r="K147" s="611"/>
      <c r="L147" s="615"/>
      <c r="M147" s="615"/>
      <c r="N147" s="618"/>
      <c r="O147" s="618"/>
    </row>
    <row r="148" spans="2:15" ht="19.5">
      <c r="B148" s="13" t="s">
        <v>389</v>
      </c>
      <c r="C148" s="13">
        <v>28</v>
      </c>
      <c r="D148" s="13">
        <f>1/(C148/1000)</f>
        <v>35.714285714285715</v>
      </c>
      <c r="E148" s="13">
        <f>C148</f>
        <v>28</v>
      </c>
      <c r="F148" s="13">
        <v>0</v>
      </c>
      <c r="G148" s="13">
        <v>0</v>
      </c>
      <c r="H148" s="13">
        <v>0</v>
      </c>
      <c r="J148" s="611"/>
      <c r="K148" s="611"/>
      <c r="L148" s="615"/>
      <c r="M148" s="615"/>
      <c r="N148" s="618"/>
      <c r="O148" s="618"/>
    </row>
    <row r="149" spans="2:15" ht="19.5">
      <c r="B149" s="13" t="s">
        <v>390</v>
      </c>
      <c r="C149" s="13">
        <v>32</v>
      </c>
      <c r="D149" s="13">
        <f>1/(C149/1000)</f>
        <v>31.25</v>
      </c>
      <c r="E149" s="13">
        <f t="shared" ref="E149:E159" si="30">C149</f>
        <v>32</v>
      </c>
      <c r="F149" s="13">
        <v>0</v>
      </c>
      <c r="G149" s="13">
        <v>0</v>
      </c>
      <c r="H149" s="13">
        <v>0</v>
      </c>
      <c r="J149" s="611"/>
      <c r="K149" s="611"/>
      <c r="L149" s="615"/>
      <c r="M149" s="615"/>
      <c r="N149" s="618"/>
      <c r="O149" s="618"/>
    </row>
    <row r="150" spans="2:15" ht="19.5">
      <c r="B150" s="13" t="s">
        <v>215</v>
      </c>
      <c r="C150" s="13">
        <v>44</v>
      </c>
      <c r="D150" s="13">
        <f t="shared" ref="D150:D159" si="31">1/(C150/1000)</f>
        <v>22.72727272727273</v>
      </c>
      <c r="E150" s="13">
        <f t="shared" si="30"/>
        <v>44</v>
      </c>
      <c r="F150" s="13">
        <v>0</v>
      </c>
      <c r="G150" s="13">
        <v>0</v>
      </c>
      <c r="H150" s="13">
        <v>0</v>
      </c>
      <c r="J150" s="611"/>
      <c r="K150" s="611"/>
      <c r="L150" s="615"/>
      <c r="M150" s="615"/>
      <c r="N150" s="618"/>
      <c r="O150" s="618"/>
    </row>
    <row r="151" spans="2:15" ht="19.5">
      <c r="B151" s="13" t="s">
        <v>391</v>
      </c>
      <c r="C151" s="13">
        <v>18</v>
      </c>
      <c r="D151" s="13">
        <f t="shared" si="31"/>
        <v>55.555555555555557</v>
      </c>
      <c r="E151" s="13">
        <f t="shared" si="30"/>
        <v>18</v>
      </c>
      <c r="F151" s="13">
        <v>0</v>
      </c>
      <c r="G151" s="13">
        <v>0</v>
      </c>
      <c r="H151" s="13">
        <v>0</v>
      </c>
      <c r="J151" s="611"/>
      <c r="K151" s="611"/>
      <c r="L151" s="615"/>
      <c r="M151" s="615"/>
      <c r="N151" s="618"/>
      <c r="O151" s="618"/>
    </row>
    <row r="152" spans="2:15" ht="19.5">
      <c r="B152" s="13" t="s">
        <v>392</v>
      </c>
      <c r="C152" s="13">
        <v>16</v>
      </c>
      <c r="D152" s="13">
        <f t="shared" si="31"/>
        <v>62.5</v>
      </c>
      <c r="E152" s="13">
        <f t="shared" si="30"/>
        <v>16</v>
      </c>
      <c r="F152" s="13">
        <v>1</v>
      </c>
      <c r="G152" s="13">
        <v>4</v>
      </c>
      <c r="H152" s="13">
        <v>0</v>
      </c>
      <c r="J152" s="611"/>
      <c r="K152" s="611"/>
      <c r="L152" s="615"/>
      <c r="M152" s="615"/>
      <c r="N152" s="618"/>
      <c r="O152" s="618"/>
    </row>
    <row r="153" spans="2:15" ht="19.5">
      <c r="B153" s="13" t="s">
        <v>393</v>
      </c>
      <c r="C153" s="13">
        <v>30</v>
      </c>
      <c r="D153" s="13">
        <f t="shared" si="31"/>
        <v>33.333333333333336</v>
      </c>
      <c r="E153" s="13">
        <f t="shared" si="30"/>
        <v>30</v>
      </c>
      <c r="F153" s="13">
        <v>2</v>
      </c>
      <c r="G153" s="13">
        <v>6</v>
      </c>
      <c r="H153" s="13">
        <v>0</v>
      </c>
      <c r="J153" s="611"/>
      <c r="K153" s="611"/>
      <c r="L153" s="615"/>
      <c r="M153" s="615"/>
      <c r="N153" s="618"/>
      <c r="O153" s="618"/>
    </row>
    <row r="154" spans="2:15" ht="19.5">
      <c r="B154" s="13" t="s">
        <v>394</v>
      </c>
      <c r="C154" s="13">
        <v>44</v>
      </c>
      <c r="D154" s="13">
        <f t="shared" si="31"/>
        <v>22.72727272727273</v>
      </c>
      <c r="E154" s="13">
        <f t="shared" si="30"/>
        <v>44</v>
      </c>
      <c r="F154" s="13">
        <v>3</v>
      </c>
      <c r="G154" s="13">
        <v>8</v>
      </c>
      <c r="H154" s="13">
        <v>0</v>
      </c>
      <c r="J154" s="611"/>
      <c r="K154" s="611"/>
      <c r="L154" s="615"/>
      <c r="M154" s="615"/>
      <c r="N154" s="618"/>
      <c r="O154" s="618"/>
    </row>
    <row r="155" spans="2:15" ht="19.5">
      <c r="B155" s="13" t="s">
        <v>567</v>
      </c>
      <c r="C155" s="13">
        <v>58</v>
      </c>
      <c r="D155" s="13">
        <f t="shared" si="31"/>
        <v>17.241379310344826</v>
      </c>
      <c r="E155" s="13">
        <f t="shared" si="30"/>
        <v>58</v>
      </c>
      <c r="F155" s="13">
        <v>4</v>
      </c>
      <c r="G155" s="13">
        <v>10</v>
      </c>
      <c r="H155" s="13">
        <v>0</v>
      </c>
      <c r="J155" s="611"/>
      <c r="K155" s="611"/>
      <c r="L155" s="615"/>
      <c r="M155" s="615"/>
      <c r="N155" s="618"/>
      <c r="O155" s="618"/>
    </row>
    <row r="156" spans="2:15">
      <c r="B156" s="13" t="s">
        <v>396</v>
      </c>
      <c r="C156" s="13">
        <v>28</v>
      </c>
      <c r="D156" s="13">
        <f t="shared" si="31"/>
        <v>35.714285714285715</v>
      </c>
      <c r="E156" s="13">
        <f t="shared" si="30"/>
        <v>28</v>
      </c>
      <c r="F156" s="13">
        <v>1</v>
      </c>
      <c r="G156" s="13">
        <v>0</v>
      </c>
      <c r="H156" s="13">
        <v>0</v>
      </c>
      <c r="J156" s="611"/>
      <c r="K156" s="611"/>
      <c r="L156" s="615"/>
      <c r="M156" s="615"/>
      <c r="N156" s="618"/>
      <c r="O156" s="618"/>
    </row>
    <row r="157" spans="2:15" ht="19.5">
      <c r="B157" s="13" t="s">
        <v>397</v>
      </c>
      <c r="C157" s="13">
        <v>2</v>
      </c>
      <c r="D157" s="13">
        <f t="shared" si="31"/>
        <v>500</v>
      </c>
      <c r="E157" s="13">
        <f t="shared" si="30"/>
        <v>2</v>
      </c>
      <c r="F157" s="13">
        <v>0</v>
      </c>
      <c r="G157" s="13">
        <v>2</v>
      </c>
      <c r="H157" s="13">
        <v>0</v>
      </c>
      <c r="J157" s="611"/>
      <c r="K157" s="611"/>
      <c r="L157" s="615"/>
      <c r="M157" s="615"/>
      <c r="N157" s="618"/>
      <c r="O157" s="618"/>
    </row>
    <row r="158" spans="2:15" ht="19.5">
      <c r="B158" s="13" t="s">
        <v>214</v>
      </c>
      <c r="C158" s="13">
        <v>34</v>
      </c>
      <c r="D158" s="13">
        <f t="shared" si="31"/>
        <v>29.411764705882351</v>
      </c>
      <c r="E158" s="13">
        <f t="shared" si="30"/>
        <v>34</v>
      </c>
      <c r="F158" s="13">
        <v>0</v>
      </c>
      <c r="G158" s="13">
        <v>2</v>
      </c>
      <c r="H158" s="13">
        <v>1</v>
      </c>
      <c r="J158" s="611"/>
      <c r="K158" s="611"/>
      <c r="L158" s="615"/>
      <c r="M158" s="615"/>
      <c r="N158" s="618"/>
      <c r="O158" s="618"/>
    </row>
    <row r="159" spans="2:15" ht="19.5">
      <c r="B159" s="13" t="s">
        <v>398</v>
      </c>
      <c r="C159" s="13">
        <v>64</v>
      </c>
      <c r="D159" s="13">
        <f t="shared" si="31"/>
        <v>15.625</v>
      </c>
      <c r="E159" s="13">
        <f t="shared" si="30"/>
        <v>64</v>
      </c>
      <c r="F159" s="13">
        <v>0</v>
      </c>
      <c r="G159" s="13">
        <v>0</v>
      </c>
      <c r="H159" s="13">
        <v>0</v>
      </c>
    </row>
    <row r="160" spans="2:15">
      <c r="C160" s="611"/>
      <c r="D160" s="620"/>
      <c r="E160" s="611"/>
      <c r="F160" s="611"/>
      <c r="G160" s="611"/>
    </row>
    <row r="161" spans="2:16">
      <c r="C161" s="611"/>
      <c r="D161" s="611"/>
      <c r="E161" s="611"/>
      <c r="F161" s="611"/>
      <c r="G161" s="611"/>
      <c r="H161" s="611"/>
      <c r="I161" s="611"/>
      <c r="J161" s="611"/>
      <c r="K161" s="611"/>
      <c r="L161" s="611"/>
    </row>
    <row r="163" spans="2:16">
      <c r="B163" s="621" t="s">
        <v>1295</v>
      </c>
      <c r="D163" s="622"/>
      <c r="E163" s="622"/>
      <c r="F163" s="622"/>
      <c r="G163" s="622"/>
      <c r="H163" s="622"/>
      <c r="I163" s="622"/>
      <c r="J163" s="622"/>
      <c r="K163" s="622"/>
      <c r="L163" s="622"/>
      <c r="M163" s="622"/>
      <c r="N163" s="622"/>
    </row>
    <row r="164" spans="2:16">
      <c r="B164" s="106" t="s">
        <v>748</v>
      </c>
      <c r="C164" s="106" t="s">
        <v>907</v>
      </c>
      <c r="D164" s="106" t="s">
        <v>908</v>
      </c>
      <c r="E164" s="106" t="s">
        <v>627</v>
      </c>
      <c r="F164" s="106" t="s">
        <v>909</v>
      </c>
      <c r="G164" s="106" t="s">
        <v>625</v>
      </c>
      <c r="H164" s="106" t="s">
        <v>750</v>
      </c>
      <c r="I164" s="106" t="s">
        <v>751</v>
      </c>
      <c r="J164" s="106" t="s">
        <v>910</v>
      </c>
      <c r="K164" s="106" t="s">
        <v>396</v>
      </c>
      <c r="L164" s="106" t="s">
        <v>911</v>
      </c>
      <c r="M164" s="106" t="s">
        <v>873</v>
      </c>
      <c r="N164" s="106" t="s">
        <v>912</v>
      </c>
    </row>
    <row r="165" spans="2:16">
      <c r="B165" s="106"/>
      <c r="C165" s="106" t="s">
        <v>549</v>
      </c>
      <c r="D165" s="106" t="s">
        <v>549</v>
      </c>
      <c r="E165" s="106" t="s">
        <v>549</v>
      </c>
      <c r="F165" s="106" t="s">
        <v>549</v>
      </c>
      <c r="G165" s="106" t="s">
        <v>549</v>
      </c>
      <c r="H165" s="106" t="s">
        <v>549</v>
      </c>
      <c r="I165" s="106" t="s">
        <v>549</v>
      </c>
      <c r="J165" s="106" t="s">
        <v>549</v>
      </c>
      <c r="K165" s="106" t="s">
        <v>549</v>
      </c>
      <c r="L165" s="106" t="s">
        <v>549</v>
      </c>
      <c r="M165" s="106"/>
      <c r="N165" s="106"/>
    </row>
    <row r="166" spans="2:16" ht="19.5">
      <c r="B166" s="13" t="s">
        <v>389</v>
      </c>
      <c r="C166" s="13">
        <v>0</v>
      </c>
      <c r="D166" s="13">
        <v>0</v>
      </c>
      <c r="E166" s="13">
        <v>0</v>
      </c>
      <c r="F166" s="13">
        <v>0</v>
      </c>
      <c r="G166" s="13">
        <v>0</v>
      </c>
      <c r="H166" s="13">
        <v>0</v>
      </c>
      <c r="I166" s="13">
        <v>0</v>
      </c>
      <c r="J166" s="13">
        <v>0</v>
      </c>
      <c r="K166" s="13">
        <v>0</v>
      </c>
      <c r="L166" s="13">
        <v>0</v>
      </c>
      <c r="M166" s="13">
        <v>0</v>
      </c>
      <c r="N166" s="13">
        <v>0</v>
      </c>
    </row>
    <row r="167" spans="2:16" ht="19.5">
      <c r="B167" s="13" t="s">
        <v>390</v>
      </c>
      <c r="C167" s="13">
        <v>0</v>
      </c>
      <c r="D167" s="13">
        <v>0</v>
      </c>
      <c r="E167" s="13">
        <v>0</v>
      </c>
      <c r="F167" s="13">
        <v>0</v>
      </c>
      <c r="G167" s="13">
        <v>0</v>
      </c>
      <c r="H167" s="13">
        <v>0</v>
      </c>
      <c r="I167" s="13">
        <v>0</v>
      </c>
      <c r="J167" s="13">
        <v>0</v>
      </c>
      <c r="K167" s="13">
        <v>0</v>
      </c>
      <c r="L167" s="13">
        <v>0</v>
      </c>
      <c r="M167" s="13">
        <v>0</v>
      </c>
      <c r="N167" s="13">
        <v>0</v>
      </c>
    </row>
    <row r="168" spans="2:16" ht="19.5">
      <c r="B168" s="13" t="s">
        <v>215</v>
      </c>
      <c r="C168" s="13">
        <v>0</v>
      </c>
      <c r="D168" s="13">
        <v>0</v>
      </c>
      <c r="E168" s="13">
        <v>0</v>
      </c>
      <c r="F168" s="13">
        <v>0</v>
      </c>
      <c r="G168" s="13">
        <v>0</v>
      </c>
      <c r="H168" s="13">
        <v>0</v>
      </c>
      <c r="I168" s="13">
        <v>0</v>
      </c>
      <c r="J168" s="13">
        <v>0</v>
      </c>
      <c r="K168" s="13">
        <v>0</v>
      </c>
      <c r="L168" s="13">
        <v>0</v>
      </c>
      <c r="M168" s="13">
        <v>0</v>
      </c>
      <c r="N168" s="13">
        <v>0</v>
      </c>
    </row>
    <row r="169" spans="2:16" ht="19.5">
      <c r="B169" s="13" t="s">
        <v>391</v>
      </c>
      <c r="C169" s="13">
        <v>0</v>
      </c>
      <c r="D169" s="13">
        <v>0</v>
      </c>
      <c r="E169" s="13">
        <v>0</v>
      </c>
      <c r="F169" s="13">
        <v>0</v>
      </c>
      <c r="G169" s="13">
        <v>0</v>
      </c>
      <c r="H169" s="13">
        <v>0</v>
      </c>
      <c r="I169" s="13">
        <v>0</v>
      </c>
      <c r="J169" s="13">
        <v>0</v>
      </c>
      <c r="K169" s="13">
        <v>0</v>
      </c>
      <c r="L169" s="13">
        <v>0</v>
      </c>
      <c r="M169" s="13">
        <v>0</v>
      </c>
      <c r="N169" s="13">
        <v>0</v>
      </c>
    </row>
    <row r="170" spans="2:16" ht="19.5">
      <c r="B170" s="13" t="s">
        <v>392</v>
      </c>
      <c r="C170" s="13">
        <f>D170*'Input data'!$E$104/'Input data'!$E$105</f>
        <v>7.5436754176610981</v>
      </c>
      <c r="D170" s="13">
        <v>2</v>
      </c>
      <c r="E170" s="13">
        <f>D170*'Input data'!$E$106/'Input data'!$E$105</f>
        <v>2.8639618138424821E-3</v>
      </c>
      <c r="F170" s="13">
        <f>D170*'Input data'!$E$107/'Input data'!$E$105</f>
        <v>0.19482733427499879</v>
      </c>
      <c r="G170" s="13">
        <v>0</v>
      </c>
      <c r="H170" s="13">
        <v>0</v>
      </c>
      <c r="I170" s="13">
        <v>0</v>
      </c>
      <c r="J170" s="13">
        <v>0</v>
      </c>
      <c r="K170" s="13">
        <v>0</v>
      </c>
      <c r="L170" s="13">
        <v>0</v>
      </c>
      <c r="M170" s="13">
        <v>0</v>
      </c>
      <c r="N170" s="13">
        <v>0</v>
      </c>
    </row>
    <row r="171" spans="2:16" ht="19.5">
      <c r="B171" s="13" t="s">
        <v>393</v>
      </c>
      <c r="C171" s="13">
        <f>D171*'Input data'!$E$104/'Input data'!$E$105</f>
        <v>13.20143198090692</v>
      </c>
      <c r="D171" s="13">
        <v>3.5</v>
      </c>
      <c r="E171" s="13">
        <f>D171*'Input data'!$E$106/'Input data'!$E$105</f>
        <v>5.0119331742243438E-3</v>
      </c>
      <c r="F171" s="13">
        <f>D171*'Input data'!$E$107/'Input data'!$E$105</f>
        <v>0.34094783498124792</v>
      </c>
      <c r="G171" s="13">
        <v>0</v>
      </c>
      <c r="H171" s="13">
        <v>0</v>
      </c>
      <c r="I171" s="13">
        <v>0</v>
      </c>
      <c r="J171" s="13">
        <v>0</v>
      </c>
      <c r="K171" s="13">
        <v>0</v>
      </c>
      <c r="L171" s="13">
        <v>0</v>
      </c>
      <c r="M171" s="13">
        <v>0</v>
      </c>
      <c r="N171" s="13">
        <v>0</v>
      </c>
    </row>
    <row r="172" spans="2:16" ht="19.5">
      <c r="B172" s="13" t="s">
        <v>394</v>
      </c>
      <c r="C172" s="13">
        <f>D172*'Input data'!$E$104/'Input data'!$E$105</f>
        <v>18.859188544152744</v>
      </c>
      <c r="D172" s="13">
        <v>5</v>
      </c>
      <c r="E172" s="13">
        <f>D172*'Input data'!$E$106/'Input data'!$E$105</f>
        <v>7.1599045346062056E-3</v>
      </c>
      <c r="F172" s="13">
        <f>D172*'Input data'!$E$107/'Input data'!$E$105</f>
        <v>0.48706833568749702</v>
      </c>
      <c r="G172" s="13">
        <v>0</v>
      </c>
      <c r="H172" s="13">
        <v>0</v>
      </c>
      <c r="I172" s="13">
        <v>0</v>
      </c>
      <c r="J172" s="13">
        <v>0</v>
      </c>
      <c r="K172" s="13">
        <v>0</v>
      </c>
      <c r="L172" s="13">
        <v>0</v>
      </c>
      <c r="M172" s="13">
        <v>0</v>
      </c>
      <c r="N172" s="13">
        <v>0</v>
      </c>
    </row>
    <row r="173" spans="2:16" ht="19.5">
      <c r="B173" s="13" t="s">
        <v>567</v>
      </c>
      <c r="C173" s="13">
        <f>D173*'Input data'!$E$104/'Input data'!$E$105</f>
        <v>24.516945107398566</v>
      </c>
      <c r="D173" s="13">
        <v>6.5</v>
      </c>
      <c r="E173" s="13">
        <f>D173*'Input data'!$E$106/'Input data'!$E$105</f>
        <v>9.3078758949880665E-3</v>
      </c>
      <c r="F173" s="13">
        <f>D173*'Input data'!$E$107/'Input data'!$E$105</f>
        <v>0.63318883639374612</v>
      </c>
      <c r="G173" s="13">
        <v>0</v>
      </c>
      <c r="H173" s="13">
        <v>0</v>
      </c>
      <c r="I173" s="13">
        <v>0</v>
      </c>
      <c r="J173" s="13">
        <v>0</v>
      </c>
      <c r="K173" s="13">
        <v>0</v>
      </c>
      <c r="L173" s="13">
        <v>0</v>
      </c>
      <c r="M173" s="13">
        <v>0</v>
      </c>
      <c r="N173" s="13">
        <v>0</v>
      </c>
    </row>
    <row r="174" spans="2:16">
      <c r="B174" s="13" t="s">
        <v>396</v>
      </c>
      <c r="C174" s="13">
        <f>D174*'Input data'!$E$104/'Input data'!$E$105</f>
        <v>1.8859188544152745</v>
      </c>
      <c r="D174" s="13">
        <v>0.5</v>
      </c>
      <c r="E174" s="13">
        <f>D174*'Input data'!$E$106/'Input data'!$E$105</f>
        <v>7.1599045346062051E-4</v>
      </c>
      <c r="F174" s="13">
        <f>D174*'Input data'!$E$107/'Input data'!$E$105</f>
        <v>4.8706833568749698E-2</v>
      </c>
      <c r="G174" s="13">
        <v>0</v>
      </c>
      <c r="H174" s="13">
        <v>0</v>
      </c>
      <c r="I174" s="13">
        <v>0</v>
      </c>
      <c r="J174" s="13">
        <v>0</v>
      </c>
      <c r="K174" s="13">
        <v>0</v>
      </c>
      <c r="L174" s="13">
        <v>0</v>
      </c>
      <c r="M174" s="13">
        <v>0</v>
      </c>
      <c r="N174" s="13">
        <v>0</v>
      </c>
    </row>
    <row r="175" spans="2:16" ht="19.5">
      <c r="B175" s="13" t="s">
        <v>397</v>
      </c>
      <c r="C175" s="13">
        <f>D175*'Input data'!$E$104/'Input data'!$E$105</f>
        <v>1.8859188544152745</v>
      </c>
      <c r="D175" s="13">
        <v>0.5</v>
      </c>
      <c r="E175" s="13">
        <f>D175*'Input data'!$E$106/'Input data'!$E$105</f>
        <v>7.1599045346062051E-4</v>
      </c>
      <c r="F175" s="13">
        <f>D175*'Input data'!$E$107/'Input data'!$E$105</f>
        <v>4.8706833568749698E-2</v>
      </c>
      <c r="G175" s="13">
        <v>0</v>
      </c>
      <c r="H175" s="13">
        <v>0</v>
      </c>
      <c r="I175" s="13">
        <v>0</v>
      </c>
      <c r="J175" s="13">
        <v>0</v>
      </c>
      <c r="K175" s="13">
        <v>0</v>
      </c>
      <c r="L175" s="13">
        <v>0</v>
      </c>
      <c r="M175" s="13">
        <v>0</v>
      </c>
      <c r="N175" s="13">
        <v>0</v>
      </c>
    </row>
    <row r="176" spans="2:16" ht="19.5">
      <c r="B176" s="13" t="s">
        <v>214</v>
      </c>
      <c r="C176" s="13">
        <f>D176*'Input data'!$E$104/'Input data'!$E$105</f>
        <v>5.6577565632458233</v>
      </c>
      <c r="D176" s="13">
        <v>1.5</v>
      </c>
      <c r="E176" s="13">
        <f>D176*'Input data'!$E$106/'Input data'!$E$105</f>
        <v>2.1479713603818618E-3</v>
      </c>
      <c r="F176" s="13">
        <f>D176*'Input data'!$E$107/'Input data'!$E$105</f>
        <v>0.14612050070624907</v>
      </c>
      <c r="G176" s="13">
        <v>0</v>
      </c>
      <c r="H176" s="13">
        <v>0</v>
      </c>
      <c r="I176" s="13">
        <v>0</v>
      </c>
      <c r="J176" s="13">
        <v>0</v>
      </c>
      <c r="K176" s="13">
        <v>0</v>
      </c>
      <c r="L176" s="13">
        <v>0</v>
      </c>
      <c r="M176" s="13">
        <v>0</v>
      </c>
      <c r="N176" s="13">
        <v>0</v>
      </c>
      <c r="P176" s="609" t="s">
        <v>817</v>
      </c>
    </row>
    <row r="177" spans="2:15" ht="19.5">
      <c r="B177" s="13" t="s">
        <v>398</v>
      </c>
      <c r="C177" s="13">
        <f>D177*'Input data'!$E$104/'Input data'!$E$105</f>
        <v>0</v>
      </c>
      <c r="D177" s="13">
        <v>0</v>
      </c>
      <c r="E177" s="13">
        <f>D177*'Input data'!$E$106/'Input data'!$E$105</f>
        <v>0</v>
      </c>
      <c r="F177" s="13">
        <f>D177*'Input data'!$E$107/'Input data'!$E$105</f>
        <v>0</v>
      </c>
      <c r="G177" s="13">
        <v>0</v>
      </c>
      <c r="H177" s="13">
        <v>0</v>
      </c>
      <c r="I177" s="13">
        <v>0</v>
      </c>
      <c r="J177" s="13">
        <v>0</v>
      </c>
      <c r="K177" s="13">
        <v>0</v>
      </c>
      <c r="L177" s="13">
        <v>0</v>
      </c>
      <c r="M177" s="13">
        <v>0</v>
      </c>
      <c r="N177" s="13">
        <v>0</v>
      </c>
    </row>
    <row r="178" spans="2:15">
      <c r="C178" s="611"/>
      <c r="D178" s="623"/>
      <c r="E178" s="624"/>
      <c r="F178" s="625"/>
      <c r="G178" s="625"/>
      <c r="H178" s="624"/>
      <c r="I178" s="624"/>
      <c r="J178" s="624"/>
      <c r="K178" s="624"/>
      <c r="L178" s="624"/>
      <c r="M178" s="624"/>
      <c r="N178" s="624"/>
      <c r="O178" s="624"/>
    </row>
    <row r="179" spans="2:15">
      <c r="C179" s="611"/>
      <c r="D179" s="623"/>
      <c r="E179" s="624"/>
      <c r="F179" s="625"/>
      <c r="G179" s="625"/>
      <c r="H179" s="624"/>
      <c r="I179" s="624"/>
      <c r="J179" s="624"/>
      <c r="K179" s="624"/>
      <c r="L179" s="624"/>
      <c r="M179" s="624"/>
      <c r="N179" s="624"/>
      <c r="O179" s="624"/>
    </row>
    <row r="180" spans="2:15">
      <c r="B180" s="92" t="s">
        <v>1296</v>
      </c>
    </row>
    <row r="181" spans="2:15">
      <c r="B181" s="106" t="s">
        <v>748</v>
      </c>
      <c r="C181" s="106" t="s">
        <v>907</v>
      </c>
      <c r="D181" s="106" t="s">
        <v>908</v>
      </c>
      <c r="E181" s="106" t="s">
        <v>627</v>
      </c>
      <c r="F181" s="106" t="s">
        <v>909</v>
      </c>
      <c r="G181" s="106" t="s">
        <v>625</v>
      </c>
      <c r="H181" s="106" t="s">
        <v>750</v>
      </c>
      <c r="I181" s="106" t="s">
        <v>751</v>
      </c>
      <c r="J181" s="106" t="s">
        <v>910</v>
      </c>
      <c r="K181" s="106" t="s">
        <v>396</v>
      </c>
      <c r="L181" s="106" t="s">
        <v>911</v>
      </c>
      <c r="M181" s="106" t="s">
        <v>873</v>
      </c>
      <c r="N181" s="106" t="s">
        <v>912</v>
      </c>
    </row>
    <row r="182" spans="2:15">
      <c r="B182" s="106"/>
      <c r="C182" s="106" t="s">
        <v>549</v>
      </c>
      <c r="D182" s="106" t="s">
        <v>549</v>
      </c>
      <c r="E182" s="106" t="s">
        <v>549</v>
      </c>
      <c r="F182" s="106" t="s">
        <v>549</v>
      </c>
      <c r="G182" s="106" t="s">
        <v>549</v>
      </c>
      <c r="H182" s="106" t="s">
        <v>549</v>
      </c>
      <c r="I182" s="106" t="s">
        <v>549</v>
      </c>
      <c r="J182" s="106" t="s">
        <v>549</v>
      </c>
      <c r="K182" s="106" t="s">
        <v>549</v>
      </c>
      <c r="L182" s="106" t="s">
        <v>549</v>
      </c>
      <c r="M182" s="106"/>
      <c r="N182" s="106"/>
    </row>
    <row r="183" spans="2:15" ht="19.5">
      <c r="B183" s="13" t="s">
        <v>389</v>
      </c>
      <c r="C183" s="13">
        <v>1</v>
      </c>
      <c r="D183" s="13">
        <v>0</v>
      </c>
      <c r="E183" s="865">
        <v>0</v>
      </c>
      <c r="F183" s="13">
        <v>0</v>
      </c>
      <c r="G183" s="13">
        <v>0</v>
      </c>
      <c r="H183" s="13">
        <v>0</v>
      </c>
      <c r="I183" s="13">
        <v>0</v>
      </c>
      <c r="J183" s="13">
        <v>0</v>
      </c>
      <c r="K183" s="13">
        <v>0</v>
      </c>
      <c r="L183" s="13">
        <v>0</v>
      </c>
      <c r="M183" s="13">
        <v>0</v>
      </c>
      <c r="N183" s="13">
        <v>0</v>
      </c>
    </row>
    <row r="184" spans="2:15" ht="19.5">
      <c r="B184" s="13" t="s">
        <v>390</v>
      </c>
      <c r="C184" s="13">
        <v>0</v>
      </c>
      <c r="D184" s="13">
        <v>1</v>
      </c>
      <c r="E184" s="865">
        <v>0</v>
      </c>
      <c r="F184" s="13">
        <v>0</v>
      </c>
      <c r="G184" s="13">
        <v>0</v>
      </c>
      <c r="H184" s="13">
        <v>0</v>
      </c>
      <c r="I184" s="13">
        <v>0</v>
      </c>
      <c r="J184" s="13">
        <v>0</v>
      </c>
      <c r="K184" s="13">
        <v>0</v>
      </c>
      <c r="L184" s="13">
        <v>0</v>
      </c>
      <c r="M184" s="13">
        <v>0</v>
      </c>
      <c r="N184" s="13">
        <v>0</v>
      </c>
    </row>
    <row r="185" spans="2:15" ht="19.5">
      <c r="B185" s="13" t="s">
        <v>215</v>
      </c>
      <c r="C185" s="13">
        <v>0</v>
      </c>
      <c r="D185" s="13">
        <v>0</v>
      </c>
      <c r="E185" s="865">
        <v>1</v>
      </c>
      <c r="F185" s="13">
        <v>0</v>
      </c>
      <c r="G185" s="13">
        <v>0</v>
      </c>
      <c r="H185" s="13">
        <v>0</v>
      </c>
      <c r="I185" s="13">
        <v>0</v>
      </c>
      <c r="J185" s="13">
        <v>0</v>
      </c>
      <c r="K185" s="13">
        <v>0</v>
      </c>
      <c r="L185" s="13">
        <v>0</v>
      </c>
      <c r="M185" s="13">
        <v>0</v>
      </c>
      <c r="N185" s="13">
        <v>0</v>
      </c>
    </row>
    <row r="186" spans="2:15" ht="19.5">
      <c r="B186" s="13" t="s">
        <v>391</v>
      </c>
      <c r="C186" s="13">
        <v>0</v>
      </c>
      <c r="D186" s="13">
        <v>0</v>
      </c>
      <c r="E186" s="865">
        <v>0</v>
      </c>
      <c r="F186" s="13">
        <v>1</v>
      </c>
      <c r="G186" s="13">
        <v>0</v>
      </c>
      <c r="H186" s="13">
        <v>0</v>
      </c>
      <c r="I186" s="13">
        <v>0</v>
      </c>
      <c r="J186" s="13">
        <v>0</v>
      </c>
      <c r="K186" s="13">
        <v>0</v>
      </c>
      <c r="L186" s="13">
        <v>0</v>
      </c>
      <c r="M186" s="13">
        <v>0</v>
      </c>
      <c r="N186" s="13">
        <v>0</v>
      </c>
    </row>
    <row r="187" spans="2:15" ht="19.5">
      <c r="B187" s="13" t="s">
        <v>392</v>
      </c>
      <c r="C187" s="13">
        <f t="shared" ref="C187:C194" si="32">C170</f>
        <v>7.5436754176610981</v>
      </c>
      <c r="D187" s="13">
        <v>0</v>
      </c>
      <c r="E187" s="865">
        <f>1/1+E170</f>
        <v>1.0028639618138424</v>
      </c>
      <c r="F187" s="13">
        <f>4/2+F170</f>
        <v>2.1948273342749989</v>
      </c>
      <c r="G187" s="13">
        <v>0</v>
      </c>
      <c r="H187" s="13">
        <v>0</v>
      </c>
      <c r="I187" s="13">
        <v>0</v>
      </c>
      <c r="J187" s="13">
        <v>0</v>
      </c>
      <c r="K187" s="13">
        <v>0</v>
      </c>
      <c r="L187" s="13">
        <v>0</v>
      </c>
      <c r="M187" s="13">
        <v>0</v>
      </c>
      <c r="N187" s="13">
        <v>0</v>
      </c>
    </row>
    <row r="188" spans="2:15" ht="19.5">
      <c r="B188" s="13" t="s">
        <v>393</v>
      </c>
      <c r="C188" s="13">
        <f t="shared" si="32"/>
        <v>13.20143198090692</v>
      </c>
      <c r="D188" s="13">
        <v>0</v>
      </c>
      <c r="E188" s="865">
        <f>2/1+E171</f>
        <v>2.0050119331742242</v>
      </c>
      <c r="F188" s="13">
        <f>6/2+F171</f>
        <v>3.340947834981248</v>
      </c>
      <c r="G188" s="13">
        <v>0</v>
      </c>
      <c r="H188" s="13">
        <v>0</v>
      </c>
      <c r="I188" s="13">
        <v>0</v>
      </c>
      <c r="J188" s="13">
        <v>0</v>
      </c>
      <c r="K188" s="13">
        <v>0</v>
      </c>
      <c r="L188" s="13">
        <v>0</v>
      </c>
      <c r="M188" s="13">
        <v>0</v>
      </c>
      <c r="N188" s="13">
        <v>0</v>
      </c>
    </row>
    <row r="189" spans="2:15" ht="19.5">
      <c r="B189" s="13" t="s">
        <v>394</v>
      </c>
      <c r="C189" s="13">
        <f t="shared" si="32"/>
        <v>18.859188544152744</v>
      </c>
      <c r="D189" s="13">
        <v>0</v>
      </c>
      <c r="E189" s="865">
        <f>3/1+E172</f>
        <v>3.007159904534606</v>
      </c>
      <c r="F189" s="13">
        <f>8/2+F172</f>
        <v>4.4870683356874972</v>
      </c>
      <c r="G189" s="13">
        <v>0</v>
      </c>
      <c r="H189" s="13">
        <v>0</v>
      </c>
      <c r="I189" s="13">
        <v>0</v>
      </c>
      <c r="J189" s="13">
        <v>0</v>
      </c>
      <c r="K189" s="13">
        <v>0</v>
      </c>
      <c r="L189" s="13">
        <v>0</v>
      </c>
      <c r="M189" s="13">
        <v>0</v>
      </c>
      <c r="N189" s="13">
        <v>0</v>
      </c>
    </row>
    <row r="190" spans="2:15" ht="19.5">
      <c r="B190" s="13" t="s">
        <v>567</v>
      </c>
      <c r="C190" s="13">
        <f t="shared" si="32"/>
        <v>24.516945107398566</v>
      </c>
      <c r="D190" s="13">
        <v>0</v>
      </c>
      <c r="E190" s="865">
        <f>4/1+E173</f>
        <v>4.0093078758949883</v>
      </c>
      <c r="F190" s="13">
        <f>10/2+F173</f>
        <v>5.6331888363937459</v>
      </c>
      <c r="G190" s="13">
        <v>0</v>
      </c>
      <c r="H190" s="13">
        <v>0</v>
      </c>
      <c r="I190" s="13">
        <v>0</v>
      </c>
      <c r="J190" s="13">
        <v>0</v>
      </c>
      <c r="K190" s="13">
        <v>0</v>
      </c>
      <c r="L190" s="13">
        <v>0</v>
      </c>
      <c r="M190" s="13">
        <v>0</v>
      </c>
      <c r="N190" s="13">
        <v>0</v>
      </c>
    </row>
    <row r="191" spans="2:15">
      <c r="B191" s="13" t="s">
        <v>396</v>
      </c>
      <c r="C191" s="13">
        <f t="shared" si="32"/>
        <v>1.8859188544152745</v>
      </c>
      <c r="D191" s="13">
        <v>0</v>
      </c>
      <c r="E191" s="865">
        <f>1/1+E174</f>
        <v>1.0007159904534606</v>
      </c>
      <c r="F191" s="13">
        <f>F174</f>
        <v>4.8706833568749698E-2</v>
      </c>
      <c r="G191" s="13">
        <v>0</v>
      </c>
      <c r="H191" s="13">
        <v>0</v>
      </c>
      <c r="I191" s="13">
        <v>0</v>
      </c>
      <c r="J191" s="13">
        <v>0</v>
      </c>
      <c r="K191" s="13">
        <v>0</v>
      </c>
      <c r="L191" s="13">
        <v>0</v>
      </c>
      <c r="M191" s="13">
        <v>0</v>
      </c>
      <c r="N191" s="13">
        <v>0</v>
      </c>
    </row>
    <row r="192" spans="2:15" ht="19.5">
      <c r="B192" s="13" t="s">
        <v>397</v>
      </c>
      <c r="C192" s="13">
        <f t="shared" si="32"/>
        <v>1.8859188544152745</v>
      </c>
      <c r="D192" s="13">
        <v>0</v>
      </c>
      <c r="E192" s="865">
        <f>0/1+E175</f>
        <v>7.1599045346062051E-4</v>
      </c>
      <c r="F192" s="13">
        <f>2/2+F175</f>
        <v>1.0487068335687497</v>
      </c>
      <c r="G192" s="13">
        <v>0</v>
      </c>
      <c r="H192" s="13">
        <v>0</v>
      </c>
      <c r="I192" s="13">
        <v>0</v>
      </c>
      <c r="J192" s="13">
        <v>0</v>
      </c>
      <c r="K192" s="13">
        <v>0</v>
      </c>
      <c r="L192" s="13">
        <v>0</v>
      </c>
      <c r="M192" s="13">
        <v>0</v>
      </c>
      <c r="N192" s="13">
        <v>0</v>
      </c>
    </row>
    <row r="193" spans="2:19" ht="19.5">
      <c r="B193" s="13" t="s">
        <v>214</v>
      </c>
      <c r="C193" s="13">
        <f t="shared" si="32"/>
        <v>5.6577565632458233</v>
      </c>
      <c r="D193" s="13">
        <v>0</v>
      </c>
      <c r="E193" s="865">
        <f>0/1+E176</f>
        <v>2.1479713603818618E-3</v>
      </c>
      <c r="F193" s="13">
        <f>2/2+F176</f>
        <v>1.1461205007062492</v>
      </c>
      <c r="G193" s="13">
        <v>0</v>
      </c>
      <c r="H193" s="13">
        <v>0</v>
      </c>
      <c r="I193" s="13">
        <v>0</v>
      </c>
      <c r="J193" s="13">
        <v>0</v>
      </c>
      <c r="K193" s="13">
        <v>0</v>
      </c>
      <c r="L193" s="13">
        <v>0</v>
      </c>
      <c r="M193" s="13">
        <v>0</v>
      </c>
      <c r="N193" s="13">
        <f>1/1+N176</f>
        <v>1</v>
      </c>
    </row>
    <row r="194" spans="2:19" ht="19.5">
      <c r="B194" s="13" t="s">
        <v>398</v>
      </c>
      <c r="C194" s="13">
        <f t="shared" si="32"/>
        <v>0</v>
      </c>
      <c r="D194" s="13">
        <v>0</v>
      </c>
      <c r="E194" s="865">
        <f>0/1+E177</f>
        <v>0</v>
      </c>
      <c r="F194" s="13">
        <f>F177</f>
        <v>0</v>
      </c>
      <c r="G194" s="13">
        <v>0</v>
      </c>
      <c r="H194" s="13">
        <v>0</v>
      </c>
      <c r="I194" s="13">
        <v>0</v>
      </c>
      <c r="J194" s="13">
        <v>0</v>
      </c>
      <c r="K194" s="13">
        <v>0</v>
      </c>
      <c r="L194" s="13">
        <v>0</v>
      </c>
      <c r="M194" s="13">
        <v>0</v>
      </c>
      <c r="N194" s="13">
        <v>1</v>
      </c>
    </row>
    <row r="195" spans="2:19">
      <c r="C195" s="611"/>
      <c r="D195" s="620"/>
      <c r="E195" s="611"/>
      <c r="F195" s="611"/>
      <c r="G195" s="611"/>
      <c r="H195" s="623"/>
      <c r="I195" s="624"/>
      <c r="J195" s="625"/>
      <c r="K195" s="625"/>
      <c r="L195" s="624"/>
      <c r="M195" s="624"/>
      <c r="N195" s="624"/>
      <c r="O195" s="624"/>
      <c r="P195" s="624"/>
      <c r="Q195" s="624"/>
      <c r="R195" s="624"/>
      <c r="S195" s="624"/>
    </row>
    <row r="196" spans="2:19">
      <c r="C196" s="611"/>
      <c r="D196" s="620"/>
      <c r="E196" s="611"/>
      <c r="F196" s="611"/>
      <c r="G196" s="611"/>
      <c r="H196" s="623"/>
      <c r="I196" s="624"/>
      <c r="J196" s="625"/>
      <c r="K196" s="625"/>
      <c r="L196" s="624"/>
      <c r="M196" s="624"/>
      <c r="N196" s="624"/>
      <c r="O196" s="624"/>
      <c r="P196" s="624"/>
      <c r="Q196" s="624"/>
      <c r="R196" s="624"/>
      <c r="S196" s="624"/>
    </row>
    <row r="197" spans="2:19">
      <c r="B197" s="626" t="s">
        <v>1297</v>
      </c>
      <c r="D197" s="611"/>
      <c r="E197" s="611"/>
      <c r="G197" s="611"/>
      <c r="H197" s="623"/>
      <c r="I197" s="624"/>
      <c r="N197" s="624"/>
      <c r="O197" s="624"/>
      <c r="P197" s="624"/>
      <c r="Q197" s="624"/>
      <c r="R197" s="624"/>
      <c r="S197" s="624"/>
    </row>
    <row r="198" spans="2:19">
      <c r="B198" s="106" t="s">
        <v>554</v>
      </c>
      <c r="C198" s="106" t="s">
        <v>555</v>
      </c>
      <c r="D198" s="106" t="s">
        <v>556</v>
      </c>
      <c r="E198" s="106" t="s">
        <v>557</v>
      </c>
      <c r="N198" s="624"/>
      <c r="O198" s="624"/>
      <c r="P198" s="624"/>
      <c r="Q198" s="624"/>
      <c r="R198" s="624"/>
      <c r="S198" s="624"/>
    </row>
    <row r="199" spans="2:19" ht="19.5">
      <c r="B199" s="13" t="s">
        <v>389</v>
      </c>
      <c r="C199" s="13">
        <v>4.0000000000000001E-3</v>
      </c>
      <c r="D199" s="13">
        <f>SUMPRODUCT($C$199:$C$210,C166:C177)</f>
        <v>7.7398109785202873</v>
      </c>
      <c r="E199" s="13">
        <f>SUMPRODUCT($C$199:$C$210,C183:C194)</f>
        <v>7.7438109785202869</v>
      </c>
      <c r="N199" s="624"/>
      <c r="O199" s="624"/>
      <c r="P199" s="624"/>
      <c r="Q199" s="624"/>
      <c r="R199" s="624"/>
      <c r="S199" s="624"/>
    </row>
    <row r="200" spans="2:19" ht="19.5">
      <c r="B200" s="13" t="s">
        <v>390</v>
      </c>
      <c r="C200" s="13">
        <v>0</v>
      </c>
      <c r="D200" s="13">
        <f>SUMPRODUCT($C$199:$C$210,D166:D177)</f>
        <v>2.0519999999999996</v>
      </c>
      <c r="E200" s="13">
        <f>SUMPRODUCT($C$199:$C$210,D183:D194)</f>
        <v>0</v>
      </c>
      <c r="N200" s="624"/>
      <c r="O200" s="624"/>
      <c r="P200" s="624"/>
      <c r="Q200" s="624"/>
      <c r="R200" s="624"/>
      <c r="S200" s="624"/>
    </row>
    <row r="201" spans="2:19" ht="19.5">
      <c r="B201" s="13" t="s">
        <v>215</v>
      </c>
      <c r="C201" s="13">
        <v>0</v>
      </c>
      <c r="D201" s="13">
        <f>SUMPRODUCT($C$199:$C$210,E166:E177)</f>
        <v>2.9384248210023861E-3</v>
      </c>
      <c r="E201" s="13">
        <f>SUMPRODUCT($C$199:$C$210,E183:E194)</f>
        <v>1.0389384248210023</v>
      </c>
      <c r="N201" s="624"/>
      <c r="O201" s="624"/>
      <c r="P201" s="624"/>
      <c r="Q201" s="624"/>
      <c r="R201" s="624"/>
      <c r="S201" s="624"/>
    </row>
    <row r="202" spans="2:19" ht="19.5">
      <c r="B202" s="13" t="s">
        <v>391</v>
      </c>
      <c r="C202" s="13">
        <v>0</v>
      </c>
      <c r="D202" s="13">
        <f>SUMPRODUCT($C$199:$C$210,F166:F177)</f>
        <v>0.19989284496614876</v>
      </c>
      <c r="E202" s="13">
        <f>SUMPRODUCT($C$199:$C$210,F183:F194)</f>
        <v>2.2318928449661488</v>
      </c>
      <c r="N202" s="624"/>
      <c r="O202" s="624"/>
      <c r="P202" s="624"/>
      <c r="Q202" s="624"/>
      <c r="R202" s="624"/>
      <c r="S202" s="624"/>
    </row>
    <row r="203" spans="2:19" ht="19.5">
      <c r="B203" s="13" t="s">
        <v>392</v>
      </c>
      <c r="C203" s="13">
        <v>0.96599999999999997</v>
      </c>
      <c r="D203" s="13">
        <f>SUMPRODUCT($C$199:$C$210,G166:G177)</f>
        <v>0</v>
      </c>
      <c r="E203" s="13">
        <f>SUMPRODUCT($C$199:$C$210,G183:G194)</f>
        <v>0</v>
      </c>
      <c r="N203" s="624"/>
      <c r="O203" s="624"/>
      <c r="P203" s="624"/>
      <c r="Q203" s="624"/>
      <c r="R203" s="624"/>
      <c r="S203" s="624"/>
    </row>
    <row r="204" spans="2:19" ht="19.5">
      <c r="B204" s="13" t="s">
        <v>393</v>
      </c>
      <c r="C204" s="13">
        <v>0.02</v>
      </c>
      <c r="D204" s="13">
        <f>SUMPRODUCT($C$199:$C$210,H166:H177)</f>
        <v>0</v>
      </c>
      <c r="E204" s="13">
        <f>SUMPRODUCT($C$199:$C$210,H183:H194)</f>
        <v>0</v>
      </c>
      <c r="H204" s="623"/>
      <c r="I204" s="624"/>
      <c r="J204" s="625"/>
      <c r="K204" s="625"/>
      <c r="L204" s="624"/>
      <c r="M204" s="624"/>
      <c r="N204" s="624"/>
      <c r="O204" s="624"/>
      <c r="P204" s="624"/>
      <c r="Q204" s="624"/>
      <c r="R204" s="624"/>
      <c r="S204" s="624"/>
    </row>
    <row r="205" spans="2:19" ht="19.5">
      <c r="B205" s="13" t="s">
        <v>394</v>
      </c>
      <c r="C205" s="13">
        <v>0.01</v>
      </c>
      <c r="D205" s="13">
        <f>SUMPRODUCT($C$199:$C$210,I166:I177)</f>
        <v>0</v>
      </c>
      <c r="E205" s="13">
        <f>SUMPRODUCT($C$199:$C$210,I183:I194)</f>
        <v>0</v>
      </c>
      <c r="H205" s="623"/>
      <c r="I205" s="624"/>
      <c r="J205" s="625"/>
      <c r="K205" s="625"/>
      <c r="L205" s="624"/>
      <c r="M205" s="624"/>
      <c r="N205" s="624"/>
      <c r="O205" s="624"/>
      <c r="P205" s="624"/>
      <c r="Q205" s="624"/>
      <c r="R205" s="624"/>
      <c r="S205" s="624"/>
    </row>
    <row r="206" spans="2:19" ht="19.5">
      <c r="B206" s="13" t="s">
        <v>567</v>
      </c>
      <c r="C206" s="13">
        <v>0</v>
      </c>
      <c r="D206" s="13">
        <f>SUMPRODUCT($C$199:$C$210,J166:J177)</f>
        <v>0</v>
      </c>
      <c r="E206" s="13">
        <f>SUMPRODUCT($C$199:$C$210,J183:J194)</f>
        <v>0</v>
      </c>
      <c r="H206" s="623"/>
      <c r="I206" s="624"/>
      <c r="J206" s="625"/>
      <c r="K206" s="625"/>
      <c r="L206" s="624"/>
      <c r="M206" s="624"/>
      <c r="N206" s="624"/>
      <c r="O206" s="624"/>
      <c r="P206" s="624"/>
      <c r="Q206" s="624"/>
      <c r="R206" s="624"/>
      <c r="S206" s="624"/>
    </row>
    <row r="207" spans="2:19">
      <c r="B207" s="13" t="s">
        <v>396</v>
      </c>
      <c r="C207" s="13">
        <v>0</v>
      </c>
      <c r="D207" s="13">
        <f>SUMPRODUCT($C$199:$C$210,K166:K177)</f>
        <v>0</v>
      </c>
      <c r="E207" s="13">
        <f>SUMPRODUCT($C$199:$C$210,K183:K194)</f>
        <v>0</v>
      </c>
      <c r="H207" s="623"/>
      <c r="I207" s="624"/>
      <c r="J207" s="625"/>
      <c r="K207" s="625"/>
      <c r="L207" s="624"/>
      <c r="M207" s="624"/>
      <c r="N207" s="624"/>
      <c r="O207" s="624"/>
      <c r="P207" s="624"/>
      <c r="Q207" s="624"/>
      <c r="R207" s="624"/>
      <c r="S207" s="624"/>
    </row>
    <row r="208" spans="2:19" ht="19.5">
      <c r="B208" s="13" t="s">
        <v>397</v>
      </c>
      <c r="C208" s="13">
        <v>0</v>
      </c>
      <c r="D208" s="13">
        <f>SUMPRODUCT($C$199:$C$210,L166:L177)</f>
        <v>0</v>
      </c>
      <c r="E208" s="13">
        <f>SUMPRODUCT($C$199:$C$210,L183:L194)</f>
        <v>0</v>
      </c>
      <c r="H208" s="623"/>
      <c r="I208" s="624"/>
      <c r="J208" s="625"/>
      <c r="K208" s="625"/>
      <c r="L208" s="624"/>
      <c r="M208" s="624"/>
      <c r="N208" s="624"/>
      <c r="O208" s="624"/>
      <c r="P208" s="624"/>
      <c r="Q208" s="624"/>
      <c r="R208" s="624"/>
      <c r="S208" s="624"/>
    </row>
    <row r="209" spans="1:19" ht="19.5">
      <c r="B209" s="13" t="s">
        <v>214</v>
      </c>
      <c r="C209" s="13">
        <v>0</v>
      </c>
      <c r="D209" s="13">
        <f>SUMPRODUCT($C$199:$C$210,M166:M177)</f>
        <v>0</v>
      </c>
      <c r="E209" s="13">
        <f>SUMPRODUCT($C$199:$C$210,M183:M194)</f>
        <v>0</v>
      </c>
      <c r="H209" s="623"/>
      <c r="I209" s="624"/>
      <c r="J209" s="625"/>
      <c r="K209" s="625"/>
      <c r="L209" s="624"/>
      <c r="M209" s="624"/>
      <c r="N209" s="624"/>
      <c r="O209" s="624"/>
      <c r="P209" s="624"/>
      <c r="Q209" s="624"/>
      <c r="R209" s="624"/>
      <c r="S209" s="624"/>
    </row>
    <row r="210" spans="1:19" ht="19.5">
      <c r="B210" s="13" t="s">
        <v>398</v>
      </c>
      <c r="C210" s="13">
        <v>0</v>
      </c>
      <c r="D210" s="13">
        <f>SUMPRODUCT($C$199:$C$210,N166:N177)</f>
        <v>0</v>
      </c>
      <c r="E210" s="13">
        <f>SUMPRODUCT($C$199:$C$210,N183:N194)</f>
        <v>0</v>
      </c>
      <c r="H210" s="623"/>
      <c r="I210" s="624"/>
      <c r="J210" s="625"/>
      <c r="K210" s="625"/>
      <c r="L210" s="624"/>
      <c r="M210" s="624"/>
      <c r="N210" s="624"/>
      <c r="O210" s="624"/>
      <c r="P210" s="624"/>
      <c r="Q210" s="624"/>
      <c r="R210" s="624"/>
      <c r="S210" s="624"/>
    </row>
    <row r="211" spans="1:19">
      <c r="C211" s="611"/>
      <c r="D211" s="620"/>
      <c r="E211" s="611"/>
      <c r="F211" s="611"/>
      <c r="G211" s="611"/>
      <c r="H211" s="623"/>
      <c r="I211" s="624"/>
      <c r="J211" s="625"/>
      <c r="K211" s="625"/>
      <c r="L211" s="624"/>
      <c r="M211" s="624"/>
      <c r="N211" s="624"/>
      <c r="O211" s="624"/>
      <c r="P211" s="624"/>
      <c r="Q211" s="624"/>
      <c r="R211" s="624"/>
      <c r="S211" s="624"/>
    </row>
    <row r="212" spans="1:19">
      <c r="C212" s="611"/>
      <c r="D212" s="620"/>
      <c r="E212" s="611"/>
      <c r="F212" s="611"/>
      <c r="G212" s="611"/>
      <c r="H212" s="623"/>
      <c r="I212" s="624"/>
      <c r="J212" s="625"/>
      <c r="K212" s="625"/>
      <c r="L212" s="624"/>
      <c r="M212" s="624"/>
      <c r="N212" s="624"/>
      <c r="O212" s="624"/>
      <c r="P212" s="624"/>
      <c r="Q212" s="624"/>
      <c r="R212" s="624"/>
      <c r="S212" s="624"/>
    </row>
    <row r="213" spans="1:19">
      <c r="B213" s="627" t="s">
        <v>1298</v>
      </c>
      <c r="C213" s="625"/>
      <c r="D213" s="624"/>
      <c r="E213" s="624"/>
      <c r="F213" s="611"/>
      <c r="G213" s="611"/>
      <c r="H213" s="623"/>
      <c r="I213" s="624"/>
      <c r="J213" s="625"/>
      <c r="K213" s="625"/>
      <c r="L213" s="624"/>
      <c r="M213" s="624"/>
      <c r="N213" s="624"/>
      <c r="O213" s="624"/>
      <c r="P213" s="624"/>
      <c r="Q213" s="624"/>
      <c r="R213" s="624"/>
      <c r="S213" s="624"/>
    </row>
    <row r="214" spans="1:19">
      <c r="B214" s="106" t="s">
        <v>377</v>
      </c>
      <c r="C214" s="106" t="s">
        <v>558</v>
      </c>
      <c r="D214" s="106" t="s">
        <v>559</v>
      </c>
      <c r="E214" s="106" t="s">
        <v>355</v>
      </c>
      <c r="F214" s="611"/>
      <c r="G214" s="611"/>
      <c r="H214" s="623"/>
      <c r="I214" s="624"/>
      <c r="J214" s="625"/>
      <c r="K214" s="625"/>
      <c r="L214" s="624"/>
      <c r="M214" s="624"/>
      <c r="N214" s="624"/>
      <c r="O214" s="624"/>
      <c r="P214" s="624"/>
      <c r="Q214" s="624"/>
      <c r="R214" s="624"/>
      <c r="S214" s="624"/>
    </row>
    <row r="215" spans="1:19">
      <c r="B215" s="13" t="s">
        <v>378</v>
      </c>
      <c r="C215" s="13">
        <f>D199*2+C199*2</f>
        <v>15.487621957040574</v>
      </c>
      <c r="D215" s="13">
        <f>E199*2</f>
        <v>15.487621957040574</v>
      </c>
      <c r="E215" s="13" t="str">
        <f>IF(C215=D215,"OK", "ERROR")</f>
        <v>OK</v>
      </c>
      <c r="F215" s="611"/>
      <c r="G215" s="611"/>
      <c r="H215" s="623"/>
      <c r="I215" s="624"/>
      <c r="J215" s="625"/>
      <c r="K215" s="625"/>
      <c r="L215" s="624"/>
      <c r="M215" s="624"/>
      <c r="N215" s="624"/>
      <c r="O215" s="624"/>
      <c r="P215" s="624"/>
      <c r="Q215" s="624"/>
      <c r="R215" s="624"/>
      <c r="S215" s="624"/>
    </row>
    <row r="216" spans="1:19">
      <c r="B216" s="13" t="s">
        <v>379</v>
      </c>
      <c r="C216" s="13">
        <f>(C200+D200)*2+(C201+D201)*2+(C202+D202)*1+(C207+D207)*1+(C210+D210)*2</f>
        <v>4.3097696946081525</v>
      </c>
      <c r="D216" s="13">
        <f>E200*2+E201*2+E202*1+E207*1+E210*2</f>
        <v>4.3097696946081534</v>
      </c>
      <c r="E216" s="13" t="str">
        <f t="shared" ref="E216:E219" si="33">IF(C216=D216,"OK", "ERROR")</f>
        <v>OK</v>
      </c>
      <c r="F216" s="611"/>
      <c r="G216" s="611"/>
      <c r="H216" s="623"/>
      <c r="I216" s="624"/>
      <c r="J216" s="625"/>
      <c r="K216" s="625"/>
      <c r="L216" s="624"/>
      <c r="M216" s="624"/>
      <c r="N216" s="624"/>
      <c r="O216" s="624"/>
      <c r="P216" s="624"/>
      <c r="Q216" s="624"/>
      <c r="R216" s="624"/>
      <c r="S216" s="624"/>
    </row>
    <row r="217" spans="1:19">
      <c r="B217" s="13" t="s">
        <v>381</v>
      </c>
      <c r="C217" s="13">
        <f>(C201+D201)*1+(C203+D203)*1+(C204+D204)*2+(C205+D205)*3+(C206+D206)*4+(C207+D207)*1</f>
        <v>1.0389384248210023</v>
      </c>
      <c r="D217" s="13">
        <f>E201*1+E203*1+E204*2+E205*3+E206*4+E207*1</f>
        <v>1.0389384248210023</v>
      </c>
      <c r="E217" s="13" t="str">
        <f t="shared" si="33"/>
        <v>OK</v>
      </c>
      <c r="F217" s="611"/>
      <c r="G217" s="611"/>
      <c r="H217" s="623"/>
      <c r="I217" s="624"/>
      <c r="J217" s="625"/>
      <c r="K217" s="625"/>
      <c r="L217" s="624"/>
      <c r="M217" s="624"/>
      <c r="N217" s="624"/>
      <c r="O217" s="624"/>
      <c r="P217" s="624"/>
      <c r="Q217" s="624"/>
      <c r="R217" s="624"/>
      <c r="S217" s="624"/>
    </row>
    <row r="218" spans="1:19">
      <c r="B218" s="13" t="s">
        <v>380</v>
      </c>
      <c r="C218" s="13">
        <f>(C202+D202)*2+(C203+D203)*4+(C204+D204)*6+(C205+D205)*8+(C206+D206)*10+(C208+D208)*2+(C209+D209)*2</f>
        <v>4.4637856899322976</v>
      </c>
      <c r="D218" s="13">
        <f>E202*2+E203*4+E204*6+E205*8+E206*10+E208*2+E209*2</f>
        <v>4.4637856899322976</v>
      </c>
      <c r="E218" s="13" t="str">
        <f t="shared" si="33"/>
        <v>OK</v>
      </c>
      <c r="F218" s="611"/>
      <c r="G218" s="611"/>
      <c r="H218" s="623"/>
      <c r="I218" s="624"/>
      <c r="J218" s="625"/>
      <c r="K218" s="625"/>
      <c r="L218" s="624"/>
      <c r="M218" s="624"/>
      <c r="N218" s="624"/>
      <c r="O218" s="624"/>
      <c r="P218" s="624"/>
      <c r="Q218" s="624"/>
      <c r="R218" s="624"/>
      <c r="S218" s="624"/>
    </row>
    <row r="219" spans="1:19">
      <c r="B219" s="13" t="s">
        <v>382</v>
      </c>
      <c r="C219" s="13">
        <f>(C209+D209)*1+(C210+D210)*1</f>
        <v>0</v>
      </c>
      <c r="D219" s="13">
        <f>E209*1+E210*1</f>
        <v>0</v>
      </c>
      <c r="E219" s="13" t="str">
        <f t="shared" si="33"/>
        <v>OK</v>
      </c>
      <c r="F219" s="611"/>
      <c r="G219" s="611"/>
      <c r="H219" s="623"/>
      <c r="I219" s="624"/>
      <c r="J219" s="625"/>
      <c r="K219" s="625"/>
      <c r="L219" s="624"/>
      <c r="M219" s="624"/>
      <c r="N219" s="624"/>
      <c r="O219" s="624"/>
      <c r="P219" s="624"/>
      <c r="Q219" s="624"/>
      <c r="R219" s="624"/>
      <c r="S219" s="624"/>
    </row>
    <row r="220" spans="1:19">
      <c r="C220" s="611"/>
      <c r="D220" s="620"/>
      <c r="E220" s="611"/>
      <c r="F220" s="611"/>
      <c r="G220" s="611"/>
      <c r="H220" s="623"/>
      <c r="I220" s="624"/>
      <c r="J220" s="625"/>
      <c r="K220" s="625"/>
      <c r="L220" s="624"/>
      <c r="M220" s="624"/>
      <c r="N220" s="624"/>
      <c r="O220" s="624"/>
      <c r="P220" s="624"/>
      <c r="Q220" s="624"/>
      <c r="R220" s="624"/>
      <c r="S220" s="624"/>
    </row>
    <row r="221" spans="1:19">
      <c r="C221" s="611"/>
      <c r="D221" s="620"/>
      <c r="E221" s="611"/>
      <c r="F221" s="611"/>
      <c r="G221" s="611"/>
      <c r="H221" s="623"/>
      <c r="I221" s="624"/>
      <c r="J221" s="625"/>
      <c r="K221" s="625"/>
      <c r="L221" s="624"/>
      <c r="M221" s="624"/>
      <c r="N221" s="624"/>
      <c r="O221" s="624"/>
      <c r="P221" s="624"/>
      <c r="Q221" s="624"/>
      <c r="R221" s="624"/>
      <c r="S221" s="624"/>
    </row>
    <row r="222" spans="1:19">
      <c r="C222" s="611"/>
      <c r="D222" s="611"/>
      <c r="E222" s="611"/>
      <c r="F222" s="611"/>
      <c r="G222" s="611"/>
      <c r="H222" s="611"/>
      <c r="I222" s="611"/>
      <c r="J222" s="611"/>
      <c r="K222" s="611"/>
      <c r="L222" s="611"/>
    </row>
    <row r="223" spans="1:19" s="9" customFormat="1" ht="15.75">
      <c r="A223" s="9" t="s">
        <v>1383</v>
      </c>
    </row>
    <row r="224" spans="1:19" s="102" customFormat="1"/>
    <row r="225" spans="2:5">
      <c r="B225" s="100" t="s">
        <v>1299</v>
      </c>
    </row>
    <row r="226" spans="2:5">
      <c r="B226" s="106" t="s">
        <v>748</v>
      </c>
      <c r="C226" s="106" t="s">
        <v>222</v>
      </c>
      <c r="D226" s="106" t="s">
        <v>221</v>
      </c>
      <c r="E226" s="106" t="s">
        <v>239</v>
      </c>
    </row>
    <row r="227" spans="2:5" ht="19.5">
      <c r="B227" s="628" t="s">
        <v>389</v>
      </c>
      <c r="C227" s="628">
        <v>4.0000000000000001E-3</v>
      </c>
      <c r="D227" s="13">
        <v>4.0000000000000001E-3</v>
      </c>
      <c r="E227" s="13" t="s">
        <v>560</v>
      </c>
    </row>
    <row r="228" spans="2:5" ht="19.5">
      <c r="B228" s="13" t="s">
        <v>390</v>
      </c>
      <c r="C228" s="13">
        <v>0</v>
      </c>
      <c r="D228" s="13">
        <v>0</v>
      </c>
      <c r="E228" s="13" t="s">
        <v>560</v>
      </c>
    </row>
    <row r="229" spans="2:5" ht="19.5">
      <c r="B229" s="13" t="s">
        <v>215</v>
      </c>
      <c r="C229" s="13">
        <v>0</v>
      </c>
      <c r="D229" s="13">
        <v>0</v>
      </c>
      <c r="E229" s="13" t="s">
        <v>560</v>
      </c>
    </row>
    <row r="230" spans="2:5" ht="19.5">
      <c r="B230" s="13" t="s">
        <v>391</v>
      </c>
      <c r="C230" s="13">
        <v>0</v>
      </c>
      <c r="D230" s="13">
        <v>0</v>
      </c>
      <c r="E230" s="13" t="s">
        <v>560</v>
      </c>
    </row>
    <row r="231" spans="2:5" ht="19.5">
      <c r="B231" s="13" t="s">
        <v>392</v>
      </c>
      <c r="C231" s="13">
        <v>0.96599999999999997</v>
      </c>
      <c r="D231" s="13">
        <v>0.96599999999999997</v>
      </c>
      <c r="E231" s="13" t="s">
        <v>560</v>
      </c>
    </row>
    <row r="232" spans="2:5" ht="19.5">
      <c r="B232" s="13" t="s">
        <v>393</v>
      </c>
      <c r="C232" s="13">
        <v>0.02</v>
      </c>
      <c r="D232" s="13">
        <v>0.02</v>
      </c>
      <c r="E232" s="13" t="s">
        <v>560</v>
      </c>
    </row>
    <row r="233" spans="2:5" ht="19.5">
      <c r="B233" s="13" t="s">
        <v>394</v>
      </c>
      <c r="C233" s="13">
        <v>0.01</v>
      </c>
      <c r="D233" s="13">
        <v>0.01</v>
      </c>
      <c r="E233" s="13" t="s">
        <v>560</v>
      </c>
    </row>
    <row r="234" spans="2:5" ht="19.5">
      <c r="B234" s="13" t="s">
        <v>567</v>
      </c>
      <c r="C234" s="13">
        <v>0</v>
      </c>
      <c r="D234" s="13">
        <v>0</v>
      </c>
      <c r="E234" s="13" t="s">
        <v>560</v>
      </c>
    </row>
    <row r="235" spans="2:5">
      <c r="B235" s="13" t="s">
        <v>396</v>
      </c>
      <c r="C235" s="13">
        <v>0</v>
      </c>
      <c r="D235" s="13">
        <v>0</v>
      </c>
      <c r="E235" s="13" t="s">
        <v>560</v>
      </c>
    </row>
    <row r="236" spans="2:5" ht="19.5">
      <c r="B236" s="13" t="s">
        <v>397</v>
      </c>
      <c r="C236" s="13">
        <v>0</v>
      </c>
      <c r="D236" s="13">
        <v>0</v>
      </c>
      <c r="E236" s="13" t="s">
        <v>560</v>
      </c>
    </row>
    <row r="237" spans="2:5" ht="19.5">
      <c r="B237" s="13" t="s">
        <v>214</v>
      </c>
      <c r="C237" s="13">
        <v>0</v>
      </c>
      <c r="D237" s="13">
        <v>0</v>
      </c>
      <c r="E237" s="13" t="s">
        <v>560</v>
      </c>
    </row>
    <row r="238" spans="2:5" ht="19.5">
      <c r="B238" s="13" t="s">
        <v>398</v>
      </c>
      <c r="C238" s="13">
        <v>0</v>
      </c>
      <c r="D238" s="13">
        <v>0</v>
      </c>
      <c r="E238" s="13" t="s">
        <v>560</v>
      </c>
    </row>
    <row r="239" spans="2:5">
      <c r="B239" s="568" t="s">
        <v>375</v>
      </c>
      <c r="C239" s="236" t="str">
        <f>IF(SUM(C227:C237)=1, "OK", "ERROR")</f>
        <v>OK</v>
      </c>
      <c r="D239" s="236" t="str">
        <f>IF(SUM(D227:D237)=1, "OK", "ERROR")</f>
        <v>OK</v>
      </c>
    </row>
    <row r="240" spans="2:5">
      <c r="B240" s="568"/>
      <c r="C240" s="236"/>
    </row>
    <row r="241" spans="1:12">
      <c r="B241" s="568"/>
      <c r="C241" s="236"/>
    </row>
    <row r="242" spans="1:12">
      <c r="A242" s="100" t="s">
        <v>1496</v>
      </c>
      <c r="B242" s="236"/>
    </row>
    <row r="243" spans="1:12" ht="15.75">
      <c r="A243" s="568"/>
      <c r="B243" s="14">
        <f>SUMPRODUCT(C128:C139,C227:C238)</f>
        <v>16.649905999999998</v>
      </c>
      <c r="C243" s="210">
        <f>SUMPRODUCT(C128:C139,D227:D238)</f>
        <v>16.649905999999998</v>
      </c>
      <c r="D243" s="607" t="s">
        <v>547</v>
      </c>
      <c r="J243" s="629"/>
    </row>
    <row r="244" spans="1:12">
      <c r="A244" s="568"/>
      <c r="B244" s="236"/>
    </row>
    <row r="245" spans="1:12">
      <c r="A245" s="100" t="s">
        <v>1593</v>
      </c>
      <c r="B245" s="630"/>
    </row>
    <row r="246" spans="1:12">
      <c r="A246" s="568"/>
      <c r="B246" s="630" t="s">
        <v>222</v>
      </c>
      <c r="C246" s="607" t="s">
        <v>221</v>
      </c>
      <c r="D246" s="568" t="s">
        <v>239</v>
      </c>
    </row>
    <row r="247" spans="1:12">
      <c r="A247" s="607" t="s">
        <v>550</v>
      </c>
      <c r="B247" s="14">
        <f>SUMPRODUCT(C227:C237,K128:K138)</f>
        <v>867.48389976600447</v>
      </c>
      <c r="C247" s="210">
        <f>SUMPRODUCT(D227:D237,K128:K138)</f>
        <v>867.48389976600447</v>
      </c>
      <c r="D247" s="607" t="s">
        <v>479</v>
      </c>
    </row>
    <row r="248" spans="1:12">
      <c r="A248" s="607" t="s">
        <v>550</v>
      </c>
      <c r="B248" s="14">
        <f>B247/B243</f>
        <v>52.10142926728863</v>
      </c>
      <c r="C248" s="210">
        <f>C247/C243</f>
        <v>52.10142926728863</v>
      </c>
      <c r="D248" s="607" t="s">
        <v>1770</v>
      </c>
      <c r="G248" s="102"/>
    </row>
    <row r="249" spans="1:12">
      <c r="A249" s="584" t="s">
        <v>551</v>
      </c>
      <c r="B249" s="14">
        <f>SUMPRODUCT(C227:C237,L128:L138)</f>
        <v>782.66165227373062</v>
      </c>
      <c r="C249" s="210">
        <f>SUMPRODUCT(D227:D237,L128:L138)</f>
        <v>782.66165227373062</v>
      </c>
      <c r="D249" s="607" t="s">
        <v>479</v>
      </c>
    </row>
    <row r="250" spans="1:12">
      <c r="A250" s="568" t="s">
        <v>551</v>
      </c>
      <c r="B250" s="14">
        <f>B249/B243</f>
        <v>47.006971226968531</v>
      </c>
      <c r="C250" s="210">
        <f>C249/C243</f>
        <v>47.006971226968531</v>
      </c>
      <c r="D250" s="607" t="s">
        <v>1770</v>
      </c>
    </row>
    <row r="251" spans="1:12">
      <c r="B251" s="568"/>
    </row>
    <row r="252" spans="1:12">
      <c r="B252" s="568"/>
    </row>
    <row r="254" spans="1:12">
      <c r="B254" s="100" t="s">
        <v>1300</v>
      </c>
      <c r="C254" s="630"/>
      <c r="G254" s="102"/>
      <c r="H254" s="102"/>
      <c r="I254" s="102"/>
      <c r="J254" s="102"/>
      <c r="K254" s="102"/>
      <c r="L254" s="102"/>
    </row>
    <row r="255" spans="1:12">
      <c r="B255" s="106" t="s">
        <v>554</v>
      </c>
      <c r="C255" s="106" t="s">
        <v>555</v>
      </c>
      <c r="D255" s="106" t="s">
        <v>561</v>
      </c>
      <c r="E255" s="106" t="s">
        <v>562</v>
      </c>
      <c r="G255" s="102"/>
      <c r="H255" s="102"/>
      <c r="I255" s="102"/>
      <c r="J255" s="102"/>
      <c r="K255" s="102"/>
      <c r="L255" s="102"/>
    </row>
    <row r="256" spans="1:12" ht="19.5">
      <c r="B256" s="13" t="s">
        <v>389</v>
      </c>
      <c r="C256" s="13">
        <f t="shared" ref="C256:C267" si="34">C227</f>
        <v>4.0000000000000001E-3</v>
      </c>
      <c r="D256" s="13">
        <f>SUMPRODUCT($C$256:$C$267,C166:C177)</f>
        <v>7.7398109785202873</v>
      </c>
      <c r="E256" s="13">
        <f>SUMPRODUCT($C$256:$C$267,C183:C194)</f>
        <v>7.7438109785202869</v>
      </c>
      <c r="G256" s="102"/>
      <c r="H256" s="102"/>
      <c r="I256" s="102"/>
      <c r="J256" s="102"/>
      <c r="K256" s="102"/>
      <c r="L256" s="102"/>
    </row>
    <row r="257" spans="2:12" ht="19.5">
      <c r="B257" s="13" t="s">
        <v>390</v>
      </c>
      <c r="C257" s="13">
        <f t="shared" si="34"/>
        <v>0</v>
      </c>
      <c r="D257" s="13">
        <f>SUMPRODUCT($C$256:$C$267,D166:D177)</f>
        <v>2.0519999999999996</v>
      </c>
      <c r="E257" s="13">
        <f>SUMPRODUCT($C$256:$C$267,D183:D194)</f>
        <v>0</v>
      </c>
      <c r="G257" s="102"/>
      <c r="H257" s="102"/>
      <c r="I257" s="102"/>
      <c r="J257" s="102"/>
      <c r="K257" s="102"/>
      <c r="L257" s="102"/>
    </row>
    <row r="258" spans="2:12" ht="19.5">
      <c r="B258" s="13" t="s">
        <v>215</v>
      </c>
      <c r="C258" s="13">
        <f t="shared" si="34"/>
        <v>0</v>
      </c>
      <c r="D258" s="13">
        <f>SUMPRODUCT($C$256:$C$267,E166:E177)</f>
        <v>2.9384248210023861E-3</v>
      </c>
      <c r="E258" s="13">
        <f>SUMPRODUCT($C$256:$C$267,E183:E194)</f>
        <v>1.0389384248210023</v>
      </c>
      <c r="G258" s="102"/>
      <c r="H258" s="102"/>
      <c r="I258" s="102"/>
      <c r="J258" s="102"/>
      <c r="K258" s="102"/>
      <c r="L258" s="102"/>
    </row>
    <row r="259" spans="2:12" ht="19.5">
      <c r="B259" s="13" t="s">
        <v>391</v>
      </c>
      <c r="C259" s="13">
        <f t="shared" si="34"/>
        <v>0</v>
      </c>
      <c r="D259" s="13">
        <f>SUMPRODUCT($C$256:$C$267,F166:F177)</f>
        <v>0.19989284496614876</v>
      </c>
      <c r="E259" s="13">
        <f>SUMPRODUCT($C$256:$C$267,F183:F194)</f>
        <v>2.2318928449661488</v>
      </c>
      <c r="G259" s="102"/>
      <c r="H259" s="102"/>
      <c r="I259" s="102"/>
      <c r="J259" s="102"/>
      <c r="K259" s="102"/>
      <c r="L259" s="102"/>
    </row>
    <row r="260" spans="2:12" ht="19.5">
      <c r="B260" s="13" t="s">
        <v>392</v>
      </c>
      <c r="C260" s="13">
        <f t="shared" si="34"/>
        <v>0.96599999999999997</v>
      </c>
      <c r="D260" s="13">
        <f>SUMPRODUCT($C$256:$C$267,G166:G177)</f>
        <v>0</v>
      </c>
      <c r="E260" s="13">
        <f>SUMPRODUCT($C$256:$C$267,G183:G194)</f>
        <v>0</v>
      </c>
      <c r="G260" s="102"/>
      <c r="H260" s="102"/>
      <c r="I260" s="102"/>
      <c r="J260" s="102"/>
      <c r="K260" s="102"/>
      <c r="L260" s="102"/>
    </row>
    <row r="261" spans="2:12" ht="19.5">
      <c r="B261" s="13" t="s">
        <v>393</v>
      </c>
      <c r="C261" s="13">
        <f t="shared" si="34"/>
        <v>0.02</v>
      </c>
      <c r="D261" s="13">
        <f>SUMPRODUCT($C$256:$C$267,H166:H177)</f>
        <v>0</v>
      </c>
      <c r="E261" s="13">
        <f>SUMPRODUCT($C$256:$C$267,H183:H194)</f>
        <v>0</v>
      </c>
      <c r="G261" s="102"/>
      <c r="H261" s="102"/>
      <c r="I261" s="102"/>
      <c r="J261" s="102"/>
      <c r="K261" s="102"/>
      <c r="L261" s="102"/>
    </row>
    <row r="262" spans="2:12" s="631" customFormat="1" ht="19.5">
      <c r="B262" s="13" t="s">
        <v>394</v>
      </c>
      <c r="C262" s="13">
        <f t="shared" si="34"/>
        <v>0.01</v>
      </c>
      <c r="D262" s="13">
        <f>SUMPRODUCT($C$256:$C$267,I166:I177)</f>
        <v>0</v>
      </c>
      <c r="E262" s="13">
        <f>SUMPRODUCT($C$256:$C$267,I183:I194)</f>
        <v>0</v>
      </c>
      <c r="G262" s="102"/>
      <c r="H262" s="102"/>
      <c r="I262" s="102"/>
      <c r="J262" s="102"/>
      <c r="K262" s="102"/>
      <c r="L262" s="102"/>
    </row>
    <row r="263" spans="2:12" ht="19.5">
      <c r="B263" s="13" t="s">
        <v>567</v>
      </c>
      <c r="C263" s="13">
        <f t="shared" si="34"/>
        <v>0</v>
      </c>
      <c r="D263" s="13">
        <f>SUMPRODUCT($C$256:$C$267,J166:J177)</f>
        <v>0</v>
      </c>
      <c r="E263" s="13">
        <f>SUMPRODUCT($C$256:$C$267,J183:J194)</f>
        <v>0</v>
      </c>
    </row>
    <row r="264" spans="2:12">
      <c r="B264" s="13" t="s">
        <v>396</v>
      </c>
      <c r="C264" s="13">
        <f t="shared" si="34"/>
        <v>0</v>
      </c>
      <c r="D264" s="13">
        <f>SUMPRODUCT($C$256:$C$267,K166:K177)</f>
        <v>0</v>
      </c>
      <c r="E264" s="13">
        <f>SUMPRODUCT($C$256:$C$267,K183:K194)</f>
        <v>0</v>
      </c>
    </row>
    <row r="265" spans="2:12" ht="19.5">
      <c r="B265" s="13" t="s">
        <v>397</v>
      </c>
      <c r="C265" s="13">
        <f t="shared" si="34"/>
        <v>0</v>
      </c>
      <c r="D265" s="13">
        <f>SUMPRODUCT($C$256:$C$267,L166:L177)</f>
        <v>0</v>
      </c>
      <c r="E265" s="13">
        <f>SUMPRODUCT($C$256:$C$267,L183:L194)</f>
        <v>0</v>
      </c>
    </row>
    <row r="266" spans="2:12" ht="19.5">
      <c r="B266" s="13" t="s">
        <v>214</v>
      </c>
      <c r="C266" s="13">
        <f t="shared" si="34"/>
        <v>0</v>
      </c>
      <c r="D266" s="13">
        <f>SUMPRODUCT($C$256:$C$267,M166:M177)</f>
        <v>0</v>
      </c>
      <c r="E266" s="13">
        <f>SUMPRODUCT($C$256:$C$267,M183:M194)</f>
        <v>0</v>
      </c>
    </row>
    <row r="267" spans="2:12" ht="19.5">
      <c r="B267" s="13" t="s">
        <v>398</v>
      </c>
      <c r="C267" s="13">
        <f t="shared" si="34"/>
        <v>0</v>
      </c>
      <c r="D267" s="13">
        <f>SUMPRODUCT($C$256:$C$267,N166:N177)</f>
        <v>0</v>
      </c>
      <c r="E267" s="13">
        <f>SUMPRODUCT($C$256:$C$267,N183:N194)</f>
        <v>0</v>
      </c>
    </row>
    <row r="268" spans="2:12">
      <c r="C268" s="568"/>
      <c r="D268" s="102"/>
      <c r="E268" s="102"/>
      <c r="F268" s="102"/>
    </row>
    <row r="269" spans="2:12">
      <c r="C269" s="568"/>
    </row>
    <row r="271" spans="2:12">
      <c r="B271" s="383" t="s">
        <v>2085</v>
      </c>
    </row>
    <row r="272" spans="2:12">
      <c r="B272" s="106" t="s">
        <v>748</v>
      </c>
      <c r="C272" s="106" t="s">
        <v>222</v>
      </c>
      <c r="D272" s="106" t="s">
        <v>221</v>
      </c>
      <c r="E272" s="106" t="s">
        <v>239</v>
      </c>
    </row>
    <row r="273" spans="1:5" ht="19.5">
      <c r="B273" s="13" t="s">
        <v>389</v>
      </c>
      <c r="C273" s="13">
        <f>'Gas Balance'!AC10/100</f>
        <v>2.4338945777113312E-2</v>
      </c>
      <c r="D273" s="13">
        <f>C273</f>
        <v>2.4338945777113312E-2</v>
      </c>
      <c r="E273" s="13" t="s">
        <v>560</v>
      </c>
    </row>
    <row r="274" spans="1:5" ht="19.5">
      <c r="B274" s="13" t="s">
        <v>390</v>
      </c>
      <c r="C274" s="13">
        <v>0</v>
      </c>
      <c r="D274" s="13">
        <f t="shared" ref="D274:D284" si="35">C274</f>
        <v>0</v>
      </c>
      <c r="E274" s="13" t="s">
        <v>560</v>
      </c>
    </row>
    <row r="275" spans="1:5" ht="19.5">
      <c r="B275" s="13" t="s">
        <v>215</v>
      </c>
      <c r="C275" s="13">
        <f>'Gas Balance'!AC11/100</f>
        <v>0</v>
      </c>
      <c r="D275" s="13">
        <f t="shared" si="35"/>
        <v>0</v>
      </c>
      <c r="E275" s="13" t="s">
        <v>560</v>
      </c>
    </row>
    <row r="276" spans="1:5" ht="19.5">
      <c r="B276" s="13" t="s">
        <v>391</v>
      </c>
      <c r="C276" s="13">
        <v>0</v>
      </c>
      <c r="D276" s="13">
        <f t="shared" si="35"/>
        <v>0</v>
      </c>
      <c r="E276" s="13" t="s">
        <v>560</v>
      </c>
    </row>
    <row r="277" spans="1:5" ht="19.5">
      <c r="B277" s="13" t="s">
        <v>392</v>
      </c>
      <c r="C277" s="13">
        <f>'Gas Balance'!AC12/100</f>
        <v>0.97514454659949767</v>
      </c>
      <c r="D277" s="13">
        <f t="shared" si="35"/>
        <v>0.97514454659949767</v>
      </c>
      <c r="E277" s="13" t="s">
        <v>560</v>
      </c>
    </row>
    <row r="278" spans="1:5" ht="19.5">
      <c r="B278" s="13" t="s">
        <v>393</v>
      </c>
      <c r="C278" s="13">
        <f>'Gas Balance'!AC13/100</f>
        <v>5.1650762338903736E-4</v>
      </c>
      <c r="D278" s="13">
        <f t="shared" si="35"/>
        <v>5.1650762338903736E-4</v>
      </c>
      <c r="E278" s="13" t="s">
        <v>560</v>
      </c>
    </row>
    <row r="279" spans="1:5" ht="19.5">
      <c r="B279" s="13" t="s">
        <v>394</v>
      </c>
      <c r="C279" s="13">
        <f>'Gas Balance'!AC14/100</f>
        <v>0</v>
      </c>
      <c r="D279" s="13">
        <f t="shared" si="35"/>
        <v>0</v>
      </c>
      <c r="E279" s="13" t="s">
        <v>560</v>
      </c>
    </row>
    <row r="280" spans="1:5" ht="19.5">
      <c r="B280" s="13" t="s">
        <v>567</v>
      </c>
      <c r="C280" s="13">
        <f>'Gas Balance'!AC15/100</f>
        <v>0</v>
      </c>
      <c r="D280" s="13">
        <f t="shared" si="35"/>
        <v>0</v>
      </c>
      <c r="E280" s="13" t="s">
        <v>560</v>
      </c>
    </row>
    <row r="281" spans="1:5">
      <c r="B281" s="13" t="s">
        <v>396</v>
      </c>
      <c r="C281" s="13">
        <v>0</v>
      </c>
      <c r="D281" s="13">
        <f t="shared" si="35"/>
        <v>0</v>
      </c>
      <c r="E281" s="13" t="s">
        <v>560</v>
      </c>
    </row>
    <row r="282" spans="1:5" ht="19.5">
      <c r="B282" s="13" t="s">
        <v>397</v>
      </c>
      <c r="C282" s="13">
        <v>0</v>
      </c>
      <c r="D282" s="13">
        <f t="shared" si="35"/>
        <v>0</v>
      </c>
      <c r="E282" s="13" t="s">
        <v>560</v>
      </c>
    </row>
    <row r="283" spans="1:5" ht="19.5">
      <c r="B283" s="13" t="s">
        <v>214</v>
      </c>
      <c r="C283" s="13">
        <f>'Gas Balance'!AC16/100</f>
        <v>0</v>
      </c>
      <c r="D283" s="13">
        <f t="shared" si="35"/>
        <v>0</v>
      </c>
      <c r="E283" s="13" t="s">
        <v>560</v>
      </c>
    </row>
    <row r="284" spans="1:5" ht="19.5">
      <c r="B284" s="13" t="s">
        <v>398</v>
      </c>
      <c r="C284" s="13">
        <v>0</v>
      </c>
      <c r="D284" s="13">
        <f t="shared" si="35"/>
        <v>0</v>
      </c>
      <c r="E284" s="13" t="s">
        <v>560</v>
      </c>
    </row>
    <row r="285" spans="1:5">
      <c r="B285" s="92" t="s">
        <v>375</v>
      </c>
      <c r="C285" s="236" t="str">
        <f>IF(SUM(C273:C283)=1, "OK", "ERROR")</f>
        <v>OK</v>
      </c>
      <c r="D285" s="236" t="str">
        <f>IF(SUM(D273:D283)=1, "OK", "ERROR")</f>
        <v>OK</v>
      </c>
    </row>
    <row r="286" spans="1:5">
      <c r="D286" s="236"/>
      <c r="E286" s="236"/>
    </row>
    <row r="287" spans="1:5">
      <c r="D287" s="236"/>
      <c r="E287" s="236"/>
    </row>
    <row r="288" spans="1:5">
      <c r="A288" s="100" t="s">
        <v>1655</v>
      </c>
      <c r="B288" s="568"/>
      <c r="C288" s="236"/>
    </row>
    <row r="289" spans="1:12" ht="15.75">
      <c r="B289" s="14">
        <f>SUMPRODUCT(C128:C139,C273:C284)</f>
        <v>16.339557377931925</v>
      </c>
      <c r="C289" s="210">
        <f>SUMPRODUCT(C128:C139,D273:D284)</f>
        <v>16.339557377931925</v>
      </c>
      <c r="D289" s="607" t="s">
        <v>547</v>
      </c>
      <c r="J289" s="629"/>
    </row>
    <row r="290" spans="1:12">
      <c r="B290" s="568"/>
      <c r="C290" s="236"/>
    </row>
    <row r="291" spans="1:12">
      <c r="B291" s="568"/>
      <c r="C291" s="236"/>
    </row>
    <row r="292" spans="1:12">
      <c r="A292" s="92" t="s">
        <v>1696</v>
      </c>
      <c r="B292" s="568"/>
      <c r="C292" s="630"/>
    </row>
    <row r="293" spans="1:12">
      <c r="A293" s="568"/>
      <c r="B293" s="630" t="s">
        <v>222</v>
      </c>
      <c r="C293" s="607" t="s">
        <v>221</v>
      </c>
      <c r="D293" s="568" t="s">
        <v>239</v>
      </c>
    </row>
    <row r="294" spans="1:12">
      <c r="A294" s="607" t="s">
        <v>550</v>
      </c>
      <c r="B294" s="14">
        <f>SUMPRODUCT(C273:C283,K128:K138)</f>
        <v>825.31778477821274</v>
      </c>
      <c r="C294" s="210">
        <f>SUMPRODUCT(D273:D283,K128:K138)</f>
        <v>825.31778477821274</v>
      </c>
      <c r="D294" s="607" t="s">
        <v>479</v>
      </c>
    </row>
    <row r="295" spans="1:12">
      <c r="A295" s="607" t="s">
        <v>550</v>
      </c>
      <c r="B295" s="14">
        <f>B294/B289</f>
        <v>50.510412594950722</v>
      </c>
      <c r="C295" s="210">
        <f>C294/C289</f>
        <v>50.510412594950722</v>
      </c>
      <c r="D295" s="607" t="s">
        <v>1770</v>
      </c>
    </row>
    <row r="296" spans="1:12">
      <c r="A296" s="584" t="s">
        <v>551</v>
      </c>
      <c r="B296" s="14">
        <f>SUMPRODUCT(C273:C283,L128:L138)</f>
        <v>743.79572936940235</v>
      </c>
      <c r="C296" s="210">
        <f>SUMPRODUCT(D273:D283,L128:L138)</f>
        <v>743.79572936940235</v>
      </c>
      <c r="D296" s="607" t="s">
        <v>479</v>
      </c>
    </row>
    <row r="297" spans="1:12">
      <c r="A297" s="568" t="s">
        <v>551</v>
      </c>
      <c r="B297" s="14">
        <f>B296/B289</f>
        <v>45.521167566874659</v>
      </c>
      <c r="C297" s="210">
        <f>C296/C289</f>
        <v>45.521167566874659</v>
      </c>
      <c r="D297" s="607" t="s">
        <v>1770</v>
      </c>
    </row>
    <row r="298" spans="1:12">
      <c r="C298" s="568"/>
    </row>
    <row r="299" spans="1:12">
      <c r="C299" s="568"/>
    </row>
    <row r="300" spans="1:12">
      <c r="B300" s="92" t="s">
        <v>1301</v>
      </c>
      <c r="C300" s="568"/>
      <c r="G300" s="102"/>
      <c r="H300" s="102"/>
      <c r="I300" s="102"/>
      <c r="J300" s="102"/>
      <c r="K300" s="102"/>
      <c r="L300" s="102"/>
    </row>
    <row r="301" spans="1:12">
      <c r="B301" s="106" t="s">
        <v>554</v>
      </c>
      <c r="C301" s="106" t="s">
        <v>563</v>
      </c>
      <c r="D301" s="106" t="s">
        <v>564</v>
      </c>
      <c r="E301" s="106" t="s">
        <v>565</v>
      </c>
      <c r="G301" s="102"/>
      <c r="H301" s="102"/>
      <c r="I301" s="102"/>
      <c r="J301" s="102"/>
      <c r="K301" s="102"/>
      <c r="L301" s="102"/>
    </row>
    <row r="302" spans="1:12" ht="19.5">
      <c r="B302" s="13" t="s">
        <v>389</v>
      </c>
      <c r="C302" s="13">
        <f t="shared" ref="C302:C313" si="36">C273</f>
        <v>2.4338945777113312E-2</v>
      </c>
      <c r="D302" s="13">
        <f>SUMPRODUCT($C$302:$C$313,C166:C177)</f>
        <v>7.3629925851066975</v>
      </c>
      <c r="E302" s="13">
        <f>SUMPRODUCT($C$302:$C$313,C183:C194)</f>
        <v>7.3873315308838112</v>
      </c>
      <c r="G302" s="102"/>
      <c r="H302" s="102"/>
      <c r="I302" s="102"/>
      <c r="J302" s="102"/>
      <c r="K302" s="102"/>
      <c r="L302" s="102"/>
    </row>
    <row r="303" spans="1:12" ht="19.5">
      <c r="B303" s="13" t="s">
        <v>390</v>
      </c>
      <c r="C303" s="13">
        <f t="shared" si="36"/>
        <v>0</v>
      </c>
      <c r="D303" s="13">
        <f>SUMPRODUCT($C$302:$C$313,D166:D177)</f>
        <v>1.952096869880857</v>
      </c>
      <c r="E303" s="13">
        <f>SUMPRODUCT($C$302:$C$313,D183:D194)</f>
        <v>0</v>
      </c>
      <c r="G303" s="102"/>
      <c r="H303" s="102"/>
      <c r="I303" s="102"/>
      <c r="J303" s="102"/>
      <c r="K303" s="102"/>
      <c r="L303" s="102"/>
    </row>
    <row r="304" spans="1:12" ht="19.5">
      <c r="B304" s="13" t="s">
        <v>215</v>
      </c>
      <c r="C304" s="13">
        <f t="shared" si="36"/>
        <v>0</v>
      </c>
      <c r="D304" s="13">
        <f>SUMPRODUCT($C$302:$C$313,E166:E177)</f>
        <v>2.7953654461301057E-3</v>
      </c>
      <c r="E304" s="13">
        <f>SUMPRODUCT($C$302:$C$313,E183:E194)</f>
        <v>0.97897292729240581</v>
      </c>
      <c r="G304" s="102"/>
      <c r="H304" s="102"/>
      <c r="I304" s="102"/>
      <c r="J304" s="102"/>
      <c r="K304" s="102"/>
      <c r="L304" s="102"/>
    </row>
    <row r="305" spans="1:12" ht="19.5">
      <c r="B305" s="13" t="s">
        <v>391</v>
      </c>
      <c r="C305" s="13">
        <f t="shared" si="36"/>
        <v>0</v>
      </c>
      <c r="D305" s="13">
        <f>SUMPRODUCT($C$302:$C$313,F166:F177)</f>
        <v>0.19016091470272828</v>
      </c>
      <c r="E305" s="13">
        <f>SUMPRODUCT($C$302:$C$313,F183:F194)</f>
        <v>2.1419995307718911</v>
      </c>
      <c r="G305" s="102"/>
      <c r="H305" s="102"/>
      <c r="I305" s="102"/>
      <c r="J305" s="102"/>
      <c r="K305" s="102"/>
      <c r="L305" s="102"/>
    </row>
    <row r="306" spans="1:12" ht="19.5">
      <c r="B306" s="13" t="s">
        <v>392</v>
      </c>
      <c r="C306" s="13">
        <f t="shared" si="36"/>
        <v>0.97514454659949767</v>
      </c>
      <c r="D306" s="13">
        <f>SUMPRODUCT($C$302:$C$313,G166:G177)</f>
        <v>0</v>
      </c>
      <c r="E306" s="13">
        <f>SUMPRODUCT($C$302:$C$313,G183:G194)</f>
        <v>0</v>
      </c>
      <c r="G306" s="102"/>
      <c r="H306" s="102"/>
      <c r="I306" s="102"/>
      <c r="J306" s="102"/>
      <c r="K306" s="102"/>
      <c r="L306" s="102"/>
    </row>
    <row r="307" spans="1:12" ht="19.5">
      <c r="B307" s="13" t="s">
        <v>393</v>
      </c>
      <c r="C307" s="13">
        <f t="shared" si="36"/>
        <v>5.1650762338903736E-4</v>
      </c>
      <c r="D307" s="13">
        <f>SUMPRODUCT($C$302:$C$313,H166:H177)</f>
        <v>0</v>
      </c>
      <c r="E307" s="13">
        <f>SUMPRODUCT($C$302:$C$313,H183:H194)</f>
        <v>0</v>
      </c>
      <c r="G307" s="102"/>
      <c r="H307" s="102"/>
      <c r="I307" s="102"/>
      <c r="J307" s="102"/>
      <c r="K307" s="102"/>
      <c r="L307" s="102"/>
    </row>
    <row r="308" spans="1:12" ht="19.5">
      <c r="B308" s="13" t="s">
        <v>394</v>
      </c>
      <c r="C308" s="13">
        <f t="shared" si="36"/>
        <v>0</v>
      </c>
      <c r="D308" s="13">
        <f>SUMPRODUCT($C$302:$C$313,I166:I177)</f>
        <v>0</v>
      </c>
      <c r="E308" s="13">
        <f>SUMPRODUCT($C$302:$C$313,I183:I194)</f>
        <v>0</v>
      </c>
      <c r="G308" s="102"/>
      <c r="H308" s="102"/>
      <c r="I308" s="102"/>
      <c r="J308" s="102"/>
      <c r="K308" s="102"/>
      <c r="L308" s="102"/>
    </row>
    <row r="309" spans="1:12" ht="19.5">
      <c r="B309" s="13" t="s">
        <v>395</v>
      </c>
      <c r="C309" s="13">
        <f t="shared" si="36"/>
        <v>0</v>
      </c>
      <c r="D309" s="13">
        <f>SUMPRODUCT($C$302:$C$313,J166:J177)</f>
        <v>0</v>
      </c>
      <c r="E309" s="13">
        <f>SUMPRODUCT($C$302:$C$313,J183:J194)</f>
        <v>0</v>
      </c>
      <c r="G309" s="102"/>
      <c r="H309" s="102"/>
      <c r="I309" s="102"/>
      <c r="J309" s="102"/>
      <c r="K309" s="102"/>
      <c r="L309" s="102"/>
    </row>
    <row r="310" spans="1:12">
      <c r="B310" s="13" t="s">
        <v>396</v>
      </c>
      <c r="C310" s="13">
        <f t="shared" si="36"/>
        <v>0</v>
      </c>
      <c r="D310" s="13">
        <f>SUMPRODUCT($C$302:$C$313,K166:K177)</f>
        <v>0</v>
      </c>
      <c r="E310" s="13">
        <f>SUMPRODUCT($C$302:$C$313,K183:K194)</f>
        <v>0</v>
      </c>
      <c r="G310" s="102"/>
      <c r="H310" s="102"/>
      <c r="I310" s="102"/>
      <c r="J310" s="102"/>
      <c r="K310" s="102"/>
      <c r="L310" s="102"/>
    </row>
    <row r="311" spans="1:12" ht="19.5">
      <c r="B311" s="13" t="s">
        <v>397</v>
      </c>
      <c r="C311" s="13">
        <f t="shared" si="36"/>
        <v>0</v>
      </c>
      <c r="D311" s="13">
        <f>SUMPRODUCT($C$302:$C$313,L166:L177)</f>
        <v>0</v>
      </c>
      <c r="E311" s="13">
        <f>SUMPRODUCT($C$302:$C$313,L183:L194)</f>
        <v>0</v>
      </c>
      <c r="G311" s="102"/>
      <c r="H311" s="102"/>
      <c r="I311" s="102"/>
      <c r="J311" s="102"/>
      <c r="K311" s="102"/>
      <c r="L311" s="102"/>
    </row>
    <row r="312" spans="1:12" ht="19.5">
      <c r="B312" s="13" t="s">
        <v>214</v>
      </c>
      <c r="C312" s="13">
        <f t="shared" si="36"/>
        <v>0</v>
      </c>
      <c r="D312" s="13">
        <f>SUMPRODUCT($C$302:$C$313,M166:M177)</f>
        <v>0</v>
      </c>
      <c r="E312" s="13">
        <f>SUMPRODUCT($C$302:$C$313,M183:M194)</f>
        <v>0</v>
      </c>
      <c r="G312" s="102"/>
      <c r="H312" s="102"/>
      <c r="I312" s="102"/>
      <c r="J312" s="102"/>
      <c r="K312" s="102"/>
      <c r="L312" s="102"/>
    </row>
    <row r="313" spans="1:12" ht="19.5">
      <c r="B313" s="13" t="s">
        <v>398</v>
      </c>
      <c r="C313" s="13">
        <f t="shared" si="36"/>
        <v>0</v>
      </c>
      <c r="D313" s="13">
        <f>SUMPRODUCT($C$302:$C$313,N166:N177)</f>
        <v>0</v>
      </c>
      <c r="E313" s="13">
        <f>SUMPRODUCT($C$302:$C$313,N183:N194)</f>
        <v>0</v>
      </c>
    </row>
    <row r="316" spans="1:12">
      <c r="B316" s="609"/>
    </row>
    <row r="317" spans="1:12" s="9" customFormat="1" ht="15.75">
      <c r="A317" s="9" t="s">
        <v>1384</v>
      </c>
    </row>
    <row r="319" spans="1:12">
      <c r="B319" s="93"/>
      <c r="C319" s="93"/>
      <c r="D319" s="93"/>
      <c r="E319" s="93"/>
      <c r="F319" s="93"/>
      <c r="G319" s="93"/>
      <c r="H319" s="93"/>
      <c r="I319" s="93"/>
      <c r="J319" s="93"/>
    </row>
    <row r="320" spans="1:12">
      <c r="A320" s="568"/>
      <c r="B320" s="100" t="s">
        <v>1302</v>
      </c>
      <c r="C320" s="258"/>
      <c r="D320" s="258"/>
      <c r="E320" s="258"/>
      <c r="F320" s="258"/>
      <c r="G320" s="258"/>
      <c r="H320" s="258"/>
      <c r="I320" s="258"/>
    </row>
    <row r="321" spans="1:9">
      <c r="A321" s="568"/>
      <c r="E321"/>
      <c r="F321"/>
    </row>
    <row r="322" spans="1:9">
      <c r="A322" s="568"/>
      <c r="B322" s="1108" t="s">
        <v>612</v>
      </c>
      <c r="C322" s="1109"/>
      <c r="D322" s="1110"/>
      <c r="E322" s="652" t="s">
        <v>551</v>
      </c>
      <c r="F322" s="652" t="s">
        <v>550</v>
      </c>
      <c r="G322" s="652" t="s">
        <v>818</v>
      </c>
      <c r="H322" s="652" t="s">
        <v>819</v>
      </c>
      <c r="I322" s="231" t="s">
        <v>3947</v>
      </c>
    </row>
    <row r="323" spans="1:9">
      <c r="A323" s="568"/>
      <c r="B323" s="1089" t="s">
        <v>821</v>
      </c>
      <c r="C323" s="1089"/>
      <c r="D323" s="1089"/>
      <c r="E323" s="652" t="s">
        <v>529</v>
      </c>
      <c r="F323" s="652" t="s">
        <v>529</v>
      </c>
      <c r="G323" s="652" t="s">
        <v>822</v>
      </c>
      <c r="H323" s="652" t="s">
        <v>820</v>
      </c>
      <c r="I323" s="568"/>
    </row>
    <row r="324" spans="1:9">
      <c r="A324" s="568"/>
      <c r="B324" s="1102" t="s">
        <v>1148</v>
      </c>
      <c r="C324" s="1103"/>
      <c r="D324" s="1104"/>
      <c r="E324" s="964">
        <v>129670</v>
      </c>
      <c r="F324" s="964">
        <v>138350</v>
      </c>
      <c r="G324" s="964">
        <v>3205</v>
      </c>
      <c r="H324" s="963">
        <v>0.85299999999999998</v>
      </c>
      <c r="I324" s="231" t="s">
        <v>3931</v>
      </c>
    </row>
    <row r="325" spans="1:9">
      <c r="A325" s="568"/>
      <c r="B325" s="1102" t="s">
        <v>3930</v>
      </c>
      <c r="C325" s="1103"/>
      <c r="D325" s="1104"/>
      <c r="E325" s="964">
        <v>116090</v>
      </c>
      <c r="F325" s="964">
        <v>124340</v>
      </c>
      <c r="G325" s="964">
        <v>2819</v>
      </c>
      <c r="H325" s="963">
        <v>0.86299999999999999</v>
      </c>
      <c r="I325" s="231" t="s">
        <v>3932</v>
      </c>
    </row>
    <row r="326" spans="1:9">
      <c r="A326" s="568"/>
      <c r="B326" s="1102" t="s">
        <v>823</v>
      </c>
      <c r="C326" s="1103"/>
      <c r="D326" s="1104"/>
      <c r="E326" s="964">
        <v>112194</v>
      </c>
      <c r="F326" s="964">
        <v>120439</v>
      </c>
      <c r="G326" s="964">
        <v>2836</v>
      </c>
      <c r="H326" s="963">
        <v>0.82799999999999996</v>
      </c>
      <c r="I326" s="231" t="s">
        <v>3933</v>
      </c>
    </row>
    <row r="327" spans="1:9">
      <c r="A327" s="568"/>
      <c r="B327" s="1102" t="s">
        <v>824</v>
      </c>
      <c r="C327" s="1103"/>
      <c r="D327" s="1104"/>
      <c r="E327" s="964">
        <v>112194</v>
      </c>
      <c r="F327" s="964">
        <v>120439</v>
      </c>
      <c r="G327" s="964">
        <v>2836</v>
      </c>
      <c r="H327" s="963">
        <v>0.82799999999999996</v>
      </c>
      <c r="I327" s="231" t="s">
        <v>3934</v>
      </c>
    </row>
    <row r="328" spans="1:9">
      <c r="A328" s="568"/>
      <c r="B328" s="1102" t="s">
        <v>827</v>
      </c>
      <c r="C328" s="1103"/>
      <c r="D328" s="1104"/>
      <c r="E328" s="964">
        <v>128450</v>
      </c>
      <c r="F328" s="964">
        <v>137380</v>
      </c>
      <c r="G328" s="964">
        <v>3167</v>
      </c>
      <c r="H328" s="963">
        <v>0.86499999999999999</v>
      </c>
      <c r="I328" s="231" t="s">
        <v>3935</v>
      </c>
    </row>
    <row r="329" spans="1:9">
      <c r="A329" s="568"/>
      <c r="B329" s="1102" t="s">
        <v>825</v>
      </c>
      <c r="C329" s="1103"/>
      <c r="D329" s="1104"/>
      <c r="E329" s="964">
        <v>128450</v>
      </c>
      <c r="F329" s="964">
        <v>137380</v>
      </c>
      <c r="G329" s="964">
        <v>3167</v>
      </c>
      <c r="H329" s="963">
        <v>0.86499999999999999</v>
      </c>
      <c r="I329" s="231" t="s">
        <v>3937</v>
      </c>
    </row>
    <row r="330" spans="1:9">
      <c r="A330" s="568"/>
      <c r="B330" s="1102" t="s">
        <v>826</v>
      </c>
      <c r="C330" s="1103"/>
      <c r="D330" s="1104"/>
      <c r="E330" s="964">
        <v>129488</v>
      </c>
      <c r="F330" s="964">
        <v>138490</v>
      </c>
      <c r="G330" s="964">
        <v>3206</v>
      </c>
      <c r="H330" s="963">
        <v>0.871</v>
      </c>
      <c r="I330" s="231" t="s">
        <v>3935</v>
      </c>
    </row>
    <row r="331" spans="1:9">
      <c r="A331" s="568"/>
      <c r="B331" s="1102" t="s">
        <v>1006</v>
      </c>
      <c r="C331" s="1103"/>
      <c r="D331" s="1104"/>
      <c r="E331" s="964">
        <v>84950</v>
      </c>
      <c r="F331" s="964">
        <v>91410</v>
      </c>
      <c r="G331" s="964">
        <v>1923</v>
      </c>
      <c r="H331" s="963">
        <v>0.82</v>
      </c>
      <c r="I331" s="231" t="s">
        <v>3936</v>
      </c>
    </row>
    <row r="332" spans="1:9">
      <c r="A332" s="568"/>
      <c r="B332" s="1102" t="s">
        <v>1866</v>
      </c>
      <c r="C332" s="1103"/>
      <c r="D332" s="1104"/>
      <c r="E332" s="964">
        <v>140352.52220119376</v>
      </c>
      <c r="F332" s="964">
        <v>150110</v>
      </c>
      <c r="G332" s="964">
        <v>3752</v>
      </c>
      <c r="H332" s="963">
        <v>0.86799999999999999</v>
      </c>
      <c r="I332" s="231" t="s">
        <v>3938</v>
      </c>
    </row>
    <row r="333" spans="1:9">
      <c r="A333" s="568"/>
      <c r="B333" s="652" t="s">
        <v>1007</v>
      </c>
      <c r="C333" s="652"/>
      <c r="D333" s="652"/>
      <c r="E333" s="652" t="s">
        <v>1008</v>
      </c>
      <c r="F333" s="652" t="s">
        <v>1008</v>
      </c>
      <c r="G333" s="652" t="s">
        <v>1009</v>
      </c>
      <c r="H333" s="652"/>
      <c r="I333" s="231"/>
    </row>
    <row r="334" spans="1:9">
      <c r="A334" s="568"/>
      <c r="B334" s="1102" t="s">
        <v>1010</v>
      </c>
      <c r="C334" s="1103"/>
      <c r="D334" s="1104"/>
      <c r="E334" s="964">
        <v>983</v>
      </c>
      <c r="F334" s="964">
        <v>1089</v>
      </c>
      <c r="G334" s="964">
        <v>22</v>
      </c>
      <c r="H334" s="963">
        <v>0.72399999999999998</v>
      </c>
      <c r="I334" s="231" t="s">
        <v>3939</v>
      </c>
    </row>
    <row r="335" spans="1:9">
      <c r="A335" s="568"/>
      <c r="B335" s="1102" t="s">
        <v>1011</v>
      </c>
      <c r="C335" s="1103"/>
      <c r="D335" s="1104"/>
      <c r="E335" s="964">
        <v>290</v>
      </c>
      <c r="F335" s="964">
        <v>343</v>
      </c>
      <c r="G335" s="964">
        <v>2.6</v>
      </c>
      <c r="H335" s="963">
        <v>0</v>
      </c>
      <c r="I335" s="231" t="s">
        <v>3940</v>
      </c>
    </row>
    <row r="336" spans="1:9">
      <c r="A336" s="568"/>
      <c r="B336" s="1102" t="s">
        <v>1012</v>
      </c>
      <c r="C336" s="1103"/>
      <c r="D336" s="1104"/>
      <c r="E336" s="964"/>
      <c r="F336" s="964"/>
      <c r="G336" s="964">
        <v>55.977829999999997</v>
      </c>
      <c r="H336" s="963">
        <v>0.27272727272727271</v>
      </c>
      <c r="I336" s="231" t="s">
        <v>3941</v>
      </c>
    </row>
    <row r="337" spans="1:9">
      <c r="A337" s="568"/>
      <c r="B337" s="1102" t="s">
        <v>1013</v>
      </c>
      <c r="C337" s="1103"/>
      <c r="D337" s="1104"/>
      <c r="E337" s="964">
        <v>1458</v>
      </c>
      <c r="F337" s="964">
        <v>1584</v>
      </c>
      <c r="G337" s="964">
        <v>32.799999999999997</v>
      </c>
      <c r="H337" s="963"/>
      <c r="I337" s="231" t="s">
        <v>3942</v>
      </c>
    </row>
    <row r="338" spans="1:9">
      <c r="A338" s="568"/>
      <c r="B338" s="1105" t="s">
        <v>1360</v>
      </c>
      <c r="C338" s="1106"/>
      <c r="D338" s="1107"/>
      <c r="E338" s="652" t="s">
        <v>1237</v>
      </c>
      <c r="F338" s="652" t="s">
        <v>1237</v>
      </c>
      <c r="G338" s="652"/>
      <c r="H338" s="652"/>
      <c r="I338" s="231"/>
    </row>
    <row r="339" spans="1:9">
      <c r="A339" s="568"/>
      <c r="B339" s="1102" t="s">
        <v>1238</v>
      </c>
      <c r="C339" s="1103"/>
      <c r="D339" s="1104"/>
      <c r="E339" s="964">
        <v>26949429</v>
      </c>
      <c r="F339" s="964">
        <v>28595925</v>
      </c>
      <c r="G339" s="964"/>
      <c r="H339" s="963">
        <v>0.79700000000000004</v>
      </c>
      <c r="I339" s="231" t="s">
        <v>3943</v>
      </c>
    </row>
    <row r="340" spans="1:9">
      <c r="A340" s="568"/>
      <c r="B340" s="1102" t="s">
        <v>606</v>
      </c>
      <c r="C340" s="1103"/>
      <c r="D340" s="1104"/>
      <c r="E340" s="964">
        <v>19474169</v>
      </c>
      <c r="F340" s="964">
        <v>20673610</v>
      </c>
      <c r="G340" s="964"/>
      <c r="H340" s="963">
        <v>0.58599999999999997</v>
      </c>
      <c r="I340" s="231" t="s">
        <v>3944</v>
      </c>
    </row>
    <row r="341" spans="1:9">
      <c r="A341" s="568"/>
      <c r="B341" s="1102" t="s">
        <v>1239</v>
      </c>
      <c r="C341" s="1103"/>
      <c r="D341" s="1104"/>
      <c r="E341" s="964">
        <v>22639320</v>
      </c>
      <c r="F341" s="964">
        <v>23633493</v>
      </c>
      <c r="G341" s="964"/>
      <c r="H341" s="963">
        <v>0.61199999999999999</v>
      </c>
      <c r="I341" s="231" t="s">
        <v>3945</v>
      </c>
    </row>
    <row r="342" spans="1:9">
      <c r="A342" s="568"/>
      <c r="B342" s="1102" t="s">
        <v>1240</v>
      </c>
      <c r="C342" s="1103"/>
      <c r="D342" s="1104"/>
      <c r="E342" s="964">
        <v>24599422</v>
      </c>
      <c r="F342" s="964">
        <v>25679670</v>
      </c>
      <c r="G342" s="964"/>
      <c r="H342" s="963">
        <v>0.747</v>
      </c>
      <c r="I342" s="231" t="s">
        <v>3946</v>
      </c>
    </row>
    <row r="343" spans="1:9">
      <c r="A343" s="568"/>
      <c r="C343" s="568"/>
      <c r="D343" s="568"/>
      <c r="E343" s="568"/>
      <c r="F343" s="568"/>
      <c r="G343" s="568"/>
      <c r="H343" s="568"/>
      <c r="I343" s="568"/>
    </row>
    <row r="344" spans="1:9">
      <c r="A344" s="568"/>
      <c r="B344" s="568"/>
      <c r="C344" s="568"/>
      <c r="D344" s="568"/>
      <c r="E344" s="568"/>
      <c r="F344" s="568"/>
      <c r="G344" s="568"/>
      <c r="H344" s="568"/>
      <c r="I344" s="568"/>
    </row>
    <row r="347" spans="1:9" s="875" customFormat="1">
      <c r="B347" s="883" t="s">
        <v>3927</v>
      </c>
      <c r="C347" s="879"/>
      <c r="D347" s="879"/>
      <c r="E347" s="879"/>
    </row>
    <row r="348" spans="1:9" s="875" customFormat="1">
      <c r="B348" s="198"/>
      <c r="C348" s="885" t="s">
        <v>3872</v>
      </c>
      <c r="D348" s="902"/>
    </row>
    <row r="349" spans="1:9" s="875" customFormat="1">
      <c r="B349" s="658" t="s">
        <v>568</v>
      </c>
      <c r="C349" s="876" t="s">
        <v>1144</v>
      </c>
      <c r="D349" s="902"/>
    </row>
    <row r="350" spans="1:9" s="875" customFormat="1">
      <c r="B350" s="658"/>
      <c r="C350" s="13" t="s">
        <v>993</v>
      </c>
      <c r="D350"/>
      <c r="F350" s="884"/>
    </row>
    <row r="351" spans="1:9" s="875" customFormat="1">
      <c r="B351" s="658" t="s">
        <v>605</v>
      </c>
      <c r="C351" s="964">
        <v>3363</v>
      </c>
      <c r="D351"/>
    </row>
    <row r="352" spans="1:9" s="875" customFormat="1">
      <c r="B352" s="658" t="s">
        <v>606</v>
      </c>
      <c r="C352" s="964">
        <v>100352</v>
      </c>
      <c r="D352"/>
      <c r="F352" s="880"/>
    </row>
    <row r="353" spans="2:6" s="875" customFormat="1">
      <c r="B353" s="658" t="s">
        <v>1010</v>
      </c>
      <c r="C353" s="964">
        <v>60026</v>
      </c>
      <c r="D353"/>
    </row>
    <row r="354" spans="2:6" s="877" customFormat="1">
      <c r="B354" s="878" t="s">
        <v>608</v>
      </c>
      <c r="C354" s="964">
        <v>0</v>
      </c>
      <c r="D354"/>
    </row>
    <row r="355" spans="2:6" s="877" customFormat="1">
      <c r="B355" s="878" t="s">
        <v>609</v>
      </c>
      <c r="C355" s="964">
        <v>0</v>
      </c>
      <c r="D355"/>
    </row>
    <row r="356" spans="2:6" s="875" customFormat="1">
      <c r="B356" s="658" t="s">
        <v>610</v>
      </c>
      <c r="C356" s="964">
        <v>85327</v>
      </c>
      <c r="D356"/>
    </row>
    <row r="357" spans="2:6">
      <c r="B357" s="231" t="s">
        <v>829</v>
      </c>
      <c r="C357" s="231" t="s">
        <v>3948</v>
      </c>
    </row>
    <row r="358" spans="2:6">
      <c r="B358" s="231"/>
      <c r="C358" s="231" t="s">
        <v>3949</v>
      </c>
    </row>
    <row r="359" spans="2:6">
      <c r="B359" s="231"/>
      <c r="C359" s="231" t="s">
        <v>3950</v>
      </c>
    </row>
    <row r="360" spans="2:6">
      <c r="B360" s="231"/>
      <c r="C360" s="231" t="s">
        <v>3951</v>
      </c>
    </row>
    <row r="361" spans="2:6" s="966" customFormat="1"/>
    <row r="362" spans="2:6" s="966" customFormat="1">
      <c r="B362" s="883" t="s">
        <v>3971</v>
      </c>
    </row>
    <row r="363" spans="2:6" s="966" customFormat="1">
      <c r="B363" s="198"/>
      <c r="C363" s="885" t="s">
        <v>3872</v>
      </c>
      <c r="D363" s="885" t="s">
        <v>3871</v>
      </c>
      <c r="F363" s="884"/>
    </row>
    <row r="364" spans="2:6">
      <c r="B364" s="658" t="s">
        <v>568</v>
      </c>
      <c r="C364" s="13" t="s">
        <v>3961</v>
      </c>
      <c r="D364" s="964" t="s">
        <v>3972</v>
      </c>
    </row>
    <row r="365" spans="2:6">
      <c r="B365" s="658" t="s">
        <v>605</v>
      </c>
      <c r="C365" s="964">
        <v>13841</v>
      </c>
      <c r="D365" s="967">
        <v>0.16966000000000001</v>
      </c>
    </row>
    <row r="366" spans="2:6">
      <c r="B366" s="658" t="s">
        <v>606</v>
      </c>
      <c r="C366" s="964">
        <v>17099</v>
      </c>
      <c r="D366" s="967">
        <v>7.0810999999999999E-2</v>
      </c>
    </row>
    <row r="367" spans="2:6">
      <c r="B367" s="658" t="s">
        <v>1010</v>
      </c>
      <c r="C367" s="964">
        <v>25299</v>
      </c>
      <c r="D367" s="967">
        <v>0.21126</v>
      </c>
    </row>
    <row r="368" spans="2:6">
      <c r="B368" s="904" t="s">
        <v>608</v>
      </c>
      <c r="C368" s="964">
        <v>4109</v>
      </c>
      <c r="D368" s="967">
        <v>5.2220999999999997E-2</v>
      </c>
    </row>
    <row r="369" spans="2:4">
      <c r="B369" s="904" t="s">
        <v>609</v>
      </c>
      <c r="C369" s="964">
        <v>0</v>
      </c>
      <c r="D369" s="967">
        <v>0</v>
      </c>
    </row>
    <row r="370" spans="2:4">
      <c r="B370" s="658" t="s">
        <v>610</v>
      </c>
      <c r="C370" s="964">
        <v>46181</v>
      </c>
      <c r="D370" s="967">
        <v>0.44778800000000002</v>
      </c>
    </row>
    <row r="371" spans="2:4">
      <c r="B371" s="231" t="s">
        <v>829</v>
      </c>
      <c r="C371" s="231" t="s">
        <v>3960</v>
      </c>
    </row>
    <row r="374" spans="2:4">
      <c r="B374" s="883" t="s">
        <v>3968</v>
      </c>
    </row>
    <row r="375" spans="2:4">
      <c r="B375" s="198"/>
      <c r="C375" s="885" t="s">
        <v>3966</v>
      </c>
    </row>
    <row r="376" spans="2:4">
      <c r="B376" s="658" t="s">
        <v>568</v>
      </c>
      <c r="C376" s="13" t="s">
        <v>3967</v>
      </c>
    </row>
    <row r="377" spans="2:4">
      <c r="B377" s="658" t="s">
        <v>605</v>
      </c>
      <c r="C377" s="895">
        <v>21.9</v>
      </c>
    </row>
    <row r="378" spans="2:4">
      <c r="B378" s="658" t="s">
        <v>606</v>
      </c>
      <c r="C378" s="895">
        <v>34.700000000000003</v>
      </c>
    </row>
    <row r="379" spans="2:4">
      <c r="B379" s="658" t="s">
        <v>1010</v>
      </c>
      <c r="C379" s="895">
        <v>45.9</v>
      </c>
    </row>
    <row r="380" spans="2:4">
      <c r="B380" s="904" t="s">
        <v>608</v>
      </c>
      <c r="C380" s="895">
        <v>100</v>
      </c>
    </row>
    <row r="381" spans="2:4">
      <c r="B381" s="904" t="s">
        <v>609</v>
      </c>
      <c r="C381" s="895">
        <v>100</v>
      </c>
    </row>
    <row r="382" spans="2:4">
      <c r="B382" s="658" t="s">
        <v>610</v>
      </c>
      <c r="C382" s="895">
        <v>31.9</v>
      </c>
    </row>
    <row r="383" spans="2:4">
      <c r="B383" s="658" t="s">
        <v>3969</v>
      </c>
      <c r="C383" s="21">
        <v>93.5</v>
      </c>
      <c r="D383" s="231" t="s">
        <v>3970</v>
      </c>
    </row>
  </sheetData>
  <mergeCells count="29">
    <mergeCell ref="M19:O19"/>
    <mergeCell ref="B19:C19"/>
    <mergeCell ref="D19:F19"/>
    <mergeCell ref="G19:I19"/>
    <mergeCell ref="B68:C68"/>
    <mergeCell ref="D68:G68"/>
    <mergeCell ref="H68:K68"/>
    <mergeCell ref="M68:P68"/>
    <mergeCell ref="B323:D323"/>
    <mergeCell ref="B324:D324"/>
    <mergeCell ref="B325:D325"/>
    <mergeCell ref="B326:D326"/>
    <mergeCell ref="J19:L19"/>
    <mergeCell ref="B322:D322"/>
    <mergeCell ref="B327:D327"/>
    <mergeCell ref="B328:D328"/>
    <mergeCell ref="B329:D329"/>
    <mergeCell ref="B330:D330"/>
    <mergeCell ref="B331:D331"/>
    <mergeCell ref="B332:D332"/>
    <mergeCell ref="B334:D334"/>
    <mergeCell ref="B335:D335"/>
    <mergeCell ref="B336:D336"/>
    <mergeCell ref="B337:D337"/>
    <mergeCell ref="B339:D339"/>
    <mergeCell ref="B340:D340"/>
    <mergeCell ref="B341:D341"/>
    <mergeCell ref="B342:D342"/>
    <mergeCell ref="B338:D338"/>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Y1907"/>
  <sheetViews>
    <sheetView topLeftCell="A49" workbookViewId="0">
      <selection activeCell="C75" sqref="C75"/>
    </sheetView>
  </sheetViews>
  <sheetFormatPr defaultColWidth="8.88671875" defaultRowHeight="15"/>
  <cols>
    <col min="1" max="1" width="8.88671875" style="568"/>
    <col min="2" max="2" width="18.44140625" style="568" customWidth="1"/>
    <col min="3" max="3" width="11.5546875" style="568" customWidth="1"/>
    <col min="4" max="4" width="8.88671875" style="568"/>
    <col min="5" max="5" width="9.44140625" style="568" customWidth="1"/>
    <col min="6" max="16384" width="8.88671875" style="568"/>
  </cols>
  <sheetData>
    <row r="1" spans="1:9" s="6" customFormat="1" ht="24" customHeight="1">
      <c r="A1" s="6" t="s">
        <v>903</v>
      </c>
    </row>
    <row r="2" spans="1:9" s="519" customFormat="1"/>
    <row r="3" spans="1:9" s="519" customFormat="1">
      <c r="A3" s="519" t="s">
        <v>421</v>
      </c>
    </row>
    <row r="4" spans="1:9" s="519" customFormat="1"/>
    <row r="5" spans="1:9" s="519" customFormat="1" ht="14.1" customHeight="1"/>
    <row r="6" spans="1:9" s="9" customFormat="1" ht="18" customHeight="1">
      <c r="A6" s="9" t="s">
        <v>1380</v>
      </c>
    </row>
    <row r="8" spans="1:9">
      <c r="B8" s="100" t="s">
        <v>1264</v>
      </c>
    </row>
    <row r="9" spans="1:9" s="102" customFormat="1" ht="18.95" customHeight="1">
      <c r="B9" s="1092" t="s">
        <v>422</v>
      </c>
      <c r="C9" s="1094"/>
      <c r="D9" s="408" t="s">
        <v>423</v>
      </c>
      <c r="E9" s="408" t="s">
        <v>164</v>
      </c>
      <c r="F9" s="408" t="s">
        <v>239</v>
      </c>
    </row>
    <row r="10" spans="1:9" ht="15.95" customHeight="1">
      <c r="B10" s="171" t="s">
        <v>425</v>
      </c>
      <c r="C10" s="171"/>
      <c r="D10" s="171"/>
      <c r="E10" s="171">
        <v>3.2808000000000002</v>
      </c>
      <c r="F10" s="171" t="s">
        <v>426</v>
      </c>
    </row>
    <row r="11" spans="1:9" ht="15.95" customHeight="1">
      <c r="B11" s="171" t="s">
        <v>427</v>
      </c>
      <c r="C11" s="171"/>
      <c r="D11" s="171"/>
      <c r="E11" s="171">
        <f>1/E10</f>
        <v>0.30480370641306997</v>
      </c>
      <c r="F11" s="171" t="s">
        <v>428</v>
      </c>
    </row>
    <row r="12" spans="1:9" ht="15.95" customHeight="1">
      <c r="B12" s="171" t="s">
        <v>429</v>
      </c>
      <c r="C12" s="171"/>
      <c r="D12" s="171"/>
      <c r="E12" s="171">
        <v>2.5399999999999999E-2</v>
      </c>
      <c r="F12" s="171" t="s">
        <v>430</v>
      </c>
    </row>
    <row r="13" spans="1:9" ht="15.95" customHeight="1">
      <c r="B13" s="171" t="s">
        <v>431</v>
      </c>
      <c r="C13" s="171"/>
      <c r="D13" s="171"/>
      <c r="E13" s="171">
        <f>1/E12</f>
        <v>39.370078740157481</v>
      </c>
      <c r="F13" s="171" t="s">
        <v>432</v>
      </c>
    </row>
    <row r="14" spans="1:9" ht="15.95" customHeight="1">
      <c r="B14" s="171" t="s">
        <v>433</v>
      </c>
      <c r="C14" s="171"/>
      <c r="D14" s="171"/>
      <c r="E14" s="171">
        <v>0.62136999999999998</v>
      </c>
      <c r="F14" s="171" t="s">
        <v>434</v>
      </c>
    </row>
    <row r="15" spans="1:9">
      <c r="F15" s="115"/>
      <c r="G15" s="581"/>
      <c r="H15" s="581"/>
      <c r="I15" s="115"/>
    </row>
    <row r="16" spans="1:9">
      <c r="B16" s="100" t="s">
        <v>1265</v>
      </c>
      <c r="F16" s="115"/>
      <c r="G16" s="581"/>
      <c r="H16" s="581"/>
      <c r="I16" s="115"/>
    </row>
    <row r="17" spans="2:9" s="102" customFormat="1" ht="18.95" customHeight="1">
      <c r="B17" s="1092" t="s">
        <v>422</v>
      </c>
      <c r="C17" s="1094"/>
      <c r="D17" s="408" t="s">
        <v>423</v>
      </c>
      <c r="E17" s="408" t="s">
        <v>164</v>
      </c>
      <c r="F17" s="408" t="s">
        <v>239</v>
      </c>
    </row>
    <row r="18" spans="2:9">
      <c r="B18" s="171" t="s">
        <v>435</v>
      </c>
      <c r="C18" s="171"/>
      <c r="D18" s="171"/>
      <c r="E18" s="171">
        <v>2.2040000000000002</v>
      </c>
      <c r="F18" s="171" t="s">
        <v>2297</v>
      </c>
      <c r="G18" s="218"/>
      <c r="H18" s="582"/>
    </row>
    <row r="19" spans="2:9">
      <c r="B19" s="171" t="s">
        <v>436</v>
      </c>
      <c r="C19" s="171"/>
      <c r="D19" s="171"/>
      <c r="E19" s="171">
        <v>0.45359237000000002</v>
      </c>
      <c r="F19" s="171" t="s">
        <v>437</v>
      </c>
      <c r="G19" s="218"/>
      <c r="H19" s="582"/>
    </row>
    <row r="20" spans="2:9">
      <c r="B20" s="171" t="s">
        <v>438</v>
      </c>
      <c r="C20" s="171"/>
      <c r="D20" s="171"/>
      <c r="E20" s="171">
        <v>1000</v>
      </c>
      <c r="F20" s="171" t="s">
        <v>439</v>
      </c>
      <c r="G20" s="218"/>
      <c r="H20" s="582"/>
    </row>
    <row r="21" spans="2:9">
      <c r="B21" s="171" t="s">
        <v>440</v>
      </c>
      <c r="C21" s="171"/>
      <c r="D21" s="171"/>
      <c r="E21" s="171">
        <f>1/1000</f>
        <v>1E-3</v>
      </c>
      <c r="F21" s="171" t="s">
        <v>441</v>
      </c>
      <c r="G21" s="218"/>
    </row>
    <row r="22" spans="2:9">
      <c r="B22" s="171" t="s">
        <v>442</v>
      </c>
      <c r="C22" s="171"/>
      <c r="D22" s="171"/>
      <c r="E22" s="854">
        <f>E19*1000</f>
        <v>453.59237000000002</v>
      </c>
      <c r="F22" s="171" t="s">
        <v>443</v>
      </c>
      <c r="G22" s="218"/>
    </row>
    <row r="23" spans="2:9">
      <c r="B23" s="171" t="s">
        <v>2296</v>
      </c>
      <c r="C23" s="171"/>
      <c r="D23" s="171"/>
      <c r="E23" s="171">
        <f>1/E22</f>
        <v>2.2046226218487759E-3</v>
      </c>
      <c r="F23" s="171" t="s">
        <v>2298</v>
      </c>
      <c r="G23" s="218"/>
    </row>
    <row r="24" spans="2:9">
      <c r="B24" s="171" t="s">
        <v>714</v>
      </c>
      <c r="C24" s="171"/>
      <c r="D24" s="171"/>
      <c r="E24" s="657">
        <f>E19*1000*365</f>
        <v>165561.21505</v>
      </c>
      <c r="F24" s="171" t="s">
        <v>715</v>
      </c>
      <c r="G24" s="581"/>
      <c r="H24" s="583"/>
      <c r="I24" s="115"/>
    </row>
    <row r="25" spans="2:9">
      <c r="F25" s="115"/>
      <c r="G25" s="581"/>
      <c r="H25" s="583"/>
      <c r="I25" s="115"/>
    </row>
    <row r="26" spans="2:9">
      <c r="B26" s="100" t="s">
        <v>1266</v>
      </c>
    </row>
    <row r="27" spans="2:9" s="102" customFormat="1" ht="18.95" customHeight="1">
      <c r="B27" s="1092" t="s">
        <v>422</v>
      </c>
      <c r="C27" s="1094"/>
      <c r="D27" s="408" t="s">
        <v>423</v>
      </c>
      <c r="E27" s="408" t="s">
        <v>164</v>
      </c>
      <c r="F27" s="408" t="s">
        <v>239</v>
      </c>
    </row>
    <row r="28" spans="2:9" s="584" customFormat="1" ht="14.1" customHeight="1">
      <c r="B28" s="1087" t="s">
        <v>445</v>
      </c>
      <c r="C28" s="1091"/>
      <c r="D28" s="171"/>
      <c r="E28" s="171">
        <v>1.3069999999999999</v>
      </c>
      <c r="F28" s="171" t="s">
        <v>446</v>
      </c>
    </row>
    <row r="29" spans="2:9" s="584" customFormat="1" ht="14.1" customHeight="1">
      <c r="B29" s="1087" t="s">
        <v>447</v>
      </c>
      <c r="C29" s="1091"/>
      <c r="D29" s="171"/>
      <c r="E29" s="171">
        <v>42</v>
      </c>
      <c r="F29" s="171" t="s">
        <v>448</v>
      </c>
    </row>
    <row r="30" spans="2:9" s="584" customFormat="1" ht="14.1" customHeight="1">
      <c r="B30" s="1087" t="s">
        <v>449</v>
      </c>
      <c r="C30" s="1091"/>
      <c r="D30" s="171"/>
      <c r="E30" s="171">
        <f>1/E29</f>
        <v>2.3809523809523808E-2</v>
      </c>
      <c r="F30" s="171" t="s">
        <v>450</v>
      </c>
    </row>
    <row r="31" spans="2:9" ht="14.1" customHeight="1">
      <c r="B31" s="1087" t="s">
        <v>451</v>
      </c>
      <c r="C31" s="1091"/>
      <c r="D31" s="171"/>
      <c r="E31" s="171">
        <v>3.78</v>
      </c>
      <c r="F31" s="171" t="s">
        <v>452</v>
      </c>
    </row>
    <row r="32" spans="2:9" ht="14.1" customHeight="1">
      <c r="B32" s="1087" t="s">
        <v>453</v>
      </c>
      <c r="C32" s="1091"/>
      <c r="D32" s="171"/>
      <c r="E32" s="171">
        <v>28.316846600000002</v>
      </c>
      <c r="F32" s="171" t="s">
        <v>454</v>
      </c>
    </row>
    <row r="33" spans="2:7" ht="14.1" customHeight="1">
      <c r="B33" s="1087" t="s">
        <v>455</v>
      </c>
      <c r="C33" s="1091"/>
      <c r="D33" s="171"/>
      <c r="E33" s="171">
        <v>158.9873</v>
      </c>
      <c r="F33" s="171" t="s">
        <v>456</v>
      </c>
    </row>
    <row r="34" spans="2:7" ht="14.1" customHeight="1">
      <c r="B34" s="1087" t="s">
        <v>457</v>
      </c>
      <c r="C34" s="1091"/>
      <c r="D34" s="171"/>
      <c r="E34" s="171">
        <f>E33/1000</f>
        <v>0.1589873</v>
      </c>
      <c r="F34" s="171" t="s">
        <v>458</v>
      </c>
    </row>
    <row r="35" spans="2:7" ht="14.1" customHeight="1">
      <c r="B35" s="1087" t="s">
        <v>594</v>
      </c>
      <c r="C35" s="1091"/>
      <c r="D35" s="171"/>
      <c r="E35" s="171">
        <f>E34*35.3146667</f>
        <v>5.6145835090329097</v>
      </c>
      <c r="F35" s="171" t="s">
        <v>595</v>
      </c>
    </row>
    <row r="36" spans="2:7" ht="14.1" customHeight="1">
      <c r="B36" s="1087" t="s">
        <v>459</v>
      </c>
      <c r="C36" s="1091"/>
      <c r="D36" s="171"/>
      <c r="E36" s="171">
        <f>1/E34</f>
        <v>6.2898105697750699</v>
      </c>
      <c r="F36" s="171" t="s">
        <v>460</v>
      </c>
    </row>
    <row r="37" spans="2:7">
      <c r="B37" s="1087" t="s">
        <v>461</v>
      </c>
      <c r="C37" s="1091"/>
      <c r="D37" s="171"/>
      <c r="E37" s="171">
        <v>22.4</v>
      </c>
      <c r="F37" s="171" t="s">
        <v>462</v>
      </c>
    </row>
    <row r="38" spans="2:7">
      <c r="B38" s="1005" t="s">
        <v>4070</v>
      </c>
      <c r="C38" s="994"/>
      <c r="D38" s="171"/>
      <c r="E38" s="593">
        <f>E32/E37</f>
        <v>1.2641449375000002</v>
      </c>
      <c r="F38" s="172" t="s">
        <v>4069</v>
      </c>
    </row>
    <row r="39" spans="2:7">
      <c r="B39" s="1087" t="s">
        <v>741</v>
      </c>
      <c r="C39" s="1091"/>
      <c r="D39" s="171"/>
      <c r="E39" s="171">
        <f>E35/E34</f>
        <v>35.314666699999997</v>
      </c>
      <c r="F39" s="171" t="s">
        <v>740</v>
      </c>
    </row>
    <row r="40" spans="2:7">
      <c r="B40" s="742"/>
      <c r="C40" s="742"/>
      <c r="D40" s="124"/>
      <c r="E40" s="124"/>
      <c r="F40" s="124"/>
    </row>
    <row r="42" spans="2:7">
      <c r="B42" s="100" t="s">
        <v>1267</v>
      </c>
    </row>
    <row r="43" spans="2:7" s="102" customFormat="1" ht="18.95" customHeight="1">
      <c r="B43" s="1092" t="s">
        <v>422</v>
      </c>
      <c r="C43" s="1094"/>
      <c r="D43" s="408" t="s">
        <v>423</v>
      </c>
      <c r="E43" s="408" t="s">
        <v>164</v>
      </c>
      <c r="F43" s="408" t="s">
        <v>239</v>
      </c>
    </row>
    <row r="44" spans="2:7" ht="15.95" customHeight="1">
      <c r="B44" s="1087" t="s">
        <v>463</v>
      </c>
      <c r="C44" s="1091"/>
      <c r="D44" s="171"/>
      <c r="E44" s="171">
        <v>9.4781711999999995E-4</v>
      </c>
      <c r="F44" s="171" t="s">
        <v>464</v>
      </c>
    </row>
    <row r="45" spans="2:7" ht="15.95" customHeight="1">
      <c r="B45" s="1087" t="s">
        <v>811</v>
      </c>
      <c r="C45" s="1091"/>
      <c r="D45" s="171"/>
      <c r="E45" s="171">
        <f>E44*1000000</f>
        <v>947.81711999999993</v>
      </c>
      <c r="F45" s="171" t="s">
        <v>812</v>
      </c>
    </row>
    <row r="46" spans="2:7">
      <c r="B46" s="1087" t="s">
        <v>465</v>
      </c>
      <c r="C46" s="1091"/>
      <c r="D46" s="171"/>
      <c r="E46" s="171">
        <v>1055.05</v>
      </c>
      <c r="F46" s="171" t="s">
        <v>466</v>
      </c>
    </row>
    <row r="47" spans="2:7">
      <c r="B47" s="1087" t="s">
        <v>641</v>
      </c>
      <c r="C47" s="1091"/>
      <c r="D47" s="171"/>
      <c r="E47" s="171">
        <f>E46/1000000</f>
        <v>1.0550499999999999E-3</v>
      </c>
      <c r="F47" s="171" t="s">
        <v>642</v>
      </c>
      <c r="G47"/>
    </row>
    <row r="48" spans="2:7">
      <c r="B48" s="1087" t="s">
        <v>743</v>
      </c>
      <c r="C48" s="1091"/>
      <c r="D48" s="171"/>
      <c r="E48" s="171">
        <f>E47*1000000</f>
        <v>1055.05</v>
      </c>
      <c r="F48" s="171" t="s">
        <v>744</v>
      </c>
      <c r="G48"/>
    </row>
    <row r="49" spans="2:7">
      <c r="B49" s="1087" t="s">
        <v>467</v>
      </c>
      <c r="C49" s="1091"/>
      <c r="D49" s="171"/>
      <c r="E49" s="171">
        <v>4.18</v>
      </c>
      <c r="F49" s="171" t="s">
        <v>468</v>
      </c>
      <c r="G49"/>
    </row>
    <row r="50" spans="2:7">
      <c r="B50" s="1087" t="s">
        <v>469</v>
      </c>
      <c r="C50" s="1091"/>
      <c r="D50" s="171"/>
      <c r="E50" s="171">
        <v>3.6</v>
      </c>
      <c r="F50" s="171" t="s">
        <v>470</v>
      </c>
    </row>
    <row r="51" spans="2:7">
      <c r="B51" s="1087" t="s">
        <v>809</v>
      </c>
      <c r="C51" s="1091"/>
      <c r="D51" s="171"/>
      <c r="E51" s="171">
        <f>1/E50</f>
        <v>0.27777777777777779</v>
      </c>
      <c r="F51" s="171" t="s">
        <v>810</v>
      </c>
    </row>
    <row r="52" spans="2:7">
      <c r="B52" s="1087" t="s">
        <v>847</v>
      </c>
      <c r="C52" s="1091"/>
      <c r="D52" s="171"/>
      <c r="E52" s="171">
        <f>E47*E51</f>
        <v>2.9306944444444443E-4</v>
      </c>
      <c r="F52" s="171" t="s">
        <v>846</v>
      </c>
    </row>
    <row r="53" spans="2:7">
      <c r="B53" s="1087" t="s">
        <v>849</v>
      </c>
      <c r="C53" s="1091"/>
      <c r="D53" s="171"/>
      <c r="E53" s="171">
        <f>1/E52</f>
        <v>3412.160561110848</v>
      </c>
      <c r="F53" s="171" t="s">
        <v>850</v>
      </c>
    </row>
    <row r="54" spans="2:7">
      <c r="B54" s="1087" t="s">
        <v>848</v>
      </c>
      <c r="C54" s="1091"/>
      <c r="D54" s="171"/>
      <c r="E54" s="171">
        <f>E53/1000</f>
        <v>3.4121605611108481</v>
      </c>
      <c r="F54" s="171" t="s">
        <v>851</v>
      </c>
    </row>
    <row r="55" spans="2:7">
      <c r="B55" s="585"/>
      <c r="E55" s="586"/>
      <c r="F55" s="585"/>
    </row>
    <row r="56" spans="2:7">
      <c r="B56" s="100" t="s">
        <v>1268</v>
      </c>
    </row>
    <row r="57" spans="2:7" s="102" customFormat="1" ht="18.95" customHeight="1">
      <c r="B57" s="1092" t="s">
        <v>422</v>
      </c>
      <c r="C57" s="1094"/>
      <c r="D57" s="408" t="s">
        <v>423</v>
      </c>
      <c r="E57" s="408" t="s">
        <v>164</v>
      </c>
      <c r="F57" s="408" t="s">
        <v>239</v>
      </c>
    </row>
    <row r="58" spans="2:7" s="584" customFormat="1" ht="18.95" customHeight="1">
      <c r="B58" s="1087" t="s">
        <v>807</v>
      </c>
      <c r="C58" s="1091"/>
      <c r="D58" s="171"/>
      <c r="E58" s="171">
        <v>1.34</v>
      </c>
      <c r="F58" s="171" t="s">
        <v>808</v>
      </c>
    </row>
    <row r="59" spans="2:7" s="584" customFormat="1" ht="18.95" customHeight="1">
      <c r="B59" s="1087" t="s">
        <v>853</v>
      </c>
      <c r="C59" s="1091"/>
      <c r="D59" s="171"/>
      <c r="E59" s="171">
        <f>1/E58</f>
        <v>0.74626865671641784</v>
      </c>
      <c r="F59" s="171" t="s">
        <v>854</v>
      </c>
    </row>
    <row r="60" spans="2:7" s="584" customFormat="1" ht="18.95" customHeight="1">
      <c r="B60" s="742"/>
      <c r="C60" s="742"/>
      <c r="D60" s="124"/>
      <c r="E60" s="124"/>
      <c r="F60" s="124"/>
    </row>
    <row r="61" spans="2:7" s="584" customFormat="1" ht="18.95" customHeight="1">
      <c r="B61" s="666" t="s">
        <v>3580</v>
      </c>
      <c r="C61" s="666"/>
      <c r="D61" s="666"/>
      <c r="E61" s="666"/>
      <c r="F61" s="666"/>
    </row>
    <row r="62" spans="2:7" s="584" customFormat="1" ht="18.95" customHeight="1">
      <c r="B62" s="1092" t="s">
        <v>422</v>
      </c>
      <c r="C62" s="1094"/>
      <c r="D62" s="739" t="s">
        <v>423</v>
      </c>
      <c r="E62" s="739" t="s">
        <v>164</v>
      </c>
      <c r="F62" s="739" t="s">
        <v>239</v>
      </c>
    </row>
    <row r="63" spans="2:7" s="584" customFormat="1" ht="18.95" customHeight="1">
      <c r="B63" s="1087" t="s">
        <v>3581</v>
      </c>
      <c r="C63" s="1091"/>
      <c r="D63" s="171"/>
      <c r="E63" s="171">
        <v>28316.847000000002</v>
      </c>
      <c r="F63" s="171" t="s">
        <v>3582</v>
      </c>
    </row>
    <row r="64" spans="2:7" s="584" customFormat="1" ht="18.95" customHeight="1">
      <c r="B64" s="1087" t="s">
        <v>3583</v>
      </c>
      <c r="C64" s="1091"/>
      <c r="D64" s="171"/>
      <c r="E64" s="171">
        <v>86400</v>
      </c>
      <c r="F64" s="171" t="s">
        <v>3584</v>
      </c>
    </row>
    <row r="65" spans="1:6" s="584" customFormat="1" ht="18.95" customHeight="1">
      <c r="B65" s="742"/>
      <c r="C65" s="742"/>
      <c r="D65" s="124"/>
      <c r="E65" s="124"/>
      <c r="F65" s="124"/>
    </row>
    <row r="66" spans="1:6" s="584" customFormat="1" ht="18.95" customHeight="1">
      <c r="B66" s="587"/>
      <c r="E66" s="588"/>
      <c r="F66" s="587"/>
    </row>
    <row r="67" spans="1:6" s="9" customFormat="1" ht="18" customHeight="1">
      <c r="A67" s="9" t="s">
        <v>1269</v>
      </c>
    </row>
    <row r="68" spans="1:6" s="102" customFormat="1" ht="18" customHeight="1"/>
    <row r="69" spans="1:6" s="584" customFormat="1" ht="15" customHeight="1">
      <c r="B69" s="589" t="s">
        <v>1270</v>
      </c>
      <c r="E69" s="588"/>
      <c r="F69" s="587"/>
    </row>
    <row r="70" spans="1:6" s="584" customFormat="1" ht="15" customHeight="1">
      <c r="B70" s="408" t="s">
        <v>748</v>
      </c>
      <c r="C70" s="668" t="s">
        <v>1079</v>
      </c>
      <c r="D70" s="641"/>
      <c r="E70" s="642"/>
      <c r="F70" s="587"/>
    </row>
    <row r="71" spans="1:6" s="584" customFormat="1" ht="15" customHeight="1">
      <c r="B71" s="171" t="s">
        <v>627</v>
      </c>
      <c r="C71" s="669">
        <v>1</v>
      </c>
      <c r="E71" s="588"/>
      <c r="F71" s="587"/>
    </row>
    <row r="72" spans="1:6" s="584" customFormat="1" ht="15" customHeight="1">
      <c r="B72" s="171" t="s">
        <v>396</v>
      </c>
      <c r="C72" s="669">
        <v>0</v>
      </c>
      <c r="E72" s="588"/>
      <c r="F72" s="587"/>
    </row>
    <row r="73" spans="1:6" s="584" customFormat="1" ht="15" customHeight="1">
      <c r="B73" s="171" t="s">
        <v>625</v>
      </c>
      <c r="C73" s="669">
        <v>34</v>
      </c>
      <c r="E73" s="588"/>
      <c r="F73" s="587"/>
    </row>
    <row r="74" spans="1:6" s="584" customFormat="1" ht="15" customHeight="1">
      <c r="B74" s="171" t="s">
        <v>1078</v>
      </c>
      <c r="C74" s="669">
        <v>0</v>
      </c>
      <c r="E74" s="588"/>
      <c r="F74" s="587"/>
    </row>
    <row r="75" spans="1:6" s="584" customFormat="1" ht="15" customHeight="1">
      <c r="B75" s="171" t="s">
        <v>626</v>
      </c>
      <c r="C75" s="669">
        <v>298</v>
      </c>
      <c r="E75" s="588"/>
      <c r="F75" s="587"/>
    </row>
    <row r="76" spans="1:6" s="584" customFormat="1" ht="15" customHeight="1">
      <c r="B76" s="590" t="s">
        <v>1084</v>
      </c>
      <c r="C76" s="124"/>
      <c r="E76" s="588"/>
      <c r="F76" s="587"/>
    </row>
    <row r="77" spans="1:6" s="584" customFormat="1" ht="15" customHeight="1">
      <c r="B77" s="587"/>
      <c r="E77" s="588"/>
      <c r="F77" s="587"/>
    </row>
    <row r="78" spans="1:6">
      <c r="B78" s="100" t="s">
        <v>1271</v>
      </c>
    </row>
    <row r="79" spans="1:6">
      <c r="B79" s="106" t="s">
        <v>748</v>
      </c>
      <c r="C79" s="106" t="s">
        <v>1077</v>
      </c>
      <c r="D79" s="106"/>
    </row>
    <row r="80" spans="1:6">
      <c r="B80" s="106"/>
      <c r="C80" s="106" t="s">
        <v>596</v>
      </c>
      <c r="D80" s="106" t="s">
        <v>749</v>
      </c>
      <c r="E80" s="635" t="s">
        <v>829</v>
      </c>
    </row>
    <row r="81" spans="1:9">
      <c r="B81" s="714" t="s">
        <v>872</v>
      </c>
      <c r="C81" s="855">
        <f>0.073841*'Input data'!E1884/14.7*(273+15.556)/(273+('Input data'!E1883-32)/1.8)</f>
        <v>7.3841113732768596E-2</v>
      </c>
      <c r="D81" s="13">
        <f>C81*$E$22</f>
        <v>33.493765781486054</v>
      </c>
      <c r="E81" s="635"/>
    </row>
    <row r="82" spans="1:9">
      <c r="B82" s="714" t="s">
        <v>873</v>
      </c>
      <c r="C82" s="855">
        <f>0.090576*'Input data'!E1884/14.7*(273+15.556)/(273+('Input data'!E1883-32)/1.8)</f>
        <v>9.0576139508663847E-2</v>
      </c>
      <c r="D82" s="13">
        <f>C82*$E$22</f>
        <v>41.084645785185472</v>
      </c>
      <c r="E82" s="635" t="s">
        <v>3794</v>
      </c>
    </row>
    <row r="83" spans="1:9" ht="15" customHeight="1">
      <c r="B83" s="13" t="s">
        <v>627</v>
      </c>
      <c r="C83" s="856">
        <f>0.11663*'Input data'!E1884/14.7*(273+15.556)/(273+('Input data'!E1883-32)/1.8)</f>
        <v>0.11663017963804388</v>
      </c>
      <c r="D83" s="13">
        <f>C83*$E$22</f>
        <v>52.902559595546066</v>
      </c>
      <c r="E83" s="635" t="s">
        <v>3797</v>
      </c>
    </row>
    <row r="84" spans="1:9" ht="15" customHeight="1">
      <c r="B84" s="13" t="s">
        <v>625</v>
      </c>
      <c r="C84" s="855">
        <f>0.042358*'Input data'!E1884/14.7*(273+15.556)/(273+('Input data'!E1883-32)/1.8)</f>
        <v>4.2358065241432423E-2</v>
      </c>
      <c r="D84" s="13">
        <f t="shared" ref="D84:D89" si="0">C84*$E$22</f>
        <v>19.213295201475955</v>
      </c>
      <c r="E84" s="635"/>
      <c r="F84" s="585"/>
    </row>
    <row r="85" spans="1:9" ht="15" customHeight="1">
      <c r="B85" s="13" t="s">
        <v>750</v>
      </c>
      <c r="C85" s="855">
        <f>0.079912*'Input data'!E1884/14.7*(273+15.556)/(273+('Input data'!E1883-32)/1.8)</f>
        <v>7.991212308355794E-2</v>
      </c>
      <c r="D85" s="13">
        <f>C85*$E$22</f>
        <v>36.247529301202754</v>
      </c>
      <c r="E85" s="635" t="s">
        <v>3795</v>
      </c>
    </row>
    <row r="86" spans="1:9" ht="15" customHeight="1">
      <c r="B86" s="13" t="s">
        <v>751</v>
      </c>
      <c r="C86" s="856">
        <f>0.11831*'Input data'!E1884/14.7*(273+15.556)/(273+('Input data'!E1883-32)/1.8)</f>
        <v>0.11831018222564496</v>
      </c>
      <c r="D86" s="13">
        <f t="shared" si="0"/>
        <v>53.664595950862171</v>
      </c>
      <c r="E86" s="635" t="s">
        <v>3796</v>
      </c>
    </row>
    <row r="87" spans="1:9">
      <c r="B87" s="13" t="s">
        <v>752</v>
      </c>
      <c r="C87" s="856">
        <f>0.15849*'Input data'!E1884/14.7*(273+15.556)/(273+('Input data'!E1883-32)/1.8)</f>
        <v>0.15849024411243742</v>
      </c>
      <c r="D87" s="13">
        <f t="shared" si="0"/>
        <v>71.889965448839035</v>
      </c>
      <c r="E87" s="635"/>
    </row>
    <row r="88" spans="1:9">
      <c r="A88" s="666"/>
      <c r="B88" s="13" t="s">
        <v>909</v>
      </c>
      <c r="C88" s="857">
        <f>0.048</f>
        <v>4.8000000000000001E-2</v>
      </c>
      <c r="D88" s="13">
        <f>C88*$E$22</f>
        <v>21.772433760000002</v>
      </c>
      <c r="E88" s="231" t="s">
        <v>3793</v>
      </c>
    </row>
    <row r="89" spans="1:9">
      <c r="B89" s="13" t="s">
        <v>624</v>
      </c>
      <c r="C89" s="855">
        <f>(0.31*30.069*C85+0.42*44.0956*C86+0.27*58.1222*C87)/(0.31*30.069+0.42*44.0956+0.27*58.1222)</f>
        <v>0.124572387147333</v>
      </c>
      <c r="D89" s="13">
        <f t="shared" si="0"/>
        <v>56.505084322716314</v>
      </c>
      <c r="E89" s="635" t="s">
        <v>3799</v>
      </c>
    </row>
    <row r="90" spans="1:9">
      <c r="B90" s="13" t="s">
        <v>3798</v>
      </c>
      <c r="C90" s="855">
        <f>(0.425*30.069*C85+0.575*44.0956*C86)/(0.425*30.069+0.575*44.0956)</f>
        <v>0.1054424662459487</v>
      </c>
      <c r="D90" s="13">
        <f>C90*$E$22</f>
        <v>47.82789816314488</v>
      </c>
      <c r="E90" s="231" t="s">
        <v>3803</v>
      </c>
    </row>
    <row r="92" spans="1:9">
      <c r="B92" s="100" t="s">
        <v>1274</v>
      </c>
      <c r="I92" s="211"/>
    </row>
    <row r="93" spans="1:9">
      <c r="B93" s="1092" t="s">
        <v>422</v>
      </c>
      <c r="C93" s="1094"/>
      <c r="D93" s="408" t="s">
        <v>423</v>
      </c>
      <c r="E93" s="408" t="s">
        <v>164</v>
      </c>
      <c r="F93" s="408" t="s">
        <v>239</v>
      </c>
      <c r="I93" s="211"/>
    </row>
    <row r="94" spans="1:9" ht="19.5">
      <c r="B94" s="1087" t="s">
        <v>389</v>
      </c>
      <c r="C94" s="1091"/>
      <c r="D94" s="171"/>
      <c r="E94" s="171">
        <f>0.7809+0.0093</f>
        <v>0.79020000000000001</v>
      </c>
      <c r="F94" s="171" t="s">
        <v>480</v>
      </c>
    </row>
    <row r="95" spans="1:9" ht="19.5">
      <c r="B95" s="1087" t="s">
        <v>390</v>
      </c>
      <c r="C95" s="1091"/>
      <c r="D95" s="171"/>
      <c r="E95" s="171">
        <v>0.20949999999999999</v>
      </c>
      <c r="F95" s="171" t="s">
        <v>480</v>
      </c>
      <c r="I95" s="211"/>
    </row>
    <row r="96" spans="1:9" ht="19.5">
      <c r="B96" s="1087" t="s">
        <v>215</v>
      </c>
      <c r="C96" s="1091"/>
      <c r="E96" s="591">
        <v>2.9999999999999997E-4</v>
      </c>
      <c r="F96" s="592" t="s">
        <v>480</v>
      </c>
      <c r="I96" s="211"/>
    </row>
    <row r="97" spans="2:6" ht="19.5">
      <c r="B97" s="1087" t="s">
        <v>391</v>
      </c>
      <c r="C97" s="1091"/>
      <c r="D97" s="171"/>
      <c r="E97" s="171">
        <v>0</v>
      </c>
      <c r="F97" s="171" t="s">
        <v>480</v>
      </c>
    </row>
    <row r="98" spans="2:6">
      <c r="B98" s="601" t="s">
        <v>1272</v>
      </c>
    </row>
    <row r="99" spans="2:6" ht="14.1" customHeight="1"/>
    <row r="100" spans="2:6" ht="14.1" customHeight="1"/>
    <row r="101" spans="2:6">
      <c r="B101" s="100" t="s">
        <v>1697</v>
      </c>
    </row>
    <row r="102" spans="2:6">
      <c r="B102" s="1092" t="s">
        <v>422</v>
      </c>
      <c r="C102" s="1094"/>
      <c r="D102" s="408" t="s">
        <v>423</v>
      </c>
      <c r="E102" s="408" t="s">
        <v>164</v>
      </c>
      <c r="F102" s="408" t="s">
        <v>239</v>
      </c>
    </row>
    <row r="103" spans="2:6" ht="19.5">
      <c r="B103" s="1087" t="s">
        <v>481</v>
      </c>
      <c r="C103" s="1091"/>
      <c r="D103" s="171" t="s">
        <v>2283</v>
      </c>
      <c r="E103" s="171">
        <v>0.02</v>
      </c>
      <c r="F103" s="171" t="s">
        <v>482</v>
      </c>
    </row>
    <row r="104" spans="2:6" ht="19.5">
      <c r="B104" s="1087" t="s">
        <v>389</v>
      </c>
      <c r="C104" s="1091"/>
      <c r="D104" s="171"/>
      <c r="E104" s="171">
        <f>(1-$E$103)*E94</f>
        <v>0.77439599999999997</v>
      </c>
      <c r="F104" s="171" t="s">
        <v>482</v>
      </c>
    </row>
    <row r="105" spans="2:6" ht="19.5">
      <c r="B105" s="1087" t="s">
        <v>390</v>
      </c>
      <c r="C105" s="1091"/>
      <c r="D105" s="171"/>
      <c r="E105" s="171">
        <f>(1-$E$103)*E95</f>
        <v>0.20530999999999999</v>
      </c>
      <c r="F105" s="171" t="s">
        <v>482</v>
      </c>
    </row>
    <row r="106" spans="2:6" ht="19.5">
      <c r="B106" s="1087" t="s">
        <v>215</v>
      </c>
      <c r="C106" s="1091"/>
      <c r="E106" s="591">
        <f>(1-$E$103)*E96</f>
        <v>2.9399999999999999E-4</v>
      </c>
      <c r="F106" s="592" t="s">
        <v>482</v>
      </c>
    </row>
    <row r="107" spans="2:6" ht="19.5">
      <c r="B107" s="1087" t="s">
        <v>391</v>
      </c>
      <c r="C107" s="1091"/>
      <c r="D107" s="171"/>
      <c r="E107" s="171">
        <f>E103</f>
        <v>0.02</v>
      </c>
      <c r="F107" s="171" t="s">
        <v>482</v>
      </c>
    </row>
    <row r="110" spans="2:6">
      <c r="B110" s="100" t="s">
        <v>1718</v>
      </c>
    </row>
    <row r="111" spans="2:6">
      <c r="B111" s="1092" t="s">
        <v>422</v>
      </c>
      <c r="C111" s="1094"/>
      <c r="D111" s="408" t="s">
        <v>423</v>
      </c>
      <c r="E111" s="408" t="s">
        <v>164</v>
      </c>
      <c r="F111" s="408" t="s">
        <v>239</v>
      </c>
    </row>
    <row r="112" spans="2:6" ht="19.5">
      <c r="B112" s="1087" t="s">
        <v>389</v>
      </c>
      <c r="C112" s="1091"/>
      <c r="D112" s="171"/>
      <c r="E112" s="171">
        <v>28</v>
      </c>
      <c r="F112" s="171" t="s">
        <v>240</v>
      </c>
    </row>
    <row r="113" spans="1:25" ht="19.5">
      <c r="B113" s="1087" t="s">
        <v>390</v>
      </c>
      <c r="C113" s="1091"/>
      <c r="D113" s="171"/>
      <c r="E113" s="171">
        <v>32</v>
      </c>
      <c r="F113" s="171" t="s">
        <v>240</v>
      </c>
    </row>
    <row r="114" spans="1:25" ht="19.5">
      <c r="B114" s="1087" t="s">
        <v>215</v>
      </c>
      <c r="C114" s="1091"/>
      <c r="E114" s="591">
        <v>44</v>
      </c>
      <c r="F114" s="171" t="s">
        <v>240</v>
      </c>
    </row>
    <row r="115" spans="1:25" ht="19.5">
      <c r="B115" s="1087" t="s">
        <v>391</v>
      </c>
      <c r="C115" s="1091"/>
      <c r="D115" s="171"/>
      <c r="E115" s="171">
        <v>18</v>
      </c>
      <c r="F115" s="171" t="s">
        <v>240</v>
      </c>
    </row>
    <row r="116" spans="1:25">
      <c r="B116" s="1087" t="s">
        <v>483</v>
      </c>
      <c r="C116" s="1091"/>
      <c r="D116" s="171"/>
      <c r="E116" s="593">
        <f>SUMPRODUCT(E104:E107,E112:E115)</f>
        <v>28.625943999999997</v>
      </c>
      <c r="F116" s="171" t="s">
        <v>240</v>
      </c>
    </row>
    <row r="117" spans="1:25">
      <c r="B117" s="211" t="s">
        <v>1273</v>
      </c>
    </row>
    <row r="120" spans="1:25">
      <c r="E120" s="594"/>
    </row>
    <row r="121" spans="1:25">
      <c r="E121" s="594"/>
    </row>
    <row r="122" spans="1:25" s="9" customFormat="1" ht="18" customHeight="1">
      <c r="A122" s="9" t="s">
        <v>1275</v>
      </c>
    </row>
    <row r="123" spans="1:25" s="460" customFormat="1"/>
    <row r="124" spans="1:25" s="460" customFormat="1">
      <c r="B124" s="100" t="s">
        <v>1277</v>
      </c>
      <c r="L124" s="102"/>
      <c r="M124" s="102"/>
      <c r="N124" s="102"/>
      <c r="O124" s="102"/>
      <c r="P124" s="102"/>
      <c r="Q124" s="102"/>
      <c r="R124" s="102"/>
      <c r="S124" s="102"/>
      <c r="T124" s="102"/>
      <c r="U124" s="102"/>
      <c r="V124" s="102"/>
      <c r="W124" s="102"/>
      <c r="X124" s="102"/>
      <c r="Y124" s="102"/>
    </row>
    <row r="125" spans="1:25" s="460" customFormat="1">
      <c r="B125" s="1092" t="s">
        <v>422</v>
      </c>
      <c r="C125" s="1093"/>
      <c r="D125" s="1094"/>
      <c r="E125" s="1092" t="s">
        <v>239</v>
      </c>
      <c r="F125" s="1094"/>
      <c r="G125" s="106" t="s">
        <v>1043</v>
      </c>
      <c r="H125" s="106" t="s">
        <v>1044</v>
      </c>
      <c r="I125" s="106" t="s">
        <v>381</v>
      </c>
      <c r="J125" s="106" t="s">
        <v>1045</v>
      </c>
      <c r="L125" s="102"/>
      <c r="M125" s="102"/>
      <c r="N125" s="102"/>
      <c r="O125" s="102"/>
      <c r="P125" s="102"/>
      <c r="Q125" s="102"/>
      <c r="R125" s="102"/>
      <c r="S125" s="102"/>
      <c r="T125" s="102"/>
      <c r="U125" s="102"/>
      <c r="V125" s="102"/>
      <c r="W125" s="102"/>
      <c r="X125" s="102"/>
      <c r="Y125" s="102"/>
    </row>
    <row r="126" spans="1:25" s="460" customFormat="1">
      <c r="B126" s="1114" t="s">
        <v>1048</v>
      </c>
      <c r="C126" s="1115"/>
      <c r="D126" s="1116"/>
      <c r="E126" s="1114" t="s">
        <v>1046</v>
      </c>
      <c r="F126" s="1116"/>
      <c r="G126" s="595">
        <v>931.97</v>
      </c>
      <c r="H126" s="595">
        <v>947.92</v>
      </c>
      <c r="I126" s="595">
        <v>949.99</v>
      </c>
      <c r="J126" s="595">
        <v>1074.08</v>
      </c>
      <c r="L126" s="102"/>
      <c r="M126" s="102"/>
      <c r="N126" s="102"/>
      <c r="O126" s="102"/>
      <c r="P126" s="102"/>
      <c r="Q126" s="102"/>
      <c r="R126" s="102"/>
      <c r="S126" s="102"/>
      <c r="T126" s="102"/>
      <c r="U126" s="102"/>
      <c r="V126" s="102"/>
      <c r="W126" s="102"/>
      <c r="X126" s="102"/>
      <c r="Y126" s="102"/>
    </row>
    <row r="127" spans="1:25" s="460" customFormat="1">
      <c r="B127" s="1114" t="s">
        <v>1051</v>
      </c>
      <c r="C127" s="1115"/>
      <c r="D127" s="1116"/>
      <c r="E127" s="1117" t="s">
        <v>2450</v>
      </c>
      <c r="F127" s="1116"/>
      <c r="G127" s="694">
        <f>0.205347355055416*SUMPRODUCT('Steam Injection'!M374:M377,'Fuel Specs'!Q132:Q135)</f>
        <v>0.22682172644068782</v>
      </c>
      <c r="H127" s="695">
        <f>0.236933006336359*SUMPRODUCT('Steam Injection'!M374:M377,'Fuel Specs'!Q132:Q135)</f>
        <v>0.26171047361916316</v>
      </c>
      <c r="I127" s="597">
        <f>0.280010093479161*SUMPRODUCT('Steam Injection'!M374:M377,'Fuel Specs'!Q132:Q135)</f>
        <v>0.30929238317494734</v>
      </c>
      <c r="J127" s="597">
        <f>0.32422458904191*SUMPRODUCT('Steam Injection'!M374:M377,'Fuel Specs'!Q132:Q135)</f>
        <v>0.35813064658740001</v>
      </c>
      <c r="L127" s="102"/>
      <c r="M127" s="102"/>
      <c r="N127" s="102"/>
      <c r="O127" s="102"/>
      <c r="P127" s="102"/>
      <c r="Q127" s="102"/>
      <c r="R127" s="102"/>
      <c r="S127" s="102"/>
      <c r="T127" s="102"/>
      <c r="U127" s="102"/>
      <c r="V127" s="102"/>
      <c r="W127" s="102"/>
      <c r="X127" s="102"/>
      <c r="Y127" s="102"/>
    </row>
    <row r="128" spans="1:25" s="460" customFormat="1">
      <c r="B128" s="1114" t="s">
        <v>1049</v>
      </c>
      <c r="C128" s="1115"/>
      <c r="D128" s="1116"/>
      <c r="E128" s="1114" t="s">
        <v>1050</v>
      </c>
      <c r="F128" s="1116"/>
      <c r="G128" s="595">
        <v>69.456000000000003</v>
      </c>
      <c r="H128" s="595">
        <v>85.4</v>
      </c>
      <c r="I128" s="595">
        <v>108.017</v>
      </c>
      <c r="J128" s="595">
        <v>155.70099999999999</v>
      </c>
      <c r="L128" s="102"/>
      <c r="M128" s="102"/>
      <c r="N128" s="102"/>
      <c r="O128" s="102"/>
      <c r="P128" s="102"/>
      <c r="Q128" s="102"/>
      <c r="R128" s="102"/>
      <c r="S128" s="102"/>
      <c r="T128" s="102"/>
      <c r="U128" s="102"/>
      <c r="V128" s="102"/>
      <c r="W128" s="102"/>
      <c r="X128" s="102"/>
      <c r="Y128" s="102"/>
    </row>
    <row r="129" spans="1:25" s="460" customFormat="1">
      <c r="B129" s="1114" t="s">
        <v>1052</v>
      </c>
      <c r="C129" s="1115"/>
      <c r="D129" s="1116"/>
      <c r="E129" s="1114" t="s">
        <v>1053</v>
      </c>
      <c r="F129" s="1116"/>
      <c r="G129" s="596">
        <v>4</v>
      </c>
      <c r="H129" s="596">
        <v>3.75</v>
      </c>
      <c r="I129" s="596">
        <v>3.5</v>
      </c>
      <c r="J129" s="596">
        <v>2.8</v>
      </c>
      <c r="L129" s="102"/>
      <c r="M129" s="102"/>
      <c r="N129" s="102"/>
      <c r="O129" s="102"/>
      <c r="P129" s="102"/>
      <c r="Q129" s="102"/>
      <c r="R129" s="102"/>
      <c r="S129" s="102"/>
      <c r="T129" s="102"/>
      <c r="U129" s="102"/>
      <c r="V129" s="102"/>
      <c r="W129" s="102"/>
      <c r="X129" s="102"/>
      <c r="Y129" s="102"/>
    </row>
    <row r="130" spans="1:25" s="460" customFormat="1">
      <c r="B130" s="1114" t="s">
        <v>1110</v>
      </c>
      <c r="C130" s="1115"/>
      <c r="D130" s="1116"/>
      <c r="E130" s="1114" t="s">
        <v>1111</v>
      </c>
      <c r="F130" s="1116"/>
      <c r="G130" s="597">
        <v>4.0621729283865482E-2</v>
      </c>
      <c r="H130" s="597">
        <v>3.6108203807880428E-2</v>
      </c>
      <c r="I130" s="597">
        <v>3.159467833189538E-2</v>
      </c>
      <c r="J130" s="597">
        <v>2.7081152855910322E-2</v>
      </c>
      <c r="M130" s="102"/>
      <c r="N130" s="102"/>
      <c r="O130" s="102"/>
      <c r="P130" s="102"/>
      <c r="Q130" s="102"/>
    </row>
    <row r="131" spans="1:25" s="460" customFormat="1">
      <c r="B131" s="211" t="s">
        <v>1276</v>
      </c>
      <c r="M131" s="102"/>
      <c r="N131" s="102"/>
      <c r="O131" s="102"/>
      <c r="P131" s="102"/>
      <c r="Q131" s="102"/>
    </row>
    <row r="132" spans="1:25" s="460" customFormat="1">
      <c r="B132" s="211" t="s">
        <v>2453</v>
      </c>
      <c r="M132" s="102"/>
      <c r="N132" s="102"/>
      <c r="O132" s="102"/>
      <c r="P132" s="102"/>
      <c r="Q132" s="102"/>
    </row>
    <row r="133" spans="1:25" s="460" customFormat="1">
      <c r="M133" s="102"/>
      <c r="N133" s="102"/>
      <c r="O133" s="102"/>
      <c r="P133" s="102"/>
      <c r="Q133" s="102"/>
    </row>
    <row r="134" spans="1:25" s="9" customFormat="1" ht="18" customHeight="1">
      <c r="A134" s="9" t="s">
        <v>1278</v>
      </c>
    </row>
    <row r="135" spans="1:25" s="102" customFormat="1" ht="18.95" customHeight="1"/>
    <row r="136" spans="1:25" s="460" customFormat="1" ht="19.5">
      <c r="B136" s="100" t="s">
        <v>1279</v>
      </c>
      <c r="C136" s="211"/>
      <c r="D136" s="211"/>
      <c r="E136" s="211"/>
      <c r="F136" s="211"/>
      <c r="G136" s="211"/>
      <c r="H136" s="211"/>
      <c r="I136" s="211"/>
      <c r="J136" s="211"/>
    </row>
    <row r="137" spans="1:25" s="460" customFormat="1">
      <c r="B137" s="106"/>
      <c r="C137" s="106" t="s">
        <v>872</v>
      </c>
      <c r="D137" s="106" t="s">
        <v>908</v>
      </c>
      <c r="E137" s="106" t="s">
        <v>627</v>
      </c>
      <c r="F137" s="106" t="s">
        <v>912</v>
      </c>
      <c r="G137" s="106" t="s">
        <v>487</v>
      </c>
      <c r="H137" s="106" t="s">
        <v>913</v>
      </c>
      <c r="I137" s="106" t="s">
        <v>914</v>
      </c>
      <c r="J137" s="106" t="s">
        <v>915</v>
      </c>
    </row>
    <row r="138" spans="1:25" s="460" customFormat="1">
      <c r="B138" s="13" t="s">
        <v>488</v>
      </c>
      <c r="C138" s="598">
        <v>6.9029999999999996</v>
      </c>
      <c r="D138" s="599">
        <v>6.085</v>
      </c>
      <c r="E138" s="599">
        <v>5.3159999999999998</v>
      </c>
      <c r="F138" s="599">
        <v>6.157</v>
      </c>
      <c r="G138" s="599">
        <v>6.7130000000000001</v>
      </c>
      <c r="H138" s="599">
        <f>C138</f>
        <v>6.9029999999999996</v>
      </c>
      <c r="I138" s="599">
        <v>7.7</v>
      </c>
      <c r="J138" s="599">
        <v>4.75</v>
      </c>
    </row>
    <row r="139" spans="1:25" s="460" customFormat="1">
      <c r="B139" s="13" t="s">
        <v>489</v>
      </c>
      <c r="C139" s="598">
        <v>-2.085E-4</v>
      </c>
      <c r="D139" s="599">
        <v>2.0170000000000001E-3</v>
      </c>
      <c r="E139" s="599">
        <v>7.9360999999999998E-3</v>
      </c>
      <c r="F139" s="599">
        <v>7.6889999999999997E-3</v>
      </c>
      <c r="G139" s="599">
        <v>2.609E-4</v>
      </c>
      <c r="H139" s="670">
        <f>C139</f>
        <v>-2.085E-4</v>
      </c>
      <c r="I139" s="599">
        <v>2.5520000000000002E-4</v>
      </c>
      <c r="J139" s="599">
        <v>6.6600000000000001E-3</v>
      </c>
    </row>
    <row r="140" spans="1:25" s="460" customFormat="1">
      <c r="B140" s="13" t="s">
        <v>134</v>
      </c>
      <c r="C140" s="598">
        <v>5.9569999999999997E-7</v>
      </c>
      <c r="D140" s="599">
        <v>-5.2750000000000003E-7</v>
      </c>
      <c r="E140" s="599">
        <v>-2.5809999999999999E-6</v>
      </c>
      <c r="F140" s="599">
        <v>-2.8100000000000002E-6</v>
      </c>
      <c r="G140" s="599">
        <v>3.5400000000000002E-7</v>
      </c>
      <c r="H140" s="599">
        <f t="shared" ref="H140:H141" si="1">C140</f>
        <v>5.9569999999999997E-7</v>
      </c>
      <c r="I140" s="599">
        <v>7.7810000000000001E-7</v>
      </c>
      <c r="J140" s="599">
        <v>9.3519999999999996E-7</v>
      </c>
    </row>
    <row r="141" spans="1:25" s="460" customFormat="1">
      <c r="B141" s="13" t="s">
        <v>136</v>
      </c>
      <c r="C141" s="598">
        <v>-1.1760000000000001E-10</v>
      </c>
      <c r="D141" s="599">
        <v>5.3720000000000003E-11</v>
      </c>
      <c r="E141" s="599">
        <v>3.059E-10</v>
      </c>
      <c r="F141" s="599">
        <v>3.5269999999999998E-10</v>
      </c>
      <c r="G141" s="599">
        <v>-8.0519999999999997E-11</v>
      </c>
      <c r="H141" s="599">
        <f t="shared" si="1"/>
        <v>-1.1760000000000001E-10</v>
      </c>
      <c r="I141" s="599">
        <v>-1.4719999999999999E-10</v>
      </c>
      <c r="J141" s="599">
        <v>-4.5099999999999999E-10</v>
      </c>
    </row>
    <row r="142" spans="1:25" s="460" customFormat="1" ht="20.25">
      <c r="B142" s="211" t="s">
        <v>1362</v>
      </c>
      <c r="C142" s="211"/>
      <c r="D142" s="211"/>
      <c r="E142" s="211" t="s">
        <v>926</v>
      </c>
      <c r="F142" s="211" t="s">
        <v>1768</v>
      </c>
      <c r="G142" s="211"/>
      <c r="H142" s="211" t="s">
        <v>484</v>
      </c>
      <c r="I142" s="211" t="s">
        <v>485</v>
      </c>
      <c r="J142" s="211"/>
    </row>
    <row r="143" spans="1:25" s="460" customFormat="1">
      <c r="B143" s="211"/>
      <c r="C143" s="211"/>
      <c r="D143" s="211"/>
      <c r="E143" s="211" t="s">
        <v>486</v>
      </c>
      <c r="F143" s="211"/>
      <c r="G143" s="211"/>
      <c r="H143" s="211"/>
      <c r="I143" s="211"/>
      <c r="J143" s="211"/>
    </row>
    <row r="144" spans="1:25" s="460" customFormat="1"/>
    <row r="145" spans="2:12" s="460" customFormat="1">
      <c r="B145" s="211" t="s">
        <v>490</v>
      </c>
      <c r="C145" s="211"/>
      <c r="D145" s="211"/>
      <c r="E145" s="211" t="s">
        <v>491</v>
      </c>
      <c r="F145" s="211"/>
    </row>
    <row r="146" spans="2:12" s="460" customFormat="1">
      <c r="B146" s="211" t="s">
        <v>492</v>
      </c>
      <c r="C146" s="211"/>
      <c r="D146" s="211"/>
      <c r="E146" s="211" t="s">
        <v>493</v>
      </c>
      <c r="F146" s="211"/>
    </row>
    <row r="147" spans="2:12" s="460" customFormat="1">
      <c r="B147" s="211"/>
      <c r="C147" s="211"/>
      <c r="D147" s="211"/>
      <c r="E147" s="211" t="s">
        <v>494</v>
      </c>
      <c r="F147" s="211"/>
    </row>
    <row r="148" spans="2:12" s="460" customFormat="1" ht="18">
      <c r="B148" s="211"/>
      <c r="C148" s="211"/>
      <c r="D148" s="211"/>
      <c r="E148" s="211" t="s">
        <v>927</v>
      </c>
      <c r="F148" s="211"/>
    </row>
    <row r="149" spans="2:12" s="460" customFormat="1">
      <c r="B149" s="211"/>
      <c r="C149" s="211"/>
      <c r="D149" s="211"/>
      <c r="E149" s="211"/>
      <c r="F149" s="211"/>
      <c r="J149" s="102"/>
      <c r="K149" s="102"/>
      <c r="L149" s="102"/>
    </row>
    <row r="150" spans="2:12" s="460" customFormat="1">
      <c r="B150" s="211" t="s">
        <v>495</v>
      </c>
      <c r="C150" s="211"/>
      <c r="D150" s="211"/>
      <c r="E150" s="211" t="s">
        <v>1112</v>
      </c>
      <c r="F150" s="211"/>
      <c r="J150" s="102"/>
      <c r="K150" s="102"/>
      <c r="L150" s="102"/>
    </row>
    <row r="151" spans="2:12" s="460" customFormat="1">
      <c r="B151" s="211" t="s">
        <v>496</v>
      </c>
      <c r="C151" s="211"/>
      <c r="D151" s="211"/>
      <c r="E151" s="211" t="s">
        <v>1113</v>
      </c>
      <c r="F151" s="211"/>
      <c r="J151" s="102"/>
      <c r="K151" s="102"/>
      <c r="L151" s="102"/>
    </row>
    <row r="152" spans="2:12" s="460" customFormat="1">
      <c r="B152" s="211" t="s">
        <v>497</v>
      </c>
      <c r="C152" s="211"/>
      <c r="D152" s="211"/>
      <c r="E152" s="211"/>
      <c r="F152" s="211"/>
      <c r="J152" s="102"/>
      <c r="K152" s="102"/>
      <c r="L152" s="102"/>
    </row>
    <row r="153" spans="2:12" s="460" customFormat="1">
      <c r="B153" s="211"/>
      <c r="C153" s="211"/>
      <c r="D153" s="211"/>
      <c r="E153" s="211"/>
      <c r="F153" s="211"/>
    </row>
    <row r="154" spans="2:12" s="460" customFormat="1" ht="19.5">
      <c r="B154" s="211" t="s">
        <v>928</v>
      </c>
      <c r="C154" s="211"/>
      <c r="D154" s="211"/>
      <c r="E154" s="211">
        <v>540</v>
      </c>
      <c r="F154" s="211" t="s">
        <v>498</v>
      </c>
    </row>
    <row r="155" spans="2:12" s="460" customFormat="1">
      <c r="B155" s="211"/>
      <c r="C155" s="211"/>
      <c r="D155" s="211"/>
      <c r="E155" s="211"/>
      <c r="F155" s="211"/>
    </row>
    <row r="156" spans="2:12" s="460" customFormat="1">
      <c r="B156" s="100" t="s">
        <v>1281</v>
      </c>
    </row>
    <row r="157" spans="2:12" s="460" customFormat="1">
      <c r="B157" s="106"/>
      <c r="C157" s="106" t="s">
        <v>872</v>
      </c>
      <c r="D157" s="106" t="s">
        <v>908</v>
      </c>
      <c r="E157" s="106" t="s">
        <v>627</v>
      </c>
      <c r="F157" s="106" t="s">
        <v>912</v>
      </c>
      <c r="G157" s="106" t="s">
        <v>487</v>
      </c>
      <c r="H157" s="106" t="s">
        <v>913</v>
      </c>
      <c r="I157" s="106" t="s">
        <v>914</v>
      </c>
      <c r="J157" s="106" t="s">
        <v>915</v>
      </c>
    </row>
    <row r="158" spans="2:12" s="460" customFormat="1">
      <c r="B158" s="13" t="s">
        <v>499</v>
      </c>
      <c r="C158" s="13">
        <f t="shared" ref="C158:J158" si="2">-(C138*$E$154+1/2*C139*$E$154^2+C140/3*$E$154^3+C141/4*$E$154^4)</f>
        <v>-3725.9879031359997</v>
      </c>
      <c r="D158" s="13">
        <f t="shared" si="2"/>
        <v>-3553.4331404207996</v>
      </c>
      <c r="E158" s="13">
        <f t="shared" si="2"/>
        <v>-3898.754564076</v>
      </c>
      <c r="F158" s="13">
        <f t="shared" si="2"/>
        <v>-4305.8424896279994</v>
      </c>
      <c r="G158" s="13">
        <f t="shared" si="2"/>
        <v>-3679.9283068271998</v>
      </c>
      <c r="H158" s="13">
        <f t="shared" si="2"/>
        <v>-3725.9879031359997</v>
      </c>
      <c r="I158" s="13">
        <f t="shared" si="2"/>
        <v>-4232.9199481920004</v>
      </c>
      <c r="J158" s="13">
        <f t="shared" si="2"/>
        <v>-3575.5275819600001</v>
      </c>
    </row>
    <row r="159" spans="2:12" s="460" customFormat="1"/>
    <row r="160" spans="2:12" s="460" customFormat="1"/>
    <row r="161" spans="2:11" s="460" customFormat="1"/>
    <row r="162" spans="2:11" s="460" customFormat="1">
      <c r="B162" s="100" t="s">
        <v>1280</v>
      </c>
    </row>
    <row r="163" spans="2:11" s="460" customFormat="1">
      <c r="B163" s="1092" t="s">
        <v>558</v>
      </c>
      <c r="C163" s="1093"/>
      <c r="D163" s="1094"/>
      <c r="E163" s="106" t="s">
        <v>164</v>
      </c>
      <c r="F163" s="106" t="s">
        <v>239</v>
      </c>
      <c r="G163" s="106"/>
      <c r="H163" s="1092" t="s">
        <v>348</v>
      </c>
      <c r="I163" s="1093"/>
      <c r="J163" s="1093"/>
      <c r="K163" s="1094"/>
    </row>
    <row r="164" spans="2:11" s="460" customFormat="1">
      <c r="B164" s="1111" t="s">
        <v>1363</v>
      </c>
      <c r="C164" s="1118"/>
      <c r="D164" s="1119"/>
      <c r="E164" s="13">
        <f>'Steam Injection'!M82</f>
        <v>80.33</v>
      </c>
      <c r="F164" s="13" t="s">
        <v>383</v>
      </c>
      <c r="G164" s="13"/>
      <c r="H164" s="1111" t="s">
        <v>1364</v>
      </c>
      <c r="I164" s="1112"/>
      <c r="J164" s="1112"/>
      <c r="K164" s="1113"/>
    </row>
    <row r="165" spans="2:11" s="460" customFormat="1">
      <c r="B165" s="13" t="s">
        <v>1363</v>
      </c>
      <c r="C165" s="13"/>
      <c r="D165" s="13"/>
      <c r="E165" s="13">
        <f>E164+459.67</f>
        <v>540</v>
      </c>
      <c r="F165" s="13" t="s">
        <v>498</v>
      </c>
      <c r="G165" s="13"/>
      <c r="H165" s="1111"/>
      <c r="I165" s="1112"/>
      <c r="J165" s="1112"/>
      <c r="K165" s="1113"/>
    </row>
    <row r="166" spans="2:11" s="460" customFormat="1">
      <c r="B166" s="106" t="s">
        <v>1282</v>
      </c>
      <c r="C166" s="106" t="s">
        <v>872</v>
      </c>
      <c r="D166" s="106" t="s">
        <v>908</v>
      </c>
      <c r="E166" s="106" t="s">
        <v>627</v>
      </c>
      <c r="F166" s="106" t="s">
        <v>912</v>
      </c>
      <c r="G166" s="106" t="s">
        <v>487</v>
      </c>
      <c r="H166" s="106" t="s">
        <v>913</v>
      </c>
      <c r="I166" s="106" t="s">
        <v>914</v>
      </c>
      <c r="J166" s="106" t="s">
        <v>915</v>
      </c>
      <c r="K166" s="106" t="s">
        <v>916</v>
      </c>
    </row>
    <row r="167" spans="2:11" s="460" customFormat="1">
      <c r="B167" s="13" t="s">
        <v>1769</v>
      </c>
      <c r="C167" s="13">
        <f t="shared" ref="C167:J167" si="3">(C138*$E$165+1/2*C139*$E$165^2+C140/3*$E$165^3+C141/4*$E$165^4)+C158</f>
        <v>0</v>
      </c>
      <c r="D167" s="13">
        <f t="shared" si="3"/>
        <v>0</v>
      </c>
      <c r="E167" s="13">
        <f t="shared" si="3"/>
        <v>0</v>
      </c>
      <c r="F167" s="13">
        <f t="shared" si="3"/>
        <v>0</v>
      </c>
      <c r="G167" s="13">
        <f t="shared" si="3"/>
        <v>0</v>
      </c>
      <c r="H167" s="13">
        <f t="shared" si="3"/>
        <v>0</v>
      </c>
      <c r="I167" s="13">
        <f t="shared" si="3"/>
        <v>0</v>
      </c>
      <c r="J167" s="13">
        <f t="shared" si="3"/>
        <v>0</v>
      </c>
      <c r="K167" s="13">
        <f>K168*453.592</f>
        <v>19353.258666666665</v>
      </c>
    </row>
    <row r="168" spans="2:11" s="460" customFormat="1">
      <c r="B168" s="13" t="s">
        <v>500</v>
      </c>
      <c r="C168" s="400">
        <f>C167/453.592</f>
        <v>0</v>
      </c>
      <c r="D168" s="400">
        <f t="shared" ref="D168:I168" si="4">D167/453.592</f>
        <v>0</v>
      </c>
      <c r="E168" s="400">
        <f t="shared" si="4"/>
        <v>0</v>
      </c>
      <c r="F168" s="400">
        <f t="shared" si="4"/>
        <v>0</v>
      </c>
      <c r="G168" s="400">
        <f t="shared" si="4"/>
        <v>0</v>
      </c>
      <c r="H168" s="400">
        <f t="shared" si="4"/>
        <v>0</v>
      </c>
      <c r="I168" s="400">
        <f t="shared" si="4"/>
        <v>0</v>
      </c>
      <c r="J168" s="400">
        <f>J167/453.592</f>
        <v>0</v>
      </c>
      <c r="K168" s="13">
        <f>E208</f>
        <v>42.666666666666664</v>
      </c>
    </row>
    <row r="169" spans="2:11" s="460" customFormat="1">
      <c r="C169" s="463"/>
      <c r="D169" s="463"/>
      <c r="E169" s="463"/>
      <c r="F169" s="463"/>
      <c r="G169" s="463"/>
    </row>
    <row r="170" spans="2:11" s="460" customFormat="1">
      <c r="D170" s="463"/>
      <c r="E170" s="463"/>
      <c r="F170" s="463"/>
      <c r="G170" s="463"/>
    </row>
    <row r="171" spans="2:11" s="460" customFormat="1">
      <c r="B171" s="100" t="s">
        <v>1283</v>
      </c>
      <c r="C171" s="463"/>
      <c r="D171" s="463"/>
      <c r="E171" s="463"/>
      <c r="F171" s="463"/>
      <c r="G171" s="463"/>
    </row>
    <row r="172" spans="2:11" s="460" customFormat="1">
      <c r="B172" s="1092" t="s">
        <v>558</v>
      </c>
      <c r="C172" s="1093"/>
      <c r="D172" s="1094"/>
      <c r="E172" s="106" t="s">
        <v>164</v>
      </c>
      <c r="F172" s="106" t="s">
        <v>239</v>
      </c>
      <c r="G172" s="106"/>
      <c r="H172" s="1092" t="s">
        <v>348</v>
      </c>
      <c r="I172" s="1093"/>
      <c r="J172" s="1093"/>
      <c r="K172" s="1094"/>
    </row>
    <row r="173" spans="2:11" s="460" customFormat="1">
      <c r="B173" s="1111" t="s">
        <v>401</v>
      </c>
      <c r="C173" s="1118"/>
      <c r="D173" s="1119"/>
      <c r="E173" s="13">
        <f>'Steam Injection'!M84</f>
        <v>350</v>
      </c>
      <c r="F173" s="13" t="s">
        <v>383</v>
      </c>
      <c r="G173" s="13"/>
      <c r="H173" s="1111" t="s">
        <v>1364</v>
      </c>
      <c r="I173" s="1112"/>
      <c r="J173" s="1112"/>
      <c r="K173" s="1113"/>
    </row>
    <row r="174" spans="2:11" s="460" customFormat="1">
      <c r="B174" s="13" t="s">
        <v>401</v>
      </c>
      <c r="C174" s="13"/>
      <c r="D174" s="13"/>
      <c r="E174" s="13">
        <f>E173+459.67</f>
        <v>809.67000000000007</v>
      </c>
      <c r="F174" s="13" t="s">
        <v>498</v>
      </c>
      <c r="G174" s="13"/>
      <c r="H174" s="1111"/>
      <c r="I174" s="1112"/>
      <c r="J174" s="1112"/>
      <c r="K174" s="1113"/>
    </row>
    <row r="175" spans="2:11" s="460" customFormat="1">
      <c r="B175" s="106"/>
      <c r="C175" s="106" t="s">
        <v>872</v>
      </c>
      <c r="D175" s="106" t="s">
        <v>908</v>
      </c>
      <c r="E175" s="106" t="s">
        <v>627</v>
      </c>
      <c r="F175" s="106" t="s">
        <v>912</v>
      </c>
      <c r="G175" s="106" t="s">
        <v>487</v>
      </c>
      <c r="H175" s="106" t="s">
        <v>913</v>
      </c>
      <c r="I175" s="106" t="s">
        <v>914</v>
      </c>
      <c r="J175" s="106" t="s">
        <v>915</v>
      </c>
      <c r="K175" s="106" t="s">
        <v>916</v>
      </c>
    </row>
    <row r="176" spans="2:11" s="460" customFormat="1">
      <c r="B176" s="13" t="s">
        <v>1769</v>
      </c>
      <c r="C176" s="13">
        <f t="shared" ref="C176:J176" si="5">(C138*$E$174+1/2*C139*$E$174^2+C140/3*$E$174^3+C141/4*$E$174^4)+C158</f>
        <v>1887.5838217941364</v>
      </c>
      <c r="D176" s="13">
        <f t="shared" si="5"/>
        <v>1946.9875061010707</v>
      </c>
      <c r="E176" s="13">
        <f t="shared" si="5"/>
        <v>2582.9764242168603</v>
      </c>
      <c r="F176" s="13">
        <f t="shared" si="5"/>
        <v>2740.3370121167227</v>
      </c>
      <c r="G176" s="13">
        <f t="shared" si="5"/>
        <v>1894.8871551016246</v>
      </c>
      <c r="H176" s="13">
        <f t="shared" si="5"/>
        <v>1887.5838217941364</v>
      </c>
      <c r="I176" s="13">
        <f t="shared" si="5"/>
        <v>2207.0434974827394</v>
      </c>
      <c r="J176" s="13">
        <f t="shared" si="5"/>
        <v>2570.4474047154672</v>
      </c>
      <c r="K176" s="13">
        <f>K167</f>
        <v>19353.258666666665</v>
      </c>
    </row>
    <row r="177" spans="2:11" s="460" customFormat="1">
      <c r="B177" s="13" t="s">
        <v>500</v>
      </c>
      <c r="C177" s="13">
        <f>C176/453.592</f>
        <v>4.1614133886711766</v>
      </c>
      <c r="D177" s="13">
        <f t="shared" ref="D177:J177" si="6">D176/453.592</f>
        <v>4.2923762017431324</v>
      </c>
      <c r="E177" s="13">
        <f t="shared" si="6"/>
        <v>5.6944929015874628</v>
      </c>
      <c r="F177" s="13">
        <f t="shared" si="6"/>
        <v>6.0414138964459756</v>
      </c>
      <c r="G177" s="13">
        <f t="shared" si="6"/>
        <v>4.1775144956296071</v>
      </c>
      <c r="H177" s="13">
        <f t="shared" si="6"/>
        <v>4.1614133886711766</v>
      </c>
      <c r="I177" s="13">
        <f t="shared" si="6"/>
        <v>4.8657019909582608</v>
      </c>
      <c r="J177" s="13">
        <f t="shared" si="6"/>
        <v>5.6668711192337327</v>
      </c>
      <c r="K177" s="13">
        <f>K168</f>
        <v>42.666666666666664</v>
      </c>
    </row>
    <row r="178" spans="2:11" s="460" customFormat="1">
      <c r="B178" s="502"/>
      <c r="C178" s="600"/>
      <c r="D178" s="600"/>
      <c r="E178" s="600"/>
      <c r="F178" s="600"/>
      <c r="G178" s="600"/>
      <c r="H178" s="600"/>
      <c r="I178" s="600"/>
      <c r="J178" s="600"/>
      <c r="K178" s="499"/>
    </row>
    <row r="179" spans="2:11" s="460" customFormat="1">
      <c r="B179" s="502"/>
      <c r="C179" s="600"/>
      <c r="D179" s="600"/>
      <c r="E179" s="600"/>
      <c r="F179" s="600"/>
      <c r="G179" s="600"/>
      <c r="H179" s="600"/>
      <c r="I179" s="600"/>
      <c r="J179" s="600"/>
      <c r="K179" s="499"/>
    </row>
    <row r="180" spans="2:11" s="460" customFormat="1">
      <c r="B180" s="100" t="s">
        <v>1719</v>
      </c>
    </row>
    <row r="181" spans="2:11" s="460" customFormat="1">
      <c r="B181" s="1092" t="s">
        <v>558</v>
      </c>
      <c r="C181" s="1093"/>
      <c r="D181" s="1094"/>
      <c r="E181" s="106" t="s">
        <v>164</v>
      </c>
      <c r="F181" s="106" t="s">
        <v>239</v>
      </c>
      <c r="G181" s="106"/>
      <c r="H181" s="1092" t="s">
        <v>348</v>
      </c>
      <c r="I181" s="1093"/>
      <c r="J181" s="1093"/>
      <c r="K181" s="1094"/>
    </row>
    <row r="182" spans="2:11" s="460" customFormat="1">
      <c r="B182" s="1111" t="s">
        <v>501</v>
      </c>
      <c r="C182" s="1118"/>
      <c r="D182" s="1119"/>
      <c r="E182" s="13">
        <f>'Steam Injection'!M412</f>
        <v>949.99</v>
      </c>
      <c r="F182" s="13" t="s">
        <v>383</v>
      </c>
      <c r="G182" s="13"/>
      <c r="H182" s="1111" t="s">
        <v>1364</v>
      </c>
      <c r="I182" s="1112"/>
      <c r="J182" s="1112"/>
      <c r="K182" s="1113"/>
    </row>
    <row r="183" spans="2:11" s="460" customFormat="1">
      <c r="B183" s="13" t="s">
        <v>501</v>
      </c>
      <c r="C183" s="13"/>
      <c r="D183" s="13"/>
      <c r="E183" s="13">
        <f>E182+459.67</f>
        <v>1409.66</v>
      </c>
      <c r="F183" s="13" t="s">
        <v>498</v>
      </c>
      <c r="G183" s="13"/>
      <c r="H183" s="1111"/>
      <c r="I183" s="1112"/>
      <c r="J183" s="1112"/>
      <c r="K183" s="1113"/>
    </row>
    <row r="184" spans="2:11" s="460" customFormat="1">
      <c r="B184" s="106"/>
      <c r="C184" s="106" t="s">
        <v>872</v>
      </c>
      <c r="D184" s="106" t="s">
        <v>908</v>
      </c>
      <c r="E184" s="106" t="s">
        <v>627</v>
      </c>
      <c r="F184" s="106" t="s">
        <v>912</v>
      </c>
      <c r="G184" s="106" t="s">
        <v>487</v>
      </c>
      <c r="H184" s="106" t="s">
        <v>913</v>
      </c>
      <c r="I184" s="106" t="s">
        <v>914</v>
      </c>
      <c r="J184" s="106" t="s">
        <v>915</v>
      </c>
      <c r="K184" s="106" t="s">
        <v>916</v>
      </c>
    </row>
    <row r="185" spans="2:11" s="460" customFormat="1">
      <c r="B185" s="13" t="s">
        <v>1769</v>
      </c>
      <c r="C185" s="13">
        <f t="shared" ref="C185:J185" si="7">((C138*$E$183+1/2*C139*$E$183^2+C140/3*$E$183^3+C141/4*$E$183^4)+C158)</f>
        <v>6237.8665960237777</v>
      </c>
      <c r="D185" s="13">
        <f t="shared" si="7"/>
        <v>6588.8682156909717</v>
      </c>
      <c r="E185" s="13">
        <f t="shared" si="7"/>
        <v>9372.0930161650995</v>
      </c>
      <c r="F185" s="13">
        <f t="shared" si="7"/>
        <v>9737.3935423291605</v>
      </c>
      <c r="G185" s="13">
        <f t="shared" si="7"/>
        <v>6293.3947586304148</v>
      </c>
      <c r="H185" s="13">
        <f t="shared" si="7"/>
        <v>6237.8665960237777</v>
      </c>
      <c r="I185" s="13">
        <f t="shared" si="7"/>
        <v>7456.2442510077017</v>
      </c>
      <c r="J185" s="13">
        <f t="shared" si="7"/>
        <v>10165.544049558262</v>
      </c>
      <c r="K185" s="13">
        <f>K176</f>
        <v>19353.258666666665</v>
      </c>
    </row>
    <row r="186" spans="2:11" s="460" customFormat="1">
      <c r="B186" s="13" t="s">
        <v>500</v>
      </c>
      <c r="C186" s="13">
        <f>C185/453.592</f>
        <v>13.752153027442676</v>
      </c>
      <c r="D186" s="13">
        <f t="shared" ref="D186:J186" si="8">D185/453.592</f>
        <v>14.52597976968503</v>
      </c>
      <c r="E186" s="13">
        <f t="shared" si="8"/>
        <v>20.661945131671413</v>
      </c>
      <c r="F186" s="13">
        <f t="shared" si="8"/>
        <v>21.467295592358685</v>
      </c>
      <c r="G186" s="13">
        <f t="shared" si="8"/>
        <v>13.874571770733203</v>
      </c>
      <c r="H186" s="13">
        <f t="shared" si="8"/>
        <v>13.752153027442676</v>
      </c>
      <c r="I186" s="13">
        <f t="shared" si="8"/>
        <v>16.43821815862648</v>
      </c>
      <c r="J186" s="13">
        <f t="shared" si="8"/>
        <v>22.411206656110036</v>
      </c>
      <c r="K186" s="13">
        <f>K168</f>
        <v>42.666666666666664</v>
      </c>
    </row>
    <row r="187" spans="2:11" s="460" customFormat="1"/>
    <row r="188" spans="2:11" s="460" customFormat="1"/>
    <row r="189" spans="2:11" s="460" customFormat="1">
      <c r="B189" s="100" t="s">
        <v>1284</v>
      </c>
    </row>
    <row r="190" spans="2:11" s="460" customFormat="1">
      <c r="B190" s="1092" t="s">
        <v>558</v>
      </c>
      <c r="C190" s="1093"/>
      <c r="D190" s="1094"/>
      <c r="E190" s="106" t="s">
        <v>164</v>
      </c>
      <c r="F190" s="106" t="s">
        <v>239</v>
      </c>
      <c r="G190" s="106"/>
      <c r="H190" s="1092" t="s">
        <v>348</v>
      </c>
      <c r="I190" s="1093"/>
      <c r="J190" s="1093"/>
      <c r="K190" s="1094"/>
    </row>
    <row r="191" spans="2:11" s="460" customFormat="1">
      <c r="B191" s="1111" t="s">
        <v>418</v>
      </c>
      <c r="C191" s="1118"/>
      <c r="D191" s="1119"/>
      <c r="E191" s="13">
        <f>'Steam Injection'!M304</f>
        <v>350</v>
      </c>
      <c r="F191" s="13" t="s">
        <v>383</v>
      </c>
      <c r="G191" s="13"/>
      <c r="H191" s="1111" t="s">
        <v>1364</v>
      </c>
      <c r="I191" s="1112"/>
      <c r="J191" s="1112"/>
      <c r="K191" s="1113"/>
    </row>
    <row r="192" spans="2:11" s="460" customFormat="1">
      <c r="B192" s="13" t="s">
        <v>418</v>
      </c>
      <c r="C192" s="13"/>
      <c r="D192" s="13" t="s">
        <v>477</v>
      </c>
      <c r="E192" s="13">
        <f>E191+459.67</f>
        <v>809.67000000000007</v>
      </c>
      <c r="F192" s="13" t="s">
        <v>498</v>
      </c>
      <c r="G192" s="13"/>
      <c r="H192" s="1111"/>
      <c r="I192" s="1112"/>
      <c r="J192" s="1112"/>
      <c r="K192" s="1113"/>
    </row>
    <row r="193" spans="1:11" s="460" customFormat="1">
      <c r="B193" s="106"/>
      <c r="C193" s="106" t="s">
        <v>872</v>
      </c>
      <c r="D193" s="106" t="s">
        <v>908</v>
      </c>
      <c r="E193" s="106" t="s">
        <v>627</v>
      </c>
      <c r="F193" s="106" t="s">
        <v>912</v>
      </c>
      <c r="G193" s="106" t="s">
        <v>487</v>
      </c>
      <c r="H193" s="106" t="s">
        <v>913</v>
      </c>
      <c r="I193" s="106" t="s">
        <v>914</v>
      </c>
      <c r="J193" s="106" t="s">
        <v>915</v>
      </c>
      <c r="K193" s="106" t="s">
        <v>916</v>
      </c>
    </row>
    <row r="194" spans="1:11" s="460" customFormat="1">
      <c r="B194" s="13" t="s">
        <v>1769</v>
      </c>
      <c r="C194" s="13">
        <f t="shared" ref="C194:J194" si="9">(C138*$E$192+1/2*C139*$E$192^2+C140/3*$E$192^3+C141/4*$E$192^4)+C158</f>
        <v>1887.5838217941364</v>
      </c>
      <c r="D194" s="13">
        <f t="shared" si="9"/>
        <v>1946.9875061010707</v>
      </c>
      <c r="E194" s="13">
        <f t="shared" si="9"/>
        <v>2582.9764242168603</v>
      </c>
      <c r="F194" s="13">
        <f t="shared" si="9"/>
        <v>2740.3370121167227</v>
      </c>
      <c r="G194" s="13">
        <f t="shared" si="9"/>
        <v>1894.8871551016246</v>
      </c>
      <c r="H194" s="13">
        <f t="shared" si="9"/>
        <v>1887.5838217941364</v>
      </c>
      <c r="I194" s="13">
        <f t="shared" si="9"/>
        <v>2207.0434974827394</v>
      </c>
      <c r="J194" s="13">
        <f t="shared" si="9"/>
        <v>2570.4474047154672</v>
      </c>
      <c r="K194" s="13">
        <f>K167</f>
        <v>19353.258666666665</v>
      </c>
    </row>
    <row r="195" spans="1:11" s="460" customFormat="1">
      <c r="B195" s="13" t="s">
        <v>500</v>
      </c>
      <c r="C195" s="13">
        <f>C194/453.592</f>
        <v>4.1614133886711766</v>
      </c>
      <c r="D195" s="13">
        <f t="shared" ref="D195:J195" si="10">D194/453.592</f>
        <v>4.2923762017431324</v>
      </c>
      <c r="E195" s="13">
        <f t="shared" si="10"/>
        <v>5.6944929015874628</v>
      </c>
      <c r="F195" s="13">
        <f t="shared" si="10"/>
        <v>6.0414138964459756</v>
      </c>
      <c r="G195" s="13">
        <f t="shared" si="10"/>
        <v>4.1775144956296071</v>
      </c>
      <c r="H195" s="13">
        <f t="shared" si="10"/>
        <v>4.1614133886711766</v>
      </c>
      <c r="I195" s="13">
        <f t="shared" si="10"/>
        <v>4.8657019909582608</v>
      </c>
      <c r="J195" s="13">
        <f t="shared" si="10"/>
        <v>5.6668711192337327</v>
      </c>
      <c r="K195" s="13">
        <f>K168</f>
        <v>42.666666666666664</v>
      </c>
    </row>
    <row r="196" spans="1:11" s="460" customFormat="1"/>
    <row r="197" spans="1:11" s="460" customFormat="1"/>
    <row r="198" spans="1:11" s="460" customFormat="1"/>
    <row r="199" spans="1:11" s="9" customFormat="1" ht="18" customHeight="1">
      <c r="A199" s="9" t="s">
        <v>1285</v>
      </c>
    </row>
    <row r="200" spans="1:11" s="102" customFormat="1" ht="18" customHeight="1"/>
    <row r="201" spans="1:11" s="102" customFormat="1" ht="18" customHeight="1">
      <c r="B201" s="100" t="s">
        <v>1286</v>
      </c>
    </row>
    <row r="202" spans="1:11" s="102" customFormat="1" ht="18.95" customHeight="1">
      <c r="B202" s="1092" t="s">
        <v>422</v>
      </c>
      <c r="C202" s="1094"/>
      <c r="D202" s="408" t="s">
        <v>423</v>
      </c>
      <c r="E202" s="408" t="s">
        <v>164</v>
      </c>
      <c r="F202" s="408" t="s">
        <v>239</v>
      </c>
      <c r="G202" s="408" t="s">
        <v>348</v>
      </c>
    </row>
    <row r="203" spans="1:11">
      <c r="B203" s="1087" t="s">
        <v>471</v>
      </c>
      <c r="C203" s="1091"/>
      <c r="D203" s="171"/>
      <c r="E203" s="171">
        <v>8.3436000000000003</v>
      </c>
      <c r="F203" s="171" t="s">
        <v>472</v>
      </c>
      <c r="G203" s="171" t="s">
        <v>473</v>
      </c>
      <c r="I203" s="601"/>
    </row>
    <row r="204" spans="1:11">
      <c r="B204" s="591"/>
      <c r="C204" s="602"/>
      <c r="D204" s="171"/>
      <c r="E204" s="171">
        <f>E203*42</f>
        <v>350.43119999999999</v>
      </c>
      <c r="F204" s="171" t="s">
        <v>384</v>
      </c>
      <c r="G204" s="171" t="s">
        <v>473</v>
      </c>
      <c r="I204" s="211"/>
    </row>
    <row r="205" spans="1:11">
      <c r="B205" s="591"/>
      <c r="C205" s="602"/>
      <c r="D205" s="171"/>
      <c r="E205" s="171">
        <f>E204/E35</f>
        <v>62.414460384499726</v>
      </c>
      <c r="F205" s="171" t="s">
        <v>596</v>
      </c>
      <c r="G205" s="171" t="s">
        <v>473</v>
      </c>
      <c r="I205" s="211"/>
    </row>
    <row r="206" spans="1:11" ht="19.5">
      <c r="B206" s="1087" t="s">
        <v>474</v>
      </c>
      <c r="C206" s="1091"/>
      <c r="E206" s="591">
        <v>1075.2</v>
      </c>
      <c r="F206" s="592" t="s">
        <v>1783</v>
      </c>
      <c r="G206" s="592" t="s">
        <v>475</v>
      </c>
    </row>
    <row r="207" spans="1:11">
      <c r="B207" s="591"/>
      <c r="C207" s="602"/>
      <c r="D207" s="171" t="s">
        <v>477</v>
      </c>
      <c r="E207" s="171">
        <f>E206/453.6</f>
        <v>2.3703703703703702</v>
      </c>
      <c r="F207" s="171" t="s">
        <v>478</v>
      </c>
      <c r="G207" s="171"/>
      <c r="H207" s="102"/>
      <c r="I207" s="211"/>
    </row>
    <row r="208" spans="1:11">
      <c r="B208" s="591"/>
      <c r="C208" s="602"/>
      <c r="D208" s="171" t="s">
        <v>477</v>
      </c>
      <c r="E208" s="171">
        <f>E207*18</f>
        <v>42.666666666666664</v>
      </c>
      <c r="F208" s="171" t="s">
        <v>479</v>
      </c>
      <c r="G208" s="171"/>
      <c r="H208" s="102"/>
    </row>
    <row r="209" spans="2:8" s="460" customFormat="1">
      <c r="B209" s="211" t="s">
        <v>1272</v>
      </c>
    </row>
    <row r="210" spans="2:8" s="460" customFormat="1">
      <c r="B210" s="211" t="s">
        <v>476</v>
      </c>
    </row>
    <row r="211" spans="2:8" s="460" customFormat="1">
      <c r="B211" s="211"/>
    </row>
    <row r="212" spans="2:8" s="460" customFormat="1">
      <c r="B212" s="211"/>
    </row>
    <row r="213" spans="2:8" s="460" customFormat="1">
      <c r="B213" s="100" t="s">
        <v>1365</v>
      </c>
    </row>
    <row r="214" spans="2:8" s="460" customFormat="1">
      <c r="B214" s="106" t="s">
        <v>503</v>
      </c>
      <c r="C214" s="106" t="s">
        <v>504</v>
      </c>
      <c r="D214" s="106" t="s">
        <v>505</v>
      </c>
      <c r="E214" s="106" t="s">
        <v>506</v>
      </c>
      <c r="F214" s="106" t="s">
        <v>507</v>
      </c>
      <c r="G214" s="106" t="s">
        <v>508</v>
      </c>
      <c r="H214" s="106" t="s">
        <v>509</v>
      </c>
    </row>
    <row r="215" spans="2:8" s="460" customFormat="1" ht="15.95" customHeight="1">
      <c r="B215" s="106" t="s">
        <v>383</v>
      </c>
      <c r="C215" s="106" t="s">
        <v>236</v>
      </c>
      <c r="D215" s="106" t="s">
        <v>510</v>
      </c>
      <c r="E215" s="106" t="s">
        <v>1772</v>
      </c>
      <c r="F215" s="106" t="s">
        <v>1772</v>
      </c>
      <c r="G215" s="106" t="s">
        <v>1784</v>
      </c>
      <c r="H215" s="106" t="s">
        <v>510</v>
      </c>
    </row>
    <row r="216" spans="2:8" s="460" customFormat="1">
      <c r="B216" s="13">
        <v>32</v>
      </c>
      <c r="C216" s="13">
        <v>8.8649000000000006E-2</v>
      </c>
      <c r="D216" s="13">
        <v>1.602E-2</v>
      </c>
      <c r="E216" s="13">
        <v>-1.814E-2</v>
      </c>
      <c r="F216" s="13">
        <v>-1.788E-2</v>
      </c>
      <c r="G216" s="13">
        <v>-3.6999999999999998E-5</v>
      </c>
      <c r="H216" s="13">
        <v>3302</v>
      </c>
    </row>
    <row r="217" spans="2:8" s="460" customFormat="1">
      <c r="B217" s="13">
        <v>40</v>
      </c>
      <c r="C217" s="13">
        <v>0.12173</v>
      </c>
      <c r="D217" s="13">
        <v>1.602E-2</v>
      </c>
      <c r="E217" s="13">
        <v>8.032</v>
      </c>
      <c r="F217" s="13">
        <v>8.032</v>
      </c>
      <c r="G217" s="13">
        <v>1.6199999999999999E-2</v>
      </c>
      <c r="H217" s="13">
        <v>2443</v>
      </c>
    </row>
    <row r="218" spans="2:8" s="460" customFormat="1">
      <c r="B218" s="13">
        <v>60</v>
      </c>
      <c r="C218" s="13">
        <v>0.25639000000000001</v>
      </c>
      <c r="D218" s="13">
        <v>1.6029999999999999E-2</v>
      </c>
      <c r="E218" s="13">
        <v>28.08</v>
      </c>
      <c r="F218" s="13">
        <v>28.08</v>
      </c>
      <c r="G218" s="13">
        <v>5.5539999999999999E-2</v>
      </c>
      <c r="H218" s="13">
        <v>1206</v>
      </c>
    </row>
    <row r="219" spans="2:8" s="460" customFormat="1">
      <c r="B219" s="13">
        <v>80</v>
      </c>
      <c r="C219" s="13">
        <v>0.50744</v>
      </c>
      <c r="D219" s="13">
        <v>1.6070000000000001E-2</v>
      </c>
      <c r="E219" s="13">
        <v>48.07</v>
      </c>
      <c r="F219" s="13">
        <v>48.07</v>
      </c>
      <c r="G219" s="13">
        <v>9.3289999999999998E-2</v>
      </c>
      <c r="H219" s="13">
        <v>632.4</v>
      </c>
    </row>
    <row r="220" spans="2:8" s="460" customFormat="1">
      <c r="B220" s="13">
        <v>100</v>
      </c>
      <c r="C220" s="13">
        <v>0.95043999999999995</v>
      </c>
      <c r="D220" s="13">
        <v>1.6129999999999999E-2</v>
      </c>
      <c r="E220" s="13">
        <v>68.03</v>
      </c>
      <c r="F220" s="13">
        <v>68.040000000000006</v>
      </c>
      <c r="G220" s="13">
        <v>0.12959999999999999</v>
      </c>
      <c r="H220" s="13">
        <v>349.9</v>
      </c>
    </row>
    <row r="221" spans="2:8" s="460" customFormat="1">
      <c r="B221" s="13">
        <v>120</v>
      </c>
      <c r="C221" s="13">
        <v>1.6949000000000001</v>
      </c>
      <c r="D221" s="13">
        <v>1.6199999999999999E-2</v>
      </c>
      <c r="E221" s="13">
        <v>88</v>
      </c>
      <c r="F221" s="13">
        <v>88</v>
      </c>
      <c r="G221" s="13">
        <v>0.16470000000000001</v>
      </c>
      <c r="H221" s="13">
        <v>203</v>
      </c>
    </row>
    <row r="222" spans="2:8" s="460" customFormat="1">
      <c r="B222" s="13">
        <v>140</v>
      </c>
      <c r="C222" s="13">
        <v>2.8929</v>
      </c>
      <c r="D222" s="13">
        <v>1.6289999999999999E-2</v>
      </c>
      <c r="E222" s="13">
        <v>108</v>
      </c>
      <c r="F222" s="13">
        <v>108</v>
      </c>
      <c r="G222" s="13">
        <v>0.19850000000000001</v>
      </c>
      <c r="H222" s="13">
        <v>122.8</v>
      </c>
    </row>
    <row r="223" spans="2:8" s="460" customFormat="1">
      <c r="B223" s="13">
        <v>160</v>
      </c>
      <c r="C223" s="13">
        <v>4.7472000000000003</v>
      </c>
      <c r="D223" s="13">
        <v>1.6389999999999998E-2</v>
      </c>
      <c r="E223" s="13">
        <v>128</v>
      </c>
      <c r="F223" s="13">
        <v>128</v>
      </c>
      <c r="G223" s="13">
        <v>0.23130000000000001</v>
      </c>
      <c r="H223" s="13">
        <v>77.19</v>
      </c>
    </row>
    <row r="224" spans="2:8" s="460" customFormat="1">
      <c r="B224" s="13">
        <v>180</v>
      </c>
      <c r="C224" s="13">
        <v>7.5195999999999996</v>
      </c>
      <c r="D224" s="13">
        <v>1.651E-2</v>
      </c>
      <c r="E224" s="13">
        <v>148</v>
      </c>
      <c r="F224" s="13">
        <v>148</v>
      </c>
      <c r="G224" s="13">
        <v>0.2631</v>
      </c>
      <c r="H224" s="13">
        <v>50.17</v>
      </c>
    </row>
    <row r="225" spans="2:8" s="460" customFormat="1">
      <c r="B225" s="13">
        <v>200</v>
      </c>
      <c r="C225" s="13">
        <v>11.538</v>
      </c>
      <c r="D225" s="13">
        <v>1.6629999999999999E-2</v>
      </c>
      <c r="E225" s="13">
        <v>168.1</v>
      </c>
      <c r="F225" s="13">
        <v>168.1</v>
      </c>
      <c r="G225" s="13">
        <v>0.29399999999999998</v>
      </c>
      <c r="H225" s="13">
        <v>33.61</v>
      </c>
    </row>
    <row r="226" spans="2:8" s="460" customFormat="1">
      <c r="B226" s="13">
        <v>220</v>
      </c>
      <c r="C226" s="13">
        <v>17.201000000000001</v>
      </c>
      <c r="D226" s="13">
        <v>1.677E-2</v>
      </c>
      <c r="E226" s="13">
        <v>188.2</v>
      </c>
      <c r="F226" s="13">
        <v>188.2</v>
      </c>
      <c r="G226" s="13">
        <v>0.3241</v>
      </c>
      <c r="H226" s="13">
        <v>23.13</v>
      </c>
    </row>
    <row r="227" spans="2:8" s="460" customFormat="1">
      <c r="B227" s="13">
        <v>240</v>
      </c>
      <c r="C227" s="13">
        <v>24.984999999999999</v>
      </c>
      <c r="D227" s="13">
        <v>1.6920000000000001E-2</v>
      </c>
      <c r="E227" s="13">
        <v>208.4</v>
      </c>
      <c r="F227" s="13">
        <v>208.5</v>
      </c>
      <c r="G227" s="13">
        <v>0.35339999999999999</v>
      </c>
      <c r="H227" s="13">
        <v>16.32</v>
      </c>
    </row>
    <row r="228" spans="2:8" s="460" customFormat="1">
      <c r="B228" s="13">
        <v>260</v>
      </c>
      <c r="C228" s="13">
        <v>35.445</v>
      </c>
      <c r="D228" s="13">
        <v>1.7080000000000001E-2</v>
      </c>
      <c r="E228" s="13">
        <v>228.7</v>
      </c>
      <c r="F228" s="13">
        <v>228.8</v>
      </c>
      <c r="G228" s="13">
        <v>0.38200000000000001</v>
      </c>
      <c r="H228" s="13">
        <v>11.76</v>
      </c>
    </row>
    <row r="229" spans="2:8" s="460" customFormat="1">
      <c r="B229" s="13">
        <v>280</v>
      </c>
      <c r="C229" s="13">
        <v>49.218000000000004</v>
      </c>
      <c r="D229" s="13">
        <v>1.7260000000000001E-2</v>
      </c>
      <c r="E229" s="13">
        <v>249.1</v>
      </c>
      <c r="F229" s="13">
        <v>249.2</v>
      </c>
      <c r="G229" s="13">
        <v>0.40989999999999999</v>
      </c>
      <c r="H229" s="13">
        <v>8.6440000000000001</v>
      </c>
    </row>
    <row r="230" spans="2:8" s="460" customFormat="1">
      <c r="B230" s="13">
        <v>300</v>
      </c>
      <c r="C230" s="13">
        <v>67.021000000000001</v>
      </c>
      <c r="D230" s="13">
        <v>1.745E-2</v>
      </c>
      <c r="E230" s="13">
        <v>269.5</v>
      </c>
      <c r="F230" s="13">
        <v>269.8</v>
      </c>
      <c r="G230" s="13">
        <v>0.43719999999999998</v>
      </c>
      <c r="H230" s="13">
        <v>6.4669999999999996</v>
      </c>
    </row>
    <row r="231" spans="2:8" s="460" customFormat="1">
      <c r="B231" s="13">
        <v>320</v>
      </c>
      <c r="C231" s="13">
        <v>89.653000000000006</v>
      </c>
      <c r="D231" s="13">
        <v>1.7649999999999999E-2</v>
      </c>
      <c r="E231" s="13">
        <v>290.2</v>
      </c>
      <c r="F231" s="13">
        <v>290.39999999999998</v>
      </c>
      <c r="G231" s="13">
        <v>0.46400000000000002</v>
      </c>
      <c r="H231" s="13">
        <v>4.915</v>
      </c>
    </row>
    <row r="232" spans="2:8" s="460" customFormat="1">
      <c r="B232" s="13">
        <v>340</v>
      </c>
      <c r="C232" s="13">
        <v>118</v>
      </c>
      <c r="D232" s="13">
        <v>1.787E-2</v>
      </c>
      <c r="E232" s="13">
        <v>310.89999999999998</v>
      </c>
      <c r="F232" s="13">
        <v>311.3</v>
      </c>
      <c r="G232" s="13">
        <v>0.49030000000000001</v>
      </c>
      <c r="H232" s="13">
        <v>3.7890000000000001</v>
      </c>
    </row>
    <row r="233" spans="2:8" s="460" customFormat="1">
      <c r="B233" s="13">
        <v>360</v>
      </c>
      <c r="C233" s="13">
        <v>153</v>
      </c>
      <c r="D233" s="13">
        <v>1.8110000000000001E-2</v>
      </c>
      <c r="E233" s="13">
        <v>331.8</v>
      </c>
      <c r="F233" s="13">
        <v>332.3</v>
      </c>
      <c r="G233" s="13">
        <v>0.51619999999999999</v>
      </c>
      <c r="H233" s="13">
        <v>2.9580000000000002</v>
      </c>
    </row>
    <row r="234" spans="2:8" s="460" customFormat="1">
      <c r="B234" s="13">
        <v>380</v>
      </c>
      <c r="C234" s="13">
        <v>195.71</v>
      </c>
      <c r="D234" s="13">
        <v>1.8360000000000001E-2</v>
      </c>
      <c r="E234" s="13">
        <v>352.9</v>
      </c>
      <c r="F234" s="13">
        <v>353.6</v>
      </c>
      <c r="G234" s="13">
        <v>0.54159999999999997</v>
      </c>
      <c r="H234" s="13">
        <v>2.3359999999999999</v>
      </c>
    </row>
    <row r="235" spans="2:8" s="460" customFormat="1">
      <c r="B235" s="13">
        <v>400</v>
      </c>
      <c r="C235" s="13">
        <v>247.22</v>
      </c>
      <c r="D235" s="13">
        <v>1.864E-2</v>
      </c>
      <c r="E235" s="13">
        <v>374.2</v>
      </c>
      <c r="F235" s="13">
        <v>375.1</v>
      </c>
      <c r="G235" s="13">
        <v>0.56669999999999998</v>
      </c>
      <c r="H235" s="13">
        <v>1.8640000000000001</v>
      </c>
    </row>
    <row r="236" spans="2:8" s="460" customFormat="1">
      <c r="B236" s="13">
        <v>420</v>
      </c>
      <c r="C236" s="13">
        <v>308.70999999999998</v>
      </c>
      <c r="D236" s="13">
        <v>1.8939999999999999E-2</v>
      </c>
      <c r="E236" s="13">
        <v>395.8</v>
      </c>
      <c r="F236" s="13">
        <v>396.9</v>
      </c>
      <c r="G236" s="13">
        <v>0.59150000000000003</v>
      </c>
      <c r="H236" s="13">
        <v>1.5009999999999999</v>
      </c>
    </row>
    <row r="237" spans="2:8" s="460" customFormat="1">
      <c r="B237" s="13">
        <v>440</v>
      </c>
      <c r="C237" s="13">
        <v>381.44</v>
      </c>
      <c r="D237" s="13">
        <v>1.9259999999999999E-2</v>
      </c>
      <c r="E237" s="13">
        <v>417.6</v>
      </c>
      <c r="F237" s="13">
        <v>419</v>
      </c>
      <c r="G237" s="13">
        <v>0.61609999999999998</v>
      </c>
      <c r="H237" s="13">
        <v>1.218</v>
      </c>
    </row>
    <row r="238" spans="2:8" s="460" customFormat="1">
      <c r="B238" s="13">
        <v>460</v>
      </c>
      <c r="C238" s="13">
        <v>466.71</v>
      </c>
      <c r="D238" s="13">
        <v>1.9619999999999999E-2</v>
      </c>
      <c r="E238" s="13">
        <v>439.8</v>
      </c>
      <c r="F238" s="13">
        <v>441.5</v>
      </c>
      <c r="G238" s="13">
        <v>0.64049999999999996</v>
      </c>
      <c r="H238" s="13">
        <v>0.99519999999999997</v>
      </c>
    </row>
    <row r="239" spans="2:8" s="460" customFormat="1">
      <c r="B239" s="13">
        <v>480</v>
      </c>
      <c r="C239" s="13">
        <v>565.91999999999996</v>
      </c>
      <c r="D239" s="13">
        <v>2.001E-2</v>
      </c>
      <c r="E239" s="13">
        <v>462.3</v>
      </c>
      <c r="F239" s="13">
        <v>464.4</v>
      </c>
      <c r="G239" s="13">
        <v>0.66479999999999995</v>
      </c>
      <c r="H239" s="13">
        <v>0.81799999999999995</v>
      </c>
    </row>
    <row r="240" spans="2:8" s="460" customFormat="1">
      <c r="B240" s="13">
        <v>500</v>
      </c>
      <c r="C240" s="13">
        <v>680.53</v>
      </c>
      <c r="D240" s="13">
        <v>2.044E-2</v>
      </c>
      <c r="E240" s="13">
        <v>485.3</v>
      </c>
      <c r="F240" s="13">
        <v>487.9</v>
      </c>
      <c r="G240" s="13">
        <v>0.68899999999999995</v>
      </c>
      <c r="H240" s="13">
        <v>0.67559999999999998</v>
      </c>
    </row>
    <row r="241" spans="2:11" s="460" customFormat="1">
      <c r="B241" s="13">
        <v>520</v>
      </c>
      <c r="C241" s="13">
        <v>812.08</v>
      </c>
      <c r="D241" s="13">
        <v>2.0920000000000001E-2</v>
      </c>
      <c r="E241" s="13">
        <v>508.8</v>
      </c>
      <c r="F241" s="13">
        <v>511.9</v>
      </c>
      <c r="G241" s="13">
        <v>0.71330000000000005</v>
      </c>
      <c r="H241" s="13">
        <v>0.56010000000000004</v>
      </c>
    </row>
    <row r="242" spans="2:11" s="460" customFormat="1">
      <c r="B242" s="13">
        <v>540</v>
      </c>
      <c r="C242" s="13">
        <v>962.23</v>
      </c>
      <c r="D242" s="13">
        <v>2.146E-2</v>
      </c>
      <c r="E242" s="13">
        <v>532.9</v>
      </c>
      <c r="F242" s="13">
        <v>536.70000000000005</v>
      </c>
      <c r="G242" s="13">
        <v>0.73770000000000002</v>
      </c>
      <c r="H242" s="13">
        <v>0.46560000000000001</v>
      </c>
    </row>
    <row r="243" spans="2:11" s="460" customFormat="1">
      <c r="B243" s="13">
        <v>560</v>
      </c>
      <c r="C243" s="13">
        <v>1132.7</v>
      </c>
      <c r="D243" s="13">
        <v>2.2079999999999999E-2</v>
      </c>
      <c r="E243" s="13">
        <v>557.70000000000005</v>
      </c>
      <c r="F243" s="13">
        <v>562.29999999999995</v>
      </c>
      <c r="G243" s="13">
        <v>0.76239999999999997</v>
      </c>
      <c r="H243" s="13">
        <v>0.38750000000000001</v>
      </c>
    </row>
    <row r="244" spans="2:11" s="460" customFormat="1">
      <c r="B244" s="13">
        <v>580</v>
      </c>
      <c r="C244" s="13">
        <v>1325.4</v>
      </c>
      <c r="D244" s="13">
        <v>2.2790000000000001E-2</v>
      </c>
      <c r="E244" s="13">
        <v>583.4</v>
      </c>
      <c r="F244" s="13">
        <v>589</v>
      </c>
      <c r="G244" s="13">
        <v>0.78749999999999998</v>
      </c>
      <c r="H244" s="13">
        <v>0.32229999999999998</v>
      </c>
    </row>
    <row r="245" spans="2:11" s="460" customFormat="1">
      <c r="B245" s="13">
        <v>600</v>
      </c>
      <c r="C245" s="13">
        <v>1542.5</v>
      </c>
      <c r="D245" s="13">
        <v>2.3630000000000002E-2</v>
      </c>
      <c r="E245" s="13">
        <v>610.20000000000005</v>
      </c>
      <c r="F245" s="13">
        <v>616.9</v>
      </c>
      <c r="G245" s="13">
        <v>0.81330000000000002</v>
      </c>
      <c r="H245" s="13">
        <v>0.26750000000000002</v>
      </c>
    </row>
    <row r="246" spans="2:11" s="460" customFormat="1">
      <c r="B246" s="13">
        <v>620</v>
      </c>
      <c r="C246" s="13">
        <v>1786.1</v>
      </c>
      <c r="D246" s="13">
        <v>2.4649999999999998E-2</v>
      </c>
      <c r="E246" s="13">
        <v>638.5</v>
      </c>
      <c r="F246" s="13">
        <v>646.6</v>
      </c>
      <c r="G246" s="13">
        <v>0.84</v>
      </c>
      <c r="H246" s="13">
        <v>0.22070000000000001</v>
      </c>
    </row>
    <row r="247" spans="2:11" s="460" customFormat="1">
      <c r="B247" s="13">
        <v>640</v>
      </c>
      <c r="C247" s="13">
        <v>2059.1999999999998</v>
      </c>
      <c r="D247" s="13">
        <v>2.5930000000000002E-2</v>
      </c>
      <c r="E247" s="13">
        <v>668.8</v>
      </c>
      <c r="F247" s="13">
        <v>678.7</v>
      </c>
      <c r="G247" s="13">
        <v>0.86829999999999996</v>
      </c>
      <c r="H247" s="13">
        <v>0.1802</v>
      </c>
    </row>
    <row r="248" spans="2:11" s="460" customFormat="1">
      <c r="B248" s="13">
        <v>660</v>
      </c>
      <c r="C248" s="13">
        <v>2364.8000000000002</v>
      </c>
      <c r="D248" s="13">
        <v>2.7660000000000001E-2</v>
      </c>
      <c r="E248" s="13">
        <v>702.4</v>
      </c>
      <c r="F248" s="13">
        <v>714.5</v>
      </c>
      <c r="G248" s="13">
        <v>0.89910000000000001</v>
      </c>
      <c r="H248" s="13">
        <v>0.1444</v>
      </c>
    </row>
    <row r="249" spans="2:11" s="460" customFormat="1">
      <c r="B249" s="13">
        <v>680</v>
      </c>
      <c r="C249" s="13">
        <v>2707.3</v>
      </c>
      <c r="D249" s="13">
        <v>2.7660000000000001E-2</v>
      </c>
      <c r="E249" s="13">
        <v>702.4</v>
      </c>
      <c r="F249" s="13">
        <v>714.5</v>
      </c>
      <c r="G249" s="13">
        <v>0.89910000000000001</v>
      </c>
      <c r="H249" s="13">
        <v>0.1444</v>
      </c>
    </row>
    <row r="250" spans="2:11" s="460" customFormat="1">
      <c r="B250" s="13">
        <v>700</v>
      </c>
      <c r="C250" s="13">
        <v>3092.9</v>
      </c>
      <c r="D250" s="13">
        <v>2.7660000000000001E-2</v>
      </c>
      <c r="E250" s="13">
        <v>702.4</v>
      </c>
      <c r="F250" s="13">
        <v>714.5</v>
      </c>
      <c r="G250" s="13">
        <v>0.89910000000000001</v>
      </c>
      <c r="H250" s="13">
        <v>0.1444</v>
      </c>
    </row>
    <row r="251" spans="2:11" s="460" customFormat="1">
      <c r="B251" s="13">
        <v>705.10299999999995</v>
      </c>
      <c r="C251" s="13">
        <v>3200.1</v>
      </c>
      <c r="D251" s="13">
        <v>4.9750000000000003E-2</v>
      </c>
      <c r="E251" s="13">
        <v>868</v>
      </c>
      <c r="F251" s="13">
        <v>897.5</v>
      </c>
      <c r="G251" s="13">
        <v>1.054</v>
      </c>
      <c r="H251" s="13">
        <v>4.9750000000000003E-2</v>
      </c>
    </row>
    <row r="252" spans="2:11" s="460" customFormat="1">
      <c r="B252" s="603" t="s">
        <v>502</v>
      </c>
    </row>
    <row r="253" spans="2:11" s="460" customFormat="1"/>
    <row r="254" spans="2:11" s="460" customFormat="1"/>
    <row r="255" spans="2:11" s="460" customFormat="1">
      <c r="B255" s="604" t="s">
        <v>1287</v>
      </c>
    </row>
    <row r="256" spans="2:11" s="460" customFormat="1" ht="25.5">
      <c r="B256" s="399" t="s">
        <v>511</v>
      </c>
      <c r="C256" s="399" t="s">
        <v>1114</v>
      </c>
      <c r="D256" s="399" t="s">
        <v>1115</v>
      </c>
      <c r="E256" s="399" t="s">
        <v>1116</v>
      </c>
      <c r="F256" s="399" t="s">
        <v>1117</v>
      </c>
      <c r="G256" s="399" t="s">
        <v>1118</v>
      </c>
      <c r="H256" s="399" t="s">
        <v>1119</v>
      </c>
      <c r="I256" s="399" t="s">
        <v>1120</v>
      </c>
      <c r="J256" s="399" t="s">
        <v>1121</v>
      </c>
      <c r="K256" s="399" t="s">
        <v>1122</v>
      </c>
    </row>
    <row r="257" spans="2:11" s="460" customFormat="1">
      <c r="B257" s="13">
        <v>15</v>
      </c>
      <c r="C257" s="13">
        <v>213</v>
      </c>
      <c r="D257" s="13">
        <v>1.6719999999999999E-2</v>
      </c>
      <c r="E257" s="13">
        <v>181.1</v>
      </c>
      <c r="F257" s="13">
        <v>181.2</v>
      </c>
      <c r="G257" s="13">
        <v>0.31369999999999998</v>
      </c>
      <c r="H257" s="13">
        <v>26.3</v>
      </c>
      <c r="I257" s="13">
        <v>1078</v>
      </c>
      <c r="J257" s="13">
        <v>1151</v>
      </c>
      <c r="K257" s="13">
        <v>1.7549999999999999</v>
      </c>
    </row>
    <row r="258" spans="2:11" s="460" customFormat="1">
      <c r="B258" s="13">
        <v>20</v>
      </c>
      <c r="C258" s="13">
        <v>227.9</v>
      </c>
      <c r="D258" s="13">
        <v>1.6830000000000001E-2</v>
      </c>
      <c r="E258" s="13">
        <v>196.2</v>
      </c>
      <c r="F258" s="13">
        <v>196.2</v>
      </c>
      <c r="G258" s="13">
        <v>0.33579999999999999</v>
      </c>
      <c r="H258" s="13">
        <v>20.09</v>
      </c>
      <c r="I258" s="13">
        <v>1082</v>
      </c>
      <c r="J258" s="13">
        <v>1156</v>
      </c>
      <c r="K258" s="13">
        <v>1.732</v>
      </c>
    </row>
    <row r="259" spans="2:11" s="460" customFormat="1">
      <c r="B259" s="13">
        <v>25</v>
      </c>
      <c r="C259" s="13">
        <v>240</v>
      </c>
      <c r="D259" s="13">
        <v>1.6920000000000001E-2</v>
      </c>
      <c r="E259" s="13">
        <v>208.4</v>
      </c>
      <c r="F259" s="13">
        <v>208.5</v>
      </c>
      <c r="G259" s="13">
        <v>0.35339999999999999</v>
      </c>
      <c r="H259" s="13">
        <v>16.309999999999999</v>
      </c>
      <c r="I259" s="13">
        <v>1085</v>
      </c>
      <c r="J259" s="13">
        <v>1161</v>
      </c>
      <c r="K259" s="13">
        <v>1.714</v>
      </c>
    </row>
    <row r="260" spans="2:11" s="460" customFormat="1">
      <c r="B260" s="13">
        <v>30</v>
      </c>
      <c r="C260" s="13">
        <v>250.3</v>
      </c>
      <c r="D260" s="13">
        <v>1.7000000000000001E-2</v>
      </c>
      <c r="E260" s="13">
        <v>218.8</v>
      </c>
      <c r="F260" s="13">
        <v>218.9</v>
      </c>
      <c r="G260" s="13">
        <v>0.36820000000000003</v>
      </c>
      <c r="H260" s="13">
        <v>13.75</v>
      </c>
      <c r="I260" s="13">
        <v>1088</v>
      </c>
      <c r="J260" s="13">
        <v>1164</v>
      </c>
      <c r="K260" s="13">
        <v>1.7</v>
      </c>
    </row>
    <row r="261" spans="2:11" s="460" customFormat="1">
      <c r="B261" s="13">
        <v>35</v>
      </c>
      <c r="C261" s="13">
        <v>259.3</v>
      </c>
      <c r="D261" s="13">
        <v>1.7080000000000001E-2</v>
      </c>
      <c r="E261" s="13">
        <v>227.9</v>
      </c>
      <c r="F261" s="13">
        <v>228</v>
      </c>
      <c r="G261" s="13">
        <v>0.38090000000000002</v>
      </c>
      <c r="H261" s="13">
        <v>11.9</v>
      </c>
      <c r="I261" s="13">
        <v>1090</v>
      </c>
      <c r="J261" s="13">
        <v>1167</v>
      </c>
      <c r="K261" s="13">
        <v>1.6870000000000001</v>
      </c>
    </row>
    <row r="262" spans="2:11" s="460" customFormat="1">
      <c r="B262" s="13">
        <v>40</v>
      </c>
      <c r="C262" s="13">
        <v>267.2</v>
      </c>
      <c r="D262" s="13">
        <v>1.7149999999999999E-2</v>
      </c>
      <c r="E262" s="13">
        <v>236</v>
      </c>
      <c r="F262" s="13">
        <v>236.2</v>
      </c>
      <c r="G262" s="13">
        <v>0.3921</v>
      </c>
      <c r="H262" s="13">
        <v>10.5</v>
      </c>
      <c r="I262" s="13">
        <v>1092</v>
      </c>
      <c r="J262" s="13">
        <v>1170</v>
      </c>
      <c r="K262" s="13">
        <v>1.677</v>
      </c>
    </row>
    <row r="263" spans="2:11" s="460" customFormat="1">
      <c r="B263" s="13">
        <v>45</v>
      </c>
      <c r="C263" s="13">
        <v>274.39999999999998</v>
      </c>
      <c r="D263" s="13">
        <v>1.721E-2</v>
      </c>
      <c r="E263" s="13">
        <v>243.4</v>
      </c>
      <c r="F263" s="13">
        <v>243.5</v>
      </c>
      <c r="G263" s="13">
        <v>0.4022</v>
      </c>
      <c r="H263" s="13">
        <v>9.4019999999999992</v>
      </c>
      <c r="I263" s="13">
        <v>1094</v>
      </c>
      <c r="J263" s="13">
        <v>1172</v>
      </c>
      <c r="K263" s="13">
        <v>1.667</v>
      </c>
    </row>
    <row r="264" spans="2:11" s="460" customFormat="1">
      <c r="B264" s="13">
        <v>50</v>
      </c>
      <c r="C264" s="13">
        <v>281</v>
      </c>
      <c r="D264" s="13">
        <v>1.7270000000000001E-2</v>
      </c>
      <c r="E264" s="13">
        <v>250.1</v>
      </c>
      <c r="F264" s="13">
        <v>250.2</v>
      </c>
      <c r="G264" s="13">
        <v>0.4113</v>
      </c>
      <c r="H264" s="13">
        <v>8.5169999999999995</v>
      </c>
      <c r="I264" s="13">
        <v>1095</v>
      </c>
      <c r="J264" s="13">
        <v>1174</v>
      </c>
      <c r="K264" s="13">
        <v>1.659</v>
      </c>
    </row>
    <row r="265" spans="2:11" s="460" customFormat="1">
      <c r="B265" s="13">
        <v>55</v>
      </c>
      <c r="C265" s="13">
        <v>287.10000000000002</v>
      </c>
      <c r="D265" s="13">
        <v>1.7319999999999999E-2</v>
      </c>
      <c r="E265" s="13">
        <v>256.3</v>
      </c>
      <c r="F265" s="13">
        <v>256.39999999999998</v>
      </c>
      <c r="G265" s="13">
        <v>0.41959999999999997</v>
      </c>
      <c r="H265" s="13">
        <v>7.7880000000000003</v>
      </c>
      <c r="I265" s="13">
        <v>1097</v>
      </c>
      <c r="J265" s="13">
        <v>1176</v>
      </c>
      <c r="K265" s="13">
        <v>1.651</v>
      </c>
    </row>
    <row r="266" spans="2:11" s="460" customFormat="1">
      <c r="B266" s="13">
        <v>60</v>
      </c>
      <c r="C266" s="13">
        <v>292.7</v>
      </c>
      <c r="D266" s="13">
        <v>1.738E-2</v>
      </c>
      <c r="E266" s="13">
        <v>262</v>
      </c>
      <c r="F266" s="13">
        <v>262.2</v>
      </c>
      <c r="G266" s="13">
        <v>0.42730000000000001</v>
      </c>
      <c r="H266" s="13">
        <v>7.1760000000000002</v>
      </c>
      <c r="I266" s="13">
        <v>1098</v>
      </c>
      <c r="J266" s="13">
        <v>1178</v>
      </c>
      <c r="K266" s="13">
        <v>1.6439999999999999</v>
      </c>
    </row>
    <row r="267" spans="2:11" s="460" customFormat="1">
      <c r="B267" s="13">
        <v>65</v>
      </c>
      <c r="C267" s="13">
        <v>298</v>
      </c>
      <c r="D267" s="13">
        <v>1.7430000000000001E-2</v>
      </c>
      <c r="E267" s="13">
        <v>267.39999999999998</v>
      </c>
      <c r="F267" s="13">
        <v>267.7</v>
      </c>
      <c r="G267" s="13">
        <v>0.4345</v>
      </c>
      <c r="H267" s="13">
        <v>6.6559999999999997</v>
      </c>
      <c r="I267" s="13">
        <v>1099</v>
      </c>
      <c r="J267" s="13">
        <v>1179</v>
      </c>
      <c r="K267" s="13">
        <v>1.6379999999999999</v>
      </c>
    </row>
    <row r="268" spans="2:11" s="460" customFormat="1">
      <c r="B268" s="13">
        <v>70</v>
      </c>
      <c r="C268" s="13">
        <v>302.89999999999998</v>
      </c>
      <c r="D268" s="13">
        <v>1.7479999999999999E-2</v>
      </c>
      <c r="E268" s="13">
        <v>272.5</v>
      </c>
      <c r="F268" s="13">
        <v>272.8</v>
      </c>
      <c r="G268" s="13">
        <v>0.44119999999999998</v>
      </c>
      <c r="H268" s="13">
        <v>6.2069999999999999</v>
      </c>
      <c r="I268" s="13">
        <v>1100</v>
      </c>
      <c r="J268" s="13">
        <v>1181</v>
      </c>
      <c r="K268" s="13">
        <v>1.6319999999999999</v>
      </c>
    </row>
    <row r="269" spans="2:11" s="460" customFormat="1">
      <c r="B269" s="13">
        <v>75</v>
      </c>
      <c r="C269" s="13">
        <v>307.60000000000002</v>
      </c>
      <c r="D269" s="13">
        <v>1.7520000000000001E-2</v>
      </c>
      <c r="E269" s="13">
        <v>277.39999999999998</v>
      </c>
      <c r="F269" s="13">
        <v>277.60000000000002</v>
      </c>
      <c r="G269" s="13">
        <v>0.44750000000000001</v>
      </c>
      <c r="H269" s="13">
        <v>5.8159999999999998</v>
      </c>
      <c r="I269" s="13">
        <v>1101</v>
      </c>
      <c r="J269" s="13">
        <v>1182</v>
      </c>
      <c r="K269" s="13">
        <v>1.6259999999999999</v>
      </c>
    </row>
    <row r="270" spans="2:11" s="460" customFormat="1">
      <c r="B270" s="13">
        <v>80</v>
      </c>
      <c r="C270" s="13">
        <v>312</v>
      </c>
      <c r="D270" s="13">
        <v>1.7569999999999999E-2</v>
      </c>
      <c r="E270" s="13">
        <v>281.89999999999998</v>
      </c>
      <c r="F270" s="13">
        <v>282.2</v>
      </c>
      <c r="G270" s="13">
        <v>0.45340000000000003</v>
      </c>
      <c r="H270" s="13">
        <v>5.4729999999999999</v>
      </c>
      <c r="I270" s="13">
        <v>1102</v>
      </c>
      <c r="J270" s="13">
        <v>1183</v>
      </c>
      <c r="K270" s="13">
        <v>1.621</v>
      </c>
    </row>
    <row r="271" spans="2:11" s="460" customFormat="1">
      <c r="B271" s="13">
        <v>85</v>
      </c>
      <c r="C271" s="13">
        <v>316.2</v>
      </c>
      <c r="D271" s="13">
        <v>1.7610000000000001E-2</v>
      </c>
      <c r="E271" s="13">
        <v>286.3</v>
      </c>
      <c r="F271" s="13">
        <v>286.60000000000002</v>
      </c>
      <c r="G271" s="13">
        <v>0.45900000000000002</v>
      </c>
      <c r="H271" s="13">
        <v>5.1689999999999996</v>
      </c>
      <c r="I271" s="13">
        <v>1103</v>
      </c>
      <c r="J271" s="13">
        <v>1184</v>
      </c>
      <c r="K271" s="13">
        <v>1.6160000000000001</v>
      </c>
    </row>
    <row r="272" spans="2:11" s="460" customFormat="1">
      <c r="B272" s="13">
        <v>90</v>
      </c>
      <c r="C272" s="13">
        <v>320.3</v>
      </c>
      <c r="D272" s="13">
        <v>1.7659999999999999E-2</v>
      </c>
      <c r="E272" s="13">
        <v>290.39999999999998</v>
      </c>
      <c r="F272" s="13">
        <v>290.7</v>
      </c>
      <c r="G272" s="13">
        <v>0.46439999999999998</v>
      </c>
      <c r="H272" s="13">
        <v>4.8970000000000002</v>
      </c>
      <c r="I272" s="13">
        <v>1104</v>
      </c>
      <c r="J272" s="13">
        <v>1186</v>
      </c>
      <c r="K272" s="13">
        <v>1.6120000000000001</v>
      </c>
    </row>
    <row r="273" spans="2:11" s="460" customFormat="1">
      <c r="B273" s="13">
        <v>95</v>
      </c>
      <c r="C273" s="13">
        <v>324.10000000000002</v>
      </c>
      <c r="D273" s="13">
        <v>1.77E-2</v>
      </c>
      <c r="E273" s="13">
        <v>294.39999999999998</v>
      </c>
      <c r="F273" s="13">
        <v>294.7</v>
      </c>
      <c r="G273" s="13">
        <v>0.46949999999999997</v>
      </c>
      <c r="H273" s="13">
        <v>4.6529999999999996</v>
      </c>
      <c r="I273" s="13">
        <v>1105</v>
      </c>
      <c r="J273" s="13">
        <v>1187</v>
      </c>
      <c r="K273" s="13">
        <v>1.607</v>
      </c>
    </row>
    <row r="274" spans="2:11" s="460" customFormat="1">
      <c r="B274" s="13">
        <v>100</v>
      </c>
      <c r="C274" s="13">
        <v>327.8</v>
      </c>
      <c r="D274" s="13">
        <v>1.7739999999999999E-2</v>
      </c>
      <c r="E274" s="13">
        <v>298.2</v>
      </c>
      <c r="F274" s="13">
        <v>298.60000000000002</v>
      </c>
      <c r="G274" s="13">
        <v>0.47439999999999999</v>
      </c>
      <c r="H274" s="13">
        <v>4.4320000000000004</v>
      </c>
      <c r="I274" s="13">
        <v>1105</v>
      </c>
      <c r="J274" s="13">
        <v>1187</v>
      </c>
      <c r="K274" s="13">
        <v>1.603</v>
      </c>
    </row>
    <row r="275" spans="2:11" s="460" customFormat="1">
      <c r="B275" s="13">
        <v>105</v>
      </c>
      <c r="C275" s="13">
        <v>331.4</v>
      </c>
      <c r="D275" s="13">
        <v>1.7770000000000001E-2</v>
      </c>
      <c r="E275" s="13">
        <v>301.89999999999998</v>
      </c>
      <c r="F275" s="13">
        <v>302.3</v>
      </c>
      <c r="G275" s="13">
        <v>0.47899999999999998</v>
      </c>
      <c r="H275" s="13">
        <v>4.2320000000000002</v>
      </c>
      <c r="I275" s="13">
        <v>1106</v>
      </c>
      <c r="J275" s="13">
        <v>1188</v>
      </c>
      <c r="K275" s="13">
        <v>1.599</v>
      </c>
    </row>
    <row r="276" spans="2:11" s="460" customFormat="1">
      <c r="B276" s="13">
        <v>110</v>
      </c>
      <c r="C276" s="13">
        <v>334.8</v>
      </c>
      <c r="D276" s="13">
        <v>1.7809999999999999E-2</v>
      </c>
      <c r="E276" s="13">
        <v>305.5</v>
      </c>
      <c r="F276" s="13">
        <v>305.8</v>
      </c>
      <c r="G276" s="13">
        <v>0.48349999999999999</v>
      </c>
      <c r="H276" s="13">
        <v>4.05</v>
      </c>
      <c r="I276" s="13">
        <v>1107</v>
      </c>
      <c r="J276" s="13">
        <v>1189</v>
      </c>
      <c r="K276" s="13">
        <v>1.595</v>
      </c>
    </row>
    <row r="277" spans="2:11" s="460" customFormat="1">
      <c r="B277" s="13">
        <v>115</v>
      </c>
      <c r="C277" s="13">
        <v>338.1</v>
      </c>
      <c r="D277" s="13">
        <v>1.7850000000000001E-2</v>
      </c>
      <c r="E277" s="13">
        <v>308.89999999999998</v>
      </c>
      <c r="F277" s="13">
        <v>309.3</v>
      </c>
      <c r="G277" s="13">
        <v>0.48780000000000001</v>
      </c>
      <c r="H277" s="13">
        <v>3.8820000000000001</v>
      </c>
      <c r="I277" s="13">
        <v>1107</v>
      </c>
      <c r="J277" s="13">
        <v>1190</v>
      </c>
      <c r="K277" s="13">
        <v>1.5920000000000001</v>
      </c>
    </row>
    <row r="278" spans="2:11" s="460" customFormat="1">
      <c r="B278" s="13">
        <v>120</v>
      </c>
      <c r="C278" s="13">
        <v>341.3</v>
      </c>
      <c r="D278" s="13">
        <v>1.789E-2</v>
      </c>
      <c r="E278" s="13">
        <v>312.2</v>
      </c>
      <c r="F278" s="13">
        <v>312.60000000000002</v>
      </c>
      <c r="G278" s="13">
        <v>0.49199999999999999</v>
      </c>
      <c r="H278" s="13">
        <v>3.7290000000000001</v>
      </c>
      <c r="I278" s="13">
        <v>1108</v>
      </c>
      <c r="J278" s="13">
        <v>1191</v>
      </c>
      <c r="K278" s="13">
        <v>1.5880000000000001</v>
      </c>
    </row>
    <row r="279" spans="2:11" s="460" customFormat="1">
      <c r="B279" s="13">
        <v>125</v>
      </c>
      <c r="C279" s="13">
        <v>344.3</v>
      </c>
      <c r="D279" s="13">
        <v>1.7919999999999998E-2</v>
      </c>
      <c r="E279" s="13">
        <v>315.39999999999998</v>
      </c>
      <c r="F279" s="13">
        <v>315.89999999999998</v>
      </c>
      <c r="G279" s="13">
        <v>0.496</v>
      </c>
      <c r="H279" s="13">
        <v>3.5870000000000002</v>
      </c>
      <c r="I279" s="13">
        <v>1108</v>
      </c>
      <c r="J279" s="13">
        <v>1191</v>
      </c>
      <c r="K279" s="13">
        <v>1.585</v>
      </c>
    </row>
    <row r="280" spans="2:11" s="460" customFormat="1">
      <c r="B280" s="13">
        <v>130</v>
      </c>
      <c r="C280" s="13">
        <v>347.3</v>
      </c>
      <c r="D280" s="13">
        <v>1.796E-2</v>
      </c>
      <c r="E280" s="13">
        <v>318.60000000000002</v>
      </c>
      <c r="F280" s="13">
        <v>319</v>
      </c>
      <c r="G280" s="13">
        <v>0.49980000000000002</v>
      </c>
      <c r="H280" s="13">
        <v>3.4550000000000001</v>
      </c>
      <c r="I280" s="13">
        <v>1109</v>
      </c>
      <c r="J280" s="13">
        <v>1192</v>
      </c>
      <c r="K280" s="13">
        <v>1.5820000000000001</v>
      </c>
    </row>
    <row r="281" spans="2:11" s="460" customFormat="1">
      <c r="B281" s="13">
        <v>135</v>
      </c>
      <c r="C281" s="13">
        <v>350.2</v>
      </c>
      <c r="D281" s="13">
        <v>1.7989999999999999E-2</v>
      </c>
      <c r="E281" s="13">
        <v>321.60000000000002</v>
      </c>
      <c r="F281" s="13">
        <v>322</v>
      </c>
      <c r="G281" s="13">
        <v>0.50360000000000005</v>
      </c>
      <c r="H281" s="13">
        <v>3.3330000000000002</v>
      </c>
      <c r="I281" s="13">
        <v>1109</v>
      </c>
      <c r="J281" s="13">
        <v>1193</v>
      </c>
      <c r="K281" s="13">
        <v>1.579</v>
      </c>
    </row>
    <row r="282" spans="2:11" s="460" customFormat="1">
      <c r="B282" s="13">
        <v>140</v>
      </c>
      <c r="C282" s="13">
        <v>353</v>
      </c>
      <c r="D282" s="13">
        <v>1.8020000000000001E-2</v>
      </c>
      <c r="E282" s="13">
        <v>324.5</v>
      </c>
      <c r="F282" s="13">
        <v>325</v>
      </c>
      <c r="G282" s="13">
        <v>0.50719999999999998</v>
      </c>
      <c r="H282" s="13">
        <v>3.22</v>
      </c>
      <c r="I282" s="13">
        <v>1110</v>
      </c>
      <c r="J282" s="13">
        <v>1193</v>
      </c>
      <c r="K282" s="13">
        <v>1.5760000000000001</v>
      </c>
    </row>
    <row r="283" spans="2:11" s="460" customFormat="1">
      <c r="B283" s="13">
        <v>145</v>
      </c>
      <c r="C283" s="13">
        <v>355.8</v>
      </c>
      <c r="D283" s="13">
        <v>1.806E-2</v>
      </c>
      <c r="E283" s="13">
        <v>327.39999999999998</v>
      </c>
      <c r="F283" s="13">
        <v>327.9</v>
      </c>
      <c r="G283" s="13">
        <v>0.51070000000000004</v>
      </c>
      <c r="H283" s="13">
        <v>3.1139999999999999</v>
      </c>
      <c r="I283" s="13">
        <v>1110</v>
      </c>
      <c r="J283" s="13">
        <v>1194</v>
      </c>
      <c r="K283" s="13">
        <v>1.573</v>
      </c>
    </row>
    <row r="284" spans="2:11" s="460" customFormat="1">
      <c r="B284" s="13">
        <v>150</v>
      </c>
      <c r="C284" s="13">
        <v>358.4</v>
      </c>
      <c r="D284" s="13">
        <v>1.8089999999999998E-2</v>
      </c>
      <c r="E284" s="13">
        <v>330.2</v>
      </c>
      <c r="F284" s="13">
        <v>330.7</v>
      </c>
      <c r="G284" s="13">
        <v>0.5141</v>
      </c>
      <c r="H284" s="13">
        <v>3.0150000000000001</v>
      </c>
      <c r="I284" s="13">
        <v>1111</v>
      </c>
      <c r="J284" s="13">
        <v>1194</v>
      </c>
      <c r="K284" s="13">
        <v>1.57</v>
      </c>
    </row>
    <row r="285" spans="2:11" s="460" customFormat="1">
      <c r="B285" s="13">
        <v>155</v>
      </c>
      <c r="C285" s="13">
        <v>361</v>
      </c>
      <c r="D285" s="13">
        <v>1.8120000000000001E-2</v>
      </c>
      <c r="E285" s="13">
        <v>332.9</v>
      </c>
      <c r="F285" s="13">
        <v>333.4</v>
      </c>
      <c r="G285" s="13">
        <v>0.51749999999999996</v>
      </c>
      <c r="H285" s="13">
        <v>2.9220000000000002</v>
      </c>
      <c r="I285" s="13">
        <v>1111</v>
      </c>
      <c r="J285" s="13">
        <v>1195</v>
      </c>
      <c r="K285" s="13">
        <v>1.5669999999999999</v>
      </c>
    </row>
    <row r="286" spans="2:11" s="460" customFormat="1">
      <c r="B286" s="13">
        <v>160</v>
      </c>
      <c r="C286" s="13">
        <v>363.6</v>
      </c>
      <c r="D286" s="13">
        <v>1.8149999999999999E-2</v>
      </c>
      <c r="E286" s="13">
        <v>335.6</v>
      </c>
      <c r="F286" s="13">
        <v>336.1</v>
      </c>
      <c r="G286" s="13">
        <v>0.52070000000000005</v>
      </c>
      <c r="H286" s="13">
        <v>2.8340000000000001</v>
      </c>
      <c r="I286" s="13">
        <v>1112</v>
      </c>
      <c r="J286" s="13">
        <v>1196</v>
      </c>
      <c r="K286" s="13">
        <v>1.5649999999999999</v>
      </c>
    </row>
    <row r="287" spans="2:11" s="460" customFormat="1">
      <c r="B287" s="13">
        <v>165</v>
      </c>
      <c r="C287" s="13">
        <v>366</v>
      </c>
      <c r="D287" s="13">
        <v>1.8180000000000002E-2</v>
      </c>
      <c r="E287" s="13">
        <v>338.2</v>
      </c>
      <c r="F287" s="13">
        <v>338.7</v>
      </c>
      <c r="G287" s="13">
        <v>0.52390000000000003</v>
      </c>
      <c r="H287" s="13">
        <v>2.7519999999999998</v>
      </c>
      <c r="I287" s="13">
        <v>1112</v>
      </c>
      <c r="J287" s="13">
        <v>1196</v>
      </c>
      <c r="K287" s="13">
        <v>1.5620000000000001</v>
      </c>
    </row>
    <row r="288" spans="2:11" s="460" customFormat="1">
      <c r="B288" s="13">
        <v>170</v>
      </c>
      <c r="C288" s="13">
        <v>368.4</v>
      </c>
      <c r="D288" s="13">
        <v>1.821E-2</v>
      </c>
      <c r="E288" s="13">
        <v>340.7</v>
      </c>
      <c r="F288" s="13">
        <v>341.3</v>
      </c>
      <c r="G288" s="13">
        <v>0.52690000000000003</v>
      </c>
      <c r="H288" s="13">
        <v>2.6749999999999998</v>
      </c>
      <c r="I288" s="13">
        <v>1112</v>
      </c>
      <c r="J288" s="13">
        <v>1196</v>
      </c>
      <c r="K288" s="13">
        <v>1.56</v>
      </c>
    </row>
    <row r="289" spans="2:11" s="460" customFormat="1">
      <c r="B289" s="13">
        <v>175</v>
      </c>
      <c r="C289" s="13">
        <v>370.8</v>
      </c>
      <c r="D289" s="13">
        <v>1.8239999999999999E-2</v>
      </c>
      <c r="E289" s="13">
        <v>343.2</v>
      </c>
      <c r="F289" s="13">
        <v>343.8</v>
      </c>
      <c r="G289" s="13">
        <v>0.52990000000000004</v>
      </c>
      <c r="H289" s="13">
        <v>2.601</v>
      </c>
      <c r="I289" s="13">
        <v>1113</v>
      </c>
      <c r="J289" s="13">
        <v>1197</v>
      </c>
      <c r="K289" s="13">
        <v>1.5569999999999999</v>
      </c>
    </row>
    <row r="290" spans="2:11" s="460" customFormat="1">
      <c r="B290" s="13">
        <v>180</v>
      </c>
      <c r="C290" s="13">
        <v>373.1</v>
      </c>
      <c r="D290" s="13">
        <v>1.8270000000000002E-2</v>
      </c>
      <c r="E290" s="13">
        <v>345.6</v>
      </c>
      <c r="F290" s="13">
        <v>346.2</v>
      </c>
      <c r="G290" s="13">
        <v>0.53280000000000005</v>
      </c>
      <c r="H290" s="13">
        <v>2.532</v>
      </c>
      <c r="I290" s="13">
        <v>1113</v>
      </c>
      <c r="J290" s="13">
        <v>1197</v>
      </c>
      <c r="K290" s="13">
        <v>1.5549999999999999</v>
      </c>
    </row>
    <row r="291" spans="2:11" s="460" customFormat="1">
      <c r="B291" s="13">
        <v>185</v>
      </c>
      <c r="C291" s="13">
        <v>375.3</v>
      </c>
      <c r="D291" s="13">
        <v>1.83E-2</v>
      </c>
      <c r="E291" s="13">
        <v>348</v>
      </c>
      <c r="F291" s="13">
        <v>348.6</v>
      </c>
      <c r="G291" s="13">
        <v>0.53569999999999995</v>
      </c>
      <c r="H291" s="13">
        <v>2.4660000000000002</v>
      </c>
      <c r="I291" s="13">
        <v>1113</v>
      </c>
      <c r="J291" s="13">
        <v>1198</v>
      </c>
      <c r="K291" s="13">
        <v>1.5529999999999999</v>
      </c>
    </row>
    <row r="292" spans="2:11" s="460" customFormat="1">
      <c r="B292" s="13">
        <v>190</v>
      </c>
      <c r="C292" s="13">
        <v>377.5</v>
      </c>
      <c r="D292" s="13">
        <v>1.8329999999999999E-2</v>
      </c>
      <c r="E292" s="13">
        <v>350.3</v>
      </c>
      <c r="F292" s="13">
        <v>351</v>
      </c>
      <c r="G292" s="13">
        <v>0.53849999999999998</v>
      </c>
      <c r="H292" s="13">
        <v>2.4039999999999999</v>
      </c>
      <c r="I292" s="13">
        <v>1114</v>
      </c>
      <c r="J292" s="13">
        <v>1198</v>
      </c>
      <c r="K292" s="13">
        <v>1.55</v>
      </c>
    </row>
    <row r="293" spans="2:11" s="460" customFormat="1">
      <c r="B293" s="13">
        <v>195</v>
      </c>
      <c r="C293" s="13">
        <v>379.7</v>
      </c>
      <c r="D293" s="13">
        <v>1.8360000000000001E-2</v>
      </c>
      <c r="E293" s="13">
        <v>352.6</v>
      </c>
      <c r="F293" s="13">
        <v>353.3</v>
      </c>
      <c r="G293" s="13">
        <v>0.54120000000000001</v>
      </c>
      <c r="H293" s="13">
        <v>2.3439999999999999</v>
      </c>
      <c r="I293" s="13">
        <v>1114</v>
      </c>
      <c r="J293" s="13">
        <v>1198</v>
      </c>
      <c r="K293" s="13">
        <v>1.548</v>
      </c>
    </row>
    <row r="294" spans="2:11" s="460" customFormat="1">
      <c r="B294" s="13">
        <v>200</v>
      </c>
      <c r="C294" s="13">
        <v>381.8</v>
      </c>
      <c r="D294" s="13">
        <v>1.839E-2</v>
      </c>
      <c r="E294" s="13">
        <v>354.9</v>
      </c>
      <c r="F294" s="13">
        <v>355.5</v>
      </c>
      <c r="G294" s="13">
        <v>0.54390000000000005</v>
      </c>
      <c r="H294" s="13">
        <v>2.2879999999999998</v>
      </c>
      <c r="I294" s="13">
        <v>1114</v>
      </c>
      <c r="J294" s="13">
        <v>1199</v>
      </c>
      <c r="K294" s="13">
        <v>1.546</v>
      </c>
    </row>
    <row r="295" spans="2:11" s="460" customFormat="1">
      <c r="B295" s="13">
        <v>205</v>
      </c>
      <c r="C295" s="13">
        <v>383.9</v>
      </c>
      <c r="D295" s="13">
        <v>1.8409999999999999E-2</v>
      </c>
      <c r="E295" s="13">
        <v>357.1</v>
      </c>
      <c r="F295" s="13">
        <v>357.8</v>
      </c>
      <c r="G295" s="13">
        <v>0.54649999999999999</v>
      </c>
      <c r="H295" s="13">
        <v>2.234</v>
      </c>
      <c r="I295" s="13">
        <v>1114</v>
      </c>
      <c r="J295" s="13">
        <v>1199</v>
      </c>
      <c r="K295" s="13">
        <v>1.544</v>
      </c>
    </row>
    <row r="296" spans="2:11" s="460" customFormat="1">
      <c r="B296" s="13">
        <v>210</v>
      </c>
      <c r="C296" s="13">
        <v>385.9</v>
      </c>
      <c r="D296" s="13">
        <v>1.8440000000000002E-2</v>
      </c>
      <c r="E296" s="13">
        <v>359.2</v>
      </c>
      <c r="F296" s="13">
        <v>359.9</v>
      </c>
      <c r="G296" s="13">
        <v>0.54910000000000003</v>
      </c>
      <c r="H296" s="13">
        <v>2.1829999999999998</v>
      </c>
      <c r="I296" s="13">
        <v>1115</v>
      </c>
      <c r="J296" s="13">
        <v>1199</v>
      </c>
      <c r="K296" s="13">
        <v>1.542</v>
      </c>
    </row>
    <row r="297" spans="2:11" s="460" customFormat="1">
      <c r="B297" s="13">
        <v>215</v>
      </c>
      <c r="C297" s="13">
        <v>387.9</v>
      </c>
      <c r="D297" s="13">
        <v>1.847E-2</v>
      </c>
      <c r="E297" s="13">
        <v>361.3</v>
      </c>
      <c r="F297" s="13">
        <v>362.1</v>
      </c>
      <c r="G297" s="13">
        <v>0.55159999999999998</v>
      </c>
      <c r="H297" s="13">
        <v>2.1339999999999999</v>
      </c>
      <c r="I297" s="13">
        <v>1115</v>
      </c>
      <c r="J297" s="13">
        <v>1200</v>
      </c>
      <c r="K297" s="13">
        <v>1.54</v>
      </c>
    </row>
    <row r="298" spans="2:11" s="460" customFormat="1">
      <c r="B298" s="13">
        <v>220</v>
      </c>
      <c r="C298" s="13">
        <v>389.9</v>
      </c>
      <c r="D298" s="13">
        <v>1.8499999999999999E-2</v>
      </c>
      <c r="E298" s="13">
        <v>363.4</v>
      </c>
      <c r="F298" s="13">
        <v>364.2</v>
      </c>
      <c r="G298" s="13">
        <v>0.55410000000000004</v>
      </c>
      <c r="H298" s="13">
        <v>2.0870000000000002</v>
      </c>
      <c r="I298" s="13">
        <v>1115</v>
      </c>
      <c r="J298" s="13">
        <v>1200</v>
      </c>
      <c r="K298" s="13">
        <v>1.538</v>
      </c>
    </row>
    <row r="299" spans="2:11" s="460" customFormat="1">
      <c r="B299" s="13">
        <v>225</v>
      </c>
      <c r="C299" s="13">
        <v>391.8</v>
      </c>
      <c r="D299" s="13">
        <v>1.8519999999999998E-2</v>
      </c>
      <c r="E299" s="13">
        <v>365.5</v>
      </c>
      <c r="F299" s="13">
        <v>366.3</v>
      </c>
      <c r="G299" s="13">
        <v>0.55649999999999999</v>
      </c>
      <c r="H299" s="13">
        <v>2.0419999999999998</v>
      </c>
      <c r="I299" s="13">
        <v>1115</v>
      </c>
      <c r="J299" s="13">
        <v>1200</v>
      </c>
      <c r="K299" s="13">
        <v>1.536</v>
      </c>
    </row>
    <row r="300" spans="2:11" s="460" customFormat="1">
      <c r="B300" s="13">
        <v>230</v>
      </c>
      <c r="C300" s="13">
        <v>393.7</v>
      </c>
      <c r="D300" s="13">
        <v>1.8550000000000001E-2</v>
      </c>
      <c r="E300" s="13">
        <v>367.5</v>
      </c>
      <c r="F300" s="13">
        <v>368.3</v>
      </c>
      <c r="G300" s="13">
        <v>0.55879999999999996</v>
      </c>
      <c r="H300" s="13">
        <v>1.9990000000000001</v>
      </c>
      <c r="I300" s="13">
        <v>1116</v>
      </c>
      <c r="J300" s="13">
        <v>1201</v>
      </c>
      <c r="K300" s="13">
        <v>1.534</v>
      </c>
    </row>
    <row r="301" spans="2:11" s="460" customFormat="1">
      <c r="B301" s="13">
        <v>235</v>
      </c>
      <c r="C301" s="13">
        <v>395.6</v>
      </c>
      <c r="D301" s="13">
        <v>1.8579999999999999E-2</v>
      </c>
      <c r="E301" s="13">
        <v>369.5</v>
      </c>
      <c r="F301" s="13">
        <v>370.3</v>
      </c>
      <c r="G301" s="13">
        <v>0.56120000000000003</v>
      </c>
      <c r="H301" s="13">
        <v>1.958</v>
      </c>
      <c r="I301" s="13">
        <v>1116</v>
      </c>
      <c r="J301" s="13">
        <v>1201</v>
      </c>
      <c r="K301" s="13">
        <v>1.532</v>
      </c>
    </row>
    <row r="302" spans="2:11" s="460" customFormat="1">
      <c r="B302" s="13">
        <v>240</v>
      </c>
      <c r="C302" s="13">
        <v>397.4</v>
      </c>
      <c r="D302" s="13">
        <v>1.8599999999999998E-2</v>
      </c>
      <c r="E302" s="13">
        <v>371.5</v>
      </c>
      <c r="F302" s="13">
        <v>372.3</v>
      </c>
      <c r="G302" s="13">
        <v>0.5635</v>
      </c>
      <c r="H302" s="13">
        <v>1.9179999999999999</v>
      </c>
      <c r="I302" s="13">
        <v>1116</v>
      </c>
      <c r="J302" s="13">
        <v>1201</v>
      </c>
      <c r="K302" s="13">
        <v>1.5309999999999999</v>
      </c>
    </row>
    <row r="303" spans="2:11" s="460" customFormat="1">
      <c r="B303" s="13">
        <v>245</v>
      </c>
      <c r="C303" s="13">
        <v>399.2</v>
      </c>
      <c r="D303" s="13">
        <v>1.8630000000000001E-2</v>
      </c>
      <c r="E303" s="13">
        <v>373.4</v>
      </c>
      <c r="F303" s="13">
        <v>374.2</v>
      </c>
      <c r="G303" s="13">
        <v>0.56569999999999998</v>
      </c>
      <c r="H303" s="13">
        <v>1.88</v>
      </c>
      <c r="I303" s="13">
        <v>1116</v>
      </c>
      <c r="J303" s="13">
        <v>1201</v>
      </c>
      <c r="K303" s="13">
        <v>1.5289999999999999</v>
      </c>
    </row>
    <row r="304" spans="2:11" s="460" customFormat="1">
      <c r="B304" s="13">
        <v>250</v>
      </c>
      <c r="C304" s="13">
        <v>401</v>
      </c>
      <c r="D304" s="13">
        <v>1.865E-2</v>
      </c>
      <c r="E304" s="13">
        <v>375.3</v>
      </c>
      <c r="F304" s="13">
        <v>376.2</v>
      </c>
      <c r="G304" s="13">
        <v>0.56789999999999996</v>
      </c>
      <c r="H304" s="13">
        <v>1.8440000000000001</v>
      </c>
      <c r="I304" s="13">
        <v>1116</v>
      </c>
      <c r="J304" s="13">
        <v>1202</v>
      </c>
      <c r="K304" s="13">
        <v>1.5269999999999999</v>
      </c>
    </row>
    <row r="305" spans="2:11" s="460" customFormat="1">
      <c r="B305" s="13">
        <v>255</v>
      </c>
      <c r="C305" s="13">
        <v>402.7</v>
      </c>
      <c r="D305" s="13">
        <v>1.8679999999999999E-2</v>
      </c>
      <c r="E305" s="13">
        <v>377.2</v>
      </c>
      <c r="F305" s="13">
        <v>378.1</v>
      </c>
      <c r="G305" s="13">
        <v>0.57010000000000005</v>
      </c>
      <c r="H305" s="13">
        <v>1.8089999999999999</v>
      </c>
      <c r="I305" s="13">
        <v>1116</v>
      </c>
      <c r="J305" s="13">
        <v>1202</v>
      </c>
      <c r="K305" s="13">
        <v>1.5249999999999999</v>
      </c>
    </row>
    <row r="306" spans="2:11" s="460" customFormat="1">
      <c r="B306" s="13">
        <v>260</v>
      </c>
      <c r="C306" s="13">
        <v>404.5</v>
      </c>
      <c r="D306" s="13">
        <v>1.8700000000000001E-2</v>
      </c>
      <c r="E306" s="13">
        <v>379</v>
      </c>
      <c r="F306" s="13">
        <v>379.9</v>
      </c>
      <c r="G306" s="13">
        <v>0.57230000000000003</v>
      </c>
      <c r="H306" s="13">
        <v>1.7749999999999999</v>
      </c>
      <c r="I306" s="13">
        <v>1117</v>
      </c>
      <c r="J306" s="13">
        <v>1202</v>
      </c>
      <c r="K306" s="13">
        <v>1.524</v>
      </c>
    </row>
    <row r="307" spans="2:11" s="460" customFormat="1">
      <c r="B307" s="13">
        <v>265</v>
      </c>
      <c r="C307" s="13">
        <v>406.1</v>
      </c>
      <c r="D307" s="13">
        <v>1.873E-2</v>
      </c>
      <c r="E307" s="13">
        <v>380.8</v>
      </c>
      <c r="F307" s="13">
        <v>381.8</v>
      </c>
      <c r="G307" s="13">
        <v>0.57440000000000002</v>
      </c>
      <c r="H307" s="13">
        <v>1.742</v>
      </c>
      <c r="I307" s="13">
        <v>1117</v>
      </c>
      <c r="J307" s="13">
        <v>1202</v>
      </c>
      <c r="K307" s="13">
        <v>1.522</v>
      </c>
    </row>
    <row r="308" spans="2:11" s="460" customFormat="1">
      <c r="B308" s="13">
        <v>270</v>
      </c>
      <c r="C308" s="13">
        <v>407.8</v>
      </c>
      <c r="D308" s="13">
        <v>1.8749999999999999E-2</v>
      </c>
      <c r="E308" s="13">
        <v>382.6</v>
      </c>
      <c r="F308" s="13">
        <v>383.6</v>
      </c>
      <c r="G308" s="13">
        <v>0.57640000000000002</v>
      </c>
      <c r="H308" s="13">
        <v>1.7110000000000001</v>
      </c>
      <c r="I308" s="13">
        <v>1117</v>
      </c>
      <c r="J308" s="13">
        <v>1202</v>
      </c>
      <c r="K308" s="13">
        <v>1.52</v>
      </c>
    </row>
    <row r="309" spans="2:11" s="460" customFormat="1">
      <c r="B309" s="13">
        <v>275</v>
      </c>
      <c r="C309" s="13">
        <v>409.5</v>
      </c>
      <c r="D309" s="13">
        <v>1.8780000000000002E-2</v>
      </c>
      <c r="E309" s="13">
        <v>384.4</v>
      </c>
      <c r="F309" s="13">
        <v>385.4</v>
      </c>
      <c r="G309" s="13">
        <v>0.57850000000000001</v>
      </c>
      <c r="H309" s="13">
        <v>1.68</v>
      </c>
      <c r="I309" s="13">
        <v>1117</v>
      </c>
      <c r="J309" s="13">
        <v>1203</v>
      </c>
      <c r="K309" s="13">
        <v>1.5189999999999999</v>
      </c>
    </row>
    <row r="310" spans="2:11" s="460" customFormat="1">
      <c r="B310" s="13">
        <v>280</v>
      </c>
      <c r="C310" s="13">
        <v>411.1</v>
      </c>
      <c r="D310" s="13">
        <v>1.8800000000000001E-2</v>
      </c>
      <c r="E310" s="13">
        <v>386.2</v>
      </c>
      <c r="F310" s="13">
        <v>387.1</v>
      </c>
      <c r="G310" s="13">
        <v>0.58050000000000002</v>
      </c>
      <c r="H310" s="13">
        <v>1.651</v>
      </c>
      <c r="I310" s="13">
        <v>1117</v>
      </c>
      <c r="J310" s="13">
        <v>1203</v>
      </c>
      <c r="K310" s="13">
        <v>1.5169999999999999</v>
      </c>
    </row>
    <row r="311" spans="2:11" s="460" customFormat="1">
      <c r="B311" s="13">
        <v>285</v>
      </c>
      <c r="C311" s="13">
        <v>412.7</v>
      </c>
      <c r="D311" s="13">
        <v>1.883E-2</v>
      </c>
      <c r="E311" s="13">
        <v>387.9</v>
      </c>
      <c r="F311" s="13">
        <v>388.9</v>
      </c>
      <c r="G311" s="13">
        <v>0.58250000000000002</v>
      </c>
      <c r="H311" s="13">
        <v>1.623</v>
      </c>
      <c r="I311" s="13">
        <v>1117</v>
      </c>
      <c r="J311" s="13">
        <v>1203</v>
      </c>
      <c r="K311" s="13">
        <v>1.516</v>
      </c>
    </row>
    <row r="312" spans="2:11" s="460" customFormat="1">
      <c r="B312" s="13">
        <v>290</v>
      </c>
      <c r="C312" s="13">
        <v>414.3</v>
      </c>
      <c r="D312" s="13">
        <v>1.8849999999999999E-2</v>
      </c>
      <c r="E312" s="13">
        <v>389.6</v>
      </c>
      <c r="F312" s="13">
        <v>390.6</v>
      </c>
      <c r="G312" s="13">
        <v>0.58440000000000003</v>
      </c>
      <c r="H312" s="13">
        <v>1.5960000000000001</v>
      </c>
      <c r="I312" s="13">
        <v>1117</v>
      </c>
      <c r="J312" s="13">
        <v>1203</v>
      </c>
      <c r="K312" s="13">
        <v>1.514</v>
      </c>
    </row>
    <row r="313" spans="2:11" s="460" customFormat="1">
      <c r="B313" s="13">
        <v>295</v>
      </c>
      <c r="C313" s="13">
        <v>415.8</v>
      </c>
      <c r="D313" s="13">
        <v>1.8870000000000001E-2</v>
      </c>
      <c r="E313" s="13">
        <v>391.3</v>
      </c>
      <c r="F313" s="13">
        <v>392.3</v>
      </c>
      <c r="G313" s="13">
        <v>0.58640000000000003</v>
      </c>
      <c r="H313" s="13">
        <v>1.569</v>
      </c>
      <c r="I313" s="13">
        <v>1118</v>
      </c>
      <c r="J313" s="13">
        <v>1203</v>
      </c>
      <c r="K313" s="13">
        <v>1.5129999999999999</v>
      </c>
    </row>
    <row r="314" spans="2:11" s="460" customFormat="1">
      <c r="B314" s="13">
        <v>300</v>
      </c>
      <c r="C314" s="13">
        <v>417.4</v>
      </c>
      <c r="D314" s="13">
        <v>1.89E-2</v>
      </c>
      <c r="E314" s="13">
        <v>393</v>
      </c>
      <c r="F314" s="13">
        <v>394</v>
      </c>
      <c r="G314" s="13">
        <v>0.58830000000000005</v>
      </c>
      <c r="H314" s="13">
        <v>1.5429999999999999</v>
      </c>
      <c r="I314" s="13">
        <v>1118</v>
      </c>
      <c r="J314" s="13">
        <v>1203</v>
      </c>
      <c r="K314" s="13">
        <v>1.5109999999999999</v>
      </c>
    </row>
    <row r="315" spans="2:11" s="460" customFormat="1">
      <c r="B315" s="13">
        <v>305</v>
      </c>
      <c r="C315" s="13">
        <v>418.9</v>
      </c>
      <c r="D315" s="13">
        <v>1.8919999999999999E-2</v>
      </c>
      <c r="E315" s="13">
        <v>394.6</v>
      </c>
      <c r="F315" s="13">
        <v>395.7</v>
      </c>
      <c r="G315" s="13">
        <v>0.59009999999999996</v>
      </c>
      <c r="H315" s="13">
        <v>1.5189999999999999</v>
      </c>
      <c r="I315" s="13">
        <v>1118</v>
      </c>
      <c r="J315" s="13">
        <v>1204</v>
      </c>
      <c r="K315" s="13">
        <v>1.51</v>
      </c>
    </row>
    <row r="316" spans="2:11" s="460" customFormat="1">
      <c r="B316" s="13">
        <v>310</v>
      </c>
      <c r="C316" s="13">
        <v>420.4</v>
      </c>
      <c r="D316" s="13">
        <v>1.8939999999999999E-2</v>
      </c>
      <c r="E316" s="13">
        <v>396.2</v>
      </c>
      <c r="F316" s="13">
        <v>397.3</v>
      </c>
      <c r="G316" s="13">
        <v>0.59199999999999997</v>
      </c>
      <c r="H316" s="13">
        <v>1.4950000000000001</v>
      </c>
      <c r="I316" s="13">
        <v>1118</v>
      </c>
      <c r="J316" s="13">
        <v>1204</v>
      </c>
      <c r="K316" s="13">
        <v>1.508</v>
      </c>
    </row>
    <row r="317" spans="2:11" s="460" customFormat="1">
      <c r="B317" s="13">
        <v>315</v>
      </c>
      <c r="C317" s="13">
        <v>421.9</v>
      </c>
      <c r="D317" s="13">
        <v>1.8970000000000001E-2</v>
      </c>
      <c r="E317" s="13">
        <v>397.8</v>
      </c>
      <c r="F317" s="13">
        <v>398.9</v>
      </c>
      <c r="G317" s="13">
        <v>0.59379999999999999</v>
      </c>
      <c r="H317" s="13">
        <v>1.4710000000000001</v>
      </c>
      <c r="I317" s="13">
        <v>1118</v>
      </c>
      <c r="J317" s="13">
        <v>1204</v>
      </c>
      <c r="K317" s="13">
        <v>1.5069999999999999</v>
      </c>
    </row>
    <row r="318" spans="2:11" s="460" customFormat="1">
      <c r="B318" s="13">
        <v>320</v>
      </c>
      <c r="C318" s="13">
        <v>423.3</v>
      </c>
      <c r="D318" s="13">
        <v>1.899E-2</v>
      </c>
      <c r="E318" s="13">
        <v>399.4</v>
      </c>
      <c r="F318" s="13">
        <v>400.5</v>
      </c>
      <c r="G318" s="13">
        <v>0.59560000000000002</v>
      </c>
      <c r="H318" s="13">
        <v>1.4490000000000001</v>
      </c>
      <c r="I318" s="13">
        <v>1118</v>
      </c>
      <c r="J318" s="13">
        <v>1204</v>
      </c>
      <c r="K318" s="13">
        <v>1.5049999999999999</v>
      </c>
    </row>
    <row r="319" spans="2:11" s="460" customFormat="1">
      <c r="B319" s="13">
        <v>325</v>
      </c>
      <c r="C319" s="13">
        <v>424.8</v>
      </c>
      <c r="D319" s="13">
        <v>1.9009999999999999E-2</v>
      </c>
      <c r="E319" s="13">
        <v>401</v>
      </c>
      <c r="F319" s="13">
        <v>402.1</v>
      </c>
      <c r="G319" s="13">
        <v>0.59740000000000004</v>
      </c>
      <c r="H319" s="13">
        <v>1.427</v>
      </c>
      <c r="I319" s="13">
        <v>1118</v>
      </c>
      <c r="J319" s="13">
        <v>1204</v>
      </c>
      <c r="K319" s="13">
        <v>1.504</v>
      </c>
    </row>
    <row r="320" spans="2:11" s="460" customFormat="1">
      <c r="B320" s="13">
        <v>330</v>
      </c>
      <c r="C320" s="13">
        <v>426.2</v>
      </c>
      <c r="D320" s="13">
        <v>1.9040000000000001E-2</v>
      </c>
      <c r="E320" s="13">
        <v>402.5</v>
      </c>
      <c r="F320" s="13">
        <v>403.7</v>
      </c>
      <c r="G320" s="13">
        <v>0.59919999999999995</v>
      </c>
      <c r="H320" s="13">
        <v>1.405</v>
      </c>
      <c r="I320" s="13">
        <v>1118</v>
      </c>
      <c r="J320" s="13">
        <v>1204</v>
      </c>
      <c r="K320" s="13">
        <v>1.5029999999999999</v>
      </c>
    </row>
    <row r="321" spans="2:11" s="460" customFormat="1">
      <c r="B321" s="13">
        <v>335</v>
      </c>
      <c r="C321" s="13">
        <v>427.6</v>
      </c>
      <c r="D321" s="13">
        <v>1.9060000000000001E-2</v>
      </c>
      <c r="E321" s="13">
        <v>404.1</v>
      </c>
      <c r="F321" s="13">
        <v>405.3</v>
      </c>
      <c r="G321" s="13">
        <v>0.60089999999999999</v>
      </c>
      <c r="H321" s="13">
        <v>1.385</v>
      </c>
      <c r="I321" s="13">
        <v>1118</v>
      </c>
      <c r="J321" s="13">
        <v>1204</v>
      </c>
      <c r="K321" s="13">
        <v>1.5009999999999999</v>
      </c>
    </row>
    <row r="322" spans="2:11" s="460" customFormat="1">
      <c r="B322" s="13">
        <v>340</v>
      </c>
      <c r="C322" s="13">
        <v>429</v>
      </c>
      <c r="D322" s="13">
        <v>1.908E-2</v>
      </c>
      <c r="E322" s="13">
        <v>405.6</v>
      </c>
      <c r="F322" s="13">
        <v>406.8</v>
      </c>
      <c r="G322" s="13">
        <v>0.60260000000000002</v>
      </c>
      <c r="H322" s="13">
        <v>1.365</v>
      </c>
      <c r="I322" s="13">
        <v>1118</v>
      </c>
      <c r="J322" s="13">
        <v>1204</v>
      </c>
      <c r="K322" s="13">
        <v>1.5</v>
      </c>
    </row>
    <row r="323" spans="2:11" s="460" customFormat="1">
      <c r="B323" s="13">
        <v>345</v>
      </c>
      <c r="C323" s="13">
        <v>430.4</v>
      </c>
      <c r="D323" s="13">
        <v>1.9099999999999999E-2</v>
      </c>
      <c r="E323" s="13">
        <v>407.1</v>
      </c>
      <c r="F323" s="13">
        <v>408.3</v>
      </c>
      <c r="G323" s="13">
        <v>0.60429999999999995</v>
      </c>
      <c r="H323" s="13">
        <v>1.345</v>
      </c>
      <c r="I323" s="13">
        <v>1119</v>
      </c>
      <c r="J323" s="13">
        <v>1204</v>
      </c>
      <c r="K323" s="13">
        <v>1.4990000000000001</v>
      </c>
    </row>
    <row r="324" spans="2:11" s="460" customFormat="1">
      <c r="B324" s="13">
        <v>350</v>
      </c>
      <c r="C324" s="13">
        <v>431.8</v>
      </c>
      <c r="D324" s="13">
        <v>1.9130000000000001E-2</v>
      </c>
      <c r="E324" s="13">
        <v>408.6</v>
      </c>
      <c r="F324" s="13">
        <v>409.8</v>
      </c>
      <c r="G324" s="13">
        <v>0.60599999999999998</v>
      </c>
      <c r="H324" s="13">
        <v>1.3260000000000001</v>
      </c>
      <c r="I324" s="13">
        <v>1119</v>
      </c>
      <c r="J324" s="13">
        <v>1204</v>
      </c>
      <c r="K324" s="13">
        <v>1.4970000000000001</v>
      </c>
    </row>
    <row r="325" spans="2:11" s="460" customFormat="1">
      <c r="B325" s="13">
        <v>355</v>
      </c>
      <c r="C325" s="13">
        <v>433.1</v>
      </c>
      <c r="D325" s="13">
        <v>1.915E-2</v>
      </c>
      <c r="E325" s="13">
        <v>410.1</v>
      </c>
      <c r="F325" s="13">
        <v>411.3</v>
      </c>
      <c r="G325" s="13">
        <v>0.60760000000000003</v>
      </c>
      <c r="H325" s="13">
        <v>1.3080000000000001</v>
      </c>
      <c r="I325" s="13">
        <v>1119</v>
      </c>
      <c r="J325" s="13">
        <v>1205</v>
      </c>
      <c r="K325" s="13">
        <v>1.496</v>
      </c>
    </row>
    <row r="326" spans="2:11" s="460" customFormat="1">
      <c r="B326" s="13">
        <v>360</v>
      </c>
      <c r="C326" s="13">
        <v>434.4</v>
      </c>
      <c r="D326" s="13">
        <v>1.917E-2</v>
      </c>
      <c r="E326" s="13">
        <v>411.5</v>
      </c>
      <c r="F326" s="13">
        <v>412.8</v>
      </c>
      <c r="G326" s="13">
        <v>0.60929999999999995</v>
      </c>
      <c r="H326" s="13">
        <v>1.29</v>
      </c>
      <c r="I326" s="13">
        <v>1119</v>
      </c>
      <c r="J326" s="13">
        <v>1205</v>
      </c>
      <c r="K326" s="13">
        <v>1.4950000000000001</v>
      </c>
    </row>
    <row r="327" spans="2:11" s="460" customFormat="1">
      <c r="B327" s="13">
        <v>365</v>
      </c>
      <c r="C327" s="13">
        <v>435.8</v>
      </c>
      <c r="D327" s="13">
        <v>1.9189999999999999E-2</v>
      </c>
      <c r="E327" s="13">
        <v>413</v>
      </c>
      <c r="F327" s="13">
        <v>414.3</v>
      </c>
      <c r="G327" s="13">
        <v>0.6109</v>
      </c>
      <c r="H327" s="13">
        <v>1.272</v>
      </c>
      <c r="I327" s="13">
        <v>1119</v>
      </c>
      <c r="J327" s="13">
        <v>1205</v>
      </c>
      <c r="K327" s="13">
        <v>1.494</v>
      </c>
    </row>
    <row r="328" spans="2:11" s="460" customFormat="1">
      <c r="B328" s="13">
        <v>370</v>
      </c>
      <c r="C328" s="13">
        <v>437.1</v>
      </c>
      <c r="D328" s="13">
        <v>1.9210000000000001E-2</v>
      </c>
      <c r="E328" s="13">
        <v>414.4</v>
      </c>
      <c r="F328" s="13">
        <v>415.7</v>
      </c>
      <c r="G328" s="13">
        <v>0.61250000000000004</v>
      </c>
      <c r="H328" s="13">
        <v>1.2549999999999999</v>
      </c>
      <c r="I328" s="13">
        <v>1119</v>
      </c>
      <c r="J328" s="13">
        <v>1205</v>
      </c>
      <c r="K328" s="13">
        <v>1.492</v>
      </c>
    </row>
    <row r="329" spans="2:11" s="460" customFormat="1">
      <c r="B329" s="13">
        <v>375</v>
      </c>
      <c r="C329" s="13">
        <v>438.4</v>
      </c>
      <c r="D329" s="13">
        <v>1.924E-2</v>
      </c>
      <c r="E329" s="13">
        <v>415.8</v>
      </c>
      <c r="F329" s="13">
        <v>417.2</v>
      </c>
      <c r="G329" s="13">
        <v>0.61409999999999998</v>
      </c>
      <c r="H329" s="13">
        <v>1.2390000000000001</v>
      </c>
      <c r="I329" s="13">
        <v>1119</v>
      </c>
      <c r="J329" s="13">
        <v>1205</v>
      </c>
      <c r="K329" s="13">
        <v>1.4910000000000001</v>
      </c>
    </row>
    <row r="330" spans="2:11" s="460" customFormat="1">
      <c r="B330" s="13">
        <v>380</v>
      </c>
      <c r="C330" s="13">
        <v>439.6</v>
      </c>
      <c r="D330" s="13">
        <v>1.9259999999999999E-2</v>
      </c>
      <c r="E330" s="13">
        <v>417.2</v>
      </c>
      <c r="F330" s="13">
        <v>418.6</v>
      </c>
      <c r="G330" s="13">
        <v>0.61560000000000004</v>
      </c>
      <c r="H330" s="13">
        <v>1.222</v>
      </c>
      <c r="I330" s="13">
        <v>1119</v>
      </c>
      <c r="J330" s="13">
        <v>1205</v>
      </c>
      <c r="K330" s="13">
        <v>1.49</v>
      </c>
    </row>
    <row r="331" spans="2:11" s="460" customFormat="1">
      <c r="B331" s="13">
        <v>385</v>
      </c>
      <c r="C331" s="13">
        <v>440.9</v>
      </c>
      <c r="D331" s="13">
        <v>1.9279999999999999E-2</v>
      </c>
      <c r="E331" s="13">
        <v>418.6</v>
      </c>
      <c r="F331" s="13">
        <v>420</v>
      </c>
      <c r="G331" s="13">
        <v>0.61719999999999997</v>
      </c>
      <c r="H331" s="13">
        <v>1.2070000000000001</v>
      </c>
      <c r="I331" s="13">
        <v>1119</v>
      </c>
      <c r="J331" s="13">
        <v>1205</v>
      </c>
      <c r="K331" s="13">
        <v>1.4890000000000001</v>
      </c>
    </row>
    <row r="332" spans="2:11" s="460" customFormat="1">
      <c r="B332" s="13">
        <v>390</v>
      </c>
      <c r="C332" s="13">
        <v>442.2</v>
      </c>
      <c r="D332" s="13">
        <v>1.9300000000000001E-2</v>
      </c>
      <c r="E332" s="13">
        <v>420</v>
      </c>
      <c r="F332" s="13">
        <v>421.4</v>
      </c>
      <c r="G332" s="13">
        <v>0.61870000000000003</v>
      </c>
      <c r="H332" s="13">
        <v>1.1910000000000001</v>
      </c>
      <c r="I332" s="13">
        <v>1119</v>
      </c>
      <c r="J332" s="13">
        <v>1205</v>
      </c>
      <c r="K332" s="13">
        <v>1.488</v>
      </c>
    </row>
    <row r="333" spans="2:11" s="460" customFormat="1">
      <c r="B333" s="13">
        <v>395</v>
      </c>
      <c r="C333" s="13">
        <v>443.4</v>
      </c>
      <c r="D333" s="13">
        <v>1.932E-2</v>
      </c>
      <c r="E333" s="13">
        <v>421.4</v>
      </c>
      <c r="F333" s="13">
        <v>422.8</v>
      </c>
      <c r="G333" s="13">
        <v>0.62019999999999997</v>
      </c>
      <c r="H333" s="13">
        <v>1.1759999999999999</v>
      </c>
      <c r="I333" s="13">
        <v>1119</v>
      </c>
      <c r="J333" s="13">
        <v>1205</v>
      </c>
      <c r="K333" s="13">
        <v>1.486</v>
      </c>
    </row>
    <row r="334" spans="2:11" s="460" customFormat="1">
      <c r="B334" s="13">
        <v>400</v>
      </c>
      <c r="C334" s="13">
        <v>444.6</v>
      </c>
      <c r="D334" s="13">
        <v>1.934E-2</v>
      </c>
      <c r="E334" s="13">
        <v>422.7</v>
      </c>
      <c r="F334" s="13">
        <v>424.2</v>
      </c>
      <c r="G334" s="13">
        <v>0.62170000000000003</v>
      </c>
      <c r="H334" s="13">
        <v>1.1619999999999999</v>
      </c>
      <c r="I334" s="13">
        <v>1119</v>
      </c>
      <c r="J334" s="13">
        <v>1205</v>
      </c>
      <c r="K334" s="13">
        <v>1.4850000000000001</v>
      </c>
    </row>
    <row r="335" spans="2:11" s="460" customFormat="1">
      <c r="B335" s="13">
        <v>405</v>
      </c>
      <c r="C335" s="13">
        <v>445.8</v>
      </c>
      <c r="D335" s="13">
        <v>1.9359999999999999E-2</v>
      </c>
      <c r="E335" s="13">
        <v>424.1</v>
      </c>
      <c r="F335" s="13">
        <v>425.5</v>
      </c>
      <c r="G335" s="13">
        <v>0.62319999999999998</v>
      </c>
      <c r="H335" s="13">
        <v>1.147</v>
      </c>
      <c r="I335" s="13">
        <v>1119</v>
      </c>
      <c r="J335" s="13">
        <v>1205</v>
      </c>
      <c r="K335" s="13">
        <v>1.484</v>
      </c>
    </row>
    <row r="336" spans="2:11" s="460" customFormat="1">
      <c r="B336" s="13">
        <v>410</v>
      </c>
      <c r="C336" s="13">
        <v>447.1</v>
      </c>
      <c r="D336" s="13">
        <v>1.9380000000000001E-2</v>
      </c>
      <c r="E336" s="13">
        <v>425.4</v>
      </c>
      <c r="F336" s="13">
        <v>426.9</v>
      </c>
      <c r="G336" s="13">
        <v>0.62470000000000003</v>
      </c>
      <c r="H336" s="13">
        <v>1.133</v>
      </c>
      <c r="I336" s="13">
        <v>1119</v>
      </c>
      <c r="J336" s="13">
        <v>1205</v>
      </c>
      <c r="K336" s="13">
        <v>1.4830000000000001</v>
      </c>
    </row>
    <row r="337" spans="2:11" s="460" customFormat="1">
      <c r="B337" s="13">
        <v>415</v>
      </c>
      <c r="C337" s="13">
        <v>448.2</v>
      </c>
      <c r="D337" s="13">
        <v>1.941E-2</v>
      </c>
      <c r="E337" s="13">
        <v>426.7</v>
      </c>
      <c r="F337" s="13">
        <v>428.2</v>
      </c>
      <c r="G337" s="13">
        <v>0.62619999999999998</v>
      </c>
      <c r="H337" s="13">
        <v>1.1200000000000001</v>
      </c>
      <c r="I337" s="13">
        <v>1119</v>
      </c>
      <c r="J337" s="13">
        <v>1205</v>
      </c>
      <c r="K337" s="13">
        <v>1.482</v>
      </c>
    </row>
    <row r="338" spans="2:11" s="460" customFormat="1">
      <c r="B338" s="13">
        <v>420</v>
      </c>
      <c r="C338" s="13">
        <v>449.4</v>
      </c>
      <c r="D338" s="13">
        <v>1.9429999999999999E-2</v>
      </c>
      <c r="E338" s="13">
        <v>428.1</v>
      </c>
      <c r="F338" s="13">
        <v>429.6</v>
      </c>
      <c r="G338" s="13">
        <v>0.62760000000000005</v>
      </c>
      <c r="H338" s="13">
        <v>1.1060000000000001</v>
      </c>
      <c r="I338" s="13">
        <v>1119</v>
      </c>
      <c r="J338" s="13">
        <v>1205</v>
      </c>
      <c r="K338" s="13">
        <v>1.4810000000000001</v>
      </c>
    </row>
    <row r="339" spans="2:11" s="460" customFormat="1">
      <c r="B339" s="13">
        <v>425</v>
      </c>
      <c r="C339" s="13">
        <v>450.6</v>
      </c>
      <c r="D339" s="13">
        <v>1.9449999999999999E-2</v>
      </c>
      <c r="E339" s="13">
        <v>429.4</v>
      </c>
      <c r="F339" s="13">
        <v>430.9</v>
      </c>
      <c r="G339" s="13">
        <v>0.629</v>
      </c>
      <c r="H339" s="13">
        <v>1.093</v>
      </c>
      <c r="I339" s="13">
        <v>1119</v>
      </c>
      <c r="J339" s="13">
        <v>1205</v>
      </c>
      <c r="K339" s="13">
        <v>1.48</v>
      </c>
    </row>
    <row r="340" spans="2:11" s="460" customFormat="1">
      <c r="B340" s="13">
        <v>430</v>
      </c>
      <c r="C340" s="13">
        <v>451.8</v>
      </c>
      <c r="D340" s="13">
        <v>1.9470000000000001E-2</v>
      </c>
      <c r="E340" s="13">
        <v>430.6</v>
      </c>
      <c r="F340" s="13">
        <v>432.2</v>
      </c>
      <c r="G340" s="13">
        <v>0.63049999999999995</v>
      </c>
      <c r="H340" s="13">
        <v>1.081</v>
      </c>
      <c r="I340" s="13">
        <v>1119</v>
      </c>
      <c r="J340" s="13">
        <v>1205</v>
      </c>
      <c r="K340" s="13">
        <v>1.4790000000000001</v>
      </c>
    </row>
    <row r="341" spans="2:11" s="460" customFormat="1">
      <c r="B341" s="13">
        <v>435</v>
      </c>
      <c r="C341" s="13">
        <v>452.9</v>
      </c>
      <c r="D341" s="13">
        <v>1.949E-2</v>
      </c>
      <c r="E341" s="13">
        <v>431.9</v>
      </c>
      <c r="F341" s="13">
        <v>433.5</v>
      </c>
      <c r="G341" s="13">
        <v>0.63190000000000002</v>
      </c>
      <c r="H341" s="13">
        <v>1.0680000000000001</v>
      </c>
      <c r="I341" s="13">
        <v>1119</v>
      </c>
      <c r="J341" s="13">
        <v>1205</v>
      </c>
      <c r="K341" s="13">
        <v>1.4770000000000001</v>
      </c>
    </row>
    <row r="342" spans="2:11" s="460" customFormat="1">
      <c r="B342" s="13">
        <v>440</v>
      </c>
      <c r="C342" s="13">
        <v>454.1</v>
      </c>
      <c r="D342" s="13">
        <v>1.951E-2</v>
      </c>
      <c r="E342" s="13">
        <v>433.2</v>
      </c>
      <c r="F342" s="13">
        <v>434.8</v>
      </c>
      <c r="G342" s="13">
        <v>0.63329999999999997</v>
      </c>
      <c r="H342" s="13">
        <v>1.056</v>
      </c>
      <c r="I342" s="13">
        <v>1119</v>
      </c>
      <c r="J342" s="13">
        <v>1205</v>
      </c>
      <c r="K342" s="13">
        <v>1.476</v>
      </c>
    </row>
    <row r="343" spans="2:11" s="460" customFormat="1">
      <c r="B343" s="13">
        <v>445</v>
      </c>
      <c r="C343" s="13">
        <v>455.2</v>
      </c>
      <c r="D343" s="13">
        <v>1.9529999999999999E-2</v>
      </c>
      <c r="E343" s="13">
        <v>434.5</v>
      </c>
      <c r="F343" s="13">
        <v>436.1</v>
      </c>
      <c r="G343" s="13">
        <v>0.63460000000000005</v>
      </c>
      <c r="H343" s="13">
        <v>1.044</v>
      </c>
      <c r="I343" s="13">
        <v>1119</v>
      </c>
      <c r="J343" s="13">
        <v>1205</v>
      </c>
      <c r="K343" s="13">
        <v>1.4750000000000001</v>
      </c>
    </row>
    <row r="344" spans="2:11" s="460" customFormat="1">
      <c r="B344" s="13">
        <v>450</v>
      </c>
      <c r="C344" s="13">
        <v>456.3</v>
      </c>
      <c r="D344" s="13">
        <v>1.9550000000000001E-2</v>
      </c>
      <c r="E344" s="13">
        <v>435.7</v>
      </c>
      <c r="F344" s="13">
        <v>437.3</v>
      </c>
      <c r="G344" s="13">
        <v>0.63600000000000001</v>
      </c>
      <c r="H344" s="13">
        <v>1.032</v>
      </c>
      <c r="I344" s="13">
        <v>1119</v>
      </c>
      <c r="J344" s="13">
        <v>1205</v>
      </c>
      <c r="K344" s="13">
        <v>1.474</v>
      </c>
    </row>
    <row r="345" spans="2:11" s="460" customFormat="1">
      <c r="B345" s="13">
        <v>455</v>
      </c>
      <c r="C345" s="13">
        <v>457.4</v>
      </c>
      <c r="D345" s="13">
        <v>1.9570000000000001E-2</v>
      </c>
      <c r="E345" s="13">
        <v>436.9</v>
      </c>
      <c r="F345" s="13">
        <v>438.6</v>
      </c>
      <c r="G345" s="13">
        <v>0.63739999999999997</v>
      </c>
      <c r="H345" s="13">
        <v>1.0209999999999999</v>
      </c>
      <c r="I345" s="13">
        <v>1119</v>
      </c>
      <c r="J345" s="13">
        <v>1205</v>
      </c>
      <c r="K345" s="13">
        <v>1.4730000000000001</v>
      </c>
    </row>
    <row r="346" spans="2:11" s="460" customFormat="1">
      <c r="B346" s="13">
        <v>460</v>
      </c>
      <c r="C346" s="13">
        <v>458.5</v>
      </c>
      <c r="D346" s="13">
        <v>1.959E-2</v>
      </c>
      <c r="E346" s="13">
        <v>438.2</v>
      </c>
      <c r="F346" s="13">
        <v>439.8</v>
      </c>
      <c r="G346" s="13">
        <v>0.63870000000000005</v>
      </c>
      <c r="H346" s="13">
        <v>1.01</v>
      </c>
      <c r="I346" s="13">
        <v>1119</v>
      </c>
      <c r="J346" s="13">
        <v>1205</v>
      </c>
      <c r="K346" s="13">
        <v>1.472</v>
      </c>
    </row>
    <row r="347" spans="2:11" s="460" customFormat="1">
      <c r="B347" s="13">
        <v>465</v>
      </c>
      <c r="C347" s="13">
        <v>459.6</v>
      </c>
      <c r="D347" s="13">
        <v>1.9609999999999999E-2</v>
      </c>
      <c r="E347" s="13">
        <v>439.4</v>
      </c>
      <c r="F347" s="13">
        <v>441.1</v>
      </c>
      <c r="G347" s="13">
        <v>0.64</v>
      </c>
      <c r="H347" s="13">
        <v>0.99880000000000002</v>
      </c>
      <c r="I347" s="13">
        <v>1119</v>
      </c>
      <c r="J347" s="13">
        <v>1205</v>
      </c>
      <c r="K347" s="13">
        <v>1.4710000000000001</v>
      </c>
    </row>
    <row r="348" spans="2:11" s="460" customFormat="1">
      <c r="B348" s="13">
        <v>470</v>
      </c>
      <c r="C348" s="13">
        <v>460.7</v>
      </c>
      <c r="D348" s="13">
        <v>1.9630000000000002E-2</v>
      </c>
      <c r="E348" s="13">
        <v>440.6</v>
      </c>
      <c r="F348" s="13">
        <v>442.3</v>
      </c>
      <c r="G348" s="13">
        <v>0.64139999999999997</v>
      </c>
      <c r="H348" s="13">
        <v>0.98809999999999998</v>
      </c>
      <c r="I348" s="13">
        <v>1119</v>
      </c>
      <c r="J348" s="13">
        <v>1205</v>
      </c>
      <c r="K348" s="13">
        <v>1.47</v>
      </c>
    </row>
    <row r="349" spans="2:11" s="460" customFormat="1">
      <c r="B349" s="13">
        <v>475</v>
      </c>
      <c r="C349" s="13">
        <v>461.8</v>
      </c>
      <c r="D349" s="13">
        <v>1.9650000000000001E-2</v>
      </c>
      <c r="E349" s="13">
        <v>441.8</v>
      </c>
      <c r="F349" s="13">
        <v>443.5</v>
      </c>
      <c r="G349" s="13">
        <v>0.64270000000000005</v>
      </c>
      <c r="H349" s="13">
        <v>0.97760000000000002</v>
      </c>
      <c r="I349" s="13">
        <v>1119</v>
      </c>
      <c r="J349" s="13">
        <v>1205</v>
      </c>
      <c r="K349" s="13">
        <v>1.4690000000000001</v>
      </c>
    </row>
    <row r="350" spans="2:11" s="460" customFormat="1">
      <c r="B350" s="13">
        <v>480</v>
      </c>
      <c r="C350" s="13">
        <v>462.9</v>
      </c>
      <c r="D350" s="13">
        <v>1.967E-2</v>
      </c>
      <c r="E350" s="13">
        <v>443</v>
      </c>
      <c r="F350" s="13">
        <v>444.8</v>
      </c>
      <c r="G350" s="13">
        <v>0.64400000000000002</v>
      </c>
      <c r="H350" s="13">
        <v>0.96730000000000005</v>
      </c>
      <c r="I350" s="13">
        <v>1119</v>
      </c>
      <c r="J350" s="13">
        <v>1205</v>
      </c>
      <c r="K350" s="13">
        <v>1.468</v>
      </c>
    </row>
    <row r="351" spans="2:11" s="460" customFormat="1">
      <c r="B351" s="13">
        <v>485</v>
      </c>
      <c r="C351" s="13">
        <v>463.9</v>
      </c>
      <c r="D351" s="13">
        <v>1.9689999999999999E-2</v>
      </c>
      <c r="E351" s="13">
        <v>444.2</v>
      </c>
      <c r="F351" s="13">
        <v>446</v>
      </c>
      <c r="G351" s="13">
        <v>0.6452</v>
      </c>
      <c r="H351" s="13">
        <v>0.95720000000000005</v>
      </c>
      <c r="I351" s="13">
        <v>1119</v>
      </c>
      <c r="J351" s="13">
        <v>1205</v>
      </c>
      <c r="K351" s="13">
        <v>1.4670000000000001</v>
      </c>
    </row>
    <row r="352" spans="2:11" s="460" customFormat="1">
      <c r="B352" s="13">
        <v>490</v>
      </c>
      <c r="C352" s="13">
        <v>465</v>
      </c>
      <c r="D352" s="13">
        <v>1.9709999999999998E-2</v>
      </c>
      <c r="E352" s="13">
        <v>445.4</v>
      </c>
      <c r="F352" s="13">
        <v>447.2</v>
      </c>
      <c r="G352" s="13">
        <v>0.64649999999999996</v>
      </c>
      <c r="H352" s="13">
        <v>0.94740000000000002</v>
      </c>
      <c r="I352" s="13">
        <v>1119</v>
      </c>
      <c r="J352" s="13">
        <v>1205</v>
      </c>
      <c r="K352" s="13">
        <v>1.466</v>
      </c>
    </row>
    <row r="353" spans="2:11" s="460" customFormat="1">
      <c r="B353" s="13">
        <v>495</v>
      </c>
      <c r="C353" s="13">
        <v>466</v>
      </c>
      <c r="D353" s="13">
        <v>1.9730000000000001E-2</v>
      </c>
      <c r="E353" s="13">
        <v>446.5</v>
      </c>
      <c r="F353" s="13">
        <v>448.3</v>
      </c>
      <c r="G353" s="13">
        <v>0.64780000000000004</v>
      </c>
      <c r="H353" s="13">
        <v>0.93769999999999998</v>
      </c>
      <c r="I353" s="13">
        <v>1119</v>
      </c>
      <c r="J353" s="13">
        <v>1205</v>
      </c>
      <c r="K353" s="13">
        <v>1.4650000000000001</v>
      </c>
    </row>
    <row r="354" spans="2:11" s="460" customFormat="1">
      <c r="B354" s="13">
        <v>500</v>
      </c>
      <c r="C354" s="13">
        <v>467</v>
      </c>
      <c r="D354" s="13">
        <v>1.975E-2</v>
      </c>
      <c r="E354" s="13">
        <v>447.7</v>
      </c>
      <c r="F354" s="13">
        <v>449.5</v>
      </c>
      <c r="G354" s="13">
        <v>0.64900000000000002</v>
      </c>
      <c r="H354" s="13">
        <v>0.92820000000000003</v>
      </c>
      <c r="I354" s="13">
        <v>1119</v>
      </c>
      <c r="J354" s="13">
        <v>1205</v>
      </c>
      <c r="K354" s="13">
        <v>1.464</v>
      </c>
    </row>
    <row r="355" spans="2:11" s="460" customFormat="1">
      <c r="B355" s="13">
        <v>505</v>
      </c>
      <c r="C355" s="13">
        <v>468.1</v>
      </c>
      <c r="D355" s="13">
        <v>1.9769999999999999E-2</v>
      </c>
      <c r="E355" s="13">
        <v>448.9</v>
      </c>
      <c r="F355" s="13">
        <v>450.7</v>
      </c>
      <c r="G355" s="13">
        <v>0.65029999999999999</v>
      </c>
      <c r="H355" s="13">
        <v>0.91879999999999995</v>
      </c>
      <c r="I355" s="13">
        <v>1119</v>
      </c>
      <c r="J355" s="13">
        <v>1205</v>
      </c>
      <c r="K355" s="13">
        <v>1.4630000000000001</v>
      </c>
    </row>
    <row r="356" spans="2:11" s="460" customFormat="1">
      <c r="B356" s="13">
        <v>510</v>
      </c>
      <c r="C356" s="13">
        <v>469.1</v>
      </c>
      <c r="D356" s="13">
        <v>1.9789999999999999E-2</v>
      </c>
      <c r="E356" s="13">
        <v>450</v>
      </c>
      <c r="F356" s="13">
        <v>451.9</v>
      </c>
      <c r="G356" s="13">
        <v>0.65149999999999997</v>
      </c>
      <c r="H356" s="13">
        <v>0.90969999999999995</v>
      </c>
      <c r="I356" s="13">
        <v>1119</v>
      </c>
      <c r="J356" s="13">
        <v>1205</v>
      </c>
      <c r="K356" s="13">
        <v>1.462</v>
      </c>
    </row>
    <row r="357" spans="2:11" s="460" customFormat="1">
      <c r="B357" s="13">
        <v>515</v>
      </c>
      <c r="C357" s="13">
        <v>470.1</v>
      </c>
      <c r="D357" s="13">
        <v>1.9810000000000001E-2</v>
      </c>
      <c r="E357" s="13">
        <v>451.1</v>
      </c>
      <c r="F357" s="13">
        <v>453</v>
      </c>
      <c r="G357" s="13">
        <v>0.65280000000000005</v>
      </c>
      <c r="H357" s="13">
        <v>0.90069999999999995</v>
      </c>
      <c r="I357" s="13">
        <v>1119</v>
      </c>
      <c r="J357" s="13">
        <v>1205</v>
      </c>
      <c r="K357" s="13">
        <v>1.4610000000000001</v>
      </c>
    </row>
    <row r="358" spans="2:11" s="460" customFormat="1">
      <c r="B358" s="13">
        <v>520</v>
      </c>
      <c r="C358" s="13">
        <v>471.1</v>
      </c>
      <c r="D358" s="13">
        <v>1.983E-2</v>
      </c>
      <c r="E358" s="13">
        <v>452.3</v>
      </c>
      <c r="F358" s="13">
        <v>454.2</v>
      </c>
      <c r="G358" s="13">
        <v>0.65400000000000003</v>
      </c>
      <c r="H358" s="13">
        <v>0.89190000000000003</v>
      </c>
      <c r="I358" s="13">
        <v>1119</v>
      </c>
      <c r="J358" s="13">
        <v>1205</v>
      </c>
      <c r="K358" s="13">
        <v>1.46</v>
      </c>
    </row>
    <row r="359" spans="2:11" s="460" customFormat="1">
      <c r="B359" s="13">
        <v>525</v>
      </c>
      <c r="C359" s="13">
        <v>472.1</v>
      </c>
      <c r="D359" s="13">
        <v>1.985E-2</v>
      </c>
      <c r="E359" s="13">
        <v>453.4</v>
      </c>
      <c r="F359" s="13">
        <v>455.3</v>
      </c>
      <c r="G359" s="13">
        <v>0.6552</v>
      </c>
      <c r="H359" s="13">
        <v>0.88319999999999999</v>
      </c>
      <c r="I359" s="13">
        <v>1119</v>
      </c>
      <c r="J359" s="13">
        <v>1205</v>
      </c>
      <c r="K359" s="13">
        <v>1.46</v>
      </c>
    </row>
    <row r="360" spans="2:11" s="460" customFormat="1">
      <c r="B360" s="13">
        <v>530</v>
      </c>
      <c r="C360" s="13">
        <v>473.1</v>
      </c>
      <c r="D360" s="13">
        <v>1.9869999999999999E-2</v>
      </c>
      <c r="E360" s="13">
        <v>454.5</v>
      </c>
      <c r="F360" s="13">
        <v>456.5</v>
      </c>
      <c r="G360" s="13">
        <v>0.65639999999999998</v>
      </c>
      <c r="H360" s="13">
        <v>0.87470000000000003</v>
      </c>
      <c r="I360" s="13">
        <v>1119</v>
      </c>
      <c r="J360" s="13">
        <v>1205</v>
      </c>
      <c r="K360" s="13">
        <v>1.4590000000000001</v>
      </c>
    </row>
    <row r="361" spans="2:11" s="460" customFormat="1">
      <c r="B361" s="13">
        <v>535</v>
      </c>
      <c r="C361" s="13">
        <v>474.1</v>
      </c>
      <c r="D361" s="13">
        <v>1.9890000000000001E-2</v>
      </c>
      <c r="E361" s="13">
        <v>455.6</v>
      </c>
      <c r="F361" s="13">
        <v>457.6</v>
      </c>
      <c r="G361" s="13">
        <v>0.65759999999999996</v>
      </c>
      <c r="H361" s="13">
        <v>0.86639999999999995</v>
      </c>
      <c r="I361" s="13">
        <v>1119</v>
      </c>
      <c r="J361" s="13">
        <v>1205</v>
      </c>
      <c r="K361" s="13">
        <v>1.458</v>
      </c>
    </row>
    <row r="362" spans="2:11" s="460" customFormat="1">
      <c r="B362" s="13">
        <v>540</v>
      </c>
      <c r="C362" s="13">
        <v>475.1</v>
      </c>
      <c r="D362" s="13">
        <v>1.9910000000000001E-2</v>
      </c>
      <c r="E362" s="13">
        <v>456.7</v>
      </c>
      <c r="F362" s="13">
        <v>458.7</v>
      </c>
      <c r="G362" s="13">
        <v>0.65880000000000005</v>
      </c>
      <c r="H362" s="13">
        <v>0.85819999999999996</v>
      </c>
      <c r="I362" s="13">
        <v>1119</v>
      </c>
      <c r="J362" s="13">
        <v>1205</v>
      </c>
      <c r="K362" s="13">
        <v>1.4570000000000001</v>
      </c>
    </row>
    <row r="363" spans="2:11" s="460" customFormat="1">
      <c r="B363" s="13">
        <v>545</v>
      </c>
      <c r="C363" s="13">
        <v>476</v>
      </c>
      <c r="D363" s="13">
        <v>1.993E-2</v>
      </c>
      <c r="E363" s="13">
        <v>457.8</v>
      </c>
      <c r="F363" s="13">
        <v>459.8</v>
      </c>
      <c r="G363" s="13">
        <v>0.65990000000000004</v>
      </c>
      <c r="H363" s="13">
        <v>0.85009999999999997</v>
      </c>
      <c r="I363" s="13">
        <v>1119</v>
      </c>
      <c r="J363" s="13">
        <v>1205</v>
      </c>
      <c r="K363" s="13">
        <v>1.456</v>
      </c>
    </row>
    <row r="364" spans="2:11" s="460" customFormat="1">
      <c r="B364" s="13">
        <v>550</v>
      </c>
      <c r="C364" s="13">
        <v>477</v>
      </c>
      <c r="D364" s="13">
        <v>1.9949999999999999E-2</v>
      </c>
      <c r="E364" s="13">
        <v>458.9</v>
      </c>
      <c r="F364" s="13">
        <v>460.9</v>
      </c>
      <c r="G364" s="13">
        <v>0.66110000000000002</v>
      </c>
      <c r="H364" s="13">
        <v>0.84219999999999995</v>
      </c>
      <c r="I364" s="13">
        <v>1119</v>
      </c>
      <c r="J364" s="13">
        <v>1205</v>
      </c>
      <c r="K364" s="13">
        <v>1.4550000000000001</v>
      </c>
    </row>
    <row r="365" spans="2:11" s="460" customFormat="1">
      <c r="B365" s="13">
        <v>555</v>
      </c>
      <c r="C365" s="13">
        <v>477.9</v>
      </c>
      <c r="D365" s="13">
        <v>1.9970000000000002E-2</v>
      </c>
      <c r="E365" s="13">
        <v>460</v>
      </c>
      <c r="F365" s="13">
        <v>462.1</v>
      </c>
      <c r="G365" s="13">
        <v>0.6623</v>
      </c>
      <c r="H365" s="13">
        <v>0.83450000000000002</v>
      </c>
      <c r="I365" s="13">
        <v>1119</v>
      </c>
      <c r="J365" s="13">
        <v>1205</v>
      </c>
      <c r="K365" s="13">
        <v>1.454</v>
      </c>
    </row>
    <row r="366" spans="2:11" s="460" customFormat="1">
      <c r="B366" s="13">
        <v>560</v>
      </c>
      <c r="C366" s="13">
        <v>478.9</v>
      </c>
      <c r="D366" s="13">
        <v>1.9990000000000001E-2</v>
      </c>
      <c r="E366" s="13">
        <v>461.1</v>
      </c>
      <c r="F366" s="13">
        <v>463.2</v>
      </c>
      <c r="G366" s="13">
        <v>0.66339999999999999</v>
      </c>
      <c r="H366" s="13">
        <v>0.82679999999999998</v>
      </c>
      <c r="I366" s="13">
        <v>1119</v>
      </c>
      <c r="J366" s="13">
        <v>1204</v>
      </c>
      <c r="K366" s="13">
        <v>1.4530000000000001</v>
      </c>
    </row>
    <row r="367" spans="2:11" s="460" customFormat="1">
      <c r="B367" s="13">
        <v>565</v>
      </c>
      <c r="C367" s="13">
        <v>479.8</v>
      </c>
      <c r="D367" s="13">
        <v>2.001E-2</v>
      </c>
      <c r="E367" s="13">
        <v>462.1</v>
      </c>
      <c r="F367" s="13">
        <v>464.2</v>
      </c>
      <c r="G367" s="13">
        <v>0.66459999999999997</v>
      </c>
      <c r="H367" s="13">
        <v>0.81930000000000003</v>
      </c>
      <c r="I367" s="13">
        <v>1119</v>
      </c>
      <c r="J367" s="13">
        <v>1204</v>
      </c>
      <c r="K367" s="13">
        <v>1.452</v>
      </c>
    </row>
    <row r="368" spans="2:11" s="460" customFormat="1">
      <c r="B368" s="13">
        <v>570</v>
      </c>
      <c r="C368" s="13">
        <v>480.8</v>
      </c>
      <c r="D368" s="13">
        <v>2.0029999999999999E-2</v>
      </c>
      <c r="E368" s="13">
        <v>463.2</v>
      </c>
      <c r="F368" s="13">
        <v>465.3</v>
      </c>
      <c r="G368" s="13">
        <v>0.66569999999999996</v>
      </c>
      <c r="H368" s="13">
        <v>0.81189999999999996</v>
      </c>
      <c r="I368" s="13">
        <v>1119</v>
      </c>
      <c r="J368" s="13">
        <v>1204</v>
      </c>
      <c r="K368" s="13">
        <v>1.4510000000000001</v>
      </c>
    </row>
    <row r="369" spans="2:11" s="460" customFormat="1">
      <c r="B369" s="13">
        <v>575</v>
      </c>
      <c r="C369" s="13">
        <v>481.7</v>
      </c>
      <c r="D369" s="13">
        <v>2.0039999999999999E-2</v>
      </c>
      <c r="E369" s="13">
        <v>464.3</v>
      </c>
      <c r="F369" s="13">
        <v>466.4</v>
      </c>
      <c r="G369" s="13">
        <v>0.66679999999999995</v>
      </c>
      <c r="H369" s="13">
        <v>0.80469999999999997</v>
      </c>
      <c r="I369" s="13">
        <v>1119</v>
      </c>
      <c r="J369" s="13">
        <v>1204</v>
      </c>
      <c r="K369" s="13">
        <v>1.4510000000000001</v>
      </c>
    </row>
    <row r="370" spans="2:11" s="460" customFormat="1">
      <c r="B370" s="13">
        <v>580</v>
      </c>
      <c r="C370" s="13">
        <v>482.6</v>
      </c>
      <c r="D370" s="13">
        <v>2.0060000000000001E-2</v>
      </c>
      <c r="E370" s="13">
        <v>465.3</v>
      </c>
      <c r="F370" s="13">
        <v>467.5</v>
      </c>
      <c r="G370" s="13">
        <v>0.66790000000000005</v>
      </c>
      <c r="H370" s="13">
        <v>0.79759999999999998</v>
      </c>
      <c r="I370" s="13">
        <v>1119</v>
      </c>
      <c r="J370" s="13">
        <v>1204</v>
      </c>
      <c r="K370" s="13">
        <v>1.45</v>
      </c>
    </row>
    <row r="371" spans="2:11" s="460" customFormat="1">
      <c r="B371" s="13">
        <v>585</v>
      </c>
      <c r="C371" s="13">
        <v>483.5</v>
      </c>
      <c r="D371" s="13">
        <v>2.0080000000000001E-2</v>
      </c>
      <c r="E371" s="13">
        <v>466.4</v>
      </c>
      <c r="F371" s="13">
        <v>468.5</v>
      </c>
      <c r="G371" s="13">
        <v>0.66900000000000004</v>
      </c>
      <c r="H371" s="13">
        <v>0.79049999999999998</v>
      </c>
      <c r="I371" s="13">
        <v>1119</v>
      </c>
      <c r="J371" s="13">
        <v>1204</v>
      </c>
      <c r="K371" s="13">
        <v>1.4490000000000001</v>
      </c>
    </row>
    <row r="372" spans="2:11" s="460" customFormat="1">
      <c r="B372" s="13">
        <v>590</v>
      </c>
      <c r="C372" s="13">
        <v>484.4</v>
      </c>
      <c r="D372" s="13">
        <v>2.01E-2</v>
      </c>
      <c r="E372" s="13">
        <v>467.4</v>
      </c>
      <c r="F372" s="13">
        <v>469.6</v>
      </c>
      <c r="G372" s="13">
        <v>0.67020000000000002</v>
      </c>
      <c r="H372" s="13">
        <v>0.78359999999999996</v>
      </c>
      <c r="I372" s="13">
        <v>1118</v>
      </c>
      <c r="J372" s="13">
        <v>1204</v>
      </c>
      <c r="K372" s="13">
        <v>1.448</v>
      </c>
    </row>
    <row r="373" spans="2:11" s="460" customFormat="1">
      <c r="B373" s="13">
        <v>595</v>
      </c>
      <c r="C373" s="13">
        <v>485.3</v>
      </c>
      <c r="D373" s="13">
        <v>2.0119999999999999E-2</v>
      </c>
      <c r="E373" s="13">
        <v>468.4</v>
      </c>
      <c r="F373" s="13">
        <v>470.7</v>
      </c>
      <c r="G373" s="13">
        <v>0.67120000000000002</v>
      </c>
      <c r="H373" s="13">
        <v>0.77680000000000005</v>
      </c>
      <c r="I373" s="13">
        <v>1118</v>
      </c>
      <c r="J373" s="13">
        <v>1204</v>
      </c>
      <c r="K373" s="13">
        <v>1.4470000000000001</v>
      </c>
    </row>
    <row r="374" spans="2:11" s="460" customFormat="1">
      <c r="B374" s="13">
        <v>600</v>
      </c>
      <c r="C374" s="13">
        <v>486.2</v>
      </c>
      <c r="D374" s="13">
        <v>2.0140000000000002E-2</v>
      </c>
      <c r="E374" s="13">
        <v>469.5</v>
      </c>
      <c r="F374" s="13">
        <v>471.7</v>
      </c>
      <c r="G374" s="13">
        <v>0.67230000000000001</v>
      </c>
      <c r="H374" s="13">
        <v>0.7702</v>
      </c>
      <c r="I374" s="13">
        <v>1118</v>
      </c>
      <c r="J374" s="13">
        <v>1204</v>
      </c>
      <c r="K374" s="13">
        <v>1.446</v>
      </c>
    </row>
    <row r="375" spans="2:11" s="460" customFormat="1">
      <c r="B375" s="13">
        <v>605</v>
      </c>
      <c r="C375" s="13">
        <v>487.1</v>
      </c>
      <c r="D375" s="13">
        <v>2.0160000000000001E-2</v>
      </c>
      <c r="E375" s="13">
        <v>470.5</v>
      </c>
      <c r="F375" s="13">
        <v>472.8</v>
      </c>
      <c r="G375" s="13">
        <v>0.6734</v>
      </c>
      <c r="H375" s="13">
        <v>0.76359999999999995</v>
      </c>
      <c r="I375" s="13">
        <v>1118</v>
      </c>
      <c r="J375" s="13">
        <v>1204</v>
      </c>
      <c r="K375" s="13">
        <v>1.446</v>
      </c>
    </row>
    <row r="376" spans="2:11" s="460" customFormat="1">
      <c r="B376" s="13">
        <v>610</v>
      </c>
      <c r="C376" s="13">
        <v>488</v>
      </c>
      <c r="D376" s="13">
        <v>2.018E-2</v>
      </c>
      <c r="E376" s="13">
        <v>471.5</v>
      </c>
      <c r="F376" s="13">
        <v>473.8</v>
      </c>
      <c r="G376" s="13">
        <v>0.67449999999999999</v>
      </c>
      <c r="H376" s="13">
        <v>0.7571</v>
      </c>
      <c r="I376" s="13">
        <v>1118</v>
      </c>
      <c r="J376" s="13">
        <v>1204</v>
      </c>
      <c r="K376" s="13">
        <v>1.4450000000000001</v>
      </c>
    </row>
    <row r="377" spans="2:11" s="460" customFormat="1">
      <c r="B377" s="13">
        <v>615</v>
      </c>
      <c r="C377" s="13">
        <v>488.9</v>
      </c>
      <c r="D377" s="13">
        <v>2.0199999999999999E-2</v>
      </c>
      <c r="E377" s="13">
        <v>472.5</v>
      </c>
      <c r="F377" s="13">
        <v>474.8</v>
      </c>
      <c r="G377" s="13">
        <v>0.67559999999999998</v>
      </c>
      <c r="H377" s="13">
        <v>0.75070000000000003</v>
      </c>
      <c r="I377" s="13">
        <v>1118</v>
      </c>
      <c r="J377" s="13">
        <v>1204</v>
      </c>
      <c r="K377" s="13">
        <v>1.444</v>
      </c>
    </row>
    <row r="378" spans="2:11" s="460" customFormat="1">
      <c r="B378" s="13">
        <v>620</v>
      </c>
      <c r="C378" s="13">
        <v>489.8</v>
      </c>
      <c r="D378" s="13">
        <v>2.0219999999999998E-2</v>
      </c>
      <c r="E378" s="13">
        <v>473.5</v>
      </c>
      <c r="F378" s="13">
        <v>475.8</v>
      </c>
      <c r="G378" s="13">
        <v>0.67659999999999998</v>
      </c>
      <c r="H378" s="13">
        <v>0.74450000000000005</v>
      </c>
      <c r="I378" s="13">
        <v>1118</v>
      </c>
      <c r="J378" s="13">
        <v>1204</v>
      </c>
      <c r="K378" s="13">
        <v>1.4430000000000001</v>
      </c>
    </row>
    <row r="379" spans="2:11" s="460" customFormat="1">
      <c r="B379" s="13">
        <v>625</v>
      </c>
      <c r="C379" s="13">
        <v>490.7</v>
      </c>
      <c r="D379" s="13">
        <v>2.0230000000000001E-2</v>
      </c>
      <c r="E379" s="13">
        <v>474.5</v>
      </c>
      <c r="F379" s="13">
        <v>476.9</v>
      </c>
      <c r="G379" s="13">
        <v>0.67769999999999997</v>
      </c>
      <c r="H379" s="13">
        <v>0.73829999999999996</v>
      </c>
      <c r="I379" s="13">
        <v>1118</v>
      </c>
      <c r="J379" s="13">
        <v>1203</v>
      </c>
      <c r="K379" s="13">
        <v>1.4419999999999999</v>
      </c>
    </row>
    <row r="380" spans="2:11" s="460" customFormat="1">
      <c r="B380" s="13">
        <v>630</v>
      </c>
      <c r="C380" s="13">
        <v>491.5</v>
      </c>
      <c r="D380" s="13">
        <v>2.0250000000000001E-2</v>
      </c>
      <c r="E380" s="13">
        <v>475.5</v>
      </c>
      <c r="F380" s="13">
        <v>477.9</v>
      </c>
      <c r="G380" s="13">
        <v>0.67869999999999997</v>
      </c>
      <c r="H380" s="13">
        <v>0.73219999999999996</v>
      </c>
      <c r="I380" s="13">
        <v>1118</v>
      </c>
      <c r="J380" s="13">
        <v>1203</v>
      </c>
      <c r="K380" s="13">
        <v>1.4410000000000001</v>
      </c>
    </row>
    <row r="381" spans="2:11" s="460" customFormat="1">
      <c r="B381" s="13">
        <v>635</v>
      </c>
      <c r="C381" s="13">
        <v>492.4</v>
      </c>
      <c r="D381" s="13">
        <v>2.027E-2</v>
      </c>
      <c r="E381" s="13">
        <v>476.5</v>
      </c>
      <c r="F381" s="13">
        <v>478.9</v>
      </c>
      <c r="G381" s="13">
        <v>0.67979999999999996</v>
      </c>
      <c r="H381" s="13">
        <v>0.72619999999999996</v>
      </c>
      <c r="I381" s="13">
        <v>1118</v>
      </c>
      <c r="J381" s="13">
        <v>1203</v>
      </c>
      <c r="K381" s="13">
        <v>1.4410000000000001</v>
      </c>
    </row>
    <row r="382" spans="2:11" s="460" customFormat="1">
      <c r="B382" s="13">
        <v>640</v>
      </c>
      <c r="C382" s="13">
        <v>493.2</v>
      </c>
      <c r="D382" s="13">
        <v>2.0289999999999999E-2</v>
      </c>
      <c r="E382" s="13">
        <v>477.5</v>
      </c>
      <c r="F382" s="13">
        <v>479.9</v>
      </c>
      <c r="G382" s="13">
        <v>0.68079999999999996</v>
      </c>
      <c r="H382" s="13">
        <v>0.72030000000000005</v>
      </c>
      <c r="I382" s="13">
        <v>1118</v>
      </c>
      <c r="J382" s="13">
        <v>1203</v>
      </c>
      <c r="K382" s="13">
        <v>1.44</v>
      </c>
    </row>
    <row r="383" spans="2:11" s="460" customFormat="1">
      <c r="B383" s="13">
        <v>645</v>
      </c>
      <c r="C383" s="13">
        <v>494.1</v>
      </c>
      <c r="D383" s="13">
        <v>2.0310000000000002E-2</v>
      </c>
      <c r="E383" s="13">
        <v>478.5</v>
      </c>
      <c r="F383" s="13">
        <v>480.9</v>
      </c>
      <c r="G383" s="13">
        <v>0.68179999999999996</v>
      </c>
      <c r="H383" s="13">
        <v>0.71450000000000002</v>
      </c>
      <c r="I383" s="13">
        <v>1118</v>
      </c>
      <c r="J383" s="13">
        <v>1203</v>
      </c>
      <c r="K383" s="13">
        <v>1.4390000000000001</v>
      </c>
    </row>
    <row r="384" spans="2:11" s="460" customFormat="1">
      <c r="B384" s="13">
        <v>650</v>
      </c>
      <c r="C384" s="13">
        <v>494.9</v>
      </c>
      <c r="D384" s="13">
        <v>2.0330000000000001E-2</v>
      </c>
      <c r="E384" s="13">
        <v>479.5</v>
      </c>
      <c r="F384" s="13">
        <v>481.9</v>
      </c>
      <c r="G384" s="13">
        <v>0.68289999999999995</v>
      </c>
      <c r="H384" s="13">
        <v>0.70879999999999999</v>
      </c>
      <c r="I384" s="13">
        <v>1118</v>
      </c>
      <c r="J384" s="13">
        <v>1203</v>
      </c>
      <c r="K384" s="13">
        <v>1.4379999999999999</v>
      </c>
    </row>
    <row r="385" spans="2:11" s="460" customFormat="1">
      <c r="B385" s="13">
        <v>655</v>
      </c>
      <c r="C385" s="13">
        <v>495.8</v>
      </c>
      <c r="D385" s="13">
        <v>2.035E-2</v>
      </c>
      <c r="E385" s="13">
        <v>480.4</v>
      </c>
      <c r="F385" s="13">
        <v>482.9</v>
      </c>
      <c r="G385" s="13">
        <v>0.68389999999999995</v>
      </c>
      <c r="H385" s="13">
        <v>0.70309999999999995</v>
      </c>
      <c r="I385" s="13">
        <v>1118</v>
      </c>
      <c r="J385" s="13">
        <v>1203</v>
      </c>
      <c r="K385" s="13">
        <v>1.4370000000000001</v>
      </c>
    </row>
    <row r="386" spans="2:11" s="460" customFormat="1">
      <c r="B386" s="13">
        <v>660</v>
      </c>
      <c r="C386" s="13">
        <v>496.6</v>
      </c>
      <c r="D386" s="13">
        <v>2.0369999999999999E-2</v>
      </c>
      <c r="E386" s="13">
        <v>481.4</v>
      </c>
      <c r="F386" s="13">
        <v>483.9</v>
      </c>
      <c r="G386" s="13">
        <v>0.68489999999999995</v>
      </c>
      <c r="H386" s="13">
        <v>0.6976</v>
      </c>
      <c r="I386" s="13">
        <v>1118</v>
      </c>
      <c r="J386" s="13">
        <v>1203</v>
      </c>
      <c r="K386" s="13">
        <v>1.4370000000000001</v>
      </c>
    </row>
    <row r="387" spans="2:11" s="460" customFormat="1">
      <c r="B387" s="13">
        <v>665</v>
      </c>
      <c r="C387" s="13">
        <v>497.4</v>
      </c>
      <c r="D387" s="13">
        <v>2.0379999999999999E-2</v>
      </c>
      <c r="E387" s="13">
        <v>482.4</v>
      </c>
      <c r="F387" s="13">
        <v>484.9</v>
      </c>
      <c r="G387" s="13">
        <v>0.68589999999999995</v>
      </c>
      <c r="H387" s="13">
        <v>0.69210000000000005</v>
      </c>
      <c r="I387" s="13">
        <v>1118</v>
      </c>
      <c r="J387" s="13">
        <v>1203</v>
      </c>
      <c r="K387" s="13">
        <v>1.4359999999999999</v>
      </c>
    </row>
    <row r="388" spans="2:11" s="460" customFormat="1">
      <c r="B388" s="13">
        <v>670</v>
      </c>
      <c r="C388" s="13">
        <v>498.3</v>
      </c>
      <c r="D388" s="13">
        <v>2.0400000000000001E-2</v>
      </c>
      <c r="E388" s="13">
        <v>483.3</v>
      </c>
      <c r="F388" s="13">
        <v>485.8</v>
      </c>
      <c r="G388" s="13">
        <v>0.68689999999999996</v>
      </c>
      <c r="H388" s="13">
        <v>0.68669999999999998</v>
      </c>
      <c r="I388" s="13">
        <v>1117</v>
      </c>
      <c r="J388" s="13">
        <v>1203</v>
      </c>
      <c r="K388" s="13">
        <v>1.4350000000000001</v>
      </c>
    </row>
    <row r="389" spans="2:11" s="460" customFormat="1">
      <c r="B389" s="13">
        <v>675</v>
      </c>
      <c r="C389" s="13">
        <v>499.1</v>
      </c>
      <c r="D389" s="13">
        <v>2.0420000000000001E-2</v>
      </c>
      <c r="E389" s="13">
        <v>484.3</v>
      </c>
      <c r="F389" s="13">
        <v>486.8</v>
      </c>
      <c r="G389" s="13">
        <v>0.68789999999999996</v>
      </c>
      <c r="H389" s="13">
        <v>0.68140000000000001</v>
      </c>
      <c r="I389" s="13">
        <v>1117</v>
      </c>
      <c r="J389" s="13">
        <v>1202</v>
      </c>
      <c r="K389" s="13">
        <v>1.4339999999999999</v>
      </c>
    </row>
    <row r="390" spans="2:11" s="460" customFormat="1">
      <c r="B390" s="13">
        <v>680</v>
      </c>
      <c r="C390" s="13">
        <v>499.9</v>
      </c>
      <c r="D390" s="13">
        <v>2.044E-2</v>
      </c>
      <c r="E390" s="13">
        <v>485.2</v>
      </c>
      <c r="F390" s="13">
        <v>487.8</v>
      </c>
      <c r="G390" s="13">
        <v>0.68889999999999996</v>
      </c>
      <c r="H390" s="13">
        <v>0.67610000000000003</v>
      </c>
      <c r="I390" s="13">
        <v>1117</v>
      </c>
      <c r="J390" s="13">
        <v>1202</v>
      </c>
      <c r="K390" s="13">
        <v>1.4339999999999999</v>
      </c>
    </row>
    <row r="391" spans="2:11" s="460" customFormat="1">
      <c r="B391" s="13">
        <v>685</v>
      </c>
      <c r="C391" s="13">
        <v>500.7</v>
      </c>
      <c r="D391" s="13">
        <v>2.0459999999999999E-2</v>
      </c>
      <c r="E391" s="13">
        <v>486.2</v>
      </c>
      <c r="F391" s="13">
        <v>488.8</v>
      </c>
      <c r="G391" s="13">
        <v>0.68989999999999996</v>
      </c>
      <c r="H391" s="13">
        <v>0.67100000000000004</v>
      </c>
      <c r="I391" s="13">
        <v>1117</v>
      </c>
      <c r="J391" s="13">
        <v>1202</v>
      </c>
      <c r="K391" s="13">
        <v>1.4330000000000001</v>
      </c>
    </row>
    <row r="392" spans="2:11" s="460" customFormat="1">
      <c r="B392" s="13">
        <v>690</v>
      </c>
      <c r="C392" s="13">
        <v>501.5</v>
      </c>
      <c r="D392" s="13">
        <v>2.0480000000000002E-2</v>
      </c>
      <c r="E392" s="13">
        <v>487.1</v>
      </c>
      <c r="F392" s="13">
        <v>489.7</v>
      </c>
      <c r="G392" s="13">
        <v>0.69089999999999996</v>
      </c>
      <c r="H392" s="13">
        <v>0.66590000000000005</v>
      </c>
      <c r="I392" s="13">
        <v>1117</v>
      </c>
      <c r="J392" s="13">
        <v>1202</v>
      </c>
      <c r="K392" s="13">
        <v>1.4319999999999999</v>
      </c>
    </row>
    <row r="393" spans="2:11" s="460" customFormat="1">
      <c r="B393" s="13">
        <v>695</v>
      </c>
      <c r="C393" s="13">
        <v>502.3</v>
      </c>
      <c r="D393" s="13">
        <v>2.0500000000000001E-2</v>
      </c>
      <c r="E393" s="13">
        <v>488</v>
      </c>
      <c r="F393" s="13">
        <v>490.7</v>
      </c>
      <c r="G393" s="13">
        <v>0.69179999999999997</v>
      </c>
      <c r="H393" s="13">
        <v>0.66080000000000005</v>
      </c>
      <c r="I393" s="13">
        <v>1117</v>
      </c>
      <c r="J393" s="13">
        <v>1202</v>
      </c>
      <c r="K393" s="13">
        <v>1.431</v>
      </c>
    </row>
    <row r="394" spans="2:11" s="460" customFormat="1">
      <c r="B394" s="13">
        <v>700</v>
      </c>
      <c r="C394" s="13">
        <v>503.1</v>
      </c>
      <c r="D394" s="13">
        <v>2.051E-2</v>
      </c>
      <c r="E394" s="13">
        <v>489</v>
      </c>
      <c r="F394" s="13">
        <v>491.6</v>
      </c>
      <c r="G394" s="13">
        <v>0.69279999999999997</v>
      </c>
      <c r="H394" s="13">
        <v>0.65590000000000004</v>
      </c>
      <c r="I394" s="13">
        <v>1117</v>
      </c>
      <c r="J394" s="13">
        <v>1202</v>
      </c>
      <c r="K394" s="13">
        <v>1.431</v>
      </c>
    </row>
    <row r="395" spans="2:11" s="460" customFormat="1">
      <c r="B395" s="13">
        <v>705</v>
      </c>
      <c r="C395" s="13">
        <v>503.9</v>
      </c>
      <c r="D395" s="13">
        <v>2.053E-2</v>
      </c>
      <c r="E395" s="13">
        <v>489.9</v>
      </c>
      <c r="F395" s="13">
        <v>492.6</v>
      </c>
      <c r="G395" s="13">
        <v>0.69379999999999997</v>
      </c>
      <c r="H395" s="13">
        <v>0.65100000000000002</v>
      </c>
      <c r="I395" s="13">
        <v>1117</v>
      </c>
      <c r="J395" s="13">
        <v>1202</v>
      </c>
      <c r="K395" s="13">
        <v>1.43</v>
      </c>
    </row>
    <row r="396" spans="2:11" s="460" customFormat="1">
      <c r="B396" s="13">
        <v>710</v>
      </c>
      <c r="C396" s="13">
        <v>504.7</v>
      </c>
      <c r="D396" s="13">
        <v>2.0549999999999999E-2</v>
      </c>
      <c r="E396" s="13">
        <v>490.8</v>
      </c>
      <c r="F396" s="13">
        <v>493.5</v>
      </c>
      <c r="G396" s="13">
        <v>0.69469999999999998</v>
      </c>
      <c r="H396" s="13">
        <v>0.64610000000000001</v>
      </c>
      <c r="I396" s="13">
        <v>1117</v>
      </c>
      <c r="J396" s="13">
        <v>1202</v>
      </c>
      <c r="K396" s="13">
        <v>1.429</v>
      </c>
    </row>
    <row r="397" spans="2:11" s="460" customFormat="1">
      <c r="B397" s="13">
        <v>715</v>
      </c>
      <c r="C397" s="13">
        <v>505.5</v>
      </c>
      <c r="D397" s="13">
        <v>2.0570000000000001E-2</v>
      </c>
      <c r="E397" s="13">
        <v>491.7</v>
      </c>
      <c r="F397" s="13">
        <v>494.4</v>
      </c>
      <c r="G397" s="13">
        <v>0.69569999999999999</v>
      </c>
      <c r="H397" s="13">
        <v>0.64139999999999997</v>
      </c>
      <c r="I397" s="13">
        <v>1117</v>
      </c>
      <c r="J397" s="13">
        <v>1202</v>
      </c>
      <c r="K397" s="13">
        <v>1.4279999999999999</v>
      </c>
    </row>
    <row r="398" spans="2:11" s="460" customFormat="1">
      <c r="B398" s="13">
        <v>720</v>
      </c>
      <c r="C398" s="13">
        <v>506.3</v>
      </c>
      <c r="D398" s="13">
        <v>2.0590000000000001E-2</v>
      </c>
      <c r="E398" s="13">
        <v>492.6</v>
      </c>
      <c r="F398" s="13">
        <v>495.4</v>
      </c>
      <c r="G398" s="13">
        <v>0.6966</v>
      </c>
      <c r="H398" s="13">
        <v>0.63670000000000004</v>
      </c>
      <c r="I398" s="13">
        <v>1117</v>
      </c>
      <c r="J398" s="13">
        <v>1201</v>
      </c>
      <c r="K398" s="13">
        <v>1.4279999999999999</v>
      </c>
    </row>
    <row r="399" spans="2:11" s="460" customFormat="1">
      <c r="B399" s="13">
        <v>725</v>
      </c>
      <c r="C399" s="13">
        <v>507.1</v>
      </c>
      <c r="D399" s="13">
        <v>2.061E-2</v>
      </c>
      <c r="E399" s="13">
        <v>493.5</v>
      </c>
      <c r="F399" s="13">
        <v>496.3</v>
      </c>
      <c r="G399" s="13">
        <v>0.6976</v>
      </c>
      <c r="H399" s="13">
        <v>0.63200000000000001</v>
      </c>
      <c r="I399" s="13">
        <v>1117</v>
      </c>
      <c r="J399" s="13">
        <v>1201</v>
      </c>
      <c r="K399" s="13">
        <v>1.427</v>
      </c>
    </row>
    <row r="400" spans="2:11" s="460" customFormat="1">
      <c r="B400" s="13">
        <v>730</v>
      </c>
      <c r="C400" s="13">
        <v>507.8</v>
      </c>
      <c r="D400" s="13">
        <v>2.0619999999999999E-2</v>
      </c>
      <c r="E400" s="13">
        <v>494.5</v>
      </c>
      <c r="F400" s="13">
        <v>497.2</v>
      </c>
      <c r="G400" s="13">
        <v>0.69850000000000001</v>
      </c>
      <c r="H400" s="13">
        <v>0.62749999999999995</v>
      </c>
      <c r="I400" s="13">
        <v>1116</v>
      </c>
      <c r="J400" s="13">
        <v>1201</v>
      </c>
      <c r="K400" s="13">
        <v>1.4259999999999999</v>
      </c>
    </row>
    <row r="401" spans="2:11" s="460" customFormat="1">
      <c r="B401" s="13">
        <v>735</v>
      </c>
      <c r="C401" s="13">
        <v>508.6</v>
      </c>
      <c r="D401" s="13">
        <v>2.0639999999999999E-2</v>
      </c>
      <c r="E401" s="13">
        <v>495.4</v>
      </c>
      <c r="F401" s="13">
        <v>498.2</v>
      </c>
      <c r="G401" s="13">
        <v>0.69940000000000002</v>
      </c>
      <c r="H401" s="13">
        <v>0.62290000000000001</v>
      </c>
      <c r="I401" s="13">
        <v>1116</v>
      </c>
      <c r="J401" s="13">
        <v>1201</v>
      </c>
      <c r="K401" s="13">
        <v>1.425</v>
      </c>
    </row>
    <row r="402" spans="2:11" s="460" customFormat="1">
      <c r="B402" s="13">
        <v>740</v>
      </c>
      <c r="C402" s="13">
        <v>509.4</v>
      </c>
      <c r="D402" s="13">
        <v>2.0660000000000001E-2</v>
      </c>
      <c r="E402" s="13">
        <v>496.3</v>
      </c>
      <c r="F402" s="13">
        <v>499.1</v>
      </c>
      <c r="G402" s="13">
        <v>0.70040000000000002</v>
      </c>
      <c r="H402" s="13">
        <v>0.61850000000000005</v>
      </c>
      <c r="I402" s="13">
        <v>1116</v>
      </c>
      <c r="J402" s="13">
        <v>1201</v>
      </c>
      <c r="K402" s="13">
        <v>1.425</v>
      </c>
    </row>
    <row r="403" spans="2:11" s="460" customFormat="1">
      <c r="B403" s="13">
        <v>745</v>
      </c>
      <c r="C403" s="13">
        <v>510.1</v>
      </c>
      <c r="D403" s="13">
        <v>2.068E-2</v>
      </c>
      <c r="E403" s="13">
        <v>497.1</v>
      </c>
      <c r="F403" s="13">
        <v>500</v>
      </c>
      <c r="G403" s="13">
        <v>0.70130000000000003</v>
      </c>
      <c r="H403" s="13">
        <v>0.61409999999999998</v>
      </c>
      <c r="I403" s="13">
        <v>1116</v>
      </c>
      <c r="J403" s="13">
        <v>1201</v>
      </c>
      <c r="K403" s="13">
        <v>1.4239999999999999</v>
      </c>
    </row>
    <row r="404" spans="2:11" s="460" customFormat="1">
      <c r="B404" s="13">
        <v>750</v>
      </c>
      <c r="C404" s="13">
        <v>510.9</v>
      </c>
      <c r="D404" s="13">
        <v>2.07E-2</v>
      </c>
      <c r="E404" s="13">
        <v>498</v>
      </c>
      <c r="F404" s="13">
        <v>500.9</v>
      </c>
      <c r="G404" s="13">
        <v>0.70220000000000005</v>
      </c>
      <c r="H404" s="13">
        <v>0.60970000000000002</v>
      </c>
      <c r="I404" s="13">
        <v>1116</v>
      </c>
      <c r="J404" s="13">
        <v>1201</v>
      </c>
      <c r="K404" s="13">
        <v>1.423</v>
      </c>
    </row>
    <row r="405" spans="2:11" s="460" customFormat="1">
      <c r="B405" s="13">
        <v>755</v>
      </c>
      <c r="C405" s="13">
        <v>511.7</v>
      </c>
      <c r="D405" s="13">
        <v>2.0719999999999999E-2</v>
      </c>
      <c r="E405" s="13">
        <v>498.9</v>
      </c>
      <c r="F405" s="13">
        <v>501.8</v>
      </c>
      <c r="G405" s="13">
        <v>0.70309999999999995</v>
      </c>
      <c r="H405" s="13">
        <v>0.60550000000000004</v>
      </c>
      <c r="I405" s="13">
        <v>1116</v>
      </c>
      <c r="J405" s="13">
        <v>1201</v>
      </c>
      <c r="K405" s="13">
        <v>1.4219999999999999</v>
      </c>
    </row>
    <row r="406" spans="2:11" s="460" customFormat="1">
      <c r="B406" s="13">
        <v>760</v>
      </c>
      <c r="C406" s="13">
        <v>512.4</v>
      </c>
      <c r="D406" s="13">
        <v>2.0729999999999998E-2</v>
      </c>
      <c r="E406" s="13">
        <v>499.8</v>
      </c>
      <c r="F406" s="13">
        <v>502.7</v>
      </c>
      <c r="G406" s="13">
        <v>0.70399999999999996</v>
      </c>
      <c r="H406" s="13">
        <v>0.60119999999999996</v>
      </c>
      <c r="I406" s="13">
        <v>1116</v>
      </c>
      <c r="J406" s="13">
        <v>1200</v>
      </c>
      <c r="K406" s="13">
        <v>1.4219999999999999</v>
      </c>
    </row>
    <row r="407" spans="2:11" s="460" customFormat="1">
      <c r="B407" s="13">
        <v>765</v>
      </c>
      <c r="C407" s="13">
        <v>513.1</v>
      </c>
      <c r="D407" s="13">
        <v>2.0750000000000001E-2</v>
      </c>
      <c r="E407" s="13">
        <v>500.7</v>
      </c>
      <c r="F407" s="13">
        <v>503.6</v>
      </c>
      <c r="G407" s="13">
        <v>0.70499999999999996</v>
      </c>
      <c r="H407" s="13">
        <v>0.59699999999999998</v>
      </c>
      <c r="I407" s="13">
        <v>1116</v>
      </c>
      <c r="J407" s="13">
        <v>1200</v>
      </c>
      <c r="K407" s="13">
        <v>1.421</v>
      </c>
    </row>
    <row r="408" spans="2:11" s="460" customFormat="1">
      <c r="B408" s="13">
        <v>770</v>
      </c>
      <c r="C408" s="13">
        <v>513.9</v>
      </c>
      <c r="D408" s="13">
        <v>2.077E-2</v>
      </c>
      <c r="E408" s="13">
        <v>501.6</v>
      </c>
      <c r="F408" s="13">
        <v>504.5</v>
      </c>
      <c r="G408" s="13">
        <v>0.70589999999999997</v>
      </c>
      <c r="H408" s="13">
        <v>0.59289999999999998</v>
      </c>
      <c r="I408" s="13">
        <v>1116</v>
      </c>
      <c r="J408" s="13">
        <v>1200</v>
      </c>
      <c r="K408" s="13">
        <v>1.42</v>
      </c>
    </row>
    <row r="409" spans="2:11" s="460" customFormat="1">
      <c r="B409" s="13">
        <v>775</v>
      </c>
      <c r="C409" s="13">
        <v>514.6</v>
      </c>
      <c r="D409" s="13">
        <v>2.0789999999999999E-2</v>
      </c>
      <c r="E409" s="13">
        <v>502.4</v>
      </c>
      <c r="F409" s="13">
        <v>505.4</v>
      </c>
      <c r="G409" s="13">
        <v>0.70679999999999998</v>
      </c>
      <c r="H409" s="13">
        <v>0.58879999999999999</v>
      </c>
      <c r="I409" s="13">
        <v>1116</v>
      </c>
      <c r="J409" s="13">
        <v>1200</v>
      </c>
      <c r="K409" s="13">
        <v>1.42</v>
      </c>
    </row>
    <row r="410" spans="2:11" s="460" customFormat="1">
      <c r="B410" s="13">
        <v>780</v>
      </c>
      <c r="C410" s="13">
        <v>515.4</v>
      </c>
      <c r="D410" s="13">
        <v>2.0809999999999999E-2</v>
      </c>
      <c r="E410" s="13">
        <v>503.3</v>
      </c>
      <c r="F410" s="13">
        <v>506.3</v>
      </c>
      <c r="G410" s="13">
        <v>0.70760000000000001</v>
      </c>
      <c r="H410" s="13">
        <v>0.58479999999999999</v>
      </c>
      <c r="I410" s="13">
        <v>1115</v>
      </c>
      <c r="J410" s="13">
        <v>1200</v>
      </c>
      <c r="K410" s="13">
        <v>1.419</v>
      </c>
    </row>
    <row r="411" spans="2:11" s="460" customFormat="1">
      <c r="B411" s="13">
        <v>785</v>
      </c>
      <c r="C411" s="13">
        <v>516.1</v>
      </c>
      <c r="D411" s="13">
        <v>2.0820000000000002E-2</v>
      </c>
      <c r="E411" s="13">
        <v>504.2</v>
      </c>
      <c r="F411" s="13">
        <v>507.2</v>
      </c>
      <c r="G411" s="13">
        <v>0.70850000000000002</v>
      </c>
      <c r="H411" s="13">
        <v>0.58079999999999998</v>
      </c>
      <c r="I411" s="13">
        <v>1115</v>
      </c>
      <c r="J411" s="13">
        <v>1200</v>
      </c>
      <c r="K411" s="13">
        <v>1.4179999999999999</v>
      </c>
    </row>
    <row r="412" spans="2:11" s="460" customFormat="1">
      <c r="B412" s="13">
        <v>790</v>
      </c>
      <c r="C412" s="13">
        <v>516.79999999999995</v>
      </c>
      <c r="D412" s="13">
        <v>2.0840000000000001E-2</v>
      </c>
      <c r="E412" s="13">
        <v>505</v>
      </c>
      <c r="F412" s="13">
        <v>508.1</v>
      </c>
      <c r="G412" s="13">
        <v>0.70940000000000003</v>
      </c>
      <c r="H412" s="13">
        <v>0.57689999999999997</v>
      </c>
      <c r="I412" s="13">
        <v>1115</v>
      </c>
      <c r="J412" s="13">
        <v>1200</v>
      </c>
      <c r="K412" s="13">
        <v>1.4179999999999999</v>
      </c>
    </row>
    <row r="413" spans="2:11" s="460" customFormat="1">
      <c r="B413" s="13">
        <v>795</v>
      </c>
      <c r="C413" s="13">
        <v>517.5</v>
      </c>
      <c r="D413" s="13">
        <v>2.086E-2</v>
      </c>
      <c r="E413" s="13">
        <v>505.9</v>
      </c>
      <c r="F413" s="13">
        <v>509</v>
      </c>
      <c r="G413" s="13">
        <v>0.71030000000000004</v>
      </c>
      <c r="H413" s="13">
        <v>0.57299999999999995</v>
      </c>
      <c r="I413" s="13">
        <v>1115</v>
      </c>
      <c r="J413" s="13">
        <v>1199</v>
      </c>
      <c r="K413" s="13">
        <v>1.417</v>
      </c>
    </row>
    <row r="414" spans="2:11" s="460" customFormat="1">
      <c r="B414" s="13">
        <v>800</v>
      </c>
      <c r="C414" s="13">
        <v>518.29999999999995</v>
      </c>
      <c r="D414" s="13">
        <v>2.0879999999999999E-2</v>
      </c>
      <c r="E414" s="13">
        <v>506.7</v>
      </c>
      <c r="F414" s="13">
        <v>509.8</v>
      </c>
      <c r="G414" s="13">
        <v>0.71120000000000005</v>
      </c>
      <c r="H414" s="13">
        <v>0.56920000000000004</v>
      </c>
      <c r="I414" s="13">
        <v>1115</v>
      </c>
      <c r="J414" s="13">
        <v>1199</v>
      </c>
      <c r="K414" s="13">
        <v>1.4159999999999999</v>
      </c>
    </row>
    <row r="415" spans="2:11" s="460" customFormat="1">
      <c r="B415" s="13">
        <v>805</v>
      </c>
      <c r="C415" s="13">
        <v>519</v>
      </c>
      <c r="D415" s="13">
        <v>2.0899999999999998E-2</v>
      </c>
      <c r="E415" s="13">
        <v>507.6</v>
      </c>
      <c r="F415" s="13">
        <v>510.7</v>
      </c>
      <c r="G415" s="13">
        <v>0.71209999999999996</v>
      </c>
      <c r="H415" s="13">
        <v>0.56540000000000001</v>
      </c>
      <c r="I415" s="13">
        <v>1115</v>
      </c>
      <c r="J415" s="13">
        <v>1199</v>
      </c>
      <c r="K415" s="13">
        <v>1.4159999999999999</v>
      </c>
    </row>
    <row r="416" spans="2:11" s="460" customFormat="1">
      <c r="B416" s="13">
        <v>810</v>
      </c>
      <c r="C416" s="13">
        <v>519.70000000000005</v>
      </c>
      <c r="D416" s="13">
        <v>2.0920000000000001E-2</v>
      </c>
      <c r="E416" s="13">
        <v>508.4</v>
      </c>
      <c r="F416" s="13">
        <v>511.6</v>
      </c>
      <c r="G416" s="13">
        <v>0.71289999999999998</v>
      </c>
      <c r="H416" s="13">
        <v>0.56159999999999999</v>
      </c>
      <c r="I416" s="13">
        <v>1115</v>
      </c>
      <c r="J416" s="13">
        <v>1199</v>
      </c>
      <c r="K416" s="13">
        <v>1.415</v>
      </c>
    </row>
    <row r="417" spans="2:11" s="460" customFormat="1">
      <c r="B417" s="13">
        <v>815</v>
      </c>
      <c r="C417" s="13">
        <v>520.4</v>
      </c>
      <c r="D417" s="13">
        <v>2.0930000000000001E-2</v>
      </c>
      <c r="E417" s="13">
        <v>509.3</v>
      </c>
      <c r="F417" s="13">
        <v>512.4</v>
      </c>
      <c r="G417" s="13">
        <v>0.71379999999999999</v>
      </c>
      <c r="H417" s="13">
        <v>0.55789999999999995</v>
      </c>
      <c r="I417" s="13">
        <v>1115</v>
      </c>
      <c r="J417" s="13">
        <v>1199</v>
      </c>
      <c r="K417" s="13">
        <v>1.4139999999999999</v>
      </c>
    </row>
    <row r="418" spans="2:11" s="460" customFormat="1">
      <c r="B418" s="13">
        <v>820</v>
      </c>
      <c r="C418" s="13">
        <v>521.1</v>
      </c>
      <c r="D418" s="13">
        <v>2.095E-2</v>
      </c>
      <c r="E418" s="13">
        <v>510.1</v>
      </c>
      <c r="F418" s="13">
        <v>513.29999999999995</v>
      </c>
      <c r="G418" s="13">
        <v>0.71460000000000001</v>
      </c>
      <c r="H418" s="13">
        <v>0.55430000000000001</v>
      </c>
      <c r="I418" s="13">
        <v>1115</v>
      </c>
      <c r="J418" s="13">
        <v>1199</v>
      </c>
      <c r="K418" s="13">
        <v>1.413</v>
      </c>
    </row>
    <row r="419" spans="2:11" s="460" customFormat="1">
      <c r="B419" s="13">
        <v>825</v>
      </c>
      <c r="C419" s="13">
        <v>521.79999999999995</v>
      </c>
      <c r="D419" s="13">
        <v>2.0969999999999999E-2</v>
      </c>
      <c r="E419" s="13">
        <v>511</v>
      </c>
      <c r="F419" s="13">
        <v>514.20000000000005</v>
      </c>
      <c r="G419" s="13">
        <v>0.71550000000000002</v>
      </c>
      <c r="H419" s="13">
        <v>0.55069999999999997</v>
      </c>
      <c r="I419" s="13">
        <v>1114</v>
      </c>
      <c r="J419" s="13">
        <v>1199</v>
      </c>
      <c r="K419" s="13">
        <v>1.413</v>
      </c>
    </row>
    <row r="420" spans="2:11" s="460" customFormat="1">
      <c r="B420" s="13">
        <v>830</v>
      </c>
      <c r="C420" s="13">
        <v>522.5</v>
      </c>
      <c r="D420" s="13">
        <v>2.0990000000000002E-2</v>
      </c>
      <c r="E420" s="13">
        <v>511.8</v>
      </c>
      <c r="F420" s="13">
        <v>515</v>
      </c>
      <c r="G420" s="13">
        <v>0.71640000000000004</v>
      </c>
      <c r="H420" s="13">
        <v>0.54710000000000003</v>
      </c>
      <c r="I420" s="13">
        <v>1114</v>
      </c>
      <c r="J420" s="13">
        <v>1198</v>
      </c>
      <c r="K420" s="13">
        <v>1.4119999999999999</v>
      </c>
    </row>
    <row r="421" spans="2:11" s="460" customFormat="1">
      <c r="B421" s="13">
        <v>835</v>
      </c>
      <c r="C421" s="13">
        <v>523.20000000000005</v>
      </c>
      <c r="D421" s="13">
        <v>2.1010000000000001E-2</v>
      </c>
      <c r="E421" s="13">
        <v>512.6</v>
      </c>
      <c r="F421" s="13">
        <v>515.9</v>
      </c>
      <c r="G421" s="13">
        <v>0.71719999999999995</v>
      </c>
      <c r="H421" s="13">
        <v>0.54359999999999997</v>
      </c>
      <c r="I421" s="13">
        <v>1114</v>
      </c>
      <c r="J421" s="13">
        <v>1198</v>
      </c>
      <c r="K421" s="13">
        <v>1.411</v>
      </c>
    </row>
    <row r="422" spans="2:11" s="460" customFormat="1">
      <c r="B422" s="13">
        <v>840</v>
      </c>
      <c r="C422" s="13">
        <v>523.9</v>
      </c>
      <c r="D422" s="13">
        <v>2.102E-2</v>
      </c>
      <c r="E422" s="13">
        <v>513.5</v>
      </c>
      <c r="F422" s="13">
        <v>516.70000000000005</v>
      </c>
      <c r="G422" s="13">
        <v>0.71809999999999996</v>
      </c>
      <c r="H422" s="13">
        <v>0.54010000000000002</v>
      </c>
      <c r="I422" s="13">
        <v>1114</v>
      </c>
      <c r="J422" s="13">
        <v>1198</v>
      </c>
      <c r="K422" s="13">
        <v>1.411</v>
      </c>
    </row>
    <row r="423" spans="2:11" s="460" customFormat="1">
      <c r="B423" s="13">
        <v>845</v>
      </c>
      <c r="C423" s="13">
        <v>524.6</v>
      </c>
      <c r="D423" s="13">
        <v>2.104E-2</v>
      </c>
      <c r="E423" s="13">
        <v>514.29999999999995</v>
      </c>
      <c r="F423" s="13">
        <v>517.6</v>
      </c>
      <c r="G423" s="13">
        <v>0.71889999999999998</v>
      </c>
      <c r="H423" s="13">
        <v>0.53659999999999997</v>
      </c>
      <c r="I423" s="13">
        <v>1114</v>
      </c>
      <c r="J423" s="13">
        <v>1198</v>
      </c>
      <c r="K423" s="13">
        <v>1.41</v>
      </c>
    </row>
    <row r="424" spans="2:11" s="460" customFormat="1">
      <c r="B424" s="13">
        <v>850</v>
      </c>
      <c r="C424" s="13">
        <v>525.29999999999995</v>
      </c>
      <c r="D424" s="13">
        <v>2.1059999999999999E-2</v>
      </c>
      <c r="E424" s="13">
        <v>515.1</v>
      </c>
      <c r="F424" s="13">
        <v>518.4</v>
      </c>
      <c r="G424" s="13">
        <v>0.71970000000000001</v>
      </c>
      <c r="H424" s="13">
        <v>0.53320000000000001</v>
      </c>
      <c r="I424" s="13">
        <v>1114</v>
      </c>
      <c r="J424" s="13">
        <v>1198</v>
      </c>
      <c r="K424" s="13">
        <v>1.409</v>
      </c>
    </row>
    <row r="425" spans="2:11" s="460" customFormat="1">
      <c r="B425" s="13">
        <v>855</v>
      </c>
      <c r="C425" s="13">
        <v>526</v>
      </c>
      <c r="D425" s="13">
        <v>2.1080000000000002E-2</v>
      </c>
      <c r="E425" s="13">
        <v>515.9</v>
      </c>
      <c r="F425" s="13">
        <v>519.29999999999995</v>
      </c>
      <c r="G425" s="13">
        <v>0.72060000000000002</v>
      </c>
      <c r="H425" s="13">
        <v>0.52980000000000005</v>
      </c>
      <c r="I425" s="13">
        <v>1114</v>
      </c>
      <c r="J425" s="13">
        <v>1198</v>
      </c>
      <c r="K425" s="13">
        <v>1.409</v>
      </c>
    </row>
    <row r="426" spans="2:11" s="460" customFormat="1">
      <c r="B426" s="13">
        <v>860</v>
      </c>
      <c r="C426" s="13">
        <v>526.70000000000005</v>
      </c>
      <c r="D426" s="13">
        <v>2.1100000000000001E-2</v>
      </c>
      <c r="E426" s="13">
        <v>516.70000000000005</v>
      </c>
      <c r="F426" s="13">
        <v>520.1</v>
      </c>
      <c r="G426" s="13">
        <v>0.72140000000000004</v>
      </c>
      <c r="H426" s="13">
        <v>0.52649999999999997</v>
      </c>
      <c r="I426" s="13">
        <v>1114</v>
      </c>
      <c r="J426" s="13">
        <v>1197</v>
      </c>
      <c r="K426" s="13">
        <v>1.4079999999999999</v>
      </c>
    </row>
    <row r="427" spans="2:11" s="460" customFormat="1">
      <c r="B427" s="13">
        <v>865</v>
      </c>
      <c r="C427" s="13">
        <v>527.29999999999995</v>
      </c>
      <c r="D427" s="13">
        <v>2.111E-2</v>
      </c>
      <c r="E427" s="13">
        <v>517.6</v>
      </c>
      <c r="F427" s="13">
        <v>520.9</v>
      </c>
      <c r="G427" s="13">
        <v>0.72219999999999995</v>
      </c>
      <c r="H427" s="13">
        <v>0.5232</v>
      </c>
      <c r="I427" s="13">
        <v>1114</v>
      </c>
      <c r="J427" s="13">
        <v>1197</v>
      </c>
      <c r="K427" s="13">
        <v>1.407</v>
      </c>
    </row>
    <row r="428" spans="2:11" s="460" customFormat="1">
      <c r="B428" s="13">
        <v>870</v>
      </c>
      <c r="C428" s="13">
        <v>528</v>
      </c>
      <c r="D428" s="13">
        <v>2.1129999999999999E-2</v>
      </c>
      <c r="E428" s="13">
        <v>518.4</v>
      </c>
      <c r="F428" s="13">
        <v>521.79999999999995</v>
      </c>
      <c r="G428" s="13">
        <v>0.72309999999999997</v>
      </c>
      <c r="H428" s="13">
        <v>0.51990000000000003</v>
      </c>
      <c r="I428" s="13">
        <v>1113</v>
      </c>
      <c r="J428" s="13">
        <v>1197</v>
      </c>
      <c r="K428" s="13">
        <v>1.407</v>
      </c>
    </row>
    <row r="429" spans="2:11" s="460" customFormat="1">
      <c r="B429" s="13">
        <v>875</v>
      </c>
      <c r="C429" s="13">
        <v>528.70000000000005</v>
      </c>
      <c r="D429" s="13">
        <v>2.1149999999999999E-2</v>
      </c>
      <c r="E429" s="13">
        <v>519.20000000000005</v>
      </c>
      <c r="F429" s="13">
        <v>522.6</v>
      </c>
      <c r="G429" s="13">
        <v>0.72389999999999999</v>
      </c>
      <c r="H429" s="13">
        <v>0.51670000000000005</v>
      </c>
      <c r="I429" s="13">
        <v>1113</v>
      </c>
      <c r="J429" s="13">
        <v>1197</v>
      </c>
      <c r="K429" s="13">
        <v>1.4059999999999999</v>
      </c>
    </row>
    <row r="430" spans="2:11" s="460" customFormat="1">
      <c r="B430" s="13">
        <v>880</v>
      </c>
      <c r="C430" s="13">
        <v>529.4</v>
      </c>
      <c r="D430" s="13">
        <v>2.1170000000000001E-2</v>
      </c>
      <c r="E430" s="13">
        <v>520</v>
      </c>
      <c r="F430" s="13">
        <v>523.4</v>
      </c>
      <c r="G430" s="13">
        <v>0.72470000000000001</v>
      </c>
      <c r="H430" s="13">
        <v>0.51349999999999996</v>
      </c>
      <c r="I430" s="13">
        <v>1113</v>
      </c>
      <c r="J430" s="13">
        <v>1197</v>
      </c>
      <c r="K430" s="13">
        <v>1.4059999999999999</v>
      </c>
    </row>
    <row r="431" spans="2:11" s="460" customFormat="1">
      <c r="B431" s="13">
        <v>885</v>
      </c>
      <c r="C431" s="13">
        <v>530</v>
      </c>
      <c r="D431" s="13">
        <v>2.1190000000000001E-2</v>
      </c>
      <c r="E431" s="13">
        <v>520.79999999999995</v>
      </c>
      <c r="F431" s="13">
        <v>524.29999999999995</v>
      </c>
      <c r="G431" s="13">
        <v>0.72550000000000003</v>
      </c>
      <c r="H431" s="13">
        <v>0.51029999999999998</v>
      </c>
      <c r="I431" s="13">
        <v>1113</v>
      </c>
      <c r="J431" s="13">
        <v>1197</v>
      </c>
      <c r="K431" s="13">
        <v>1.405</v>
      </c>
    </row>
    <row r="432" spans="2:11" s="460" customFormat="1">
      <c r="B432" s="13">
        <v>890</v>
      </c>
      <c r="C432" s="13">
        <v>530.70000000000005</v>
      </c>
      <c r="D432" s="13">
        <v>2.12E-2</v>
      </c>
      <c r="E432" s="13">
        <v>521.6</v>
      </c>
      <c r="F432" s="13">
        <v>525.1</v>
      </c>
      <c r="G432" s="13">
        <v>0.72629999999999995</v>
      </c>
      <c r="H432" s="13">
        <v>0.50719999999999998</v>
      </c>
      <c r="I432" s="13">
        <v>1113</v>
      </c>
      <c r="J432" s="13">
        <v>1196</v>
      </c>
      <c r="K432" s="13">
        <v>1.4039999999999999</v>
      </c>
    </row>
    <row r="433" spans="2:11" s="460" customFormat="1">
      <c r="B433" s="13">
        <v>895</v>
      </c>
      <c r="C433" s="13">
        <v>531.4</v>
      </c>
      <c r="D433" s="13">
        <v>2.1219999999999999E-2</v>
      </c>
      <c r="E433" s="13">
        <v>522.4</v>
      </c>
      <c r="F433" s="13">
        <v>525.9</v>
      </c>
      <c r="G433" s="13">
        <v>0.72709999999999997</v>
      </c>
      <c r="H433" s="13">
        <v>0.50409999999999999</v>
      </c>
      <c r="I433" s="13">
        <v>1113</v>
      </c>
      <c r="J433" s="13">
        <v>1196</v>
      </c>
      <c r="K433" s="13">
        <v>1.4039999999999999</v>
      </c>
    </row>
    <row r="434" spans="2:11" s="460" customFormat="1">
      <c r="B434" s="13">
        <v>900</v>
      </c>
      <c r="C434" s="13">
        <v>532</v>
      </c>
      <c r="D434" s="13">
        <v>2.1239999999999998E-2</v>
      </c>
      <c r="E434" s="13">
        <v>523.20000000000005</v>
      </c>
      <c r="F434" s="13">
        <v>526.70000000000005</v>
      </c>
      <c r="G434" s="13">
        <v>0.72789999999999999</v>
      </c>
      <c r="H434" s="13">
        <v>0.50109999999999999</v>
      </c>
      <c r="I434" s="13">
        <v>1113</v>
      </c>
      <c r="J434" s="13">
        <v>1196</v>
      </c>
      <c r="K434" s="13">
        <v>1.403</v>
      </c>
    </row>
    <row r="435" spans="2:11" s="460" customFormat="1">
      <c r="B435" s="13">
        <v>905</v>
      </c>
      <c r="C435" s="13">
        <v>532.70000000000005</v>
      </c>
      <c r="D435" s="13">
        <v>2.1260000000000001E-2</v>
      </c>
      <c r="E435" s="13">
        <v>524</v>
      </c>
      <c r="F435" s="13">
        <v>527.5</v>
      </c>
      <c r="G435" s="13">
        <v>0.72870000000000001</v>
      </c>
      <c r="H435" s="13">
        <v>0.498</v>
      </c>
      <c r="I435" s="13">
        <v>1113</v>
      </c>
      <c r="J435" s="13">
        <v>1196</v>
      </c>
      <c r="K435" s="13">
        <v>1.4019999999999999</v>
      </c>
    </row>
    <row r="436" spans="2:11" s="460" customFormat="1">
      <c r="B436" s="13">
        <v>910</v>
      </c>
      <c r="C436" s="13">
        <v>533.29999999999995</v>
      </c>
      <c r="D436" s="13">
        <v>2.128E-2</v>
      </c>
      <c r="E436" s="13">
        <v>524.79999999999995</v>
      </c>
      <c r="F436" s="13">
        <v>528.29999999999995</v>
      </c>
      <c r="G436" s="13">
        <v>0.72950000000000004</v>
      </c>
      <c r="H436" s="13">
        <v>0.495</v>
      </c>
      <c r="I436" s="13">
        <v>1112</v>
      </c>
      <c r="J436" s="13">
        <v>1196</v>
      </c>
      <c r="K436" s="13">
        <v>1.4019999999999999</v>
      </c>
    </row>
    <row r="437" spans="2:11" s="460" customFormat="1">
      <c r="B437" s="13">
        <v>915</v>
      </c>
      <c r="C437" s="13">
        <v>534</v>
      </c>
      <c r="D437" s="13">
        <v>2.129E-2</v>
      </c>
      <c r="E437" s="13">
        <v>525.6</v>
      </c>
      <c r="F437" s="13">
        <v>529.20000000000005</v>
      </c>
      <c r="G437" s="13">
        <v>0.73029999999999995</v>
      </c>
      <c r="H437" s="13">
        <v>0.49209999999999998</v>
      </c>
      <c r="I437" s="13">
        <v>1112</v>
      </c>
      <c r="J437" s="13">
        <v>1196</v>
      </c>
      <c r="K437" s="13">
        <v>1.401</v>
      </c>
    </row>
    <row r="438" spans="2:11" s="460" customFormat="1">
      <c r="B438" s="13">
        <v>920</v>
      </c>
      <c r="C438" s="13">
        <v>534.6</v>
      </c>
      <c r="D438" s="13">
        <v>2.1309999999999999E-2</v>
      </c>
      <c r="E438" s="13">
        <v>526.29999999999995</v>
      </c>
      <c r="F438" s="13">
        <v>530</v>
      </c>
      <c r="G438" s="13">
        <v>0.73109999999999997</v>
      </c>
      <c r="H438" s="13">
        <v>0.48920000000000002</v>
      </c>
      <c r="I438" s="13">
        <v>1112</v>
      </c>
      <c r="J438" s="13">
        <v>1195</v>
      </c>
      <c r="K438" s="13">
        <v>1.4</v>
      </c>
    </row>
    <row r="439" spans="2:11" s="460" customFormat="1">
      <c r="B439" s="13">
        <v>925</v>
      </c>
      <c r="C439" s="13">
        <v>535.29999999999995</v>
      </c>
      <c r="D439" s="13">
        <v>2.1329999999999998E-2</v>
      </c>
      <c r="E439" s="13">
        <v>527.1</v>
      </c>
      <c r="F439" s="13">
        <v>530.79999999999995</v>
      </c>
      <c r="G439" s="13">
        <v>0.7319</v>
      </c>
      <c r="H439" s="13">
        <v>0.48630000000000001</v>
      </c>
      <c r="I439" s="13">
        <v>1112</v>
      </c>
      <c r="J439" s="13">
        <v>1195</v>
      </c>
      <c r="K439" s="13">
        <v>1.4</v>
      </c>
    </row>
    <row r="440" spans="2:11" s="460" customFormat="1">
      <c r="B440" s="13">
        <v>930</v>
      </c>
      <c r="C440" s="13">
        <v>535.9</v>
      </c>
      <c r="D440" s="13">
        <v>2.1350000000000001E-2</v>
      </c>
      <c r="E440" s="13">
        <v>527.9</v>
      </c>
      <c r="F440" s="13">
        <v>531.6</v>
      </c>
      <c r="G440" s="13">
        <v>0.73270000000000002</v>
      </c>
      <c r="H440" s="13">
        <v>0.4834</v>
      </c>
      <c r="I440" s="13">
        <v>1112</v>
      </c>
      <c r="J440" s="13">
        <v>1195</v>
      </c>
      <c r="K440" s="13">
        <v>1.399</v>
      </c>
    </row>
    <row r="441" spans="2:11" s="460" customFormat="1">
      <c r="B441" s="13">
        <v>935</v>
      </c>
      <c r="C441" s="13">
        <v>536.6</v>
      </c>
      <c r="D441" s="13">
        <v>2.137E-2</v>
      </c>
      <c r="E441" s="13">
        <v>528.70000000000005</v>
      </c>
      <c r="F441" s="13">
        <v>532.4</v>
      </c>
      <c r="G441" s="13">
        <v>0.73350000000000004</v>
      </c>
      <c r="H441" s="13">
        <v>0.48049999999999998</v>
      </c>
      <c r="I441" s="13">
        <v>1112</v>
      </c>
      <c r="J441" s="13">
        <v>1195</v>
      </c>
      <c r="K441" s="13">
        <v>1.399</v>
      </c>
    </row>
    <row r="442" spans="2:11" s="460" customFormat="1">
      <c r="B442" s="13">
        <v>940</v>
      </c>
      <c r="C442" s="13">
        <v>537.20000000000005</v>
      </c>
      <c r="D442" s="13">
        <v>2.138E-2</v>
      </c>
      <c r="E442" s="13">
        <v>529.5</v>
      </c>
      <c r="F442" s="13">
        <v>533.20000000000005</v>
      </c>
      <c r="G442" s="13">
        <v>0.73429999999999995</v>
      </c>
      <c r="H442" s="13">
        <v>0.47770000000000001</v>
      </c>
      <c r="I442" s="13">
        <v>1112</v>
      </c>
      <c r="J442" s="13">
        <v>1195</v>
      </c>
      <c r="K442" s="13">
        <v>1.3979999999999999</v>
      </c>
    </row>
    <row r="443" spans="2:11" s="460" customFormat="1">
      <c r="B443" s="13">
        <v>945</v>
      </c>
      <c r="C443" s="13">
        <v>537.79999999999995</v>
      </c>
      <c r="D443" s="13">
        <v>2.1399999999999999E-2</v>
      </c>
      <c r="E443" s="13">
        <v>530.20000000000005</v>
      </c>
      <c r="F443" s="13">
        <v>534</v>
      </c>
      <c r="G443" s="13">
        <v>0.73499999999999999</v>
      </c>
      <c r="H443" s="13">
        <v>0.47489999999999999</v>
      </c>
      <c r="I443" s="13">
        <v>1112</v>
      </c>
      <c r="J443" s="13">
        <v>1195</v>
      </c>
      <c r="K443" s="13">
        <v>1.397</v>
      </c>
    </row>
    <row r="444" spans="2:11" s="460" customFormat="1">
      <c r="B444" s="13">
        <v>950</v>
      </c>
      <c r="C444" s="13">
        <v>538.5</v>
      </c>
      <c r="D444" s="13">
        <v>2.1420000000000002E-2</v>
      </c>
      <c r="E444" s="13">
        <v>531</v>
      </c>
      <c r="F444" s="13">
        <v>534.79999999999995</v>
      </c>
      <c r="G444" s="13">
        <v>0.73580000000000001</v>
      </c>
      <c r="H444" s="13">
        <v>0.47220000000000001</v>
      </c>
      <c r="I444" s="13">
        <v>1111</v>
      </c>
      <c r="J444" s="13">
        <v>1194</v>
      </c>
      <c r="K444" s="13">
        <v>1.397</v>
      </c>
    </row>
    <row r="445" spans="2:11" s="460" customFormat="1">
      <c r="B445" s="13">
        <v>955</v>
      </c>
      <c r="C445" s="13">
        <v>539.1</v>
      </c>
      <c r="D445" s="13">
        <v>2.1440000000000001E-2</v>
      </c>
      <c r="E445" s="13">
        <v>531.79999999999995</v>
      </c>
      <c r="F445" s="13">
        <v>535.5</v>
      </c>
      <c r="G445" s="13">
        <v>0.73660000000000003</v>
      </c>
      <c r="H445" s="13">
        <v>0.46949999999999997</v>
      </c>
      <c r="I445" s="13">
        <v>1111</v>
      </c>
      <c r="J445" s="13">
        <v>1194</v>
      </c>
      <c r="K445" s="13">
        <v>1.3959999999999999</v>
      </c>
    </row>
    <row r="446" spans="2:11" s="460" customFormat="1">
      <c r="B446" s="13">
        <v>960</v>
      </c>
      <c r="C446" s="13">
        <v>539.70000000000005</v>
      </c>
      <c r="D446" s="13">
        <v>2.146E-2</v>
      </c>
      <c r="E446" s="13">
        <v>532.5</v>
      </c>
      <c r="F446" s="13">
        <v>536.29999999999995</v>
      </c>
      <c r="G446" s="13">
        <v>0.73740000000000006</v>
      </c>
      <c r="H446" s="13">
        <v>0.4667</v>
      </c>
      <c r="I446" s="13">
        <v>1111</v>
      </c>
      <c r="J446" s="13">
        <v>1194</v>
      </c>
      <c r="K446" s="13">
        <v>1.395</v>
      </c>
    </row>
    <row r="447" spans="2:11" s="460" customFormat="1">
      <c r="B447" s="13">
        <v>965</v>
      </c>
      <c r="C447" s="13">
        <v>540.29999999999995</v>
      </c>
      <c r="D447" s="13">
        <v>2.147E-2</v>
      </c>
      <c r="E447" s="13">
        <v>533.29999999999995</v>
      </c>
      <c r="F447" s="13">
        <v>537.1</v>
      </c>
      <c r="G447" s="13">
        <v>0.73809999999999998</v>
      </c>
      <c r="H447" s="13">
        <v>0.46410000000000001</v>
      </c>
      <c r="I447" s="13">
        <v>1111</v>
      </c>
      <c r="J447" s="13">
        <v>1194</v>
      </c>
      <c r="K447" s="13">
        <v>1.395</v>
      </c>
    </row>
    <row r="448" spans="2:11" s="460" customFormat="1">
      <c r="B448" s="13">
        <v>970</v>
      </c>
      <c r="C448" s="13">
        <v>541</v>
      </c>
      <c r="D448" s="13">
        <v>2.1489999999999999E-2</v>
      </c>
      <c r="E448" s="13">
        <v>534</v>
      </c>
      <c r="F448" s="13">
        <v>537.9</v>
      </c>
      <c r="G448" s="13">
        <v>0.7389</v>
      </c>
      <c r="H448" s="13">
        <v>0.46139999999999998</v>
      </c>
      <c r="I448" s="13">
        <v>1111</v>
      </c>
      <c r="J448" s="13">
        <v>1194</v>
      </c>
      <c r="K448" s="13">
        <v>1.3939999999999999</v>
      </c>
    </row>
    <row r="449" spans="2:11" s="460" customFormat="1">
      <c r="B449" s="13">
        <v>975</v>
      </c>
      <c r="C449" s="13">
        <v>541.6</v>
      </c>
      <c r="D449" s="13">
        <v>2.1510000000000001E-2</v>
      </c>
      <c r="E449" s="13">
        <v>534.79999999999995</v>
      </c>
      <c r="F449" s="13">
        <v>538.70000000000005</v>
      </c>
      <c r="G449" s="13">
        <v>0.73960000000000004</v>
      </c>
      <c r="H449" s="13">
        <v>0.45879999999999999</v>
      </c>
      <c r="I449" s="13">
        <v>1111</v>
      </c>
      <c r="J449" s="13">
        <v>1194</v>
      </c>
      <c r="K449" s="13">
        <v>1.3939999999999999</v>
      </c>
    </row>
    <row r="450" spans="2:11" s="460" customFormat="1">
      <c r="B450" s="13">
        <v>980</v>
      </c>
      <c r="C450" s="13">
        <v>542.20000000000005</v>
      </c>
      <c r="D450" s="13">
        <v>2.1530000000000001E-2</v>
      </c>
      <c r="E450" s="13">
        <v>535.6</v>
      </c>
      <c r="F450" s="13">
        <v>539.5</v>
      </c>
      <c r="G450" s="13">
        <v>0.74039999999999995</v>
      </c>
      <c r="H450" s="13">
        <v>0.45619999999999999</v>
      </c>
      <c r="I450" s="13">
        <v>1111</v>
      </c>
      <c r="J450" s="13">
        <v>1193</v>
      </c>
      <c r="K450" s="13">
        <v>1.393</v>
      </c>
    </row>
    <row r="451" spans="2:11" s="460" customFormat="1">
      <c r="B451" s="13">
        <v>985</v>
      </c>
      <c r="C451" s="13">
        <v>542.79999999999995</v>
      </c>
      <c r="D451" s="13">
        <v>2.155E-2</v>
      </c>
      <c r="E451" s="13">
        <v>536.29999999999995</v>
      </c>
      <c r="F451" s="13">
        <v>540.20000000000005</v>
      </c>
      <c r="G451" s="13">
        <v>0.74119999999999997</v>
      </c>
      <c r="H451" s="13">
        <v>0.4536</v>
      </c>
      <c r="I451" s="13">
        <v>1110</v>
      </c>
      <c r="J451" s="13">
        <v>1193</v>
      </c>
      <c r="K451" s="13">
        <v>1.3919999999999999</v>
      </c>
    </row>
    <row r="452" spans="2:11" s="460" customFormat="1">
      <c r="B452" s="13">
        <v>990</v>
      </c>
      <c r="C452" s="13">
        <v>543.4</v>
      </c>
      <c r="D452" s="13">
        <v>2.1559999999999999E-2</v>
      </c>
      <c r="E452" s="13">
        <v>537.1</v>
      </c>
      <c r="F452" s="13">
        <v>541</v>
      </c>
      <c r="G452" s="13">
        <v>0.7419</v>
      </c>
      <c r="H452" s="13">
        <v>0.4511</v>
      </c>
      <c r="I452" s="13">
        <v>1110</v>
      </c>
      <c r="J452" s="13">
        <v>1193</v>
      </c>
      <c r="K452" s="13">
        <v>1.3919999999999999</v>
      </c>
    </row>
    <row r="453" spans="2:11" s="460" customFormat="1">
      <c r="B453" s="13">
        <v>995</v>
      </c>
      <c r="C453" s="13">
        <v>544</v>
      </c>
      <c r="D453" s="13">
        <v>2.1579999999999998E-2</v>
      </c>
      <c r="E453" s="13">
        <v>537.79999999999995</v>
      </c>
      <c r="F453" s="13">
        <v>541.79999999999995</v>
      </c>
      <c r="G453" s="13">
        <v>0.74270000000000003</v>
      </c>
      <c r="H453" s="13">
        <v>0.4486</v>
      </c>
      <c r="I453" s="13">
        <v>1110</v>
      </c>
      <c r="J453" s="13">
        <v>1193</v>
      </c>
      <c r="K453" s="13">
        <v>1.391</v>
      </c>
    </row>
    <row r="454" spans="2:11" s="460" customFormat="1">
      <c r="B454" s="13">
        <v>1000</v>
      </c>
      <c r="C454" s="13">
        <v>544.70000000000005</v>
      </c>
      <c r="D454" s="13">
        <v>2.1600000000000001E-2</v>
      </c>
      <c r="E454" s="13">
        <v>538.6</v>
      </c>
      <c r="F454" s="13">
        <v>542.6</v>
      </c>
      <c r="G454" s="13">
        <v>0.74339999999999995</v>
      </c>
      <c r="H454" s="13">
        <v>0.4461</v>
      </c>
      <c r="I454" s="13">
        <v>1110</v>
      </c>
      <c r="J454" s="13">
        <v>1193</v>
      </c>
      <c r="K454" s="13">
        <v>1.391</v>
      </c>
    </row>
    <row r="455" spans="2:11" s="460" customFormat="1">
      <c r="B455" s="13">
        <v>1005</v>
      </c>
      <c r="C455" s="13">
        <v>545.29999999999995</v>
      </c>
      <c r="D455" s="13">
        <v>2.162E-2</v>
      </c>
      <c r="E455" s="13">
        <v>539.29999999999995</v>
      </c>
      <c r="F455" s="13">
        <v>543.29999999999995</v>
      </c>
      <c r="G455" s="13">
        <v>0.74419999999999997</v>
      </c>
      <c r="H455" s="13">
        <v>0.44359999999999999</v>
      </c>
      <c r="I455" s="13">
        <v>1110</v>
      </c>
      <c r="J455" s="13">
        <v>1192</v>
      </c>
      <c r="K455" s="13">
        <v>1.39</v>
      </c>
    </row>
    <row r="456" spans="2:11" s="460" customFormat="1">
      <c r="B456" s="13">
        <v>1010</v>
      </c>
      <c r="C456" s="13">
        <v>545.9</v>
      </c>
      <c r="D456" s="13">
        <v>2.164E-2</v>
      </c>
      <c r="E456" s="13">
        <v>540.1</v>
      </c>
      <c r="F456" s="13">
        <v>544.1</v>
      </c>
      <c r="G456" s="13">
        <v>0.74490000000000001</v>
      </c>
      <c r="H456" s="13">
        <v>0.44109999999999999</v>
      </c>
      <c r="I456" s="13">
        <v>1110</v>
      </c>
      <c r="J456" s="13">
        <v>1192</v>
      </c>
      <c r="K456" s="13">
        <v>1.389</v>
      </c>
    </row>
    <row r="457" spans="2:11" s="460" customFormat="1">
      <c r="B457" s="13">
        <v>1015</v>
      </c>
      <c r="C457" s="13">
        <v>546.5</v>
      </c>
      <c r="D457" s="13">
        <v>2.1649999999999999E-2</v>
      </c>
      <c r="E457" s="13">
        <v>540.79999999999995</v>
      </c>
      <c r="F457" s="13">
        <v>544.9</v>
      </c>
      <c r="G457" s="13">
        <v>0.74560000000000004</v>
      </c>
      <c r="H457" s="13">
        <v>0.43869999999999998</v>
      </c>
      <c r="I457" s="13">
        <v>1110</v>
      </c>
      <c r="J457" s="13">
        <v>1192</v>
      </c>
      <c r="K457" s="13">
        <v>1.389</v>
      </c>
    </row>
    <row r="458" spans="2:11" s="460" customFormat="1">
      <c r="B458" s="13">
        <v>1020</v>
      </c>
      <c r="C458" s="13">
        <v>547.1</v>
      </c>
      <c r="D458" s="13">
        <v>2.1669999999999998E-2</v>
      </c>
      <c r="E458" s="13">
        <v>541.5</v>
      </c>
      <c r="F458" s="13">
        <v>545.6</v>
      </c>
      <c r="G458" s="13">
        <v>0.74639999999999995</v>
      </c>
      <c r="H458" s="13">
        <v>0.43630000000000002</v>
      </c>
      <c r="I458" s="13">
        <v>1109</v>
      </c>
      <c r="J458" s="13">
        <v>1192</v>
      </c>
      <c r="K458" s="13">
        <v>1.3879999999999999</v>
      </c>
    </row>
    <row r="459" spans="2:11" s="460" customFormat="1">
      <c r="B459" s="13">
        <v>1025</v>
      </c>
      <c r="C459" s="13">
        <v>547.70000000000005</v>
      </c>
      <c r="D459" s="13">
        <v>2.1690000000000001E-2</v>
      </c>
      <c r="E459" s="13">
        <v>542.29999999999995</v>
      </c>
      <c r="F459" s="13">
        <v>546.4</v>
      </c>
      <c r="G459" s="13">
        <v>0.74709999999999999</v>
      </c>
      <c r="H459" s="13">
        <v>0.43390000000000001</v>
      </c>
      <c r="I459" s="13">
        <v>1109</v>
      </c>
      <c r="J459" s="13">
        <v>1192</v>
      </c>
      <c r="K459" s="13">
        <v>1.3879999999999999</v>
      </c>
    </row>
    <row r="460" spans="2:11" s="460" customFormat="1">
      <c r="B460" s="13">
        <v>1030</v>
      </c>
      <c r="C460" s="13">
        <v>548.29999999999995</v>
      </c>
      <c r="D460" s="13">
        <v>2.171E-2</v>
      </c>
      <c r="E460" s="13">
        <v>543</v>
      </c>
      <c r="F460" s="13">
        <v>547.1</v>
      </c>
      <c r="G460" s="13">
        <v>0.74780000000000002</v>
      </c>
      <c r="H460" s="13">
        <v>0.43159999999999998</v>
      </c>
      <c r="I460" s="13">
        <v>1109</v>
      </c>
      <c r="J460" s="13">
        <v>1191</v>
      </c>
      <c r="K460" s="13">
        <v>1.387</v>
      </c>
    </row>
    <row r="461" spans="2:11" s="460" customFormat="1">
      <c r="B461" s="13">
        <v>1035</v>
      </c>
      <c r="C461" s="13">
        <v>548.79999999999995</v>
      </c>
      <c r="D461" s="13">
        <v>2.1729999999999999E-2</v>
      </c>
      <c r="E461" s="13">
        <v>543.70000000000005</v>
      </c>
      <c r="F461" s="13">
        <v>547.9</v>
      </c>
      <c r="G461" s="13">
        <v>0.74860000000000004</v>
      </c>
      <c r="H461" s="13">
        <v>0.42920000000000003</v>
      </c>
      <c r="I461" s="13">
        <v>1109</v>
      </c>
      <c r="J461" s="13">
        <v>1191</v>
      </c>
      <c r="K461" s="13">
        <v>1.3859999999999999</v>
      </c>
    </row>
    <row r="462" spans="2:11" s="460" customFormat="1">
      <c r="B462" s="13">
        <v>1040</v>
      </c>
      <c r="C462" s="13">
        <v>549.4</v>
      </c>
      <c r="D462" s="13">
        <v>2.1739999999999999E-2</v>
      </c>
      <c r="E462" s="13">
        <v>544.5</v>
      </c>
      <c r="F462" s="13">
        <v>548.6</v>
      </c>
      <c r="G462" s="13">
        <v>0.74929999999999997</v>
      </c>
      <c r="H462" s="13">
        <v>0.4269</v>
      </c>
      <c r="I462" s="13">
        <v>1109</v>
      </c>
      <c r="J462" s="13">
        <v>1191</v>
      </c>
      <c r="K462" s="13">
        <v>1.3859999999999999</v>
      </c>
    </row>
    <row r="463" spans="2:11" s="460" customFormat="1">
      <c r="B463" s="13">
        <v>1045</v>
      </c>
      <c r="C463" s="13">
        <v>550</v>
      </c>
      <c r="D463" s="13">
        <v>2.1760000000000002E-2</v>
      </c>
      <c r="E463" s="13">
        <v>545.20000000000005</v>
      </c>
      <c r="F463" s="13">
        <v>549.4</v>
      </c>
      <c r="G463" s="13">
        <v>0.75</v>
      </c>
      <c r="H463" s="13">
        <v>0.42459999999999998</v>
      </c>
      <c r="I463" s="13">
        <v>1109</v>
      </c>
      <c r="J463" s="13">
        <v>1191</v>
      </c>
      <c r="K463" s="13">
        <v>1.385</v>
      </c>
    </row>
    <row r="464" spans="2:11" s="460" customFormat="1">
      <c r="B464" s="13">
        <v>1050</v>
      </c>
      <c r="C464" s="13">
        <v>550.6</v>
      </c>
      <c r="D464" s="13">
        <v>2.1780000000000001E-2</v>
      </c>
      <c r="E464" s="13">
        <v>545.9</v>
      </c>
      <c r="F464" s="13">
        <v>550.20000000000005</v>
      </c>
      <c r="G464" s="13">
        <v>0.75070000000000003</v>
      </c>
      <c r="H464" s="13">
        <v>0.42230000000000001</v>
      </c>
      <c r="I464" s="13">
        <v>1109</v>
      </c>
      <c r="J464" s="13">
        <v>1191</v>
      </c>
      <c r="K464" s="13">
        <v>1.385</v>
      </c>
    </row>
    <row r="465" spans="2:11" s="460" customFormat="1">
      <c r="B465" s="13">
        <v>1055</v>
      </c>
      <c r="C465" s="13">
        <v>551.20000000000005</v>
      </c>
      <c r="D465" s="13">
        <v>2.18E-2</v>
      </c>
      <c r="E465" s="13">
        <v>546.6</v>
      </c>
      <c r="F465" s="13">
        <v>550.9</v>
      </c>
      <c r="G465" s="13">
        <v>0.75149999999999995</v>
      </c>
      <c r="H465" s="13">
        <v>0.42009999999999997</v>
      </c>
      <c r="I465" s="13">
        <v>1108</v>
      </c>
      <c r="J465" s="13">
        <v>1190</v>
      </c>
      <c r="K465" s="13">
        <v>1.3839999999999999</v>
      </c>
    </row>
    <row r="466" spans="2:11" s="460" customFormat="1">
      <c r="B466" s="13">
        <v>1060</v>
      </c>
      <c r="C466" s="13">
        <v>551.79999999999995</v>
      </c>
      <c r="D466" s="13">
        <v>2.1819999999999999E-2</v>
      </c>
      <c r="E466" s="13">
        <v>547.4</v>
      </c>
      <c r="F466" s="13">
        <v>551.6</v>
      </c>
      <c r="G466" s="13">
        <v>0.75219999999999998</v>
      </c>
      <c r="H466" s="13">
        <v>0.4178</v>
      </c>
      <c r="I466" s="13">
        <v>1108</v>
      </c>
      <c r="J466" s="13">
        <v>1190</v>
      </c>
      <c r="K466" s="13">
        <v>1.3839999999999999</v>
      </c>
    </row>
    <row r="467" spans="2:11" s="460" customFormat="1">
      <c r="B467" s="13">
        <v>1065</v>
      </c>
      <c r="C467" s="13">
        <v>552.4</v>
      </c>
      <c r="D467" s="13">
        <v>2.1829999999999999E-2</v>
      </c>
      <c r="E467" s="13">
        <v>548.1</v>
      </c>
      <c r="F467" s="13">
        <v>552.4</v>
      </c>
      <c r="G467" s="13">
        <v>0.75290000000000001</v>
      </c>
      <c r="H467" s="13">
        <v>0.41560000000000002</v>
      </c>
      <c r="I467" s="13">
        <v>1108</v>
      </c>
      <c r="J467" s="13">
        <v>1190</v>
      </c>
      <c r="K467" s="13">
        <v>1.383</v>
      </c>
    </row>
    <row r="468" spans="2:11" s="460" customFormat="1">
      <c r="B468" s="13">
        <v>1070</v>
      </c>
      <c r="C468" s="13">
        <v>552.9</v>
      </c>
      <c r="D468" s="13">
        <v>2.1850000000000001E-2</v>
      </c>
      <c r="E468" s="13">
        <v>548.79999999999995</v>
      </c>
      <c r="F468" s="13">
        <v>553.1</v>
      </c>
      <c r="G468" s="13">
        <v>0.75360000000000005</v>
      </c>
      <c r="H468" s="13">
        <v>0.41339999999999999</v>
      </c>
      <c r="I468" s="13">
        <v>1108</v>
      </c>
      <c r="J468" s="13">
        <v>1190</v>
      </c>
      <c r="K468" s="13">
        <v>1.3819999999999999</v>
      </c>
    </row>
    <row r="469" spans="2:11" s="460" customFormat="1">
      <c r="B469" s="13">
        <v>1075</v>
      </c>
      <c r="C469" s="13">
        <v>553.5</v>
      </c>
      <c r="D469" s="13">
        <v>2.1870000000000001E-2</v>
      </c>
      <c r="E469" s="13">
        <v>549.5</v>
      </c>
      <c r="F469" s="13">
        <v>553.9</v>
      </c>
      <c r="G469" s="13">
        <v>0.75429999999999997</v>
      </c>
      <c r="H469" s="13">
        <v>0.41120000000000001</v>
      </c>
      <c r="I469" s="13">
        <v>1108</v>
      </c>
      <c r="J469" s="13">
        <v>1190</v>
      </c>
      <c r="K469" s="13">
        <v>1.3819999999999999</v>
      </c>
    </row>
    <row r="470" spans="2:11" s="460" customFormat="1">
      <c r="B470" s="13">
        <v>1080</v>
      </c>
      <c r="C470" s="13">
        <v>554.1</v>
      </c>
      <c r="D470" s="13">
        <v>2.189E-2</v>
      </c>
      <c r="E470" s="13">
        <v>550.20000000000005</v>
      </c>
      <c r="F470" s="13">
        <v>554.6</v>
      </c>
      <c r="G470" s="13">
        <v>0.755</v>
      </c>
      <c r="H470" s="13">
        <v>0.40910000000000002</v>
      </c>
      <c r="I470" s="13">
        <v>1108</v>
      </c>
      <c r="J470" s="13">
        <v>1189</v>
      </c>
      <c r="K470" s="13">
        <v>1.381</v>
      </c>
    </row>
    <row r="471" spans="2:11" s="460" customFormat="1">
      <c r="B471" s="13">
        <v>1085</v>
      </c>
      <c r="C471" s="13">
        <v>554.6</v>
      </c>
      <c r="D471" s="13">
        <v>2.1909999999999999E-2</v>
      </c>
      <c r="E471" s="13">
        <v>551</v>
      </c>
      <c r="F471" s="13">
        <v>555.29999999999995</v>
      </c>
      <c r="G471" s="13">
        <v>0.75570000000000004</v>
      </c>
      <c r="H471" s="13">
        <v>0.40699999999999997</v>
      </c>
      <c r="I471" s="13">
        <v>1107</v>
      </c>
      <c r="J471" s="13">
        <v>1189</v>
      </c>
      <c r="K471" s="13">
        <v>1.381</v>
      </c>
    </row>
    <row r="472" spans="2:11" s="460" customFormat="1">
      <c r="B472" s="13">
        <v>1090</v>
      </c>
      <c r="C472" s="13">
        <v>555.20000000000005</v>
      </c>
      <c r="D472" s="13">
        <v>2.1919999999999999E-2</v>
      </c>
      <c r="E472" s="13">
        <v>551.70000000000005</v>
      </c>
      <c r="F472" s="13">
        <v>556.1</v>
      </c>
      <c r="G472" s="13">
        <v>0.75639999999999996</v>
      </c>
      <c r="H472" s="13">
        <v>0.40479999999999999</v>
      </c>
      <c r="I472" s="13">
        <v>1107</v>
      </c>
      <c r="J472" s="13">
        <v>1189</v>
      </c>
      <c r="K472" s="13">
        <v>1.38</v>
      </c>
    </row>
    <row r="473" spans="2:11" s="460" customFormat="1">
      <c r="B473" s="13">
        <v>1095</v>
      </c>
      <c r="C473" s="13">
        <v>555.79999999999995</v>
      </c>
      <c r="D473" s="13">
        <v>2.1940000000000001E-2</v>
      </c>
      <c r="E473" s="13">
        <v>552.4</v>
      </c>
      <c r="F473" s="13">
        <v>556.79999999999995</v>
      </c>
      <c r="G473" s="13">
        <v>0.7571</v>
      </c>
      <c r="H473" s="13">
        <v>0.4027</v>
      </c>
      <c r="I473" s="13">
        <v>1107</v>
      </c>
      <c r="J473" s="13">
        <v>1189</v>
      </c>
      <c r="K473" s="13">
        <v>1.38</v>
      </c>
    </row>
    <row r="474" spans="2:11" s="460" customFormat="1">
      <c r="B474" s="13">
        <v>1100</v>
      </c>
      <c r="C474" s="13">
        <v>556.4</v>
      </c>
      <c r="D474" s="13">
        <v>2.196E-2</v>
      </c>
      <c r="E474" s="13">
        <v>553.1</v>
      </c>
      <c r="F474" s="13">
        <v>557.6</v>
      </c>
      <c r="G474" s="13">
        <v>0.75780000000000003</v>
      </c>
      <c r="H474" s="13">
        <v>0.40060000000000001</v>
      </c>
      <c r="I474" s="13">
        <v>1107</v>
      </c>
      <c r="J474" s="13">
        <v>1189</v>
      </c>
      <c r="K474" s="13">
        <v>1.379</v>
      </c>
    </row>
    <row r="475" spans="2:11" s="460" customFormat="1">
      <c r="B475" s="13">
        <v>1105</v>
      </c>
      <c r="C475" s="13">
        <v>556.9</v>
      </c>
      <c r="D475" s="13">
        <v>2.198E-2</v>
      </c>
      <c r="E475" s="13">
        <v>553.79999999999995</v>
      </c>
      <c r="F475" s="13">
        <v>558.29999999999995</v>
      </c>
      <c r="G475" s="13">
        <v>0.75849999999999995</v>
      </c>
      <c r="H475" s="13">
        <v>0.39860000000000001</v>
      </c>
      <c r="I475" s="13">
        <v>1107</v>
      </c>
      <c r="J475" s="13">
        <v>1188</v>
      </c>
      <c r="K475" s="13">
        <v>1.3779999999999999</v>
      </c>
    </row>
    <row r="476" spans="2:11" s="460" customFormat="1">
      <c r="B476" s="13">
        <v>1110</v>
      </c>
      <c r="C476" s="13">
        <v>557.5</v>
      </c>
      <c r="D476" s="13">
        <v>2.1999999999999999E-2</v>
      </c>
      <c r="E476" s="13">
        <v>554.5</v>
      </c>
      <c r="F476" s="13">
        <v>559</v>
      </c>
      <c r="G476" s="13">
        <v>0.75919999999999999</v>
      </c>
      <c r="H476" s="13">
        <v>0.39650000000000002</v>
      </c>
      <c r="I476" s="13">
        <v>1107</v>
      </c>
      <c r="J476" s="13">
        <v>1188</v>
      </c>
      <c r="K476" s="13">
        <v>1.3779999999999999</v>
      </c>
    </row>
    <row r="477" spans="2:11" s="460" customFormat="1">
      <c r="B477" s="13">
        <v>1115</v>
      </c>
      <c r="C477" s="13">
        <v>558</v>
      </c>
      <c r="D477" s="13">
        <v>2.2020000000000001E-2</v>
      </c>
      <c r="E477" s="13">
        <v>555.20000000000005</v>
      </c>
      <c r="F477" s="13">
        <v>559.70000000000005</v>
      </c>
      <c r="G477" s="13">
        <v>0.75990000000000002</v>
      </c>
      <c r="H477" s="13">
        <v>0.39450000000000002</v>
      </c>
      <c r="I477" s="13">
        <v>1107</v>
      </c>
      <c r="J477" s="13">
        <v>1188</v>
      </c>
      <c r="K477" s="13">
        <v>1.377</v>
      </c>
    </row>
    <row r="478" spans="2:11" s="460" customFormat="1">
      <c r="B478" s="13">
        <v>1120</v>
      </c>
      <c r="C478" s="13">
        <v>558.6</v>
      </c>
      <c r="D478" s="13">
        <v>2.2030000000000001E-2</v>
      </c>
      <c r="E478" s="13">
        <v>555.9</v>
      </c>
      <c r="F478" s="13">
        <v>560.5</v>
      </c>
      <c r="G478" s="13">
        <v>0.76060000000000005</v>
      </c>
      <c r="H478" s="13">
        <v>0.39250000000000002</v>
      </c>
      <c r="I478" s="13">
        <v>1106</v>
      </c>
      <c r="J478" s="13">
        <v>1188</v>
      </c>
      <c r="K478" s="13">
        <v>1.377</v>
      </c>
    </row>
    <row r="479" spans="2:11" s="460" customFormat="1">
      <c r="B479" s="13">
        <v>1125</v>
      </c>
      <c r="C479" s="13">
        <v>559.1</v>
      </c>
      <c r="D479" s="13">
        <v>2.205E-2</v>
      </c>
      <c r="E479" s="13">
        <v>556.6</v>
      </c>
      <c r="F479" s="13">
        <v>561.20000000000005</v>
      </c>
      <c r="G479" s="13">
        <v>0.76129999999999998</v>
      </c>
      <c r="H479" s="13">
        <v>0.39050000000000001</v>
      </c>
      <c r="I479" s="13">
        <v>1106</v>
      </c>
      <c r="J479" s="13">
        <v>1188</v>
      </c>
      <c r="K479" s="13">
        <v>1.3759999999999999</v>
      </c>
    </row>
    <row r="480" spans="2:11" s="460" customFormat="1">
      <c r="B480" s="13">
        <v>1130</v>
      </c>
      <c r="C480" s="13">
        <v>559.70000000000005</v>
      </c>
      <c r="D480" s="13">
        <v>2.2069999999999999E-2</v>
      </c>
      <c r="E480" s="13">
        <v>557.29999999999995</v>
      </c>
      <c r="F480" s="13">
        <v>561.9</v>
      </c>
      <c r="G480" s="13">
        <v>0.76200000000000001</v>
      </c>
      <c r="H480" s="13">
        <v>0.38850000000000001</v>
      </c>
      <c r="I480" s="13">
        <v>1106</v>
      </c>
      <c r="J480" s="13">
        <v>1187</v>
      </c>
      <c r="K480" s="13">
        <v>1.3759999999999999</v>
      </c>
    </row>
    <row r="481" spans="2:11" s="460" customFormat="1">
      <c r="B481" s="13">
        <v>1135</v>
      </c>
      <c r="C481" s="13">
        <v>560.29999999999995</v>
      </c>
      <c r="D481" s="13">
        <v>2.2089999999999999E-2</v>
      </c>
      <c r="E481" s="13">
        <v>558</v>
      </c>
      <c r="F481" s="13">
        <v>562.6</v>
      </c>
      <c r="G481" s="13">
        <v>0.76270000000000004</v>
      </c>
      <c r="H481" s="13">
        <v>0.3866</v>
      </c>
      <c r="I481" s="13">
        <v>1106</v>
      </c>
      <c r="J481" s="13">
        <v>1187</v>
      </c>
      <c r="K481" s="13">
        <v>1.375</v>
      </c>
    </row>
    <row r="482" spans="2:11" s="460" customFormat="1">
      <c r="B482" s="13">
        <v>1140</v>
      </c>
      <c r="C482" s="13">
        <v>560.79999999999995</v>
      </c>
      <c r="D482" s="13">
        <v>2.2110000000000001E-2</v>
      </c>
      <c r="E482" s="13">
        <v>558.70000000000005</v>
      </c>
      <c r="F482" s="13">
        <v>563.29999999999995</v>
      </c>
      <c r="G482" s="13">
        <v>0.76339999999999997</v>
      </c>
      <c r="H482" s="13">
        <v>0.3846</v>
      </c>
      <c r="I482" s="13">
        <v>1106</v>
      </c>
      <c r="J482" s="13">
        <v>1187</v>
      </c>
      <c r="K482" s="13">
        <v>1.3740000000000001</v>
      </c>
    </row>
    <row r="483" spans="2:11" s="460" customFormat="1">
      <c r="B483" s="13">
        <v>1145</v>
      </c>
      <c r="C483" s="13">
        <v>561.4</v>
      </c>
      <c r="D483" s="13">
        <v>2.2120000000000001E-2</v>
      </c>
      <c r="E483" s="13">
        <v>559.4</v>
      </c>
      <c r="F483" s="13">
        <v>564.1</v>
      </c>
      <c r="G483" s="13">
        <v>0.7641</v>
      </c>
      <c r="H483" s="13">
        <v>0.38269999999999998</v>
      </c>
      <c r="I483" s="13">
        <v>1106</v>
      </c>
      <c r="J483" s="13">
        <v>1187</v>
      </c>
      <c r="K483" s="13">
        <v>1.3740000000000001</v>
      </c>
    </row>
    <row r="484" spans="2:11" s="460" customFormat="1">
      <c r="B484" s="13">
        <v>1150</v>
      </c>
      <c r="C484" s="13">
        <v>561.9</v>
      </c>
      <c r="D484" s="13">
        <v>2.214E-2</v>
      </c>
      <c r="E484" s="13">
        <v>560.1</v>
      </c>
      <c r="F484" s="13">
        <v>564.79999999999995</v>
      </c>
      <c r="G484" s="13">
        <v>0.76470000000000005</v>
      </c>
      <c r="H484" s="13">
        <v>0.38080000000000003</v>
      </c>
      <c r="I484" s="13">
        <v>1105</v>
      </c>
      <c r="J484" s="13">
        <v>1186</v>
      </c>
      <c r="K484" s="13">
        <v>1.373</v>
      </c>
    </row>
    <row r="485" spans="2:11" s="460" customFormat="1">
      <c r="B485" s="13">
        <v>1155</v>
      </c>
      <c r="C485" s="13">
        <v>562.4</v>
      </c>
      <c r="D485" s="13">
        <v>2.2159999999999999E-2</v>
      </c>
      <c r="E485" s="13">
        <v>560.79999999999995</v>
      </c>
      <c r="F485" s="13">
        <v>565.5</v>
      </c>
      <c r="G485" s="13">
        <v>0.76539999999999997</v>
      </c>
      <c r="H485" s="13">
        <v>0.37890000000000001</v>
      </c>
      <c r="I485" s="13">
        <v>1105</v>
      </c>
      <c r="J485" s="13">
        <v>1186</v>
      </c>
      <c r="K485" s="13">
        <v>1.373</v>
      </c>
    </row>
    <row r="486" spans="2:11" s="460" customFormat="1">
      <c r="B486" s="13">
        <v>1160</v>
      </c>
      <c r="C486" s="13">
        <v>563</v>
      </c>
      <c r="D486" s="13">
        <v>2.2179999999999998E-2</v>
      </c>
      <c r="E486" s="13">
        <v>561.4</v>
      </c>
      <c r="F486" s="13">
        <v>566.20000000000005</v>
      </c>
      <c r="G486" s="13">
        <v>0.7661</v>
      </c>
      <c r="H486" s="13">
        <v>0.377</v>
      </c>
      <c r="I486" s="13">
        <v>1105</v>
      </c>
      <c r="J486" s="13">
        <v>1186</v>
      </c>
      <c r="K486" s="13">
        <v>1.3720000000000001</v>
      </c>
    </row>
    <row r="487" spans="2:11" s="460" customFormat="1">
      <c r="B487" s="13">
        <v>1165</v>
      </c>
      <c r="C487" s="13">
        <v>563.5</v>
      </c>
      <c r="D487" s="13">
        <v>2.2200000000000001E-2</v>
      </c>
      <c r="E487" s="13">
        <v>562.1</v>
      </c>
      <c r="F487" s="13">
        <v>566.9</v>
      </c>
      <c r="G487" s="13">
        <v>0.76680000000000004</v>
      </c>
      <c r="H487" s="13">
        <v>0.37509999999999999</v>
      </c>
      <c r="I487" s="13">
        <v>1105</v>
      </c>
      <c r="J487" s="13">
        <v>1186</v>
      </c>
      <c r="K487" s="13">
        <v>1.3720000000000001</v>
      </c>
    </row>
    <row r="488" spans="2:11" s="460" customFormat="1">
      <c r="B488" s="13">
        <v>1170</v>
      </c>
      <c r="C488" s="13">
        <v>564.1</v>
      </c>
      <c r="D488" s="13">
        <v>2.222E-2</v>
      </c>
      <c r="E488" s="13">
        <v>562.79999999999995</v>
      </c>
      <c r="F488" s="13">
        <v>567.6</v>
      </c>
      <c r="G488" s="13">
        <v>0.76739999999999997</v>
      </c>
      <c r="H488" s="13">
        <v>0.37330000000000002</v>
      </c>
      <c r="I488" s="13">
        <v>1105</v>
      </c>
      <c r="J488" s="13">
        <v>1186</v>
      </c>
      <c r="K488" s="13">
        <v>1.371</v>
      </c>
    </row>
    <row r="489" spans="2:11" s="460" customFormat="1">
      <c r="B489" s="13">
        <v>1175</v>
      </c>
      <c r="C489" s="13">
        <v>564.6</v>
      </c>
      <c r="D489" s="13">
        <v>2.223E-2</v>
      </c>
      <c r="E489" s="13">
        <v>563.5</v>
      </c>
      <c r="F489" s="13">
        <v>568.29999999999995</v>
      </c>
      <c r="G489" s="13">
        <v>0.7681</v>
      </c>
      <c r="H489" s="13">
        <v>0.37140000000000001</v>
      </c>
      <c r="I489" s="13">
        <v>1105</v>
      </c>
      <c r="J489" s="13">
        <v>1185</v>
      </c>
      <c r="K489" s="13">
        <v>1.371</v>
      </c>
    </row>
    <row r="490" spans="2:11" s="460" customFormat="1">
      <c r="B490" s="13">
        <v>1180</v>
      </c>
      <c r="C490" s="13">
        <v>565.1</v>
      </c>
      <c r="D490" s="13">
        <v>2.2249999999999999E-2</v>
      </c>
      <c r="E490" s="13">
        <v>564.20000000000005</v>
      </c>
      <c r="F490" s="13">
        <v>569</v>
      </c>
      <c r="G490" s="13">
        <v>0.76880000000000004</v>
      </c>
      <c r="H490" s="13">
        <v>0.36959999999999998</v>
      </c>
      <c r="I490" s="13">
        <v>1104</v>
      </c>
      <c r="J490" s="13">
        <v>1185</v>
      </c>
      <c r="K490" s="13">
        <v>1.37</v>
      </c>
    </row>
    <row r="491" spans="2:11" s="460" customFormat="1">
      <c r="B491" s="13">
        <v>1185</v>
      </c>
      <c r="C491" s="13">
        <v>565.70000000000005</v>
      </c>
      <c r="D491" s="13">
        <v>2.2270000000000002E-2</v>
      </c>
      <c r="E491" s="13">
        <v>564.9</v>
      </c>
      <c r="F491" s="13">
        <v>569.70000000000005</v>
      </c>
      <c r="G491" s="13">
        <v>0.76939999999999997</v>
      </c>
      <c r="H491" s="13">
        <v>0.36780000000000002</v>
      </c>
      <c r="I491" s="13">
        <v>1104</v>
      </c>
      <c r="J491" s="13">
        <v>1185</v>
      </c>
      <c r="K491" s="13">
        <v>1.369</v>
      </c>
    </row>
    <row r="492" spans="2:11" s="460" customFormat="1">
      <c r="B492" s="13">
        <v>1190</v>
      </c>
      <c r="C492" s="13">
        <v>566.20000000000005</v>
      </c>
      <c r="D492" s="13">
        <v>2.2290000000000001E-2</v>
      </c>
      <c r="E492" s="13">
        <v>565.5</v>
      </c>
      <c r="F492" s="13">
        <v>570.4</v>
      </c>
      <c r="G492" s="13">
        <v>0.77010000000000001</v>
      </c>
      <c r="H492" s="13">
        <v>0.36599999999999999</v>
      </c>
      <c r="I492" s="13">
        <v>1104</v>
      </c>
      <c r="J492" s="13">
        <v>1185</v>
      </c>
      <c r="K492" s="13">
        <v>1.369</v>
      </c>
    </row>
    <row r="493" spans="2:11" s="460" customFormat="1">
      <c r="B493" s="13">
        <v>1195</v>
      </c>
      <c r="C493" s="13">
        <v>566.70000000000005</v>
      </c>
      <c r="D493" s="13">
        <v>2.231E-2</v>
      </c>
      <c r="E493" s="13">
        <v>566.20000000000005</v>
      </c>
      <c r="F493" s="13">
        <v>571.1</v>
      </c>
      <c r="G493" s="13">
        <v>0.77080000000000004</v>
      </c>
      <c r="H493" s="13">
        <v>0.36420000000000002</v>
      </c>
      <c r="I493" s="13">
        <v>1104</v>
      </c>
      <c r="J493" s="13">
        <v>1184</v>
      </c>
      <c r="K493" s="13">
        <v>1.3680000000000001</v>
      </c>
    </row>
    <row r="494" spans="2:11" s="460" customFormat="1">
      <c r="B494" s="13">
        <v>1200</v>
      </c>
      <c r="C494" s="13">
        <v>567.29999999999995</v>
      </c>
      <c r="D494" s="13">
        <v>2.2329999999999999E-2</v>
      </c>
      <c r="E494" s="13">
        <v>566.9</v>
      </c>
      <c r="F494" s="13">
        <v>571.79999999999995</v>
      </c>
      <c r="G494" s="13">
        <v>0.77139999999999997</v>
      </c>
      <c r="H494" s="13">
        <v>0.36249999999999999</v>
      </c>
      <c r="I494" s="13">
        <v>1104</v>
      </c>
      <c r="J494" s="13">
        <v>1184</v>
      </c>
      <c r="K494" s="13">
        <v>1.3680000000000001</v>
      </c>
    </row>
    <row r="495" spans="2:11" s="460" customFormat="1">
      <c r="B495" s="13">
        <v>1205</v>
      </c>
      <c r="C495" s="13">
        <v>567.79999999999995</v>
      </c>
      <c r="D495" s="13">
        <v>2.2339999999999999E-2</v>
      </c>
      <c r="E495" s="13">
        <v>567.6</v>
      </c>
      <c r="F495" s="13">
        <v>572.5</v>
      </c>
      <c r="G495" s="13">
        <v>0.77210000000000001</v>
      </c>
      <c r="H495" s="13">
        <v>0.36070000000000002</v>
      </c>
      <c r="I495" s="13">
        <v>1104</v>
      </c>
      <c r="J495" s="13">
        <v>1184</v>
      </c>
      <c r="K495" s="13">
        <v>1.367</v>
      </c>
    </row>
    <row r="496" spans="2:11" s="460" customFormat="1">
      <c r="B496" s="13">
        <v>1210</v>
      </c>
      <c r="C496" s="13">
        <v>568.29999999999995</v>
      </c>
      <c r="D496" s="13">
        <v>2.2360000000000001E-2</v>
      </c>
      <c r="E496" s="13">
        <v>568.20000000000005</v>
      </c>
      <c r="F496" s="13">
        <v>573.20000000000005</v>
      </c>
      <c r="G496" s="13">
        <v>0.77280000000000004</v>
      </c>
      <c r="H496" s="13">
        <v>0.35899999999999999</v>
      </c>
      <c r="I496" s="13">
        <v>1103</v>
      </c>
      <c r="J496" s="13">
        <v>1184</v>
      </c>
      <c r="K496" s="13">
        <v>1.367</v>
      </c>
    </row>
    <row r="497" spans="2:11" s="460" customFormat="1">
      <c r="B497" s="13">
        <v>1215</v>
      </c>
      <c r="C497" s="13">
        <v>568.79999999999995</v>
      </c>
      <c r="D497" s="13">
        <v>2.2380000000000001E-2</v>
      </c>
      <c r="E497" s="13">
        <v>568.9</v>
      </c>
      <c r="F497" s="13">
        <v>573.9</v>
      </c>
      <c r="G497" s="13">
        <v>0.77339999999999998</v>
      </c>
      <c r="H497" s="13">
        <v>0.35730000000000001</v>
      </c>
      <c r="I497" s="13">
        <v>1103</v>
      </c>
      <c r="J497" s="13">
        <v>1184</v>
      </c>
      <c r="K497" s="13">
        <v>1.3660000000000001</v>
      </c>
    </row>
    <row r="498" spans="2:11" s="460" customFormat="1">
      <c r="B498" s="13">
        <v>1220</v>
      </c>
      <c r="C498" s="13">
        <v>569.4</v>
      </c>
      <c r="D498" s="13">
        <v>2.24E-2</v>
      </c>
      <c r="E498" s="13">
        <v>569.6</v>
      </c>
      <c r="F498" s="13">
        <v>574.6</v>
      </c>
      <c r="G498" s="13">
        <v>0.77410000000000001</v>
      </c>
      <c r="H498" s="13">
        <v>0.35549999999999998</v>
      </c>
      <c r="I498" s="13">
        <v>1103</v>
      </c>
      <c r="J498" s="13">
        <v>1183</v>
      </c>
      <c r="K498" s="13">
        <v>1.3660000000000001</v>
      </c>
    </row>
    <row r="499" spans="2:11" s="460" customFormat="1">
      <c r="B499" s="13">
        <v>1225</v>
      </c>
      <c r="C499" s="13">
        <v>569.9</v>
      </c>
      <c r="D499" s="13">
        <v>2.2419999999999999E-2</v>
      </c>
      <c r="E499" s="13">
        <v>570.20000000000005</v>
      </c>
      <c r="F499" s="13">
        <v>575.29999999999995</v>
      </c>
      <c r="G499" s="13">
        <v>0.77470000000000006</v>
      </c>
      <c r="H499" s="13">
        <v>0.3538</v>
      </c>
      <c r="I499" s="13">
        <v>1103</v>
      </c>
      <c r="J499" s="13">
        <v>1183</v>
      </c>
      <c r="K499" s="13">
        <v>1.365</v>
      </c>
    </row>
    <row r="500" spans="2:11" s="460" customFormat="1">
      <c r="B500" s="13">
        <v>1230</v>
      </c>
      <c r="C500" s="13">
        <v>570.4</v>
      </c>
      <c r="D500" s="13">
        <v>2.2440000000000002E-2</v>
      </c>
      <c r="E500" s="13">
        <v>570.9</v>
      </c>
      <c r="F500" s="13">
        <v>576</v>
      </c>
      <c r="G500" s="13">
        <v>0.77539999999999998</v>
      </c>
      <c r="H500" s="13">
        <v>0.35220000000000001</v>
      </c>
      <c r="I500" s="13">
        <v>1103</v>
      </c>
      <c r="J500" s="13">
        <v>1183</v>
      </c>
      <c r="K500" s="13">
        <v>1.3640000000000001</v>
      </c>
    </row>
    <row r="501" spans="2:11" s="460" customFormat="1">
      <c r="B501" s="13">
        <v>1235</v>
      </c>
      <c r="C501" s="13">
        <v>570.9</v>
      </c>
      <c r="D501" s="13">
        <v>2.2450000000000001E-2</v>
      </c>
      <c r="E501" s="13">
        <v>571.6</v>
      </c>
      <c r="F501" s="13">
        <v>576.70000000000005</v>
      </c>
      <c r="G501" s="13">
        <v>0.77600000000000002</v>
      </c>
      <c r="H501" s="13">
        <v>0.35049999999999998</v>
      </c>
      <c r="I501" s="13">
        <v>1102</v>
      </c>
      <c r="J501" s="13">
        <v>1183</v>
      </c>
      <c r="K501" s="13">
        <v>1.3640000000000001</v>
      </c>
    </row>
    <row r="502" spans="2:11" s="460" customFormat="1">
      <c r="B502" s="13">
        <v>1240</v>
      </c>
      <c r="C502" s="13">
        <v>571.4</v>
      </c>
      <c r="D502" s="13">
        <v>2.247E-2</v>
      </c>
      <c r="E502" s="13">
        <v>572.20000000000005</v>
      </c>
      <c r="F502" s="13">
        <v>577.4</v>
      </c>
      <c r="G502" s="13">
        <v>0.77669999999999995</v>
      </c>
      <c r="H502" s="13">
        <v>0.3488</v>
      </c>
      <c r="I502" s="13">
        <v>1102</v>
      </c>
      <c r="J502" s="13">
        <v>1182</v>
      </c>
      <c r="K502" s="13">
        <v>1.363</v>
      </c>
    </row>
    <row r="503" spans="2:11" s="460" customFormat="1">
      <c r="B503" s="13">
        <v>1245</v>
      </c>
      <c r="C503" s="13">
        <v>571.9</v>
      </c>
      <c r="D503" s="13">
        <v>2.249E-2</v>
      </c>
      <c r="E503" s="13">
        <v>572.9</v>
      </c>
      <c r="F503" s="13">
        <v>578.1</v>
      </c>
      <c r="G503" s="13">
        <v>0.77729999999999999</v>
      </c>
      <c r="H503" s="13">
        <v>0.34720000000000001</v>
      </c>
      <c r="I503" s="13">
        <v>1102</v>
      </c>
      <c r="J503" s="13">
        <v>1182</v>
      </c>
      <c r="K503" s="13">
        <v>1.363</v>
      </c>
    </row>
    <row r="504" spans="2:11" s="460" customFormat="1">
      <c r="B504" s="13">
        <v>1250</v>
      </c>
      <c r="C504" s="13">
        <v>572.5</v>
      </c>
      <c r="D504" s="13">
        <v>2.2509999999999999E-2</v>
      </c>
      <c r="E504" s="13">
        <v>573.6</v>
      </c>
      <c r="F504" s="13">
        <v>578.79999999999995</v>
      </c>
      <c r="G504" s="13">
        <v>0.77800000000000002</v>
      </c>
      <c r="H504" s="13">
        <v>0.34560000000000002</v>
      </c>
      <c r="I504" s="13">
        <v>1102</v>
      </c>
      <c r="J504" s="13">
        <v>1182</v>
      </c>
      <c r="K504" s="13">
        <v>1.3620000000000001</v>
      </c>
    </row>
    <row r="505" spans="2:11" s="460" customFormat="1">
      <c r="B505" s="13">
        <v>1255</v>
      </c>
      <c r="C505" s="13">
        <v>573</v>
      </c>
      <c r="D505" s="13">
        <v>2.2530000000000001E-2</v>
      </c>
      <c r="E505" s="13">
        <v>574.20000000000005</v>
      </c>
      <c r="F505" s="13">
        <v>579.4</v>
      </c>
      <c r="G505" s="13">
        <v>0.77859999999999996</v>
      </c>
      <c r="H505" s="13">
        <v>0.34389999999999998</v>
      </c>
      <c r="I505" s="13">
        <v>1102</v>
      </c>
      <c r="J505" s="13">
        <v>1182</v>
      </c>
      <c r="K505" s="13">
        <v>1.3620000000000001</v>
      </c>
    </row>
    <row r="506" spans="2:11" s="460" customFormat="1">
      <c r="B506" s="13">
        <v>1260</v>
      </c>
      <c r="C506" s="13">
        <v>573.5</v>
      </c>
      <c r="D506" s="13">
        <v>2.2550000000000001E-2</v>
      </c>
      <c r="E506" s="13">
        <v>574.9</v>
      </c>
      <c r="F506" s="13">
        <v>580.1</v>
      </c>
      <c r="G506" s="13">
        <v>0.7792</v>
      </c>
      <c r="H506" s="13">
        <v>0.34229999999999999</v>
      </c>
      <c r="I506" s="13">
        <v>1102</v>
      </c>
      <c r="J506" s="13">
        <v>1181</v>
      </c>
      <c r="K506" s="13">
        <v>1.361</v>
      </c>
    </row>
    <row r="507" spans="2:11" s="460" customFormat="1">
      <c r="B507" s="13">
        <v>1265</v>
      </c>
      <c r="C507" s="13">
        <v>574</v>
      </c>
      <c r="D507" s="13">
        <v>2.257E-2</v>
      </c>
      <c r="E507" s="13">
        <v>575.5</v>
      </c>
      <c r="F507" s="13">
        <v>580.79999999999995</v>
      </c>
      <c r="G507" s="13">
        <v>0.77990000000000004</v>
      </c>
      <c r="H507" s="13">
        <v>0.3407</v>
      </c>
      <c r="I507" s="13">
        <v>1101</v>
      </c>
      <c r="J507" s="13">
        <v>1181</v>
      </c>
      <c r="K507" s="13">
        <v>1.361</v>
      </c>
    </row>
    <row r="508" spans="2:11" s="460" customFormat="1">
      <c r="B508" s="13">
        <v>1270</v>
      </c>
      <c r="C508" s="13">
        <v>574.5</v>
      </c>
      <c r="D508" s="13">
        <v>2.2579999999999999E-2</v>
      </c>
      <c r="E508" s="13">
        <v>576.20000000000005</v>
      </c>
      <c r="F508" s="13">
        <v>581.5</v>
      </c>
      <c r="G508" s="13">
        <v>0.78049999999999997</v>
      </c>
      <c r="H508" s="13">
        <v>0.33910000000000001</v>
      </c>
      <c r="I508" s="13">
        <v>1101</v>
      </c>
      <c r="J508" s="13">
        <v>1181</v>
      </c>
      <c r="K508" s="13">
        <v>1.36</v>
      </c>
    </row>
    <row r="509" spans="2:11" s="460" customFormat="1">
      <c r="B509" s="13">
        <v>1275</v>
      </c>
      <c r="C509" s="13">
        <v>575</v>
      </c>
      <c r="D509" s="13">
        <v>2.2599999999999999E-2</v>
      </c>
      <c r="E509" s="13">
        <v>576.79999999999995</v>
      </c>
      <c r="F509" s="13">
        <v>582.20000000000005</v>
      </c>
      <c r="G509" s="13">
        <v>0.78120000000000001</v>
      </c>
      <c r="H509" s="13">
        <v>0.33760000000000001</v>
      </c>
      <c r="I509" s="13">
        <v>1101</v>
      </c>
      <c r="J509" s="13">
        <v>1181</v>
      </c>
      <c r="K509" s="13">
        <v>1.36</v>
      </c>
    </row>
    <row r="510" spans="2:11" s="460" customFormat="1">
      <c r="B510" s="13">
        <v>1280</v>
      </c>
      <c r="C510" s="13">
        <v>575.5</v>
      </c>
      <c r="D510" s="13">
        <v>2.2620000000000001E-2</v>
      </c>
      <c r="E510" s="13">
        <v>577.5</v>
      </c>
      <c r="F510" s="13">
        <v>582.79999999999995</v>
      </c>
      <c r="G510" s="13">
        <v>0.78180000000000005</v>
      </c>
      <c r="H510" s="13">
        <v>0.33600000000000002</v>
      </c>
      <c r="I510" s="13">
        <v>1101</v>
      </c>
      <c r="J510" s="13">
        <v>1180</v>
      </c>
      <c r="K510" s="13">
        <v>1.359</v>
      </c>
    </row>
    <row r="511" spans="2:11" s="460" customFormat="1">
      <c r="B511" s="13">
        <v>1285</v>
      </c>
      <c r="C511" s="13">
        <v>576</v>
      </c>
      <c r="D511" s="13">
        <v>2.264E-2</v>
      </c>
      <c r="E511" s="13">
        <v>578.1</v>
      </c>
      <c r="F511" s="13">
        <v>583.5</v>
      </c>
      <c r="G511" s="13">
        <v>0.78239999999999998</v>
      </c>
      <c r="H511" s="13">
        <v>0.33450000000000002</v>
      </c>
      <c r="I511" s="13">
        <v>1101</v>
      </c>
      <c r="J511" s="13">
        <v>1180</v>
      </c>
      <c r="K511" s="13">
        <v>1.359</v>
      </c>
    </row>
    <row r="512" spans="2:11" s="460" customFormat="1">
      <c r="B512" s="13">
        <v>1290</v>
      </c>
      <c r="C512" s="13">
        <v>576.5</v>
      </c>
      <c r="D512" s="13">
        <v>2.266E-2</v>
      </c>
      <c r="E512" s="13">
        <v>578.79999999999995</v>
      </c>
      <c r="F512" s="13">
        <v>584.20000000000005</v>
      </c>
      <c r="G512" s="13">
        <v>0.78310000000000002</v>
      </c>
      <c r="H512" s="13">
        <v>0.33289999999999997</v>
      </c>
      <c r="I512" s="13">
        <v>1101</v>
      </c>
      <c r="J512" s="13">
        <v>1180</v>
      </c>
      <c r="K512" s="13">
        <v>1.3580000000000001</v>
      </c>
    </row>
    <row r="513" spans="2:11" s="460" customFormat="1">
      <c r="B513" s="13">
        <v>1295</v>
      </c>
      <c r="C513" s="13">
        <v>577</v>
      </c>
      <c r="D513" s="13">
        <v>2.2679999999999999E-2</v>
      </c>
      <c r="E513" s="13">
        <v>579.4</v>
      </c>
      <c r="F513" s="13">
        <v>584.9</v>
      </c>
      <c r="G513" s="13">
        <v>0.78369999999999995</v>
      </c>
      <c r="H513" s="13">
        <v>0.33139999999999997</v>
      </c>
      <c r="I513" s="13">
        <v>1100</v>
      </c>
      <c r="J513" s="13">
        <v>1180</v>
      </c>
      <c r="K513" s="13">
        <v>1.3580000000000001</v>
      </c>
    </row>
    <row r="514" spans="2:11" s="460" customFormat="1">
      <c r="B514" s="13">
        <v>1300</v>
      </c>
      <c r="C514" s="13">
        <v>577.5</v>
      </c>
      <c r="D514" s="13">
        <v>2.2700000000000001E-2</v>
      </c>
      <c r="E514" s="13">
        <v>580.1</v>
      </c>
      <c r="F514" s="13">
        <v>585.5</v>
      </c>
      <c r="G514" s="13">
        <v>0.7843</v>
      </c>
      <c r="H514" s="13">
        <v>0.32990000000000003</v>
      </c>
      <c r="I514" s="13">
        <v>1100</v>
      </c>
      <c r="J514" s="13">
        <v>1179</v>
      </c>
      <c r="K514" s="13">
        <v>1.357</v>
      </c>
    </row>
    <row r="515" spans="2:11" s="460" customFormat="1">
      <c r="B515" s="13">
        <v>1305</v>
      </c>
      <c r="C515" s="13">
        <v>578</v>
      </c>
      <c r="D515" s="13">
        <v>2.2710000000000001E-2</v>
      </c>
      <c r="E515" s="13">
        <v>580.70000000000005</v>
      </c>
      <c r="F515" s="13">
        <v>586.20000000000005</v>
      </c>
      <c r="G515" s="13">
        <v>0.78490000000000004</v>
      </c>
      <c r="H515" s="13">
        <v>0.32840000000000003</v>
      </c>
      <c r="I515" s="13">
        <v>1100</v>
      </c>
      <c r="J515" s="13">
        <v>1179</v>
      </c>
      <c r="K515" s="13">
        <v>1.3560000000000001</v>
      </c>
    </row>
    <row r="516" spans="2:11" s="460" customFormat="1">
      <c r="B516" s="13">
        <v>1310</v>
      </c>
      <c r="C516" s="13">
        <v>578.5</v>
      </c>
      <c r="D516" s="13">
        <v>2.273E-2</v>
      </c>
      <c r="E516" s="13">
        <v>581.4</v>
      </c>
      <c r="F516" s="13">
        <v>586.9</v>
      </c>
      <c r="G516" s="13">
        <v>0.78559999999999997</v>
      </c>
      <c r="H516" s="13">
        <v>0.32690000000000002</v>
      </c>
      <c r="I516" s="13">
        <v>1100</v>
      </c>
      <c r="J516" s="13">
        <v>1179</v>
      </c>
      <c r="K516" s="13">
        <v>1.3560000000000001</v>
      </c>
    </row>
    <row r="517" spans="2:11" s="460" customFormat="1">
      <c r="B517" s="13">
        <v>1315</v>
      </c>
      <c r="C517" s="13">
        <v>579</v>
      </c>
      <c r="D517" s="13">
        <v>2.2749999999999999E-2</v>
      </c>
      <c r="E517" s="13">
        <v>582</v>
      </c>
      <c r="F517" s="13">
        <v>587.6</v>
      </c>
      <c r="G517" s="13">
        <v>0.78620000000000001</v>
      </c>
      <c r="H517" s="13">
        <v>0.32540000000000002</v>
      </c>
      <c r="I517" s="13">
        <v>1100</v>
      </c>
      <c r="J517" s="13">
        <v>1179</v>
      </c>
      <c r="K517" s="13">
        <v>1.355</v>
      </c>
    </row>
    <row r="518" spans="2:11" s="460" customFormat="1">
      <c r="B518" s="13">
        <v>1320</v>
      </c>
      <c r="C518" s="13">
        <v>579.5</v>
      </c>
      <c r="D518" s="13">
        <v>2.2769999999999999E-2</v>
      </c>
      <c r="E518" s="13">
        <v>582.70000000000005</v>
      </c>
      <c r="F518" s="13">
        <v>588.20000000000005</v>
      </c>
      <c r="G518" s="13">
        <v>0.78680000000000005</v>
      </c>
      <c r="H518" s="13">
        <v>0.32390000000000002</v>
      </c>
      <c r="I518" s="13">
        <v>1099</v>
      </c>
      <c r="J518" s="13">
        <v>1179</v>
      </c>
      <c r="K518" s="13">
        <v>1.355</v>
      </c>
    </row>
    <row r="519" spans="2:11" s="460" customFormat="1">
      <c r="B519" s="13">
        <v>1325</v>
      </c>
      <c r="C519" s="13">
        <v>580</v>
      </c>
      <c r="D519" s="13">
        <v>2.2790000000000001E-2</v>
      </c>
      <c r="E519" s="13">
        <v>583.29999999999995</v>
      </c>
      <c r="F519" s="13">
        <v>588.9</v>
      </c>
      <c r="G519" s="13">
        <v>0.78739999999999999</v>
      </c>
      <c r="H519" s="13">
        <v>0.32250000000000001</v>
      </c>
      <c r="I519" s="13">
        <v>1099</v>
      </c>
      <c r="J519" s="13">
        <v>1178</v>
      </c>
      <c r="K519" s="13">
        <v>1.3540000000000001</v>
      </c>
    </row>
    <row r="520" spans="2:11" s="460" customFormat="1">
      <c r="B520" s="13">
        <v>1330</v>
      </c>
      <c r="C520" s="13">
        <v>580.4</v>
      </c>
      <c r="D520" s="13">
        <v>2.281E-2</v>
      </c>
      <c r="E520" s="13">
        <v>583.9</v>
      </c>
      <c r="F520" s="13">
        <v>589.6</v>
      </c>
      <c r="G520" s="13">
        <v>0.78810000000000002</v>
      </c>
      <c r="H520" s="13">
        <v>0.32100000000000001</v>
      </c>
      <c r="I520" s="13">
        <v>1099</v>
      </c>
      <c r="J520" s="13">
        <v>1178</v>
      </c>
      <c r="K520" s="13">
        <v>1.3540000000000001</v>
      </c>
    </row>
    <row r="521" spans="2:11" s="460" customFormat="1">
      <c r="B521" s="13">
        <v>1335</v>
      </c>
      <c r="C521" s="13">
        <v>580.9</v>
      </c>
      <c r="D521" s="13">
        <v>2.283E-2</v>
      </c>
      <c r="E521" s="13">
        <v>584.6</v>
      </c>
      <c r="F521" s="13">
        <v>590.20000000000005</v>
      </c>
      <c r="G521" s="13">
        <v>0.78869999999999996</v>
      </c>
      <c r="H521" s="13">
        <v>0.3196</v>
      </c>
      <c r="I521" s="13">
        <v>1099</v>
      </c>
      <c r="J521" s="13">
        <v>1178</v>
      </c>
      <c r="K521" s="13">
        <v>1.353</v>
      </c>
    </row>
    <row r="522" spans="2:11" s="460" customFormat="1">
      <c r="B522" s="13">
        <v>1340</v>
      </c>
      <c r="C522" s="13">
        <v>581.4</v>
      </c>
      <c r="D522" s="13">
        <v>2.2849999999999999E-2</v>
      </c>
      <c r="E522" s="13">
        <v>585.20000000000005</v>
      </c>
      <c r="F522" s="13">
        <v>590.9</v>
      </c>
      <c r="G522" s="13">
        <v>0.7893</v>
      </c>
      <c r="H522" s="13">
        <v>0.31809999999999999</v>
      </c>
      <c r="I522" s="13">
        <v>1099</v>
      </c>
      <c r="J522" s="13">
        <v>1178</v>
      </c>
      <c r="K522" s="13">
        <v>1.353</v>
      </c>
    </row>
    <row r="523" spans="2:11" s="460" customFormat="1">
      <c r="B523" s="13">
        <v>1345</v>
      </c>
      <c r="C523" s="13">
        <v>581.9</v>
      </c>
      <c r="D523" s="13">
        <v>2.2870000000000001E-2</v>
      </c>
      <c r="E523" s="13">
        <v>585.9</v>
      </c>
      <c r="F523" s="13">
        <v>591.6</v>
      </c>
      <c r="G523" s="13">
        <v>0.78990000000000005</v>
      </c>
      <c r="H523" s="13">
        <v>0.31669999999999998</v>
      </c>
      <c r="I523" s="13">
        <v>1098</v>
      </c>
      <c r="J523" s="13">
        <v>1177</v>
      </c>
      <c r="K523" s="13">
        <v>1.3520000000000001</v>
      </c>
    </row>
    <row r="524" spans="2:11" s="460" customFormat="1">
      <c r="B524" s="13">
        <v>1350</v>
      </c>
      <c r="C524" s="13">
        <v>582.4</v>
      </c>
      <c r="D524" s="13">
        <v>2.2880000000000001E-2</v>
      </c>
      <c r="E524" s="13">
        <v>586.5</v>
      </c>
      <c r="F524" s="13">
        <v>592.20000000000005</v>
      </c>
      <c r="G524" s="13">
        <v>0.79049999999999998</v>
      </c>
      <c r="H524" s="13">
        <v>0.31530000000000002</v>
      </c>
      <c r="I524" s="13">
        <v>1098</v>
      </c>
      <c r="J524" s="13">
        <v>1177</v>
      </c>
      <c r="K524" s="13">
        <v>1.3520000000000001</v>
      </c>
    </row>
    <row r="525" spans="2:11" s="460" customFormat="1">
      <c r="B525" s="13">
        <v>1355</v>
      </c>
      <c r="C525" s="13">
        <v>582.9</v>
      </c>
      <c r="D525" s="13">
        <v>2.29E-2</v>
      </c>
      <c r="E525" s="13">
        <v>587.1</v>
      </c>
      <c r="F525" s="13">
        <v>592.9</v>
      </c>
      <c r="G525" s="13">
        <v>0.79110000000000003</v>
      </c>
      <c r="H525" s="13">
        <v>0.31390000000000001</v>
      </c>
      <c r="I525" s="13">
        <v>1098</v>
      </c>
      <c r="J525" s="13">
        <v>1177</v>
      </c>
      <c r="K525" s="13">
        <v>1.351</v>
      </c>
    </row>
    <row r="526" spans="2:11" s="460" customFormat="1">
      <c r="B526" s="13">
        <v>1360</v>
      </c>
      <c r="C526" s="13">
        <v>583.29999999999995</v>
      </c>
      <c r="D526" s="13">
        <v>2.2919999999999999E-2</v>
      </c>
      <c r="E526" s="13">
        <v>587.79999999999995</v>
      </c>
      <c r="F526" s="13">
        <v>593.5</v>
      </c>
      <c r="G526" s="13">
        <v>0.79169999999999996</v>
      </c>
      <c r="H526" s="13">
        <v>0.3125</v>
      </c>
      <c r="I526" s="13">
        <v>1098</v>
      </c>
      <c r="J526" s="13">
        <v>1176</v>
      </c>
      <c r="K526" s="13">
        <v>1.351</v>
      </c>
    </row>
    <row r="527" spans="2:11" s="460" customFormat="1">
      <c r="B527" s="13">
        <v>1365</v>
      </c>
      <c r="C527" s="13">
        <v>583.79999999999995</v>
      </c>
      <c r="D527" s="13">
        <v>2.2939999999999999E-2</v>
      </c>
      <c r="E527" s="13">
        <v>588.4</v>
      </c>
      <c r="F527" s="13">
        <v>594.20000000000005</v>
      </c>
      <c r="G527" s="13">
        <v>0.79239999999999999</v>
      </c>
      <c r="H527" s="13">
        <v>0.31109999999999999</v>
      </c>
      <c r="I527" s="13">
        <v>1098</v>
      </c>
      <c r="J527" s="13">
        <v>1176</v>
      </c>
      <c r="K527" s="13">
        <v>1.35</v>
      </c>
    </row>
    <row r="528" spans="2:11" s="460" customFormat="1">
      <c r="B528" s="13">
        <v>1370</v>
      </c>
      <c r="C528" s="13">
        <v>584.29999999999995</v>
      </c>
      <c r="D528" s="13">
        <v>2.2960000000000001E-2</v>
      </c>
      <c r="E528" s="13">
        <v>589</v>
      </c>
      <c r="F528" s="13">
        <v>594.79999999999995</v>
      </c>
      <c r="G528" s="13">
        <v>0.79300000000000004</v>
      </c>
      <c r="H528" s="13">
        <v>0.30969999999999998</v>
      </c>
      <c r="I528" s="13">
        <v>1097</v>
      </c>
      <c r="J528" s="13">
        <v>1176</v>
      </c>
      <c r="K528" s="13">
        <v>1.35</v>
      </c>
    </row>
    <row r="529" spans="2:11" s="460" customFormat="1">
      <c r="B529" s="13">
        <v>1375</v>
      </c>
      <c r="C529" s="13">
        <v>584.79999999999995</v>
      </c>
      <c r="D529" s="13">
        <v>2.298E-2</v>
      </c>
      <c r="E529" s="13">
        <v>589.70000000000005</v>
      </c>
      <c r="F529" s="13">
        <v>595.5</v>
      </c>
      <c r="G529" s="13">
        <v>0.79359999999999997</v>
      </c>
      <c r="H529" s="13">
        <v>0.30840000000000001</v>
      </c>
      <c r="I529" s="13">
        <v>1097</v>
      </c>
      <c r="J529" s="13">
        <v>1176</v>
      </c>
      <c r="K529" s="13">
        <v>1.349</v>
      </c>
    </row>
    <row r="530" spans="2:11" s="460" customFormat="1">
      <c r="B530" s="13">
        <v>1380</v>
      </c>
      <c r="C530" s="13">
        <v>585.29999999999995</v>
      </c>
      <c r="D530" s="13">
        <v>2.3E-2</v>
      </c>
      <c r="E530" s="13">
        <v>590.29999999999995</v>
      </c>
      <c r="F530" s="13">
        <v>596.20000000000005</v>
      </c>
      <c r="G530" s="13">
        <v>0.79420000000000002</v>
      </c>
      <c r="H530" s="13">
        <v>0.307</v>
      </c>
      <c r="I530" s="13">
        <v>1097</v>
      </c>
      <c r="J530" s="13">
        <v>1175</v>
      </c>
      <c r="K530" s="13">
        <v>1.349</v>
      </c>
    </row>
    <row r="531" spans="2:11" s="460" customFormat="1">
      <c r="B531" s="13">
        <v>1385</v>
      </c>
      <c r="C531" s="13">
        <v>585.70000000000005</v>
      </c>
      <c r="D531" s="13">
        <v>2.3019999999999999E-2</v>
      </c>
      <c r="E531" s="13">
        <v>590.9</v>
      </c>
      <c r="F531" s="13">
        <v>596.79999999999995</v>
      </c>
      <c r="G531" s="13">
        <v>0.79479999999999995</v>
      </c>
      <c r="H531" s="13">
        <v>0.30570000000000003</v>
      </c>
      <c r="I531" s="13">
        <v>1097</v>
      </c>
      <c r="J531" s="13">
        <v>1175</v>
      </c>
      <c r="K531" s="13">
        <v>1.3480000000000001</v>
      </c>
    </row>
    <row r="532" spans="2:11" s="460" customFormat="1">
      <c r="B532" s="13">
        <v>1390</v>
      </c>
      <c r="C532" s="13">
        <v>586.20000000000005</v>
      </c>
      <c r="D532" s="13">
        <v>2.3040000000000001E-2</v>
      </c>
      <c r="E532" s="13">
        <v>591.5</v>
      </c>
      <c r="F532" s="13">
        <v>597.5</v>
      </c>
      <c r="G532" s="13">
        <v>0.7954</v>
      </c>
      <c r="H532" s="13">
        <v>0.30430000000000001</v>
      </c>
      <c r="I532" s="13">
        <v>1097</v>
      </c>
      <c r="J532" s="13">
        <v>1175</v>
      </c>
      <c r="K532" s="13">
        <v>1.3480000000000001</v>
      </c>
    </row>
    <row r="533" spans="2:11" s="460" customFormat="1">
      <c r="B533" s="13">
        <v>1395</v>
      </c>
      <c r="C533" s="13">
        <v>586.70000000000005</v>
      </c>
      <c r="D533" s="13">
        <v>2.3060000000000001E-2</v>
      </c>
      <c r="E533" s="13">
        <v>592.20000000000005</v>
      </c>
      <c r="F533" s="13">
        <v>598.1</v>
      </c>
      <c r="G533" s="13">
        <v>0.79600000000000004</v>
      </c>
      <c r="H533" s="13">
        <v>0.30299999999999999</v>
      </c>
      <c r="I533" s="13">
        <v>1096</v>
      </c>
      <c r="J533" s="13">
        <v>1175</v>
      </c>
      <c r="K533" s="13">
        <v>1.347</v>
      </c>
    </row>
    <row r="534" spans="2:11" s="460" customFormat="1">
      <c r="B534" s="13">
        <v>1400</v>
      </c>
      <c r="C534" s="13">
        <v>587.1</v>
      </c>
      <c r="D534" s="13">
        <v>2.307E-2</v>
      </c>
      <c r="E534" s="13">
        <v>592.79999999999995</v>
      </c>
      <c r="F534" s="13">
        <v>598.79999999999995</v>
      </c>
      <c r="G534" s="13">
        <v>0.79659999999999997</v>
      </c>
      <c r="H534" s="13">
        <v>0.30170000000000002</v>
      </c>
      <c r="I534" s="13">
        <v>1096</v>
      </c>
      <c r="J534" s="13">
        <v>1174</v>
      </c>
      <c r="K534" s="13">
        <v>1.347</v>
      </c>
    </row>
    <row r="535" spans="2:11" s="460" customFormat="1">
      <c r="B535" s="13">
        <v>1405</v>
      </c>
      <c r="C535" s="13">
        <v>587.6</v>
      </c>
      <c r="D535" s="13">
        <v>2.3089999999999999E-2</v>
      </c>
      <c r="E535" s="13">
        <v>593.4</v>
      </c>
      <c r="F535" s="13">
        <v>599.4</v>
      </c>
      <c r="G535" s="13">
        <v>0.79720000000000002</v>
      </c>
      <c r="H535" s="13">
        <v>0.3004</v>
      </c>
      <c r="I535" s="13">
        <v>1096</v>
      </c>
      <c r="J535" s="13">
        <v>1174</v>
      </c>
      <c r="K535" s="13">
        <v>1.3460000000000001</v>
      </c>
    </row>
    <row r="536" spans="2:11" s="460" customFormat="1">
      <c r="B536" s="13">
        <v>1410</v>
      </c>
      <c r="C536" s="13">
        <v>588.1</v>
      </c>
      <c r="D536" s="13">
        <v>2.3109999999999999E-2</v>
      </c>
      <c r="E536" s="13">
        <v>594</v>
      </c>
      <c r="F536" s="13">
        <v>600.1</v>
      </c>
      <c r="G536" s="13">
        <v>0.79779999999999995</v>
      </c>
      <c r="H536" s="13">
        <v>0.29909999999999998</v>
      </c>
      <c r="I536" s="13">
        <v>1096</v>
      </c>
      <c r="J536" s="13">
        <v>1174</v>
      </c>
      <c r="K536" s="13">
        <v>1.345</v>
      </c>
    </row>
    <row r="537" spans="2:11" s="460" customFormat="1">
      <c r="B537" s="13">
        <v>1415</v>
      </c>
      <c r="C537" s="13">
        <v>588.5</v>
      </c>
      <c r="D537" s="13">
        <v>2.3130000000000001E-2</v>
      </c>
      <c r="E537" s="13">
        <v>594.70000000000005</v>
      </c>
      <c r="F537" s="13">
        <v>600.70000000000005</v>
      </c>
      <c r="G537" s="13">
        <v>0.7984</v>
      </c>
      <c r="H537" s="13">
        <v>0.29780000000000001</v>
      </c>
      <c r="I537" s="13">
        <v>1096</v>
      </c>
      <c r="J537" s="13">
        <v>1174</v>
      </c>
      <c r="K537" s="13">
        <v>1.345</v>
      </c>
    </row>
    <row r="538" spans="2:11" s="460" customFormat="1">
      <c r="B538" s="13">
        <v>1420</v>
      </c>
      <c r="C538" s="13">
        <v>589</v>
      </c>
      <c r="D538" s="13">
        <v>2.315E-2</v>
      </c>
      <c r="E538" s="13">
        <v>595.29999999999995</v>
      </c>
      <c r="F538" s="13">
        <v>601.4</v>
      </c>
      <c r="G538" s="13">
        <v>0.79900000000000004</v>
      </c>
      <c r="H538" s="13">
        <v>0.29649999999999999</v>
      </c>
      <c r="I538" s="13">
        <v>1095</v>
      </c>
      <c r="J538" s="13">
        <v>1173</v>
      </c>
      <c r="K538" s="13">
        <v>1.3440000000000001</v>
      </c>
    </row>
    <row r="539" spans="2:11" s="460" customFormat="1">
      <c r="B539" s="13">
        <v>1425</v>
      </c>
      <c r="C539" s="13">
        <v>589.5</v>
      </c>
      <c r="D539" s="13">
        <v>2.317E-2</v>
      </c>
      <c r="E539" s="13">
        <v>595.9</v>
      </c>
      <c r="F539" s="13">
        <v>602</v>
      </c>
      <c r="G539" s="13">
        <v>0.79959999999999998</v>
      </c>
      <c r="H539" s="13">
        <v>0.29520000000000002</v>
      </c>
      <c r="I539" s="13">
        <v>1095</v>
      </c>
      <c r="J539" s="13">
        <v>1173</v>
      </c>
      <c r="K539" s="13">
        <v>1.3440000000000001</v>
      </c>
    </row>
    <row r="540" spans="2:11" s="460" customFormat="1">
      <c r="B540" s="13">
        <v>1430</v>
      </c>
      <c r="C540" s="13">
        <v>589.9</v>
      </c>
      <c r="D540" s="13">
        <v>2.3189999999999999E-2</v>
      </c>
      <c r="E540" s="13">
        <v>596.5</v>
      </c>
      <c r="F540" s="13">
        <v>602.70000000000005</v>
      </c>
      <c r="G540" s="13">
        <v>0.80020000000000002</v>
      </c>
      <c r="H540" s="13">
        <v>0.29399999999999998</v>
      </c>
      <c r="I540" s="13">
        <v>1095</v>
      </c>
      <c r="J540" s="13">
        <v>1173</v>
      </c>
      <c r="K540" s="13">
        <v>1.343</v>
      </c>
    </row>
    <row r="541" spans="2:11" s="460" customFormat="1">
      <c r="B541" s="13">
        <v>1435</v>
      </c>
      <c r="C541" s="13">
        <v>590.4</v>
      </c>
      <c r="D541" s="13">
        <v>2.3210000000000001E-2</v>
      </c>
      <c r="E541" s="13">
        <v>597.1</v>
      </c>
      <c r="F541" s="13">
        <v>603.29999999999995</v>
      </c>
      <c r="G541" s="13">
        <v>0.80079999999999996</v>
      </c>
      <c r="H541" s="13">
        <v>0.29270000000000002</v>
      </c>
      <c r="I541" s="13">
        <v>1095</v>
      </c>
      <c r="J541" s="13">
        <v>1173</v>
      </c>
      <c r="K541" s="13">
        <v>1.343</v>
      </c>
    </row>
    <row r="542" spans="2:11" s="460" customFormat="1">
      <c r="B542" s="13">
        <v>1440</v>
      </c>
      <c r="C542" s="13">
        <v>590.79999999999995</v>
      </c>
      <c r="D542" s="13">
        <v>2.3230000000000001E-2</v>
      </c>
      <c r="E542" s="13">
        <v>597.79999999999995</v>
      </c>
      <c r="F542" s="13">
        <v>603.9</v>
      </c>
      <c r="G542" s="13">
        <v>0.8014</v>
      </c>
      <c r="H542" s="13">
        <v>0.29139999999999999</v>
      </c>
      <c r="I542" s="13">
        <v>1095</v>
      </c>
      <c r="J542" s="13">
        <v>1172</v>
      </c>
      <c r="K542" s="13">
        <v>1.3420000000000001</v>
      </c>
    </row>
    <row r="543" spans="2:11" s="460" customFormat="1">
      <c r="B543" s="13">
        <v>1445</v>
      </c>
      <c r="C543" s="13">
        <v>591.29999999999995</v>
      </c>
      <c r="D543" s="13">
        <v>2.325E-2</v>
      </c>
      <c r="E543" s="13">
        <v>598.4</v>
      </c>
      <c r="F543" s="13">
        <v>604.6</v>
      </c>
      <c r="G543" s="13">
        <v>0.80200000000000005</v>
      </c>
      <c r="H543" s="13">
        <v>0.29020000000000001</v>
      </c>
      <c r="I543" s="13">
        <v>1094</v>
      </c>
      <c r="J543" s="13">
        <v>1172</v>
      </c>
      <c r="K543" s="13">
        <v>1.3420000000000001</v>
      </c>
    </row>
    <row r="544" spans="2:11" s="460" customFormat="1">
      <c r="B544" s="13">
        <v>1450</v>
      </c>
      <c r="C544" s="13">
        <v>591.79999999999995</v>
      </c>
      <c r="D544" s="13">
        <v>2.3269999999999999E-2</v>
      </c>
      <c r="E544" s="13">
        <v>599</v>
      </c>
      <c r="F544" s="13">
        <v>605.20000000000005</v>
      </c>
      <c r="G544" s="13">
        <v>0.80249999999999999</v>
      </c>
      <c r="H544" s="13">
        <v>0.28899999999999998</v>
      </c>
      <c r="I544" s="13">
        <v>1094</v>
      </c>
      <c r="J544" s="13">
        <v>1172</v>
      </c>
      <c r="K544" s="13">
        <v>1.341</v>
      </c>
    </row>
    <row r="545" spans="2:11" s="460" customFormat="1">
      <c r="B545" s="13">
        <v>1455</v>
      </c>
      <c r="C545" s="13">
        <v>592.20000000000005</v>
      </c>
      <c r="D545" s="13">
        <v>2.3290000000000002E-2</v>
      </c>
      <c r="E545" s="13">
        <v>599.6</v>
      </c>
      <c r="F545" s="13">
        <v>605.9</v>
      </c>
      <c r="G545" s="13">
        <v>0.80310000000000004</v>
      </c>
      <c r="H545" s="13">
        <v>0.28770000000000001</v>
      </c>
      <c r="I545" s="13">
        <v>1094</v>
      </c>
      <c r="J545" s="13">
        <v>1171</v>
      </c>
      <c r="K545" s="13">
        <v>1.341</v>
      </c>
    </row>
    <row r="546" spans="2:11" s="460" customFormat="1">
      <c r="B546" s="13">
        <v>1460</v>
      </c>
      <c r="C546" s="13">
        <v>592.70000000000005</v>
      </c>
      <c r="D546" s="13">
        <v>2.3310000000000001E-2</v>
      </c>
      <c r="E546" s="13">
        <v>600.20000000000005</v>
      </c>
      <c r="F546" s="13">
        <v>606.5</v>
      </c>
      <c r="G546" s="13">
        <v>0.80369999999999997</v>
      </c>
      <c r="H546" s="13">
        <v>0.28649999999999998</v>
      </c>
      <c r="I546" s="13">
        <v>1094</v>
      </c>
      <c r="J546" s="13">
        <v>1171</v>
      </c>
      <c r="K546" s="13">
        <v>1.34</v>
      </c>
    </row>
    <row r="547" spans="2:11" s="460" customFormat="1">
      <c r="B547" s="13">
        <v>1465</v>
      </c>
      <c r="C547" s="13">
        <v>593.1</v>
      </c>
      <c r="D547" s="13">
        <v>2.333E-2</v>
      </c>
      <c r="E547" s="13">
        <v>600.79999999999995</v>
      </c>
      <c r="F547" s="13">
        <v>607.1</v>
      </c>
      <c r="G547" s="13">
        <v>0.80430000000000001</v>
      </c>
      <c r="H547" s="13">
        <v>0.2853</v>
      </c>
      <c r="I547" s="13">
        <v>1094</v>
      </c>
      <c r="J547" s="13">
        <v>1171</v>
      </c>
      <c r="K547" s="13">
        <v>1.34</v>
      </c>
    </row>
    <row r="548" spans="2:11" s="460" customFormat="1">
      <c r="B548" s="13">
        <v>1470</v>
      </c>
      <c r="C548" s="13">
        <v>593.6</v>
      </c>
      <c r="D548" s="13">
        <v>2.3349999999999999E-2</v>
      </c>
      <c r="E548" s="13">
        <v>601.4</v>
      </c>
      <c r="F548" s="13">
        <v>607.79999999999995</v>
      </c>
      <c r="G548" s="13">
        <v>0.80489999999999995</v>
      </c>
      <c r="H548" s="13">
        <v>0.28410000000000002</v>
      </c>
      <c r="I548" s="13">
        <v>1093</v>
      </c>
      <c r="J548" s="13">
        <v>1171</v>
      </c>
      <c r="K548" s="13">
        <v>1.339</v>
      </c>
    </row>
    <row r="549" spans="2:11" s="460" customFormat="1">
      <c r="B549" s="13">
        <v>1475</v>
      </c>
      <c r="C549" s="13">
        <v>594</v>
      </c>
      <c r="D549" s="13">
        <v>2.3359999999999999E-2</v>
      </c>
      <c r="E549" s="13">
        <v>602</v>
      </c>
      <c r="F549" s="13">
        <v>608.4</v>
      </c>
      <c r="G549" s="13">
        <v>0.80549999999999999</v>
      </c>
      <c r="H549" s="13">
        <v>0.28289999999999998</v>
      </c>
      <c r="I549" s="13">
        <v>1093</v>
      </c>
      <c r="J549" s="13">
        <v>1170</v>
      </c>
      <c r="K549" s="13">
        <v>1.339</v>
      </c>
    </row>
    <row r="550" spans="2:11" s="460" customFormat="1">
      <c r="B550" s="13">
        <v>1480</v>
      </c>
      <c r="C550" s="13">
        <v>594.5</v>
      </c>
      <c r="D550" s="13">
        <v>2.3380000000000001E-2</v>
      </c>
      <c r="E550" s="13">
        <v>602.70000000000005</v>
      </c>
      <c r="F550" s="13">
        <v>609.1</v>
      </c>
      <c r="G550" s="13">
        <v>0.80610000000000004</v>
      </c>
      <c r="H550" s="13">
        <v>0.28170000000000001</v>
      </c>
      <c r="I550" s="13">
        <v>1093</v>
      </c>
      <c r="J550" s="13">
        <v>1170</v>
      </c>
      <c r="K550" s="13">
        <v>1.3380000000000001</v>
      </c>
    </row>
    <row r="551" spans="2:11" s="460" customFormat="1">
      <c r="B551" s="13">
        <v>1485</v>
      </c>
      <c r="C551" s="13">
        <v>594.9</v>
      </c>
      <c r="D551" s="13">
        <v>2.3400000000000001E-2</v>
      </c>
      <c r="E551" s="13">
        <v>603.29999999999995</v>
      </c>
      <c r="F551" s="13">
        <v>609.70000000000005</v>
      </c>
      <c r="G551" s="13">
        <v>0.80659999999999998</v>
      </c>
      <c r="H551" s="13">
        <v>0.28050000000000003</v>
      </c>
      <c r="I551" s="13">
        <v>1093</v>
      </c>
      <c r="J551" s="13">
        <v>1170</v>
      </c>
      <c r="K551" s="13">
        <v>1.3380000000000001</v>
      </c>
    </row>
    <row r="552" spans="2:11" s="460" customFormat="1">
      <c r="B552" s="13">
        <v>1490</v>
      </c>
      <c r="C552" s="13">
        <v>595.4</v>
      </c>
      <c r="D552" s="13">
        <v>2.342E-2</v>
      </c>
      <c r="E552" s="13">
        <v>603.9</v>
      </c>
      <c r="F552" s="13">
        <v>610.29999999999995</v>
      </c>
      <c r="G552" s="13">
        <v>0.80720000000000003</v>
      </c>
      <c r="H552" s="13">
        <v>0.27939999999999998</v>
      </c>
      <c r="I552" s="13">
        <v>1093</v>
      </c>
      <c r="J552" s="13">
        <v>1170</v>
      </c>
      <c r="K552" s="13">
        <v>1.337</v>
      </c>
    </row>
    <row r="553" spans="2:11" s="460" customFormat="1">
      <c r="B553" s="13">
        <v>1495</v>
      </c>
      <c r="C553" s="13">
        <v>595.79999999999995</v>
      </c>
      <c r="D553" s="13">
        <v>2.3439999999999999E-2</v>
      </c>
      <c r="E553" s="13">
        <v>604.5</v>
      </c>
      <c r="F553" s="13">
        <v>611</v>
      </c>
      <c r="G553" s="13">
        <v>0.80779999999999996</v>
      </c>
      <c r="H553" s="13">
        <v>0.2782</v>
      </c>
      <c r="I553" s="13">
        <v>1092</v>
      </c>
      <c r="J553" s="13">
        <v>1169</v>
      </c>
      <c r="K553" s="13">
        <v>1.337</v>
      </c>
    </row>
    <row r="554" spans="2:11" s="460" customFormat="1">
      <c r="B554" s="13">
        <v>1500</v>
      </c>
      <c r="C554" s="13">
        <v>596.29999999999995</v>
      </c>
      <c r="D554" s="13">
        <v>2.3460000000000002E-2</v>
      </c>
      <c r="E554" s="13">
        <v>605.1</v>
      </c>
      <c r="F554" s="13">
        <v>611.6</v>
      </c>
      <c r="G554" s="13">
        <v>0.80840000000000001</v>
      </c>
      <c r="H554" s="13">
        <v>0.27700000000000002</v>
      </c>
      <c r="I554" s="13">
        <v>1092</v>
      </c>
      <c r="J554" s="13">
        <v>1169</v>
      </c>
      <c r="K554" s="13">
        <v>1.3360000000000001</v>
      </c>
    </row>
    <row r="555" spans="2:11" s="460" customFormat="1">
      <c r="B555" s="13">
        <v>1505</v>
      </c>
      <c r="C555" s="13">
        <v>596.70000000000005</v>
      </c>
      <c r="D555" s="13">
        <v>2.3480000000000001E-2</v>
      </c>
      <c r="E555" s="13">
        <v>605.70000000000005</v>
      </c>
      <c r="F555" s="13">
        <v>612.20000000000005</v>
      </c>
      <c r="G555" s="13">
        <v>0.80900000000000005</v>
      </c>
      <c r="H555" s="13">
        <v>0.27589999999999998</v>
      </c>
      <c r="I555" s="13">
        <v>1092</v>
      </c>
      <c r="J555" s="13">
        <v>1169</v>
      </c>
      <c r="K555" s="13">
        <v>1.3360000000000001</v>
      </c>
    </row>
    <row r="556" spans="2:11" s="460" customFormat="1">
      <c r="B556" s="13">
        <v>1510</v>
      </c>
      <c r="C556" s="13">
        <v>597.20000000000005</v>
      </c>
      <c r="D556" s="13">
        <v>2.35E-2</v>
      </c>
      <c r="E556" s="13">
        <v>606.29999999999995</v>
      </c>
      <c r="F556" s="13">
        <v>612.9</v>
      </c>
      <c r="G556" s="13">
        <v>0.8095</v>
      </c>
      <c r="H556" s="13">
        <v>0.2747</v>
      </c>
      <c r="I556" s="13">
        <v>1092</v>
      </c>
      <c r="J556" s="13">
        <v>1168</v>
      </c>
      <c r="K556" s="13">
        <v>1.335</v>
      </c>
    </row>
    <row r="557" spans="2:11" s="460" customFormat="1">
      <c r="B557" s="13">
        <v>1515</v>
      </c>
      <c r="C557" s="13">
        <v>597.6</v>
      </c>
      <c r="D557" s="13">
        <v>2.3519999999999999E-2</v>
      </c>
      <c r="E557" s="13">
        <v>606.9</v>
      </c>
      <c r="F557" s="13">
        <v>613.5</v>
      </c>
      <c r="G557" s="13">
        <v>0.81010000000000004</v>
      </c>
      <c r="H557" s="13">
        <v>0.27360000000000001</v>
      </c>
      <c r="I557" s="13">
        <v>1091</v>
      </c>
      <c r="J557" s="13">
        <v>1168</v>
      </c>
      <c r="K557" s="13">
        <v>1.335</v>
      </c>
    </row>
    <row r="558" spans="2:11" s="460" customFormat="1">
      <c r="B558" s="13">
        <v>1520</v>
      </c>
      <c r="C558" s="13">
        <v>598</v>
      </c>
      <c r="D558" s="13">
        <v>2.3539999999999998E-2</v>
      </c>
      <c r="E558" s="13">
        <v>607.5</v>
      </c>
      <c r="F558" s="13">
        <v>614.1</v>
      </c>
      <c r="G558" s="13">
        <v>0.81069999999999998</v>
      </c>
      <c r="H558" s="13">
        <v>0.27250000000000002</v>
      </c>
      <c r="I558" s="13">
        <v>1091</v>
      </c>
      <c r="J558" s="13">
        <v>1168</v>
      </c>
      <c r="K558" s="13">
        <v>1.3340000000000001</v>
      </c>
    </row>
    <row r="559" spans="2:11" s="460" customFormat="1">
      <c r="B559" s="13">
        <v>1525</v>
      </c>
      <c r="C559" s="13">
        <v>598.5</v>
      </c>
      <c r="D559" s="13">
        <v>2.3560000000000001E-2</v>
      </c>
      <c r="E559" s="13">
        <v>608.1</v>
      </c>
      <c r="F559" s="13">
        <v>614.70000000000005</v>
      </c>
      <c r="G559" s="13">
        <v>0.81130000000000002</v>
      </c>
      <c r="H559" s="13">
        <v>0.27129999999999999</v>
      </c>
      <c r="I559" s="13">
        <v>1091</v>
      </c>
      <c r="J559" s="13">
        <v>1168</v>
      </c>
      <c r="K559" s="13">
        <v>1.3340000000000001</v>
      </c>
    </row>
    <row r="560" spans="2:11" s="460" customFormat="1">
      <c r="B560" s="13">
        <v>1530</v>
      </c>
      <c r="C560" s="13">
        <v>598.9</v>
      </c>
      <c r="D560" s="13">
        <v>2.358E-2</v>
      </c>
      <c r="E560" s="13">
        <v>608.70000000000005</v>
      </c>
      <c r="F560" s="13">
        <v>615.4</v>
      </c>
      <c r="G560" s="13">
        <v>0.81179999999999997</v>
      </c>
      <c r="H560" s="13">
        <v>0.2702</v>
      </c>
      <c r="I560" s="13">
        <v>1091</v>
      </c>
      <c r="J560" s="13">
        <v>1167</v>
      </c>
      <c r="K560" s="13">
        <v>1.333</v>
      </c>
    </row>
    <row r="561" spans="2:11" s="460" customFormat="1">
      <c r="B561" s="13">
        <v>1535</v>
      </c>
      <c r="C561" s="13">
        <v>599.4</v>
      </c>
      <c r="D561" s="13">
        <v>2.3599999999999999E-2</v>
      </c>
      <c r="E561" s="13">
        <v>609.29999999999995</v>
      </c>
      <c r="F561" s="13">
        <v>616</v>
      </c>
      <c r="G561" s="13">
        <v>0.81240000000000001</v>
      </c>
      <c r="H561" s="13">
        <v>0.26910000000000001</v>
      </c>
      <c r="I561" s="13">
        <v>1091</v>
      </c>
      <c r="J561" s="13">
        <v>1167</v>
      </c>
      <c r="K561" s="13">
        <v>1.333</v>
      </c>
    </row>
    <row r="562" spans="2:11" s="460" customFormat="1">
      <c r="B562" s="13">
        <v>1540</v>
      </c>
      <c r="C562" s="13">
        <v>599.79999999999995</v>
      </c>
      <c r="D562" s="13">
        <v>2.3619999999999999E-2</v>
      </c>
      <c r="E562" s="13">
        <v>609.9</v>
      </c>
      <c r="F562" s="13">
        <v>616.6</v>
      </c>
      <c r="G562" s="13">
        <v>0.81299999999999994</v>
      </c>
      <c r="H562" s="13">
        <v>0.26800000000000002</v>
      </c>
      <c r="I562" s="13">
        <v>1090</v>
      </c>
      <c r="J562" s="13">
        <v>1167</v>
      </c>
      <c r="K562" s="13">
        <v>1.3320000000000001</v>
      </c>
    </row>
    <row r="563" spans="2:11" s="460" customFormat="1">
      <c r="B563" s="13">
        <v>1545</v>
      </c>
      <c r="C563" s="13">
        <v>600.20000000000005</v>
      </c>
      <c r="D563" s="13">
        <v>2.3640000000000001E-2</v>
      </c>
      <c r="E563" s="13">
        <v>610.5</v>
      </c>
      <c r="F563" s="13">
        <v>617.20000000000005</v>
      </c>
      <c r="G563" s="13">
        <v>0.8135</v>
      </c>
      <c r="H563" s="13">
        <v>0.26690000000000003</v>
      </c>
      <c r="I563" s="13">
        <v>1090</v>
      </c>
      <c r="J563" s="13">
        <v>1166</v>
      </c>
      <c r="K563" s="13">
        <v>1.3320000000000001</v>
      </c>
    </row>
    <row r="564" spans="2:11" s="460" customFormat="1">
      <c r="B564" s="13">
        <v>1550</v>
      </c>
      <c r="C564" s="13">
        <v>600.70000000000005</v>
      </c>
      <c r="D564" s="13">
        <v>2.366E-2</v>
      </c>
      <c r="E564" s="13">
        <v>611.1</v>
      </c>
      <c r="F564" s="13">
        <v>617.9</v>
      </c>
      <c r="G564" s="13">
        <v>0.81410000000000005</v>
      </c>
      <c r="H564" s="13">
        <v>0.26579999999999998</v>
      </c>
      <c r="I564" s="13">
        <v>1090</v>
      </c>
      <c r="J564" s="13">
        <v>1166</v>
      </c>
      <c r="K564" s="13">
        <v>1.331</v>
      </c>
    </row>
    <row r="565" spans="2:11" s="460" customFormat="1">
      <c r="B565" s="13">
        <v>1555</v>
      </c>
      <c r="C565" s="13">
        <v>601.1</v>
      </c>
      <c r="D565" s="13">
        <v>2.368E-2</v>
      </c>
      <c r="E565" s="13">
        <v>611.70000000000005</v>
      </c>
      <c r="F565" s="13">
        <v>618.5</v>
      </c>
      <c r="G565" s="13">
        <v>0.81469999999999998</v>
      </c>
      <c r="H565" s="13">
        <v>0.26469999999999999</v>
      </c>
      <c r="I565" s="13">
        <v>1090</v>
      </c>
      <c r="J565" s="13">
        <v>1166</v>
      </c>
      <c r="K565" s="13">
        <v>1.331</v>
      </c>
    </row>
    <row r="566" spans="2:11" s="460" customFormat="1">
      <c r="B566" s="13">
        <v>1560</v>
      </c>
      <c r="C566" s="13">
        <v>601.5</v>
      </c>
      <c r="D566" s="13">
        <v>2.3699999999999999E-2</v>
      </c>
      <c r="E566" s="13">
        <v>612.29999999999995</v>
      </c>
      <c r="F566" s="13">
        <v>619.1</v>
      </c>
      <c r="G566" s="13">
        <v>0.81520000000000004</v>
      </c>
      <c r="H566" s="13">
        <v>0.26369999999999999</v>
      </c>
      <c r="I566" s="13">
        <v>1089</v>
      </c>
      <c r="J566" s="13">
        <v>1166</v>
      </c>
      <c r="K566" s="13">
        <v>1.33</v>
      </c>
    </row>
    <row r="567" spans="2:11" s="460" customFormat="1">
      <c r="B567" s="13">
        <v>1565</v>
      </c>
      <c r="C567" s="13">
        <v>602</v>
      </c>
      <c r="D567" s="13">
        <v>2.3720000000000001E-2</v>
      </c>
      <c r="E567" s="13">
        <v>612.9</v>
      </c>
      <c r="F567" s="13">
        <v>619.70000000000005</v>
      </c>
      <c r="G567" s="13">
        <v>0.81579999999999997</v>
      </c>
      <c r="H567" s="13">
        <v>0.2626</v>
      </c>
      <c r="I567" s="13">
        <v>1089</v>
      </c>
      <c r="J567" s="13">
        <v>1165</v>
      </c>
      <c r="K567" s="13">
        <v>1.33</v>
      </c>
    </row>
    <row r="568" spans="2:11" s="460" customFormat="1">
      <c r="B568" s="13">
        <v>1570</v>
      </c>
      <c r="C568" s="13">
        <v>602.4</v>
      </c>
      <c r="D568" s="13">
        <v>2.3740000000000001E-2</v>
      </c>
      <c r="E568" s="13">
        <v>613.5</v>
      </c>
      <c r="F568" s="13">
        <v>620.4</v>
      </c>
      <c r="G568" s="13">
        <v>0.81640000000000001</v>
      </c>
      <c r="H568" s="13">
        <v>0.26150000000000001</v>
      </c>
      <c r="I568" s="13">
        <v>1089</v>
      </c>
      <c r="J568" s="13">
        <v>1165</v>
      </c>
      <c r="K568" s="13">
        <v>1.329</v>
      </c>
    </row>
    <row r="569" spans="2:11" s="460" customFormat="1">
      <c r="B569" s="13">
        <v>1575</v>
      </c>
      <c r="C569" s="13">
        <v>602.79999999999995</v>
      </c>
      <c r="D569" s="13">
        <v>2.376E-2</v>
      </c>
      <c r="E569" s="13">
        <v>614.1</v>
      </c>
      <c r="F569" s="13">
        <v>621</v>
      </c>
      <c r="G569" s="13">
        <v>0.81689999999999996</v>
      </c>
      <c r="H569" s="13">
        <v>0.26050000000000001</v>
      </c>
      <c r="I569" s="13">
        <v>1089</v>
      </c>
      <c r="J569" s="13">
        <v>1165</v>
      </c>
      <c r="K569" s="13">
        <v>1.329</v>
      </c>
    </row>
    <row r="570" spans="2:11" s="460" customFormat="1">
      <c r="B570" s="13">
        <v>1580</v>
      </c>
      <c r="C570" s="13">
        <v>603.20000000000005</v>
      </c>
      <c r="D570" s="13">
        <v>2.3779999999999999E-2</v>
      </c>
      <c r="E570" s="13">
        <v>614.6</v>
      </c>
      <c r="F570" s="13">
        <v>621.6</v>
      </c>
      <c r="G570" s="13">
        <v>0.8175</v>
      </c>
      <c r="H570" s="13">
        <v>0.25940000000000002</v>
      </c>
      <c r="I570" s="13">
        <v>1089</v>
      </c>
      <c r="J570" s="13">
        <v>1164</v>
      </c>
      <c r="K570" s="13">
        <v>1.3280000000000001</v>
      </c>
    </row>
    <row r="571" spans="2:11" s="460" customFormat="1">
      <c r="B571" s="13">
        <v>1585</v>
      </c>
      <c r="C571" s="13">
        <v>603.70000000000005</v>
      </c>
      <c r="D571" s="13">
        <v>2.3800000000000002E-2</v>
      </c>
      <c r="E571" s="13">
        <v>615.20000000000005</v>
      </c>
      <c r="F571" s="13">
        <v>622.20000000000005</v>
      </c>
      <c r="G571" s="13">
        <v>0.81810000000000005</v>
      </c>
      <c r="H571" s="13">
        <v>0.25840000000000002</v>
      </c>
      <c r="I571" s="13">
        <v>1088</v>
      </c>
      <c r="J571" s="13">
        <v>1164</v>
      </c>
      <c r="K571" s="13">
        <v>1.3280000000000001</v>
      </c>
    </row>
    <row r="572" spans="2:11" s="460" customFormat="1">
      <c r="B572" s="13">
        <v>1590</v>
      </c>
      <c r="C572" s="13">
        <v>604.1</v>
      </c>
      <c r="D572" s="13">
        <v>2.3820000000000001E-2</v>
      </c>
      <c r="E572" s="13">
        <v>615.79999999999995</v>
      </c>
      <c r="F572" s="13">
        <v>622.79999999999995</v>
      </c>
      <c r="G572" s="13">
        <v>0.81859999999999999</v>
      </c>
      <c r="H572" s="13">
        <v>0.25729999999999997</v>
      </c>
      <c r="I572" s="13">
        <v>1088</v>
      </c>
      <c r="J572" s="13">
        <v>1164</v>
      </c>
      <c r="K572" s="13">
        <v>1.327</v>
      </c>
    </row>
    <row r="573" spans="2:11" s="460" customFormat="1">
      <c r="B573" s="13">
        <v>1595</v>
      </c>
      <c r="C573" s="13">
        <v>604.5</v>
      </c>
      <c r="D573" s="13">
        <v>2.384E-2</v>
      </c>
      <c r="E573" s="13">
        <v>616.4</v>
      </c>
      <c r="F573" s="13">
        <v>623.5</v>
      </c>
      <c r="G573" s="13">
        <v>0.81920000000000004</v>
      </c>
      <c r="H573" s="13">
        <v>0.25629999999999997</v>
      </c>
      <c r="I573" s="13">
        <v>1088</v>
      </c>
      <c r="J573" s="13">
        <v>1164</v>
      </c>
      <c r="K573" s="13">
        <v>1.327</v>
      </c>
    </row>
    <row r="574" spans="2:11" s="460" customFormat="1">
      <c r="B574" s="13">
        <v>1600</v>
      </c>
      <c r="C574" s="13">
        <v>604.9</v>
      </c>
      <c r="D574" s="13">
        <v>2.3859999999999999E-2</v>
      </c>
      <c r="E574" s="13">
        <v>617</v>
      </c>
      <c r="F574" s="13">
        <v>624.1</v>
      </c>
      <c r="G574" s="13">
        <v>0.81969999999999998</v>
      </c>
      <c r="H574" s="13">
        <v>0.25530000000000003</v>
      </c>
      <c r="I574" s="13">
        <v>1088</v>
      </c>
      <c r="J574" s="13">
        <v>1163</v>
      </c>
      <c r="K574" s="13">
        <v>1.3260000000000001</v>
      </c>
    </row>
    <row r="575" spans="2:11" s="460" customFormat="1">
      <c r="B575" s="13">
        <v>1605</v>
      </c>
      <c r="C575" s="13">
        <v>605.4</v>
      </c>
      <c r="D575" s="13">
        <v>2.3879999999999998E-2</v>
      </c>
      <c r="E575" s="13">
        <v>617.6</v>
      </c>
      <c r="F575" s="13">
        <v>624.70000000000005</v>
      </c>
      <c r="G575" s="13">
        <v>0.82030000000000003</v>
      </c>
      <c r="H575" s="13">
        <v>0.25419999999999998</v>
      </c>
      <c r="I575" s="13">
        <v>1087</v>
      </c>
      <c r="J575" s="13">
        <v>1163</v>
      </c>
      <c r="K575" s="13">
        <v>1.3260000000000001</v>
      </c>
    </row>
    <row r="576" spans="2:11" s="460" customFormat="1">
      <c r="B576" s="13">
        <v>1610</v>
      </c>
      <c r="C576" s="13">
        <v>605.79999999999995</v>
      </c>
      <c r="D576" s="13">
        <v>2.3900000000000001E-2</v>
      </c>
      <c r="E576" s="13">
        <v>618.20000000000005</v>
      </c>
      <c r="F576" s="13">
        <v>625.29999999999995</v>
      </c>
      <c r="G576" s="13">
        <v>0.82089999999999996</v>
      </c>
      <c r="H576" s="13">
        <v>0.25319999999999998</v>
      </c>
      <c r="I576" s="13">
        <v>1087</v>
      </c>
      <c r="J576" s="13">
        <v>1163</v>
      </c>
      <c r="K576" s="13">
        <v>1.325</v>
      </c>
    </row>
    <row r="577" spans="2:11" s="460" customFormat="1">
      <c r="B577" s="13">
        <v>1615</v>
      </c>
      <c r="C577" s="13">
        <v>606.20000000000005</v>
      </c>
      <c r="D577" s="13">
        <v>2.392E-2</v>
      </c>
      <c r="E577" s="13">
        <v>618.79999999999995</v>
      </c>
      <c r="F577" s="13">
        <v>625.9</v>
      </c>
      <c r="G577" s="13">
        <v>0.82140000000000002</v>
      </c>
      <c r="H577" s="13">
        <v>0.25219999999999998</v>
      </c>
      <c r="I577" s="13">
        <v>1087</v>
      </c>
      <c r="J577" s="13">
        <v>1162</v>
      </c>
      <c r="K577" s="13">
        <v>1.325</v>
      </c>
    </row>
    <row r="578" spans="2:11" s="460" customFormat="1">
      <c r="B578" s="13">
        <v>1620</v>
      </c>
      <c r="C578" s="13">
        <v>606.6</v>
      </c>
      <c r="D578" s="13">
        <v>2.3939999999999999E-2</v>
      </c>
      <c r="E578" s="13">
        <v>619.4</v>
      </c>
      <c r="F578" s="13">
        <v>626.5</v>
      </c>
      <c r="G578" s="13">
        <v>0.82199999999999995</v>
      </c>
      <c r="H578" s="13">
        <v>0.25119999999999998</v>
      </c>
      <c r="I578" s="13">
        <v>1087</v>
      </c>
      <c r="J578" s="13">
        <v>1162</v>
      </c>
      <c r="K578" s="13">
        <v>1.3240000000000001</v>
      </c>
    </row>
    <row r="579" spans="2:11" s="460" customFormat="1">
      <c r="B579" s="13">
        <v>1625</v>
      </c>
      <c r="C579" s="13">
        <v>607</v>
      </c>
      <c r="D579" s="13">
        <v>2.3970000000000002E-2</v>
      </c>
      <c r="E579" s="13">
        <v>619.9</v>
      </c>
      <c r="F579" s="13">
        <v>627.1</v>
      </c>
      <c r="G579" s="13">
        <v>0.82250000000000001</v>
      </c>
      <c r="H579" s="13">
        <v>0.25019999999999998</v>
      </c>
      <c r="I579" s="13">
        <v>1087</v>
      </c>
      <c r="J579" s="13">
        <v>1162</v>
      </c>
      <c r="K579" s="13">
        <v>1.3240000000000001</v>
      </c>
    </row>
    <row r="580" spans="2:11" s="460" customFormat="1">
      <c r="B580" s="13">
        <v>1630</v>
      </c>
      <c r="C580" s="13">
        <v>607.5</v>
      </c>
      <c r="D580" s="13">
        <v>2.3990000000000001E-2</v>
      </c>
      <c r="E580" s="13">
        <v>620.5</v>
      </c>
      <c r="F580" s="13">
        <v>627.79999999999995</v>
      </c>
      <c r="G580" s="13">
        <v>0.82310000000000005</v>
      </c>
      <c r="H580" s="13">
        <v>0.2492</v>
      </c>
      <c r="I580" s="13">
        <v>1086</v>
      </c>
      <c r="J580" s="13">
        <v>1161</v>
      </c>
      <c r="K580" s="13">
        <v>1.323</v>
      </c>
    </row>
    <row r="581" spans="2:11" s="460" customFormat="1">
      <c r="B581" s="13">
        <v>1635</v>
      </c>
      <c r="C581" s="13">
        <v>607.9</v>
      </c>
      <c r="D581" s="13">
        <v>2.401E-2</v>
      </c>
      <c r="E581" s="13">
        <v>621.1</v>
      </c>
      <c r="F581" s="13">
        <v>628.4</v>
      </c>
      <c r="G581" s="13">
        <v>0.8236</v>
      </c>
      <c r="H581" s="13">
        <v>0.2482</v>
      </c>
      <c r="I581" s="13">
        <v>1086</v>
      </c>
      <c r="J581" s="13">
        <v>1161</v>
      </c>
      <c r="K581" s="13">
        <v>1.323</v>
      </c>
    </row>
    <row r="582" spans="2:11" s="460" customFormat="1">
      <c r="B582" s="13">
        <v>1640</v>
      </c>
      <c r="C582" s="13">
        <v>608.29999999999995</v>
      </c>
      <c r="D582" s="13">
        <v>2.4029999999999999E-2</v>
      </c>
      <c r="E582" s="13">
        <v>621.70000000000005</v>
      </c>
      <c r="F582" s="13">
        <v>629</v>
      </c>
      <c r="G582" s="13">
        <v>0.82420000000000004</v>
      </c>
      <c r="H582" s="13">
        <v>0.2472</v>
      </c>
      <c r="I582" s="13">
        <v>1086</v>
      </c>
      <c r="J582" s="13">
        <v>1161</v>
      </c>
      <c r="K582" s="13">
        <v>1.3220000000000001</v>
      </c>
    </row>
    <row r="583" spans="2:11" s="460" customFormat="1">
      <c r="B583" s="13">
        <v>1645</v>
      </c>
      <c r="C583" s="13">
        <v>608.70000000000005</v>
      </c>
      <c r="D583" s="13">
        <v>2.4049999999999998E-2</v>
      </c>
      <c r="E583" s="13">
        <v>622.29999999999995</v>
      </c>
      <c r="F583" s="13">
        <v>629.6</v>
      </c>
      <c r="G583" s="13">
        <v>0.82469999999999999</v>
      </c>
      <c r="H583" s="13">
        <v>0.24629999999999999</v>
      </c>
      <c r="I583" s="13">
        <v>1086</v>
      </c>
      <c r="J583" s="13">
        <v>1161</v>
      </c>
      <c r="K583" s="13">
        <v>1.3220000000000001</v>
      </c>
    </row>
    <row r="584" spans="2:11" s="460" customFormat="1">
      <c r="B584" s="13">
        <v>1650</v>
      </c>
      <c r="C584" s="13">
        <v>609.1</v>
      </c>
      <c r="D584" s="13">
        <v>2.4070000000000001E-2</v>
      </c>
      <c r="E584" s="13">
        <v>622.9</v>
      </c>
      <c r="F584" s="13">
        <v>630.20000000000005</v>
      </c>
      <c r="G584" s="13">
        <v>0.82530000000000003</v>
      </c>
      <c r="H584" s="13">
        <v>0.24529999999999999</v>
      </c>
      <c r="I584" s="13">
        <v>1085</v>
      </c>
      <c r="J584" s="13">
        <v>1160</v>
      </c>
      <c r="K584" s="13">
        <v>1.321</v>
      </c>
    </row>
    <row r="585" spans="2:11" s="460" customFormat="1">
      <c r="B585" s="13">
        <v>1655</v>
      </c>
      <c r="C585" s="13">
        <v>609.5</v>
      </c>
      <c r="D585" s="13">
        <v>2.409E-2</v>
      </c>
      <c r="E585" s="13">
        <v>623.4</v>
      </c>
      <c r="F585" s="13">
        <v>630.79999999999995</v>
      </c>
      <c r="G585" s="13">
        <v>0.82579999999999998</v>
      </c>
      <c r="H585" s="13">
        <v>0.24429999999999999</v>
      </c>
      <c r="I585" s="13">
        <v>1085</v>
      </c>
      <c r="J585" s="13">
        <v>1160</v>
      </c>
      <c r="K585" s="13">
        <v>1.321</v>
      </c>
    </row>
    <row r="586" spans="2:11" s="460" customFormat="1">
      <c r="B586" s="13">
        <v>1660</v>
      </c>
      <c r="C586" s="13">
        <v>609.9</v>
      </c>
      <c r="D586" s="13">
        <v>2.4109999999999999E-2</v>
      </c>
      <c r="E586" s="13">
        <v>624</v>
      </c>
      <c r="F586" s="13">
        <v>631.4</v>
      </c>
      <c r="G586" s="13">
        <v>0.82640000000000002</v>
      </c>
      <c r="H586" s="13">
        <v>0.24329999999999999</v>
      </c>
      <c r="I586" s="13">
        <v>1085</v>
      </c>
      <c r="J586" s="13">
        <v>1160</v>
      </c>
      <c r="K586" s="13">
        <v>1.32</v>
      </c>
    </row>
    <row r="587" spans="2:11" s="460" customFormat="1">
      <c r="B587" s="13">
        <v>1665</v>
      </c>
      <c r="C587" s="13">
        <v>610.29999999999995</v>
      </c>
      <c r="D587" s="13">
        <v>2.4129999999999999E-2</v>
      </c>
      <c r="E587" s="13">
        <v>624.6</v>
      </c>
      <c r="F587" s="13">
        <v>632</v>
      </c>
      <c r="G587" s="13">
        <v>0.82689999999999997</v>
      </c>
      <c r="H587" s="13">
        <v>0.2424</v>
      </c>
      <c r="I587" s="13">
        <v>1085</v>
      </c>
      <c r="J587" s="13">
        <v>1159</v>
      </c>
      <c r="K587" s="13">
        <v>1.32</v>
      </c>
    </row>
    <row r="588" spans="2:11" s="460" customFormat="1">
      <c r="B588" s="13">
        <v>1670</v>
      </c>
      <c r="C588" s="13">
        <v>610.79999999999995</v>
      </c>
      <c r="D588" s="13">
        <v>2.4150000000000001E-2</v>
      </c>
      <c r="E588" s="13">
        <v>625.20000000000005</v>
      </c>
      <c r="F588" s="13">
        <v>632.6</v>
      </c>
      <c r="G588" s="13">
        <v>0.82750000000000001</v>
      </c>
      <c r="H588" s="13">
        <v>0.2414</v>
      </c>
      <c r="I588" s="13">
        <v>1084</v>
      </c>
      <c r="J588" s="13">
        <v>1159</v>
      </c>
      <c r="K588" s="13">
        <v>1.319</v>
      </c>
    </row>
    <row r="589" spans="2:11" s="460" customFormat="1">
      <c r="B589" s="13">
        <v>1675</v>
      </c>
      <c r="C589" s="13">
        <v>611.20000000000005</v>
      </c>
      <c r="D589" s="13">
        <v>2.4170000000000001E-2</v>
      </c>
      <c r="E589" s="13">
        <v>625.79999999999995</v>
      </c>
      <c r="F589" s="13">
        <v>633.29999999999995</v>
      </c>
      <c r="G589" s="13">
        <v>0.82799999999999996</v>
      </c>
      <c r="H589" s="13">
        <v>0.24049999999999999</v>
      </c>
      <c r="I589" s="13">
        <v>1084</v>
      </c>
      <c r="J589" s="13">
        <v>1159</v>
      </c>
      <c r="K589" s="13">
        <v>1.319</v>
      </c>
    </row>
    <row r="590" spans="2:11" s="460" customFormat="1">
      <c r="B590" s="13">
        <v>1680</v>
      </c>
      <c r="C590" s="13">
        <v>611.6</v>
      </c>
      <c r="D590" s="13">
        <v>2.419E-2</v>
      </c>
      <c r="E590" s="13">
        <v>626.29999999999995</v>
      </c>
      <c r="F590" s="13">
        <v>633.9</v>
      </c>
      <c r="G590" s="13">
        <v>0.8286</v>
      </c>
      <c r="H590" s="13">
        <v>0.23960000000000001</v>
      </c>
      <c r="I590" s="13">
        <v>1084</v>
      </c>
      <c r="J590" s="13">
        <v>1158</v>
      </c>
      <c r="K590" s="13">
        <v>1.3180000000000001</v>
      </c>
    </row>
    <row r="591" spans="2:11" s="460" customFormat="1">
      <c r="B591" s="13">
        <v>1685</v>
      </c>
      <c r="C591" s="13">
        <v>612</v>
      </c>
      <c r="D591" s="13">
        <v>2.4209999999999999E-2</v>
      </c>
      <c r="E591" s="13">
        <v>626.9</v>
      </c>
      <c r="F591" s="13">
        <v>634.5</v>
      </c>
      <c r="G591" s="13">
        <v>0.82909999999999995</v>
      </c>
      <c r="H591" s="13">
        <v>0.23860000000000001</v>
      </c>
      <c r="I591" s="13">
        <v>1084</v>
      </c>
      <c r="J591" s="13">
        <v>1158</v>
      </c>
      <c r="K591" s="13">
        <v>1.3180000000000001</v>
      </c>
    </row>
    <row r="592" spans="2:11" s="460" customFormat="1">
      <c r="B592" s="13">
        <v>1690</v>
      </c>
      <c r="C592" s="13">
        <v>612.4</v>
      </c>
      <c r="D592" s="13">
        <v>2.4240000000000001E-2</v>
      </c>
      <c r="E592" s="13">
        <v>627.5</v>
      </c>
      <c r="F592" s="13">
        <v>635.1</v>
      </c>
      <c r="G592" s="13">
        <v>0.82969999999999999</v>
      </c>
      <c r="H592" s="13">
        <v>0.23769999999999999</v>
      </c>
      <c r="I592" s="13">
        <v>1083</v>
      </c>
      <c r="J592" s="13">
        <v>1158</v>
      </c>
      <c r="K592" s="13">
        <v>1.3169999999999999</v>
      </c>
    </row>
    <row r="593" spans="2:11" s="460" customFormat="1">
      <c r="B593" s="13">
        <v>1695</v>
      </c>
      <c r="C593" s="13">
        <v>612.79999999999995</v>
      </c>
      <c r="D593" s="13">
        <v>2.426E-2</v>
      </c>
      <c r="E593" s="13">
        <v>628.1</v>
      </c>
      <c r="F593" s="13">
        <v>635.70000000000005</v>
      </c>
      <c r="G593" s="13">
        <v>0.83020000000000005</v>
      </c>
      <c r="H593" s="13">
        <v>0.23680000000000001</v>
      </c>
      <c r="I593" s="13">
        <v>1083</v>
      </c>
      <c r="J593" s="13">
        <v>1157</v>
      </c>
      <c r="K593" s="13">
        <v>1.3169999999999999</v>
      </c>
    </row>
    <row r="594" spans="2:11" s="460" customFormat="1">
      <c r="B594" s="13">
        <v>1700</v>
      </c>
      <c r="C594" s="13">
        <v>613.20000000000005</v>
      </c>
      <c r="D594" s="13">
        <v>2.4279999999999999E-2</v>
      </c>
      <c r="E594" s="13">
        <v>628.6</v>
      </c>
      <c r="F594" s="13">
        <v>636.29999999999995</v>
      </c>
      <c r="G594" s="13">
        <v>0.83069999999999999</v>
      </c>
      <c r="H594" s="13">
        <v>0.23580000000000001</v>
      </c>
      <c r="I594" s="13">
        <v>1083</v>
      </c>
      <c r="J594" s="13">
        <v>1157</v>
      </c>
      <c r="K594" s="13">
        <v>1.3160000000000001</v>
      </c>
    </row>
    <row r="595" spans="2:11" s="460" customFormat="1">
      <c r="B595" s="13">
        <v>1705</v>
      </c>
      <c r="C595" s="13">
        <v>613.6</v>
      </c>
      <c r="D595" s="13">
        <v>2.4299999999999999E-2</v>
      </c>
      <c r="E595" s="13">
        <v>629.20000000000005</v>
      </c>
      <c r="F595" s="13">
        <v>636.9</v>
      </c>
      <c r="G595" s="13">
        <v>0.83130000000000004</v>
      </c>
      <c r="H595" s="13">
        <v>0.2349</v>
      </c>
      <c r="I595" s="13">
        <v>1083</v>
      </c>
      <c r="J595" s="13">
        <v>1157</v>
      </c>
      <c r="K595" s="13">
        <v>1.3160000000000001</v>
      </c>
    </row>
    <row r="596" spans="2:11" s="460" customFormat="1">
      <c r="B596" s="13">
        <v>1710</v>
      </c>
      <c r="C596" s="13">
        <v>614</v>
      </c>
      <c r="D596" s="13">
        <v>2.4320000000000001E-2</v>
      </c>
      <c r="E596" s="13">
        <v>629.79999999999995</v>
      </c>
      <c r="F596" s="13">
        <v>637.5</v>
      </c>
      <c r="G596" s="13">
        <v>0.83179999999999998</v>
      </c>
      <c r="H596" s="13">
        <v>0.23400000000000001</v>
      </c>
      <c r="I596" s="13">
        <v>1082</v>
      </c>
      <c r="J596" s="13">
        <v>1157</v>
      </c>
      <c r="K596" s="13">
        <v>1.3149999999999999</v>
      </c>
    </row>
    <row r="597" spans="2:11" s="460" customFormat="1">
      <c r="B597" s="13">
        <v>1715</v>
      </c>
      <c r="C597" s="13">
        <v>614.4</v>
      </c>
      <c r="D597" s="13">
        <v>2.4340000000000001E-2</v>
      </c>
      <c r="E597" s="13">
        <v>630.4</v>
      </c>
      <c r="F597" s="13">
        <v>638.1</v>
      </c>
      <c r="G597" s="13">
        <v>0.83240000000000003</v>
      </c>
      <c r="H597" s="13">
        <v>0.2331</v>
      </c>
      <c r="I597" s="13">
        <v>1082</v>
      </c>
      <c r="J597" s="13">
        <v>1156</v>
      </c>
      <c r="K597" s="13">
        <v>1.3149999999999999</v>
      </c>
    </row>
    <row r="598" spans="2:11" s="460" customFormat="1">
      <c r="B598" s="13">
        <v>1720</v>
      </c>
      <c r="C598" s="13">
        <v>614.79999999999995</v>
      </c>
      <c r="D598" s="13">
        <v>2.436E-2</v>
      </c>
      <c r="E598" s="13">
        <v>630.9</v>
      </c>
      <c r="F598" s="13">
        <v>638.70000000000005</v>
      </c>
      <c r="G598" s="13">
        <v>0.83289999999999997</v>
      </c>
      <c r="H598" s="13">
        <v>0.23219999999999999</v>
      </c>
      <c r="I598" s="13">
        <v>1082</v>
      </c>
      <c r="J598" s="13">
        <v>1156</v>
      </c>
      <c r="K598" s="13">
        <v>1.3140000000000001</v>
      </c>
    </row>
    <row r="599" spans="2:11" s="460" customFormat="1">
      <c r="B599" s="13">
        <v>1725</v>
      </c>
      <c r="C599" s="13">
        <v>615.20000000000005</v>
      </c>
      <c r="D599" s="13">
        <v>2.4379999999999999E-2</v>
      </c>
      <c r="E599" s="13">
        <v>631.5</v>
      </c>
      <c r="F599" s="13">
        <v>639.29999999999995</v>
      </c>
      <c r="G599" s="13">
        <v>0.83350000000000002</v>
      </c>
      <c r="H599" s="13">
        <v>0.23130000000000001</v>
      </c>
      <c r="I599" s="13">
        <v>1082</v>
      </c>
      <c r="J599" s="13">
        <v>1156</v>
      </c>
      <c r="K599" s="13">
        <v>1.3140000000000001</v>
      </c>
    </row>
    <row r="600" spans="2:11" s="460" customFormat="1">
      <c r="B600" s="13">
        <v>1730</v>
      </c>
      <c r="C600" s="13">
        <v>615.6</v>
      </c>
      <c r="D600" s="13">
        <v>2.4400000000000002E-2</v>
      </c>
      <c r="E600" s="13">
        <v>632.1</v>
      </c>
      <c r="F600" s="13">
        <v>639.9</v>
      </c>
      <c r="G600" s="13">
        <v>0.83399999999999996</v>
      </c>
      <c r="H600" s="13">
        <v>0.23039999999999999</v>
      </c>
      <c r="I600" s="13">
        <v>1081</v>
      </c>
      <c r="J600" s="13">
        <v>1155</v>
      </c>
      <c r="K600" s="13">
        <v>1.3129999999999999</v>
      </c>
    </row>
    <row r="601" spans="2:11" s="460" customFormat="1">
      <c r="B601" s="13">
        <v>1735</v>
      </c>
      <c r="C601" s="13">
        <v>616</v>
      </c>
      <c r="D601" s="13">
        <v>2.443E-2</v>
      </c>
      <c r="E601" s="13">
        <v>632.70000000000005</v>
      </c>
      <c r="F601" s="13">
        <v>640.5</v>
      </c>
      <c r="G601" s="13">
        <v>0.83450000000000002</v>
      </c>
      <c r="H601" s="13">
        <v>0.22950000000000001</v>
      </c>
      <c r="I601" s="13">
        <v>1081</v>
      </c>
      <c r="J601" s="13">
        <v>1155</v>
      </c>
      <c r="K601" s="13">
        <v>1.3129999999999999</v>
      </c>
    </row>
    <row r="602" spans="2:11" s="460" customFormat="1">
      <c r="B602" s="13">
        <v>1740</v>
      </c>
      <c r="C602" s="13">
        <v>616.4</v>
      </c>
      <c r="D602" s="13">
        <v>2.445E-2</v>
      </c>
      <c r="E602" s="13">
        <v>633.20000000000005</v>
      </c>
      <c r="F602" s="13">
        <v>641.1</v>
      </c>
      <c r="G602" s="13">
        <v>0.83509999999999995</v>
      </c>
      <c r="H602" s="13">
        <v>0.2286</v>
      </c>
      <c r="I602" s="13">
        <v>1081</v>
      </c>
      <c r="J602" s="13">
        <v>1155</v>
      </c>
      <c r="K602" s="13">
        <v>1.3120000000000001</v>
      </c>
    </row>
    <row r="603" spans="2:11" s="460" customFormat="1">
      <c r="B603" s="13">
        <v>1745</v>
      </c>
      <c r="C603" s="13">
        <v>616.79999999999995</v>
      </c>
      <c r="D603" s="13">
        <v>2.4469999999999999E-2</v>
      </c>
      <c r="E603" s="13">
        <v>633.79999999999995</v>
      </c>
      <c r="F603" s="13">
        <v>641.70000000000005</v>
      </c>
      <c r="G603" s="13">
        <v>0.83560000000000001</v>
      </c>
      <c r="H603" s="13">
        <v>0.2278</v>
      </c>
      <c r="I603" s="13">
        <v>1081</v>
      </c>
      <c r="J603" s="13">
        <v>1154</v>
      </c>
      <c r="K603" s="13">
        <v>1.3120000000000001</v>
      </c>
    </row>
    <row r="604" spans="2:11" s="460" customFormat="1">
      <c r="B604" s="13">
        <v>1750</v>
      </c>
      <c r="C604" s="13">
        <v>617.20000000000005</v>
      </c>
      <c r="D604" s="13">
        <v>2.4490000000000001E-2</v>
      </c>
      <c r="E604" s="13">
        <v>634.4</v>
      </c>
      <c r="F604" s="13">
        <v>642.29999999999995</v>
      </c>
      <c r="G604" s="13">
        <v>0.83609999999999995</v>
      </c>
      <c r="H604" s="13">
        <v>0.22689999999999999</v>
      </c>
      <c r="I604" s="13">
        <v>1080</v>
      </c>
      <c r="J604" s="13">
        <v>1154</v>
      </c>
      <c r="K604" s="13">
        <v>1.3109999999999999</v>
      </c>
    </row>
    <row r="605" spans="2:11" s="460" customFormat="1">
      <c r="B605" s="13">
        <v>1755</v>
      </c>
      <c r="C605" s="13">
        <v>617.6</v>
      </c>
      <c r="D605" s="13">
        <v>2.4510000000000001E-2</v>
      </c>
      <c r="E605" s="13">
        <v>634.9</v>
      </c>
      <c r="F605" s="13">
        <v>642.9</v>
      </c>
      <c r="G605" s="13">
        <v>0.8367</v>
      </c>
      <c r="H605" s="13">
        <v>0.22600000000000001</v>
      </c>
      <c r="I605" s="13">
        <v>1080</v>
      </c>
      <c r="J605" s="13">
        <v>1154</v>
      </c>
      <c r="K605" s="13">
        <v>1.3109999999999999</v>
      </c>
    </row>
    <row r="606" spans="2:11" s="460" customFormat="1">
      <c r="B606" s="13">
        <v>1760</v>
      </c>
      <c r="C606" s="13">
        <v>618</v>
      </c>
      <c r="D606" s="13">
        <v>2.453E-2</v>
      </c>
      <c r="E606" s="13">
        <v>635.5</v>
      </c>
      <c r="F606" s="13">
        <v>643.5</v>
      </c>
      <c r="G606" s="13">
        <v>0.83720000000000006</v>
      </c>
      <c r="H606" s="13">
        <v>0.22520000000000001</v>
      </c>
      <c r="I606" s="13">
        <v>1080</v>
      </c>
      <c r="J606" s="13">
        <v>1153</v>
      </c>
      <c r="K606" s="13">
        <v>1.31</v>
      </c>
    </row>
    <row r="607" spans="2:11" s="460" customFormat="1">
      <c r="B607" s="13">
        <v>1765</v>
      </c>
      <c r="C607" s="13">
        <v>618.4</v>
      </c>
      <c r="D607" s="13">
        <v>2.4559999999999998E-2</v>
      </c>
      <c r="E607" s="13">
        <v>636.1</v>
      </c>
      <c r="F607" s="13">
        <v>644.1</v>
      </c>
      <c r="G607" s="13">
        <v>0.8377</v>
      </c>
      <c r="H607" s="13">
        <v>0.2243</v>
      </c>
      <c r="I607" s="13">
        <v>1080</v>
      </c>
      <c r="J607" s="13">
        <v>1153</v>
      </c>
      <c r="K607" s="13">
        <v>1.31</v>
      </c>
    </row>
    <row r="608" spans="2:11" s="460" customFormat="1">
      <c r="B608" s="13">
        <v>1770</v>
      </c>
      <c r="C608" s="13">
        <v>618.70000000000005</v>
      </c>
      <c r="D608" s="13">
        <v>2.4580000000000001E-2</v>
      </c>
      <c r="E608" s="13">
        <v>636.6</v>
      </c>
      <c r="F608" s="13">
        <v>644.70000000000005</v>
      </c>
      <c r="G608" s="13">
        <v>0.83830000000000005</v>
      </c>
      <c r="H608" s="13">
        <v>0.22339999999999999</v>
      </c>
      <c r="I608" s="13">
        <v>1079</v>
      </c>
      <c r="J608" s="13">
        <v>1153</v>
      </c>
      <c r="K608" s="13">
        <v>1.3089999999999999</v>
      </c>
    </row>
    <row r="609" spans="2:11" s="460" customFormat="1">
      <c r="B609" s="13">
        <v>1775</v>
      </c>
      <c r="C609" s="13">
        <v>619.1</v>
      </c>
      <c r="D609" s="13">
        <v>2.46E-2</v>
      </c>
      <c r="E609" s="13">
        <v>637.20000000000005</v>
      </c>
      <c r="F609" s="13">
        <v>645.29999999999995</v>
      </c>
      <c r="G609" s="13">
        <v>0.83879999999999999</v>
      </c>
      <c r="H609" s="13">
        <v>0.22259999999999999</v>
      </c>
      <c r="I609" s="13">
        <v>1079</v>
      </c>
      <c r="J609" s="13">
        <v>1152</v>
      </c>
      <c r="K609" s="13">
        <v>1.3089999999999999</v>
      </c>
    </row>
    <row r="610" spans="2:11" s="460" customFormat="1">
      <c r="B610" s="13">
        <v>1780</v>
      </c>
      <c r="C610" s="13">
        <v>619.5</v>
      </c>
      <c r="D610" s="13">
        <v>2.462E-2</v>
      </c>
      <c r="E610" s="13">
        <v>637.79999999999995</v>
      </c>
      <c r="F610" s="13">
        <v>645.9</v>
      </c>
      <c r="G610" s="13">
        <v>0.83930000000000005</v>
      </c>
      <c r="H610" s="13">
        <v>0.22170000000000001</v>
      </c>
      <c r="I610" s="13">
        <v>1079</v>
      </c>
      <c r="J610" s="13">
        <v>1152</v>
      </c>
      <c r="K610" s="13">
        <v>1.3080000000000001</v>
      </c>
    </row>
    <row r="611" spans="2:11" s="460" customFormat="1">
      <c r="B611" s="13">
        <v>1785</v>
      </c>
      <c r="C611" s="13">
        <v>619.9</v>
      </c>
      <c r="D611" s="13">
        <v>2.4639999999999999E-2</v>
      </c>
      <c r="E611" s="13">
        <v>638.29999999999995</v>
      </c>
      <c r="F611" s="13">
        <v>646.5</v>
      </c>
      <c r="G611" s="13">
        <v>0.83989999999999998</v>
      </c>
      <c r="H611" s="13">
        <v>0.22090000000000001</v>
      </c>
      <c r="I611" s="13">
        <v>1079</v>
      </c>
      <c r="J611" s="13">
        <v>1152</v>
      </c>
      <c r="K611" s="13">
        <v>1.3080000000000001</v>
      </c>
    </row>
    <row r="612" spans="2:11" s="460" customFormat="1">
      <c r="B612" s="13">
        <v>1790</v>
      </c>
      <c r="C612" s="13">
        <v>620.29999999999995</v>
      </c>
      <c r="D612" s="13">
        <v>2.4660000000000001E-2</v>
      </c>
      <c r="E612" s="13">
        <v>638.9</v>
      </c>
      <c r="F612" s="13">
        <v>647.1</v>
      </c>
      <c r="G612" s="13">
        <v>0.84040000000000004</v>
      </c>
      <c r="H612" s="13">
        <v>0.22009999999999999</v>
      </c>
      <c r="I612" s="13">
        <v>1078</v>
      </c>
      <c r="J612" s="13">
        <v>1151</v>
      </c>
      <c r="K612" s="13">
        <v>1.3069999999999999</v>
      </c>
    </row>
    <row r="613" spans="2:11" s="460" customFormat="1">
      <c r="B613" s="13">
        <v>1795</v>
      </c>
      <c r="C613" s="13">
        <v>620.70000000000005</v>
      </c>
      <c r="D613" s="13">
        <v>2.469E-2</v>
      </c>
      <c r="E613" s="13">
        <v>639.5</v>
      </c>
      <c r="F613" s="13">
        <v>647.70000000000005</v>
      </c>
      <c r="G613" s="13">
        <v>0.84089999999999998</v>
      </c>
      <c r="H613" s="13">
        <v>0.21920000000000001</v>
      </c>
      <c r="I613" s="13">
        <v>1078</v>
      </c>
      <c r="J613" s="13">
        <v>1151</v>
      </c>
      <c r="K613" s="13">
        <v>1.3069999999999999</v>
      </c>
    </row>
    <row r="614" spans="2:11" s="460" customFormat="1">
      <c r="B614" s="13">
        <v>1800</v>
      </c>
      <c r="C614" s="13">
        <v>621.1</v>
      </c>
      <c r="D614" s="13">
        <v>2.4709999999999999E-2</v>
      </c>
      <c r="E614" s="13">
        <v>640</v>
      </c>
      <c r="F614" s="13">
        <v>648.29999999999995</v>
      </c>
      <c r="G614" s="13">
        <v>0.84150000000000003</v>
      </c>
      <c r="H614" s="13">
        <v>0.21840000000000001</v>
      </c>
      <c r="I614" s="13">
        <v>1078</v>
      </c>
      <c r="J614" s="13">
        <v>1151</v>
      </c>
      <c r="K614" s="13">
        <v>1.306</v>
      </c>
    </row>
    <row r="615" spans="2:11" s="460" customFormat="1">
      <c r="B615" s="13">
        <v>1805</v>
      </c>
      <c r="C615" s="13">
        <v>621.5</v>
      </c>
      <c r="D615" s="13">
        <v>2.4729999999999999E-2</v>
      </c>
      <c r="E615" s="13">
        <v>640.6</v>
      </c>
      <c r="F615" s="13">
        <v>648.9</v>
      </c>
      <c r="G615" s="13">
        <v>0.84199999999999997</v>
      </c>
      <c r="H615" s="13">
        <v>0.21759999999999999</v>
      </c>
      <c r="I615" s="13">
        <v>1078</v>
      </c>
      <c r="J615" s="13">
        <v>1150</v>
      </c>
      <c r="K615" s="13">
        <v>1.306</v>
      </c>
    </row>
    <row r="616" spans="2:11" s="460" customFormat="1">
      <c r="B616" s="13">
        <v>1810</v>
      </c>
      <c r="C616" s="13">
        <v>621.79999999999995</v>
      </c>
      <c r="D616" s="13">
        <v>2.4750000000000001E-2</v>
      </c>
      <c r="E616" s="13">
        <v>641.20000000000005</v>
      </c>
      <c r="F616" s="13">
        <v>649.5</v>
      </c>
      <c r="G616" s="13">
        <v>0.84250000000000003</v>
      </c>
      <c r="H616" s="13">
        <v>0.2167</v>
      </c>
      <c r="I616" s="13">
        <v>1077</v>
      </c>
      <c r="J616" s="13">
        <v>1150</v>
      </c>
      <c r="K616" s="13">
        <v>1.3049999999999999</v>
      </c>
    </row>
    <row r="617" spans="2:11" s="460" customFormat="1">
      <c r="B617" s="13">
        <v>1815</v>
      </c>
      <c r="C617" s="13">
        <v>622.20000000000005</v>
      </c>
      <c r="D617" s="13">
        <v>2.477E-2</v>
      </c>
      <c r="E617" s="13">
        <v>641.70000000000005</v>
      </c>
      <c r="F617" s="13">
        <v>650.1</v>
      </c>
      <c r="G617" s="13">
        <v>0.84299999999999997</v>
      </c>
      <c r="H617" s="13">
        <v>0.21590000000000001</v>
      </c>
      <c r="I617" s="13">
        <v>1077</v>
      </c>
      <c r="J617" s="13">
        <v>1150</v>
      </c>
      <c r="K617" s="13">
        <v>1.3049999999999999</v>
      </c>
    </row>
    <row r="618" spans="2:11" s="460" customFormat="1">
      <c r="B618" s="13">
        <v>1820</v>
      </c>
      <c r="C618" s="13">
        <v>622.6</v>
      </c>
      <c r="D618" s="13">
        <v>2.4799999999999999E-2</v>
      </c>
      <c r="E618" s="13">
        <v>642.29999999999995</v>
      </c>
      <c r="F618" s="13">
        <v>650.6</v>
      </c>
      <c r="G618" s="13">
        <v>0.84360000000000002</v>
      </c>
      <c r="H618" s="13">
        <v>0.21510000000000001</v>
      </c>
      <c r="I618" s="13">
        <v>1077</v>
      </c>
      <c r="J618" s="13">
        <v>1149</v>
      </c>
      <c r="K618" s="13">
        <v>1.304</v>
      </c>
    </row>
    <row r="619" spans="2:11" s="460" customFormat="1">
      <c r="B619" s="13">
        <v>1825</v>
      </c>
      <c r="C619" s="13">
        <v>623</v>
      </c>
      <c r="D619" s="13">
        <v>2.4819999999999998E-2</v>
      </c>
      <c r="E619" s="13">
        <v>642.9</v>
      </c>
      <c r="F619" s="13">
        <v>651.20000000000005</v>
      </c>
      <c r="G619" s="13">
        <v>0.84409999999999996</v>
      </c>
      <c r="H619" s="13">
        <v>0.21429999999999999</v>
      </c>
      <c r="I619" s="13">
        <v>1077</v>
      </c>
      <c r="J619" s="13">
        <v>1149</v>
      </c>
      <c r="K619" s="13">
        <v>1.304</v>
      </c>
    </row>
    <row r="620" spans="2:11" s="460" customFormat="1">
      <c r="B620" s="13">
        <v>1830</v>
      </c>
      <c r="C620" s="13">
        <v>623.4</v>
      </c>
      <c r="D620" s="13">
        <v>2.4840000000000001E-2</v>
      </c>
      <c r="E620" s="13">
        <v>643.4</v>
      </c>
      <c r="F620" s="13">
        <v>651.79999999999995</v>
      </c>
      <c r="G620" s="13">
        <v>0.84460000000000002</v>
      </c>
      <c r="H620" s="13">
        <v>0.2135</v>
      </c>
      <c r="I620" s="13">
        <v>1076</v>
      </c>
      <c r="J620" s="13">
        <v>1149</v>
      </c>
      <c r="K620" s="13">
        <v>1.3029999999999999</v>
      </c>
    </row>
    <row r="621" spans="2:11" s="460" customFormat="1">
      <c r="B621" s="13">
        <v>1835</v>
      </c>
      <c r="C621" s="13">
        <v>623.70000000000005</v>
      </c>
      <c r="D621" s="13">
        <v>2.486E-2</v>
      </c>
      <c r="E621" s="13">
        <v>644</v>
      </c>
      <c r="F621" s="13">
        <v>652.4</v>
      </c>
      <c r="G621" s="13">
        <v>0.84519999999999995</v>
      </c>
      <c r="H621" s="13">
        <v>0.2127</v>
      </c>
      <c r="I621" s="13">
        <v>1076</v>
      </c>
      <c r="J621" s="13">
        <v>1148</v>
      </c>
      <c r="K621" s="13">
        <v>1.3029999999999999</v>
      </c>
    </row>
    <row r="622" spans="2:11" s="460" customFormat="1">
      <c r="B622" s="13">
        <v>1840</v>
      </c>
      <c r="C622" s="13">
        <v>624.1</v>
      </c>
      <c r="D622" s="13">
        <v>2.4889999999999999E-2</v>
      </c>
      <c r="E622" s="13">
        <v>644.5</v>
      </c>
      <c r="F622" s="13">
        <v>653</v>
      </c>
      <c r="G622" s="13">
        <v>0.84570000000000001</v>
      </c>
      <c r="H622" s="13">
        <v>0.21190000000000001</v>
      </c>
      <c r="I622" s="13">
        <v>1076</v>
      </c>
      <c r="J622" s="13">
        <v>1148</v>
      </c>
      <c r="K622" s="13">
        <v>1.302</v>
      </c>
    </row>
    <row r="623" spans="2:11" s="460" customFormat="1">
      <c r="B623" s="13">
        <v>1845</v>
      </c>
      <c r="C623" s="13">
        <v>624.5</v>
      </c>
      <c r="D623" s="13">
        <v>2.4910000000000002E-2</v>
      </c>
      <c r="E623" s="13">
        <v>645.1</v>
      </c>
      <c r="F623" s="13">
        <v>653.6</v>
      </c>
      <c r="G623" s="13">
        <v>0.84619999999999995</v>
      </c>
      <c r="H623" s="13">
        <v>0.21110000000000001</v>
      </c>
      <c r="I623" s="13">
        <v>1076</v>
      </c>
      <c r="J623" s="13">
        <v>1148</v>
      </c>
      <c r="K623" s="13">
        <v>1.302</v>
      </c>
    </row>
    <row r="624" spans="2:11" s="460" customFormat="1">
      <c r="B624" s="13">
        <v>1850</v>
      </c>
      <c r="C624" s="13">
        <v>624.9</v>
      </c>
      <c r="D624" s="13">
        <v>2.4930000000000001E-2</v>
      </c>
      <c r="E624" s="13">
        <v>645.70000000000005</v>
      </c>
      <c r="F624" s="13">
        <v>654.20000000000005</v>
      </c>
      <c r="G624" s="13">
        <v>0.84670000000000001</v>
      </c>
      <c r="H624" s="13">
        <v>0.21029999999999999</v>
      </c>
      <c r="I624" s="13">
        <v>1075</v>
      </c>
      <c r="J624" s="13">
        <v>1147</v>
      </c>
      <c r="K624" s="13">
        <v>1.3009999999999999</v>
      </c>
    </row>
    <row r="625" spans="2:11" s="460" customFormat="1">
      <c r="B625" s="13">
        <v>1855</v>
      </c>
      <c r="C625" s="13">
        <v>625.29999999999995</v>
      </c>
      <c r="D625" s="13">
        <v>2.495E-2</v>
      </c>
      <c r="E625" s="13">
        <v>646.20000000000005</v>
      </c>
      <c r="F625" s="13">
        <v>654.79999999999995</v>
      </c>
      <c r="G625" s="13">
        <v>0.84719999999999995</v>
      </c>
      <c r="H625" s="13">
        <v>0.20949999999999999</v>
      </c>
      <c r="I625" s="13">
        <v>1075</v>
      </c>
      <c r="J625" s="13">
        <v>1147</v>
      </c>
      <c r="K625" s="13">
        <v>1.3009999999999999</v>
      </c>
    </row>
    <row r="626" spans="2:11" s="460" customFormat="1">
      <c r="B626" s="13">
        <v>1860</v>
      </c>
      <c r="C626" s="13">
        <v>625.6</v>
      </c>
      <c r="D626" s="13">
        <v>2.4979999999999999E-2</v>
      </c>
      <c r="E626" s="13">
        <v>646.79999999999995</v>
      </c>
      <c r="F626" s="13">
        <v>655.4</v>
      </c>
      <c r="G626" s="13">
        <v>0.8478</v>
      </c>
      <c r="H626" s="13">
        <v>0.2087</v>
      </c>
      <c r="I626" s="13">
        <v>1075</v>
      </c>
      <c r="J626" s="13">
        <v>1147</v>
      </c>
      <c r="K626" s="13">
        <v>1.3</v>
      </c>
    </row>
    <row r="627" spans="2:11" s="460" customFormat="1">
      <c r="B627" s="13">
        <v>1865</v>
      </c>
      <c r="C627" s="13">
        <v>626</v>
      </c>
      <c r="D627" s="13">
        <v>2.5000000000000001E-2</v>
      </c>
      <c r="E627" s="13">
        <v>647.29999999999995</v>
      </c>
      <c r="F627" s="13">
        <v>656</v>
      </c>
      <c r="G627" s="13">
        <v>0.84830000000000005</v>
      </c>
      <c r="H627" s="13">
        <v>0.20799999999999999</v>
      </c>
      <c r="I627" s="13">
        <v>1074</v>
      </c>
      <c r="J627" s="13">
        <v>1146</v>
      </c>
      <c r="K627" s="13">
        <v>1.3</v>
      </c>
    </row>
    <row r="628" spans="2:11" s="460" customFormat="1">
      <c r="B628" s="13">
        <v>1870</v>
      </c>
      <c r="C628" s="13">
        <v>626.4</v>
      </c>
      <c r="D628" s="13">
        <v>2.5020000000000001E-2</v>
      </c>
      <c r="E628" s="13">
        <v>647.9</v>
      </c>
      <c r="F628" s="13">
        <v>656.6</v>
      </c>
      <c r="G628" s="13">
        <v>0.8488</v>
      </c>
      <c r="H628" s="13">
        <v>0.2072</v>
      </c>
      <c r="I628" s="13">
        <v>1074</v>
      </c>
      <c r="J628" s="13">
        <v>1146</v>
      </c>
      <c r="K628" s="13">
        <v>1.2989999999999999</v>
      </c>
    </row>
    <row r="629" spans="2:11" s="460" customFormat="1">
      <c r="B629" s="13">
        <v>1875</v>
      </c>
      <c r="C629" s="13">
        <v>626.79999999999995</v>
      </c>
      <c r="D629" s="13">
        <v>2.504E-2</v>
      </c>
      <c r="E629" s="13">
        <v>648.5</v>
      </c>
      <c r="F629" s="13">
        <v>657.1</v>
      </c>
      <c r="G629" s="13">
        <v>0.84930000000000005</v>
      </c>
      <c r="H629" s="13">
        <v>0.2064</v>
      </c>
      <c r="I629" s="13">
        <v>1074</v>
      </c>
      <c r="J629" s="13">
        <v>1146</v>
      </c>
      <c r="K629" s="13">
        <v>1.2989999999999999</v>
      </c>
    </row>
    <row r="630" spans="2:11" s="460" customFormat="1">
      <c r="B630" s="13">
        <v>1880</v>
      </c>
      <c r="C630" s="13">
        <v>627.1</v>
      </c>
      <c r="D630" s="13">
        <v>2.5069999999999999E-2</v>
      </c>
      <c r="E630" s="13">
        <v>649</v>
      </c>
      <c r="F630" s="13">
        <v>657.7</v>
      </c>
      <c r="G630" s="13">
        <v>0.84989999999999999</v>
      </c>
      <c r="H630" s="13">
        <v>0.2056</v>
      </c>
      <c r="I630" s="13">
        <v>1074</v>
      </c>
      <c r="J630" s="13">
        <v>1145</v>
      </c>
      <c r="K630" s="13">
        <v>1.298</v>
      </c>
    </row>
    <row r="631" spans="2:11" s="460" customFormat="1">
      <c r="B631" s="13">
        <v>1885</v>
      </c>
      <c r="C631" s="13">
        <v>627.5</v>
      </c>
      <c r="D631" s="13">
        <v>2.5090000000000001E-2</v>
      </c>
      <c r="E631" s="13">
        <v>649.6</v>
      </c>
      <c r="F631" s="13">
        <v>658.3</v>
      </c>
      <c r="G631" s="13">
        <v>0.85040000000000004</v>
      </c>
      <c r="H631" s="13">
        <v>0.2049</v>
      </c>
      <c r="I631" s="13">
        <v>1073</v>
      </c>
      <c r="J631" s="13">
        <v>1145</v>
      </c>
      <c r="K631" s="13">
        <v>1.298</v>
      </c>
    </row>
    <row r="632" spans="2:11" s="460" customFormat="1">
      <c r="B632" s="13">
        <v>1890</v>
      </c>
      <c r="C632" s="13">
        <v>627.9</v>
      </c>
      <c r="D632" s="13">
        <v>2.511E-2</v>
      </c>
      <c r="E632" s="13">
        <v>650.1</v>
      </c>
      <c r="F632" s="13">
        <v>658.9</v>
      </c>
      <c r="G632" s="13">
        <v>0.85089999999999999</v>
      </c>
      <c r="H632" s="13">
        <v>0.2041</v>
      </c>
      <c r="I632" s="13">
        <v>1073</v>
      </c>
      <c r="J632" s="13">
        <v>1145</v>
      </c>
      <c r="K632" s="13">
        <v>1.2969999999999999</v>
      </c>
    </row>
    <row r="633" spans="2:11" s="460" customFormat="1">
      <c r="B633" s="13">
        <v>1895</v>
      </c>
      <c r="C633" s="13">
        <v>628.20000000000005</v>
      </c>
      <c r="D633" s="13">
        <v>2.5139999999999999E-2</v>
      </c>
      <c r="E633" s="13">
        <v>650.70000000000005</v>
      </c>
      <c r="F633" s="13">
        <v>659.5</v>
      </c>
      <c r="G633" s="13">
        <v>0.85140000000000005</v>
      </c>
      <c r="H633" s="13">
        <v>0.2034</v>
      </c>
      <c r="I633" s="13">
        <v>1073</v>
      </c>
      <c r="J633" s="13">
        <v>1144</v>
      </c>
      <c r="K633" s="13">
        <v>1.2969999999999999</v>
      </c>
    </row>
    <row r="634" spans="2:11" s="460" customFormat="1">
      <c r="B634" s="13">
        <v>1900</v>
      </c>
      <c r="C634" s="13">
        <v>628.6</v>
      </c>
      <c r="D634" s="13">
        <v>2.5159999999999998E-2</v>
      </c>
      <c r="E634" s="13">
        <v>651.20000000000005</v>
      </c>
      <c r="F634" s="13">
        <v>660.1</v>
      </c>
      <c r="G634" s="13">
        <v>0.85189999999999999</v>
      </c>
      <c r="H634" s="13">
        <v>0.2026</v>
      </c>
      <c r="I634" s="13">
        <v>1073</v>
      </c>
      <c r="J634" s="13">
        <v>1144</v>
      </c>
      <c r="K634" s="13">
        <v>1.296</v>
      </c>
    </row>
    <row r="635" spans="2:11" s="460" customFormat="1">
      <c r="B635" s="13">
        <v>1905</v>
      </c>
      <c r="C635" s="13">
        <v>629</v>
      </c>
      <c r="D635" s="13">
        <v>2.5180000000000001E-2</v>
      </c>
      <c r="E635" s="13">
        <v>651.79999999999995</v>
      </c>
      <c r="F635" s="13">
        <v>660.7</v>
      </c>
      <c r="G635" s="13">
        <v>0.85250000000000004</v>
      </c>
      <c r="H635" s="13">
        <v>0.20180000000000001</v>
      </c>
      <c r="I635" s="13">
        <v>1072</v>
      </c>
      <c r="J635" s="13">
        <v>1143</v>
      </c>
      <c r="K635" s="13">
        <v>1.296</v>
      </c>
    </row>
    <row r="636" spans="2:11" s="460" customFormat="1">
      <c r="B636" s="13">
        <v>1910</v>
      </c>
      <c r="C636" s="13">
        <v>629.4</v>
      </c>
      <c r="D636" s="13">
        <v>2.521E-2</v>
      </c>
      <c r="E636" s="13">
        <v>652.4</v>
      </c>
      <c r="F636" s="13">
        <v>661.3</v>
      </c>
      <c r="G636" s="13">
        <v>0.85299999999999998</v>
      </c>
      <c r="H636" s="13">
        <v>0.2011</v>
      </c>
      <c r="I636" s="13">
        <v>1072</v>
      </c>
      <c r="J636" s="13">
        <v>1143</v>
      </c>
      <c r="K636" s="13">
        <v>1.2949999999999999</v>
      </c>
    </row>
    <row r="637" spans="2:11" s="460" customFormat="1">
      <c r="B637" s="13">
        <v>1915</v>
      </c>
      <c r="C637" s="13">
        <v>629.70000000000005</v>
      </c>
      <c r="D637" s="13">
        <v>2.5229999999999999E-2</v>
      </c>
      <c r="E637" s="13">
        <v>652.9</v>
      </c>
      <c r="F637" s="13">
        <v>661.9</v>
      </c>
      <c r="G637" s="13">
        <v>0.85350000000000004</v>
      </c>
      <c r="H637" s="13">
        <v>0.20039999999999999</v>
      </c>
      <c r="I637" s="13">
        <v>1072</v>
      </c>
      <c r="J637" s="13">
        <v>1143</v>
      </c>
      <c r="K637" s="13">
        <v>1.2949999999999999</v>
      </c>
    </row>
    <row r="638" spans="2:11" s="460" customFormat="1">
      <c r="B638" s="13">
        <v>1920</v>
      </c>
      <c r="C638" s="13">
        <v>630.1</v>
      </c>
      <c r="D638" s="13">
        <v>2.5250000000000002E-2</v>
      </c>
      <c r="E638" s="13">
        <v>653.5</v>
      </c>
      <c r="F638" s="13">
        <v>662.4</v>
      </c>
      <c r="G638" s="13">
        <v>0.85399999999999998</v>
      </c>
      <c r="H638" s="13">
        <v>0.1996</v>
      </c>
      <c r="I638" s="13">
        <v>1071</v>
      </c>
      <c r="J638" s="13">
        <v>1142</v>
      </c>
      <c r="K638" s="13">
        <v>1.294</v>
      </c>
    </row>
    <row r="639" spans="2:11" s="460" customFormat="1">
      <c r="B639" s="13">
        <v>1925</v>
      </c>
      <c r="C639" s="13">
        <v>630.5</v>
      </c>
      <c r="D639" s="13">
        <v>2.528E-2</v>
      </c>
      <c r="E639" s="13">
        <v>654</v>
      </c>
      <c r="F639" s="13">
        <v>663</v>
      </c>
      <c r="G639" s="13">
        <v>0.85450000000000004</v>
      </c>
      <c r="H639" s="13">
        <v>0.19889999999999999</v>
      </c>
      <c r="I639" s="13">
        <v>1071</v>
      </c>
      <c r="J639" s="13">
        <v>1142</v>
      </c>
      <c r="K639" s="13">
        <v>1.294</v>
      </c>
    </row>
    <row r="640" spans="2:11" s="460" customFormat="1">
      <c r="B640" s="13">
        <v>1930</v>
      </c>
      <c r="C640" s="13">
        <v>630.79999999999995</v>
      </c>
      <c r="D640" s="13">
        <v>2.53E-2</v>
      </c>
      <c r="E640" s="13">
        <v>654.6</v>
      </c>
      <c r="F640" s="13">
        <v>663.6</v>
      </c>
      <c r="G640" s="13">
        <v>0.85499999999999998</v>
      </c>
      <c r="H640" s="13">
        <v>0.1981</v>
      </c>
      <c r="I640" s="13">
        <v>1071</v>
      </c>
      <c r="J640" s="13">
        <v>1142</v>
      </c>
      <c r="K640" s="13">
        <v>1.2929999999999999</v>
      </c>
    </row>
    <row r="641" spans="2:11" s="460" customFormat="1">
      <c r="B641" s="13">
        <v>1935</v>
      </c>
      <c r="C641" s="13">
        <v>631.20000000000005</v>
      </c>
      <c r="D641" s="13">
        <v>2.5319999999999999E-2</v>
      </c>
      <c r="E641" s="13">
        <v>655.1</v>
      </c>
      <c r="F641" s="13">
        <v>664.2</v>
      </c>
      <c r="G641" s="13">
        <v>0.85560000000000003</v>
      </c>
      <c r="H641" s="13">
        <v>0.19739999999999999</v>
      </c>
      <c r="I641" s="13">
        <v>1071</v>
      </c>
      <c r="J641" s="13">
        <v>1141</v>
      </c>
      <c r="K641" s="13">
        <v>1.2929999999999999</v>
      </c>
    </row>
    <row r="642" spans="2:11" s="460" customFormat="1">
      <c r="B642" s="13">
        <v>1940</v>
      </c>
      <c r="C642" s="13">
        <v>631.5</v>
      </c>
      <c r="D642" s="13">
        <v>2.5350000000000001E-2</v>
      </c>
      <c r="E642" s="13">
        <v>655.7</v>
      </c>
      <c r="F642" s="13">
        <v>664.8</v>
      </c>
      <c r="G642" s="13">
        <v>0.85609999999999997</v>
      </c>
      <c r="H642" s="13">
        <v>0.19670000000000001</v>
      </c>
      <c r="I642" s="13">
        <v>1070</v>
      </c>
      <c r="J642" s="13">
        <v>1141</v>
      </c>
      <c r="K642" s="13">
        <v>1.292</v>
      </c>
    </row>
    <row r="643" spans="2:11" s="460" customFormat="1">
      <c r="B643" s="13">
        <v>1945</v>
      </c>
      <c r="C643" s="13">
        <v>631.9</v>
      </c>
      <c r="D643" s="13">
        <v>2.537E-2</v>
      </c>
      <c r="E643" s="13">
        <v>656.2</v>
      </c>
      <c r="F643" s="13">
        <v>665.4</v>
      </c>
      <c r="G643" s="13">
        <v>0.85660000000000003</v>
      </c>
      <c r="H643" s="13">
        <v>0.19600000000000001</v>
      </c>
      <c r="I643" s="13">
        <v>1070</v>
      </c>
      <c r="J643" s="13">
        <v>1141</v>
      </c>
      <c r="K643" s="13">
        <v>1.292</v>
      </c>
    </row>
    <row r="644" spans="2:11" s="460" customFormat="1">
      <c r="B644" s="13">
        <v>1950</v>
      </c>
      <c r="C644" s="13">
        <v>632.29999999999995</v>
      </c>
      <c r="D644" s="13">
        <v>2.5389999999999999E-2</v>
      </c>
      <c r="E644" s="13">
        <v>656.8</v>
      </c>
      <c r="F644" s="13">
        <v>666</v>
      </c>
      <c r="G644" s="13">
        <v>0.85709999999999997</v>
      </c>
      <c r="H644" s="13">
        <v>0.19520000000000001</v>
      </c>
      <c r="I644" s="13">
        <v>1070</v>
      </c>
      <c r="J644" s="13">
        <v>1140</v>
      </c>
      <c r="K644" s="13">
        <v>1.2909999999999999</v>
      </c>
    </row>
    <row r="645" spans="2:11" s="460" customFormat="1">
      <c r="B645" s="13">
        <v>1955</v>
      </c>
      <c r="C645" s="13">
        <v>632.6</v>
      </c>
      <c r="D645" s="13">
        <v>2.5420000000000002E-2</v>
      </c>
      <c r="E645" s="13">
        <v>657.3</v>
      </c>
      <c r="F645" s="13">
        <v>666.5</v>
      </c>
      <c r="G645" s="13">
        <v>0.85760000000000003</v>
      </c>
      <c r="H645" s="13">
        <v>0.19450000000000001</v>
      </c>
      <c r="I645" s="13">
        <v>1069</v>
      </c>
      <c r="J645" s="13">
        <v>1140</v>
      </c>
      <c r="K645" s="13">
        <v>1.2909999999999999</v>
      </c>
    </row>
    <row r="646" spans="2:11" s="460" customFormat="1">
      <c r="B646" s="13">
        <v>1960</v>
      </c>
      <c r="C646" s="13">
        <v>633</v>
      </c>
      <c r="D646" s="13">
        <v>2.5440000000000001E-2</v>
      </c>
      <c r="E646" s="13">
        <v>657.9</v>
      </c>
      <c r="F646" s="13">
        <v>667.1</v>
      </c>
      <c r="G646" s="13">
        <v>0.85809999999999997</v>
      </c>
      <c r="H646" s="13">
        <v>0.1938</v>
      </c>
      <c r="I646" s="13">
        <v>1069</v>
      </c>
      <c r="J646" s="13">
        <v>1139</v>
      </c>
      <c r="K646" s="13">
        <v>1.29</v>
      </c>
    </row>
    <row r="647" spans="2:11" s="460" customFormat="1">
      <c r="B647" s="13">
        <v>1965</v>
      </c>
      <c r="C647" s="13">
        <v>633.4</v>
      </c>
      <c r="D647" s="13">
        <v>2.547E-2</v>
      </c>
      <c r="E647" s="13">
        <v>658.5</v>
      </c>
      <c r="F647" s="13">
        <v>667.7</v>
      </c>
      <c r="G647" s="13">
        <v>0.85860000000000003</v>
      </c>
      <c r="H647" s="13">
        <v>0.19309999999999999</v>
      </c>
      <c r="I647" s="13">
        <v>1069</v>
      </c>
      <c r="J647" s="13">
        <v>1139</v>
      </c>
      <c r="K647" s="13">
        <v>1.29</v>
      </c>
    </row>
    <row r="648" spans="2:11" s="460" customFormat="1">
      <c r="B648" s="13">
        <v>1970</v>
      </c>
      <c r="C648" s="13">
        <v>633.70000000000005</v>
      </c>
      <c r="D648" s="13">
        <v>2.5489999999999999E-2</v>
      </c>
      <c r="E648" s="13">
        <v>659</v>
      </c>
      <c r="F648" s="13">
        <v>668.3</v>
      </c>
      <c r="G648" s="13">
        <v>0.85919999999999996</v>
      </c>
      <c r="H648" s="13">
        <v>0.19239999999999999</v>
      </c>
      <c r="I648" s="13">
        <v>1069</v>
      </c>
      <c r="J648" s="13">
        <v>1139</v>
      </c>
      <c r="K648" s="13">
        <v>1.2889999999999999</v>
      </c>
    </row>
    <row r="649" spans="2:11" s="460" customFormat="1">
      <c r="B649" s="13">
        <v>1975</v>
      </c>
      <c r="C649" s="13">
        <v>634.1</v>
      </c>
      <c r="D649" s="13">
        <v>2.5510000000000001E-2</v>
      </c>
      <c r="E649" s="13">
        <v>659.6</v>
      </c>
      <c r="F649" s="13">
        <v>668.9</v>
      </c>
      <c r="G649" s="13">
        <v>0.85970000000000002</v>
      </c>
      <c r="H649" s="13">
        <v>0.19170000000000001</v>
      </c>
      <c r="I649" s="13">
        <v>1068</v>
      </c>
      <c r="J649" s="13">
        <v>1138</v>
      </c>
      <c r="K649" s="13">
        <v>1.2889999999999999</v>
      </c>
    </row>
    <row r="650" spans="2:11" s="460" customFormat="1">
      <c r="B650" s="13">
        <v>1980</v>
      </c>
      <c r="C650" s="13">
        <v>634.4</v>
      </c>
      <c r="D650" s="13">
        <v>2.554E-2</v>
      </c>
      <c r="E650" s="13">
        <v>660.1</v>
      </c>
      <c r="F650" s="13">
        <v>669.5</v>
      </c>
      <c r="G650" s="13">
        <v>0.86019999999999996</v>
      </c>
      <c r="H650" s="13">
        <v>0.191</v>
      </c>
      <c r="I650" s="13">
        <v>1068</v>
      </c>
      <c r="J650" s="13">
        <v>1138</v>
      </c>
      <c r="K650" s="13">
        <v>1.288</v>
      </c>
    </row>
    <row r="651" spans="2:11" s="460" customFormat="1">
      <c r="B651" s="13">
        <v>1985</v>
      </c>
      <c r="C651" s="13">
        <v>634.79999999999995</v>
      </c>
      <c r="D651" s="13">
        <v>2.5559999999999999E-2</v>
      </c>
      <c r="E651" s="13">
        <v>660.7</v>
      </c>
      <c r="F651" s="13">
        <v>670</v>
      </c>
      <c r="G651" s="13">
        <v>0.86070000000000002</v>
      </c>
      <c r="H651" s="13">
        <v>0.1903</v>
      </c>
      <c r="I651" s="13">
        <v>1068</v>
      </c>
      <c r="J651" s="13">
        <v>1138</v>
      </c>
      <c r="K651" s="13">
        <v>1.288</v>
      </c>
    </row>
    <row r="652" spans="2:11" s="460" customFormat="1">
      <c r="B652" s="13">
        <v>1990</v>
      </c>
      <c r="C652" s="13">
        <v>635.1</v>
      </c>
      <c r="D652" s="13">
        <v>2.5590000000000002E-2</v>
      </c>
      <c r="E652" s="13">
        <v>661.2</v>
      </c>
      <c r="F652" s="13">
        <v>670.6</v>
      </c>
      <c r="G652" s="13">
        <v>0.86119999999999997</v>
      </c>
      <c r="H652" s="13">
        <v>0.18959999999999999</v>
      </c>
      <c r="I652" s="13">
        <v>1067</v>
      </c>
      <c r="J652" s="13">
        <v>1137</v>
      </c>
      <c r="K652" s="13">
        <v>1.2869999999999999</v>
      </c>
    </row>
    <row r="653" spans="2:11" s="460" customFormat="1">
      <c r="B653" s="13">
        <v>1995</v>
      </c>
      <c r="C653" s="13">
        <v>635.5</v>
      </c>
      <c r="D653" s="13">
        <v>2.5610000000000001E-2</v>
      </c>
      <c r="E653" s="13">
        <v>661.8</v>
      </c>
      <c r="F653" s="13">
        <v>671.2</v>
      </c>
      <c r="G653" s="13">
        <v>0.86170000000000002</v>
      </c>
      <c r="H653" s="13">
        <v>0.18890000000000001</v>
      </c>
      <c r="I653" s="13">
        <v>1067</v>
      </c>
      <c r="J653" s="13">
        <v>1137</v>
      </c>
      <c r="K653" s="13">
        <v>1.2869999999999999</v>
      </c>
    </row>
    <row r="654" spans="2:11" s="460" customFormat="1">
      <c r="B654" s="13">
        <v>2000</v>
      </c>
      <c r="C654" s="13">
        <v>635.9</v>
      </c>
      <c r="D654" s="13">
        <v>2.563E-2</v>
      </c>
      <c r="E654" s="13">
        <v>662.3</v>
      </c>
      <c r="F654" s="13">
        <v>671.8</v>
      </c>
      <c r="G654" s="13">
        <v>0.86219999999999997</v>
      </c>
      <c r="H654" s="13">
        <v>0.18820000000000001</v>
      </c>
      <c r="I654" s="13">
        <v>1067</v>
      </c>
      <c r="J654" s="13">
        <v>1137</v>
      </c>
      <c r="K654" s="13">
        <v>1.286</v>
      </c>
    </row>
    <row r="655" spans="2:11" s="460" customFormat="1">
      <c r="B655" s="13">
        <v>2005</v>
      </c>
      <c r="C655" s="13">
        <v>636.20000000000005</v>
      </c>
      <c r="D655" s="13">
        <v>2.5659999999999999E-2</v>
      </c>
      <c r="E655" s="13">
        <v>662.9</v>
      </c>
      <c r="F655" s="13">
        <v>672.4</v>
      </c>
      <c r="G655" s="13">
        <v>0.86270000000000002</v>
      </c>
      <c r="H655" s="13">
        <v>0.1875</v>
      </c>
      <c r="I655" s="13">
        <v>1067</v>
      </c>
      <c r="J655" s="13">
        <v>1136</v>
      </c>
      <c r="K655" s="13">
        <v>1.286</v>
      </c>
    </row>
    <row r="656" spans="2:11" s="460" customFormat="1">
      <c r="B656" s="13">
        <v>2010</v>
      </c>
      <c r="C656" s="13">
        <v>636.6</v>
      </c>
      <c r="D656" s="13">
        <v>2.5680000000000001E-2</v>
      </c>
      <c r="E656" s="13">
        <v>663.4</v>
      </c>
      <c r="F656" s="13">
        <v>673</v>
      </c>
      <c r="G656" s="13">
        <v>0.86319999999999997</v>
      </c>
      <c r="H656" s="13">
        <v>0.18679999999999999</v>
      </c>
      <c r="I656" s="13">
        <v>1066</v>
      </c>
      <c r="J656" s="13">
        <v>1136</v>
      </c>
      <c r="K656" s="13">
        <v>1.2849999999999999</v>
      </c>
    </row>
    <row r="657" spans="2:11" s="460" customFormat="1">
      <c r="B657" s="13">
        <v>2015</v>
      </c>
      <c r="C657" s="13">
        <v>636.9</v>
      </c>
      <c r="D657" s="13">
        <v>2.571E-2</v>
      </c>
      <c r="E657" s="13">
        <v>664</v>
      </c>
      <c r="F657" s="13">
        <v>673.5</v>
      </c>
      <c r="G657" s="13">
        <v>0.86380000000000001</v>
      </c>
      <c r="H657" s="13">
        <v>0.18609999999999999</v>
      </c>
      <c r="I657" s="13">
        <v>1066</v>
      </c>
      <c r="J657" s="13">
        <v>1135</v>
      </c>
      <c r="K657" s="13">
        <v>1.2849999999999999</v>
      </c>
    </row>
    <row r="658" spans="2:11" s="460" customFormat="1">
      <c r="B658" s="13">
        <v>2020</v>
      </c>
      <c r="C658" s="13">
        <v>637.29999999999995</v>
      </c>
      <c r="D658" s="13">
        <v>2.5729999999999999E-2</v>
      </c>
      <c r="E658" s="13">
        <v>664.5</v>
      </c>
      <c r="F658" s="13">
        <v>674.1</v>
      </c>
      <c r="G658" s="13">
        <v>0.86429999999999996</v>
      </c>
      <c r="H658" s="13">
        <v>0.1855</v>
      </c>
      <c r="I658" s="13">
        <v>1066</v>
      </c>
      <c r="J658" s="13">
        <v>1135</v>
      </c>
      <c r="K658" s="13">
        <v>1.284</v>
      </c>
    </row>
    <row r="659" spans="2:11" s="460" customFormat="1">
      <c r="B659" s="13">
        <v>2025</v>
      </c>
      <c r="C659" s="13">
        <v>637.6</v>
      </c>
      <c r="D659" s="13">
        <v>2.5760000000000002E-2</v>
      </c>
      <c r="E659" s="13">
        <v>665.1</v>
      </c>
      <c r="F659" s="13">
        <v>674.7</v>
      </c>
      <c r="G659" s="13">
        <v>0.86480000000000001</v>
      </c>
      <c r="H659" s="13">
        <v>0.18479999999999999</v>
      </c>
      <c r="I659" s="13">
        <v>1065</v>
      </c>
      <c r="J659" s="13">
        <v>1135</v>
      </c>
      <c r="K659" s="13">
        <v>1.284</v>
      </c>
    </row>
    <row r="660" spans="2:11" s="460" customFormat="1">
      <c r="B660" s="13">
        <v>2030</v>
      </c>
      <c r="C660" s="13">
        <v>638</v>
      </c>
      <c r="D660" s="13">
        <v>2.5780000000000001E-2</v>
      </c>
      <c r="E660" s="13">
        <v>665.6</v>
      </c>
      <c r="F660" s="13">
        <v>675.3</v>
      </c>
      <c r="G660" s="13">
        <v>0.86529999999999996</v>
      </c>
      <c r="H660" s="13">
        <v>0.18410000000000001</v>
      </c>
      <c r="I660" s="13">
        <v>1065</v>
      </c>
      <c r="J660" s="13">
        <v>1134</v>
      </c>
      <c r="K660" s="13">
        <v>1.2829999999999999</v>
      </c>
    </row>
    <row r="661" spans="2:11" s="460" customFormat="1">
      <c r="B661" s="13">
        <v>2035</v>
      </c>
      <c r="C661" s="13">
        <v>638.29999999999995</v>
      </c>
      <c r="D661" s="13">
        <v>2.581E-2</v>
      </c>
      <c r="E661" s="13">
        <v>666.2</v>
      </c>
      <c r="F661" s="13">
        <v>675.9</v>
      </c>
      <c r="G661" s="13">
        <v>0.86580000000000001</v>
      </c>
      <c r="H661" s="13">
        <v>0.18340000000000001</v>
      </c>
      <c r="I661" s="13">
        <v>1065</v>
      </c>
      <c r="J661" s="13">
        <v>1134</v>
      </c>
      <c r="K661" s="13">
        <v>1.2829999999999999</v>
      </c>
    </row>
    <row r="662" spans="2:11" s="460" customFormat="1">
      <c r="B662" s="13">
        <v>2040</v>
      </c>
      <c r="C662" s="13">
        <v>638.70000000000005</v>
      </c>
      <c r="D662" s="13">
        <v>2.5829999999999999E-2</v>
      </c>
      <c r="E662" s="13">
        <v>666.7</v>
      </c>
      <c r="F662" s="13">
        <v>676.5</v>
      </c>
      <c r="G662" s="13">
        <v>0.86629999999999996</v>
      </c>
      <c r="H662" s="13">
        <v>0.18279999999999999</v>
      </c>
      <c r="I662" s="13">
        <v>1064</v>
      </c>
      <c r="J662" s="13">
        <v>1133</v>
      </c>
      <c r="K662" s="13">
        <v>1.282</v>
      </c>
    </row>
    <row r="663" spans="2:11" s="460" customFormat="1">
      <c r="B663" s="13">
        <v>2045</v>
      </c>
      <c r="C663" s="13">
        <v>639</v>
      </c>
      <c r="D663" s="13">
        <v>2.5860000000000001E-2</v>
      </c>
      <c r="E663" s="13">
        <v>667.3</v>
      </c>
      <c r="F663" s="13">
        <v>677</v>
      </c>
      <c r="G663" s="13">
        <v>0.86680000000000001</v>
      </c>
      <c r="H663" s="13">
        <v>0.18210000000000001</v>
      </c>
      <c r="I663" s="13">
        <v>1064</v>
      </c>
      <c r="J663" s="13">
        <v>1133</v>
      </c>
      <c r="K663" s="13">
        <v>1.282</v>
      </c>
    </row>
    <row r="664" spans="2:11" s="460" customFormat="1">
      <c r="B664" s="13">
        <v>2050</v>
      </c>
      <c r="C664" s="13">
        <v>639.4</v>
      </c>
      <c r="D664" s="13">
        <v>2.588E-2</v>
      </c>
      <c r="E664" s="13">
        <v>667.8</v>
      </c>
      <c r="F664" s="13">
        <v>677.6</v>
      </c>
      <c r="G664" s="13">
        <v>0.86729999999999996</v>
      </c>
      <c r="H664" s="13">
        <v>0.18140000000000001</v>
      </c>
      <c r="I664" s="13">
        <v>1064</v>
      </c>
      <c r="J664" s="13">
        <v>1133</v>
      </c>
      <c r="K664" s="13">
        <v>1.2809999999999999</v>
      </c>
    </row>
    <row r="665" spans="2:11" s="460" customFormat="1">
      <c r="B665" s="13">
        <v>2055</v>
      </c>
      <c r="C665" s="13">
        <v>639.70000000000005</v>
      </c>
      <c r="D665" s="13">
        <v>2.5909999999999999E-2</v>
      </c>
      <c r="E665" s="13">
        <v>668.4</v>
      </c>
      <c r="F665" s="13">
        <v>678.2</v>
      </c>
      <c r="G665" s="13">
        <v>0.86780000000000002</v>
      </c>
      <c r="H665" s="13">
        <v>0.18079999999999999</v>
      </c>
      <c r="I665" s="13">
        <v>1064</v>
      </c>
      <c r="J665" s="13">
        <v>1132</v>
      </c>
      <c r="K665" s="13">
        <v>1.2809999999999999</v>
      </c>
    </row>
    <row r="666" spans="2:11" s="460" customFormat="1">
      <c r="B666" s="13">
        <v>2060</v>
      </c>
      <c r="C666" s="13">
        <v>640.1</v>
      </c>
      <c r="D666" s="13">
        <v>2.5930000000000002E-2</v>
      </c>
      <c r="E666" s="13">
        <v>668.9</v>
      </c>
      <c r="F666" s="13">
        <v>678.8</v>
      </c>
      <c r="G666" s="13">
        <v>0.86829999999999996</v>
      </c>
      <c r="H666" s="13">
        <v>0.18010000000000001</v>
      </c>
      <c r="I666" s="13">
        <v>1063</v>
      </c>
      <c r="J666" s="13">
        <v>1132</v>
      </c>
      <c r="K666" s="13">
        <v>1.28</v>
      </c>
    </row>
    <row r="667" spans="2:11" s="460" customFormat="1">
      <c r="B667" s="13">
        <v>2065</v>
      </c>
      <c r="C667" s="13">
        <v>640.4</v>
      </c>
      <c r="D667" s="13">
        <v>2.596E-2</v>
      </c>
      <c r="E667" s="13">
        <v>669.5</v>
      </c>
      <c r="F667" s="13">
        <v>679.4</v>
      </c>
      <c r="G667" s="13">
        <v>0.86880000000000002</v>
      </c>
      <c r="H667" s="13">
        <v>0.17949999999999999</v>
      </c>
      <c r="I667" s="13">
        <v>1063</v>
      </c>
      <c r="J667" s="13">
        <v>1131</v>
      </c>
      <c r="K667" s="13">
        <v>1.28</v>
      </c>
    </row>
    <row r="668" spans="2:11" s="460" customFormat="1">
      <c r="B668" s="13">
        <v>2070</v>
      </c>
      <c r="C668" s="13">
        <v>640.70000000000005</v>
      </c>
      <c r="D668" s="13">
        <v>2.598E-2</v>
      </c>
      <c r="E668" s="13">
        <v>670</v>
      </c>
      <c r="F668" s="13">
        <v>680</v>
      </c>
      <c r="G668" s="13">
        <v>0.86929999999999996</v>
      </c>
      <c r="H668" s="13">
        <v>0.17879999999999999</v>
      </c>
      <c r="I668" s="13">
        <v>1063</v>
      </c>
      <c r="J668" s="13">
        <v>1131</v>
      </c>
      <c r="K668" s="13">
        <v>1.2789999999999999</v>
      </c>
    </row>
    <row r="669" spans="2:11" s="460" customFormat="1">
      <c r="B669" s="13">
        <v>2075</v>
      </c>
      <c r="C669" s="13">
        <v>641.1</v>
      </c>
      <c r="D669" s="13">
        <v>2.6009999999999998E-2</v>
      </c>
      <c r="E669" s="13">
        <v>670.5</v>
      </c>
      <c r="F669" s="13">
        <v>680.5</v>
      </c>
      <c r="G669" s="13">
        <v>0.86990000000000001</v>
      </c>
      <c r="H669" s="13">
        <v>0.1782</v>
      </c>
      <c r="I669" s="13">
        <v>1062</v>
      </c>
      <c r="J669" s="13">
        <v>1131</v>
      </c>
      <c r="K669" s="13">
        <v>1.2789999999999999</v>
      </c>
    </row>
    <row r="670" spans="2:11" s="460" customFormat="1">
      <c r="B670" s="13">
        <v>2080</v>
      </c>
      <c r="C670" s="13">
        <v>641.4</v>
      </c>
      <c r="D670" s="13">
        <v>2.6040000000000001E-2</v>
      </c>
      <c r="E670" s="13">
        <v>671.1</v>
      </c>
      <c r="F670" s="13">
        <v>681.1</v>
      </c>
      <c r="G670" s="13">
        <v>0.87039999999999995</v>
      </c>
      <c r="H670" s="13">
        <v>0.17749999999999999</v>
      </c>
      <c r="I670" s="13">
        <v>1062</v>
      </c>
      <c r="J670" s="13">
        <v>1130</v>
      </c>
      <c r="K670" s="13">
        <v>1.278</v>
      </c>
    </row>
    <row r="671" spans="2:11" s="460" customFormat="1">
      <c r="B671" s="13">
        <v>2085</v>
      </c>
      <c r="C671" s="13">
        <v>641.79999999999995</v>
      </c>
      <c r="D671" s="13">
        <v>2.606E-2</v>
      </c>
      <c r="E671" s="13">
        <v>671.6</v>
      </c>
      <c r="F671" s="13">
        <v>681.7</v>
      </c>
      <c r="G671" s="13">
        <v>0.87090000000000001</v>
      </c>
      <c r="H671" s="13">
        <v>0.1769</v>
      </c>
      <c r="I671" s="13">
        <v>1062</v>
      </c>
      <c r="J671" s="13">
        <v>1130</v>
      </c>
      <c r="K671" s="13">
        <v>1.278</v>
      </c>
    </row>
    <row r="672" spans="2:11" s="460" customFormat="1">
      <c r="B672" s="13">
        <v>2090</v>
      </c>
      <c r="C672" s="13">
        <v>642.1</v>
      </c>
      <c r="D672" s="13">
        <v>2.6089999999999999E-2</v>
      </c>
      <c r="E672" s="13">
        <v>672.2</v>
      </c>
      <c r="F672" s="13">
        <v>682.3</v>
      </c>
      <c r="G672" s="13">
        <v>0.87139999999999995</v>
      </c>
      <c r="H672" s="13">
        <v>0.1762</v>
      </c>
      <c r="I672" s="13">
        <v>1061</v>
      </c>
      <c r="J672" s="13">
        <v>1130</v>
      </c>
      <c r="K672" s="13">
        <v>1.2769999999999999</v>
      </c>
    </row>
    <row r="673" spans="2:11" s="460" customFormat="1">
      <c r="B673" s="13">
        <v>2095</v>
      </c>
      <c r="C673" s="13">
        <v>642.5</v>
      </c>
      <c r="D673" s="13">
        <v>2.6110000000000001E-2</v>
      </c>
      <c r="E673" s="13">
        <v>672.7</v>
      </c>
      <c r="F673" s="13">
        <v>682.9</v>
      </c>
      <c r="G673" s="13">
        <v>0.87190000000000001</v>
      </c>
      <c r="H673" s="13">
        <v>0.17560000000000001</v>
      </c>
      <c r="I673" s="13">
        <v>1061</v>
      </c>
      <c r="J673" s="13">
        <v>1129</v>
      </c>
      <c r="K673" s="13">
        <v>1.2769999999999999</v>
      </c>
    </row>
    <row r="674" spans="2:11" s="460" customFormat="1">
      <c r="B674" s="13">
        <v>2100</v>
      </c>
      <c r="C674" s="13">
        <v>642.79999999999995</v>
      </c>
      <c r="D674" s="13">
        <v>2.614E-2</v>
      </c>
      <c r="E674" s="13">
        <v>673.3</v>
      </c>
      <c r="F674" s="13">
        <v>683.4</v>
      </c>
      <c r="G674" s="13">
        <v>0.87239999999999995</v>
      </c>
      <c r="H674" s="13">
        <v>0.17499999999999999</v>
      </c>
      <c r="I674" s="13">
        <v>1061</v>
      </c>
      <c r="J674" s="13">
        <v>1129</v>
      </c>
      <c r="K674" s="13">
        <v>1.276</v>
      </c>
    </row>
    <row r="675" spans="2:11" s="460" customFormat="1">
      <c r="B675" s="13">
        <v>2105</v>
      </c>
      <c r="C675" s="13">
        <v>643.1</v>
      </c>
      <c r="D675" s="13">
        <v>2.6159999999999999E-2</v>
      </c>
      <c r="E675" s="13">
        <v>673.8</v>
      </c>
      <c r="F675" s="13">
        <v>684</v>
      </c>
      <c r="G675" s="13">
        <v>0.87290000000000001</v>
      </c>
      <c r="H675" s="13">
        <v>0.17430000000000001</v>
      </c>
      <c r="I675" s="13">
        <v>1060</v>
      </c>
      <c r="J675" s="13">
        <v>1128</v>
      </c>
      <c r="K675" s="13">
        <v>1.276</v>
      </c>
    </row>
    <row r="676" spans="2:11" s="460" customFormat="1">
      <c r="B676" s="13">
        <v>2110</v>
      </c>
      <c r="C676" s="13">
        <v>643.5</v>
      </c>
      <c r="D676" s="13">
        <v>2.6190000000000001E-2</v>
      </c>
      <c r="E676" s="13">
        <v>674.4</v>
      </c>
      <c r="F676" s="13">
        <v>684.6</v>
      </c>
      <c r="G676" s="13">
        <v>0.87339999999999995</v>
      </c>
      <c r="H676" s="13">
        <v>0.17369999999999999</v>
      </c>
      <c r="I676" s="13">
        <v>1060</v>
      </c>
      <c r="J676" s="13">
        <v>1128</v>
      </c>
      <c r="K676" s="13">
        <v>1.2749999999999999</v>
      </c>
    </row>
    <row r="677" spans="2:11" s="460" customFormat="1">
      <c r="B677" s="13">
        <v>2115</v>
      </c>
      <c r="C677" s="13">
        <v>643.79999999999995</v>
      </c>
      <c r="D677" s="13">
        <v>2.622E-2</v>
      </c>
      <c r="E677" s="13">
        <v>674.9</v>
      </c>
      <c r="F677" s="13">
        <v>685.2</v>
      </c>
      <c r="G677" s="13">
        <v>0.87390000000000001</v>
      </c>
      <c r="H677" s="13">
        <v>0.1731</v>
      </c>
      <c r="I677" s="13">
        <v>1060</v>
      </c>
      <c r="J677" s="13">
        <v>1127</v>
      </c>
      <c r="K677" s="13">
        <v>1.2749999999999999</v>
      </c>
    </row>
    <row r="678" spans="2:11" s="460" customFormat="1">
      <c r="B678" s="13">
        <v>2120</v>
      </c>
      <c r="C678" s="13">
        <v>644.20000000000005</v>
      </c>
      <c r="D678" s="13">
        <v>2.6239999999999999E-2</v>
      </c>
      <c r="E678" s="13">
        <v>675.5</v>
      </c>
      <c r="F678" s="13">
        <v>685.8</v>
      </c>
      <c r="G678" s="13">
        <v>0.87439999999999996</v>
      </c>
      <c r="H678" s="13">
        <v>0.1724</v>
      </c>
      <c r="I678" s="13">
        <v>1059</v>
      </c>
      <c r="J678" s="13">
        <v>1127</v>
      </c>
      <c r="K678" s="13">
        <v>1.274</v>
      </c>
    </row>
    <row r="679" spans="2:11" s="460" customFormat="1">
      <c r="B679" s="13">
        <v>2125</v>
      </c>
      <c r="C679" s="13">
        <v>644.5</v>
      </c>
      <c r="D679" s="13">
        <v>2.6270000000000002E-2</v>
      </c>
      <c r="E679" s="13">
        <v>676</v>
      </c>
      <c r="F679" s="13">
        <v>686.4</v>
      </c>
      <c r="G679" s="13">
        <v>0.87490000000000001</v>
      </c>
      <c r="H679" s="13">
        <v>0.17180000000000001</v>
      </c>
      <c r="I679" s="13">
        <v>1059</v>
      </c>
      <c r="J679" s="13">
        <v>1127</v>
      </c>
      <c r="K679" s="13">
        <v>1.274</v>
      </c>
    </row>
    <row r="680" spans="2:11" s="460" customFormat="1">
      <c r="B680" s="13">
        <v>2130</v>
      </c>
      <c r="C680" s="13">
        <v>644.79999999999995</v>
      </c>
      <c r="D680" s="13">
        <v>2.63E-2</v>
      </c>
      <c r="E680" s="13">
        <v>676.6</v>
      </c>
      <c r="F680" s="13">
        <v>686.9</v>
      </c>
      <c r="G680" s="13">
        <v>0.87539999999999996</v>
      </c>
      <c r="H680" s="13">
        <v>0.17119999999999999</v>
      </c>
      <c r="I680" s="13">
        <v>1059</v>
      </c>
      <c r="J680" s="13">
        <v>1126</v>
      </c>
      <c r="K680" s="13">
        <v>1.2729999999999999</v>
      </c>
    </row>
    <row r="681" spans="2:11" s="460" customFormat="1">
      <c r="B681" s="13">
        <v>2135</v>
      </c>
      <c r="C681" s="13">
        <v>645.20000000000005</v>
      </c>
      <c r="D681" s="13">
        <v>2.632E-2</v>
      </c>
      <c r="E681" s="13">
        <v>677.1</v>
      </c>
      <c r="F681" s="13">
        <v>687.5</v>
      </c>
      <c r="G681" s="13">
        <v>0.87590000000000001</v>
      </c>
      <c r="H681" s="13">
        <v>0.1706</v>
      </c>
      <c r="I681" s="13">
        <v>1058</v>
      </c>
      <c r="J681" s="13">
        <v>1126</v>
      </c>
      <c r="K681" s="13">
        <v>1.2729999999999999</v>
      </c>
    </row>
    <row r="682" spans="2:11" s="460" customFormat="1">
      <c r="B682" s="13">
        <v>2140</v>
      </c>
      <c r="C682" s="13">
        <v>645.5</v>
      </c>
      <c r="D682" s="13">
        <v>2.6349999999999998E-2</v>
      </c>
      <c r="E682" s="13">
        <v>677.7</v>
      </c>
      <c r="F682" s="13">
        <v>688.1</v>
      </c>
      <c r="G682" s="13">
        <v>0.87639999999999996</v>
      </c>
      <c r="H682" s="13">
        <v>0.17</v>
      </c>
      <c r="I682" s="13">
        <v>1058</v>
      </c>
      <c r="J682" s="13">
        <v>1125</v>
      </c>
      <c r="K682" s="13">
        <v>1.272</v>
      </c>
    </row>
    <row r="683" spans="2:11" s="460" customFormat="1">
      <c r="B683" s="13">
        <v>2145</v>
      </c>
      <c r="C683" s="13">
        <v>645.79999999999995</v>
      </c>
      <c r="D683" s="13">
        <v>2.6380000000000001E-2</v>
      </c>
      <c r="E683" s="13">
        <v>678.2</v>
      </c>
      <c r="F683" s="13">
        <v>688.7</v>
      </c>
      <c r="G683" s="13">
        <v>0.87690000000000001</v>
      </c>
      <c r="H683" s="13">
        <v>0.16930000000000001</v>
      </c>
      <c r="I683" s="13">
        <v>1058</v>
      </c>
      <c r="J683" s="13">
        <v>1125</v>
      </c>
      <c r="K683" s="13">
        <v>1.272</v>
      </c>
    </row>
    <row r="684" spans="2:11" s="460" customFormat="1">
      <c r="B684" s="13">
        <v>2150</v>
      </c>
      <c r="C684" s="13">
        <v>646.20000000000005</v>
      </c>
      <c r="D684" s="13">
        <v>2.64E-2</v>
      </c>
      <c r="E684" s="13">
        <v>678.8</v>
      </c>
      <c r="F684" s="13">
        <v>689.3</v>
      </c>
      <c r="G684" s="13">
        <v>0.87739999999999996</v>
      </c>
      <c r="H684" s="13">
        <v>0.16869999999999999</v>
      </c>
      <c r="I684" s="13">
        <v>1057</v>
      </c>
      <c r="J684" s="13">
        <v>1125</v>
      </c>
      <c r="K684" s="13">
        <v>1.2709999999999999</v>
      </c>
    </row>
    <row r="685" spans="2:11" s="460" customFormat="1">
      <c r="B685" s="13">
        <v>2155</v>
      </c>
      <c r="C685" s="13">
        <v>646.5</v>
      </c>
      <c r="D685" s="13">
        <v>2.6429999999999999E-2</v>
      </c>
      <c r="E685" s="13">
        <v>679.3</v>
      </c>
      <c r="F685" s="13">
        <v>689.8</v>
      </c>
      <c r="G685" s="13">
        <v>0.87790000000000001</v>
      </c>
      <c r="H685" s="13">
        <v>0.1681</v>
      </c>
      <c r="I685" s="13">
        <v>1057</v>
      </c>
      <c r="J685" s="13">
        <v>1124</v>
      </c>
      <c r="K685" s="13">
        <v>1.2709999999999999</v>
      </c>
    </row>
    <row r="686" spans="2:11" s="460" customFormat="1">
      <c r="B686" s="13">
        <v>2160</v>
      </c>
      <c r="C686" s="13">
        <v>646.79999999999995</v>
      </c>
      <c r="D686" s="13">
        <v>2.6460000000000001E-2</v>
      </c>
      <c r="E686" s="13">
        <v>679.9</v>
      </c>
      <c r="F686" s="13">
        <v>690.4</v>
      </c>
      <c r="G686" s="13">
        <v>0.87839999999999996</v>
      </c>
      <c r="H686" s="13">
        <v>0.16750000000000001</v>
      </c>
      <c r="I686" s="13">
        <v>1057</v>
      </c>
      <c r="J686" s="13">
        <v>1124</v>
      </c>
      <c r="K686" s="13">
        <v>1.27</v>
      </c>
    </row>
    <row r="687" spans="2:11" s="460" customFormat="1">
      <c r="B687" s="13">
        <v>2165</v>
      </c>
      <c r="C687" s="13">
        <v>647.20000000000005</v>
      </c>
      <c r="D687" s="13">
        <v>2.648E-2</v>
      </c>
      <c r="E687" s="13">
        <v>680.4</v>
      </c>
      <c r="F687" s="13">
        <v>691</v>
      </c>
      <c r="G687" s="13">
        <v>0.87890000000000001</v>
      </c>
      <c r="H687" s="13">
        <v>0.16689999999999999</v>
      </c>
      <c r="I687" s="13">
        <v>1056</v>
      </c>
      <c r="J687" s="13">
        <v>1123</v>
      </c>
      <c r="K687" s="13">
        <v>1.27</v>
      </c>
    </row>
    <row r="688" spans="2:11" s="460" customFormat="1">
      <c r="B688" s="13">
        <v>2170</v>
      </c>
      <c r="C688" s="13">
        <v>647.5</v>
      </c>
      <c r="D688" s="13">
        <v>2.6509999999999999E-2</v>
      </c>
      <c r="E688" s="13">
        <v>680.9</v>
      </c>
      <c r="F688" s="13">
        <v>691.6</v>
      </c>
      <c r="G688" s="13">
        <v>0.87949999999999995</v>
      </c>
      <c r="H688" s="13">
        <v>0.1663</v>
      </c>
      <c r="I688" s="13">
        <v>1056</v>
      </c>
      <c r="J688" s="13">
        <v>1123</v>
      </c>
      <c r="K688" s="13">
        <v>1.2689999999999999</v>
      </c>
    </row>
    <row r="689" spans="2:11" s="460" customFormat="1">
      <c r="B689" s="13">
        <v>2175</v>
      </c>
      <c r="C689" s="13">
        <v>647.79999999999995</v>
      </c>
      <c r="D689" s="13">
        <v>2.6540000000000001E-2</v>
      </c>
      <c r="E689" s="13">
        <v>681.5</v>
      </c>
      <c r="F689" s="13">
        <v>692.2</v>
      </c>
      <c r="G689" s="13">
        <v>0.88</v>
      </c>
      <c r="H689" s="13">
        <v>0.16569999999999999</v>
      </c>
      <c r="I689" s="13">
        <v>1056</v>
      </c>
      <c r="J689" s="13">
        <v>1123</v>
      </c>
      <c r="K689" s="13">
        <v>1.2689999999999999</v>
      </c>
    </row>
    <row r="690" spans="2:11" s="460" customFormat="1">
      <c r="B690" s="13">
        <v>2180</v>
      </c>
      <c r="C690" s="13">
        <v>648.20000000000005</v>
      </c>
      <c r="D690" s="13">
        <v>2.657E-2</v>
      </c>
      <c r="E690" s="13">
        <v>682</v>
      </c>
      <c r="F690" s="13">
        <v>692.8</v>
      </c>
      <c r="G690" s="13">
        <v>0.88049999999999995</v>
      </c>
      <c r="H690" s="13">
        <v>0.1651</v>
      </c>
      <c r="I690" s="13">
        <v>1055</v>
      </c>
      <c r="J690" s="13">
        <v>1122</v>
      </c>
      <c r="K690" s="13">
        <v>1.268</v>
      </c>
    </row>
    <row r="691" spans="2:11" s="460" customFormat="1">
      <c r="B691" s="13">
        <v>2185</v>
      </c>
      <c r="C691" s="13">
        <v>648.5</v>
      </c>
      <c r="D691" s="13">
        <v>2.6589999999999999E-2</v>
      </c>
      <c r="E691" s="13">
        <v>682.6</v>
      </c>
      <c r="F691" s="13">
        <v>693.3</v>
      </c>
      <c r="G691" s="13">
        <v>0.88100000000000001</v>
      </c>
      <c r="H691" s="13">
        <v>0.16450000000000001</v>
      </c>
      <c r="I691" s="13">
        <v>1055</v>
      </c>
      <c r="J691" s="13">
        <v>1122</v>
      </c>
      <c r="K691" s="13">
        <v>1.2669999999999999</v>
      </c>
    </row>
    <row r="692" spans="2:11" s="460" customFormat="1">
      <c r="B692" s="13">
        <v>2190</v>
      </c>
      <c r="C692" s="13">
        <v>648.79999999999995</v>
      </c>
      <c r="D692" s="13">
        <v>2.6620000000000001E-2</v>
      </c>
      <c r="E692" s="13">
        <v>683.1</v>
      </c>
      <c r="F692" s="13">
        <v>693.9</v>
      </c>
      <c r="G692" s="13">
        <v>0.88149999999999995</v>
      </c>
      <c r="H692" s="13">
        <v>0.16389999999999999</v>
      </c>
      <c r="I692" s="13">
        <v>1055</v>
      </c>
      <c r="J692" s="13">
        <v>1121</v>
      </c>
      <c r="K692" s="13">
        <v>1.2669999999999999</v>
      </c>
    </row>
    <row r="693" spans="2:11" s="460" customFormat="1">
      <c r="B693" s="13">
        <v>2195</v>
      </c>
      <c r="C693" s="13">
        <v>649.20000000000005</v>
      </c>
      <c r="D693" s="13">
        <v>2.665E-2</v>
      </c>
      <c r="E693" s="13">
        <v>683.7</v>
      </c>
      <c r="F693" s="13">
        <v>694.5</v>
      </c>
      <c r="G693" s="13">
        <v>0.88200000000000001</v>
      </c>
      <c r="H693" s="13">
        <v>0.1633</v>
      </c>
      <c r="I693" s="13">
        <v>1054</v>
      </c>
      <c r="J693" s="13">
        <v>1121</v>
      </c>
      <c r="K693" s="13">
        <v>1.266</v>
      </c>
    </row>
    <row r="694" spans="2:11" s="460" customFormat="1">
      <c r="B694" s="13">
        <v>2200</v>
      </c>
      <c r="C694" s="13">
        <v>649.5</v>
      </c>
      <c r="D694" s="13">
        <v>2.6679999999999999E-2</v>
      </c>
      <c r="E694" s="13">
        <v>684.2</v>
      </c>
      <c r="F694" s="13">
        <v>695.1</v>
      </c>
      <c r="G694" s="13">
        <v>0.88249999999999995</v>
      </c>
      <c r="H694" s="13">
        <v>0.16270000000000001</v>
      </c>
      <c r="I694" s="13">
        <v>1054</v>
      </c>
      <c r="J694" s="13">
        <v>1120</v>
      </c>
      <c r="K694" s="13">
        <v>1.266</v>
      </c>
    </row>
    <row r="695" spans="2:11" s="460" customFormat="1">
      <c r="B695" s="13">
        <v>2205</v>
      </c>
      <c r="C695" s="13">
        <v>649.79999999999995</v>
      </c>
      <c r="D695" s="13">
        <v>2.6710000000000001E-2</v>
      </c>
      <c r="E695" s="13">
        <v>684.8</v>
      </c>
      <c r="F695" s="13">
        <v>695.7</v>
      </c>
      <c r="G695" s="13">
        <v>0.88300000000000001</v>
      </c>
      <c r="H695" s="13">
        <v>0.16209999999999999</v>
      </c>
      <c r="I695" s="13">
        <v>1054</v>
      </c>
      <c r="J695" s="13">
        <v>1120</v>
      </c>
      <c r="K695" s="13">
        <v>1.2649999999999999</v>
      </c>
    </row>
    <row r="696" spans="2:11" s="460" customFormat="1">
      <c r="B696" s="13">
        <v>2210</v>
      </c>
      <c r="C696" s="13">
        <v>650.20000000000005</v>
      </c>
      <c r="D696" s="13">
        <v>2.673E-2</v>
      </c>
      <c r="E696" s="13">
        <v>685.3</v>
      </c>
      <c r="F696" s="13">
        <v>696.3</v>
      </c>
      <c r="G696" s="13">
        <v>0.88349999999999995</v>
      </c>
      <c r="H696" s="13">
        <v>0.16159999999999999</v>
      </c>
      <c r="I696" s="13">
        <v>1053</v>
      </c>
      <c r="J696" s="13">
        <v>1120</v>
      </c>
      <c r="K696" s="13">
        <v>1.2649999999999999</v>
      </c>
    </row>
    <row r="697" spans="2:11" s="460" customFormat="1">
      <c r="B697" s="13">
        <v>2215</v>
      </c>
      <c r="C697" s="13">
        <v>650.5</v>
      </c>
      <c r="D697" s="13">
        <v>2.6759999999999999E-2</v>
      </c>
      <c r="E697" s="13">
        <v>685.9</v>
      </c>
      <c r="F697" s="13">
        <v>696.8</v>
      </c>
      <c r="G697" s="13">
        <v>0.88400000000000001</v>
      </c>
      <c r="H697" s="13">
        <v>0.161</v>
      </c>
      <c r="I697" s="13">
        <v>1053</v>
      </c>
      <c r="J697" s="13">
        <v>1119</v>
      </c>
      <c r="K697" s="13">
        <v>1.264</v>
      </c>
    </row>
    <row r="698" spans="2:11" s="460" customFormat="1">
      <c r="B698" s="13">
        <v>2220</v>
      </c>
      <c r="C698" s="13">
        <v>650.79999999999995</v>
      </c>
      <c r="D698" s="13">
        <v>2.6790000000000001E-2</v>
      </c>
      <c r="E698" s="13">
        <v>686.4</v>
      </c>
      <c r="F698" s="13">
        <v>697.4</v>
      </c>
      <c r="G698" s="13">
        <v>0.88449999999999995</v>
      </c>
      <c r="H698" s="13">
        <v>0.16039999999999999</v>
      </c>
      <c r="I698" s="13">
        <v>1053</v>
      </c>
      <c r="J698" s="13">
        <v>1119</v>
      </c>
      <c r="K698" s="13">
        <v>1.264</v>
      </c>
    </row>
    <row r="699" spans="2:11" s="460" customFormat="1">
      <c r="B699" s="13">
        <v>2225</v>
      </c>
      <c r="C699" s="13">
        <v>651.1</v>
      </c>
      <c r="D699" s="13">
        <v>2.682E-2</v>
      </c>
      <c r="E699" s="13">
        <v>687</v>
      </c>
      <c r="F699" s="13">
        <v>698</v>
      </c>
      <c r="G699" s="13">
        <v>0.88500000000000001</v>
      </c>
      <c r="H699" s="13">
        <v>0.1598</v>
      </c>
      <c r="I699" s="13">
        <v>1052</v>
      </c>
      <c r="J699" s="13">
        <v>1118</v>
      </c>
      <c r="K699" s="13">
        <v>1.2629999999999999</v>
      </c>
    </row>
    <row r="700" spans="2:11" s="460" customFormat="1">
      <c r="B700" s="13">
        <v>2230</v>
      </c>
      <c r="C700" s="13">
        <v>651.5</v>
      </c>
      <c r="D700" s="13">
        <v>2.6849999999999999E-2</v>
      </c>
      <c r="E700" s="13">
        <v>687.5</v>
      </c>
      <c r="F700" s="13">
        <v>698.6</v>
      </c>
      <c r="G700" s="13">
        <v>0.88549999999999995</v>
      </c>
      <c r="H700" s="13">
        <v>0.15920000000000001</v>
      </c>
      <c r="I700" s="13">
        <v>1052</v>
      </c>
      <c r="J700" s="13">
        <v>1118</v>
      </c>
      <c r="K700" s="13">
        <v>1.2629999999999999</v>
      </c>
    </row>
    <row r="701" spans="2:11" s="460" customFormat="1">
      <c r="B701" s="13">
        <v>2235</v>
      </c>
      <c r="C701" s="13">
        <v>651.79999999999995</v>
      </c>
      <c r="D701" s="13">
        <v>2.6880000000000001E-2</v>
      </c>
      <c r="E701" s="13">
        <v>688.1</v>
      </c>
      <c r="F701" s="13">
        <v>699.2</v>
      </c>
      <c r="G701" s="13">
        <v>0.88600000000000001</v>
      </c>
      <c r="H701" s="13">
        <v>0.15870000000000001</v>
      </c>
      <c r="I701" s="13">
        <v>1052</v>
      </c>
      <c r="J701" s="13">
        <v>1117</v>
      </c>
      <c r="K701" s="13">
        <v>1.262</v>
      </c>
    </row>
    <row r="702" spans="2:11" s="460" customFormat="1">
      <c r="B702" s="13">
        <v>2240</v>
      </c>
      <c r="C702" s="13">
        <v>652.1</v>
      </c>
      <c r="D702" s="13">
        <v>2.69E-2</v>
      </c>
      <c r="E702" s="13">
        <v>688.6</v>
      </c>
      <c r="F702" s="13">
        <v>699.8</v>
      </c>
      <c r="G702" s="13">
        <v>0.88649999999999995</v>
      </c>
      <c r="H702" s="13">
        <v>0.15809999999999999</v>
      </c>
      <c r="I702" s="13">
        <v>1051</v>
      </c>
      <c r="J702" s="13">
        <v>1117</v>
      </c>
      <c r="K702" s="13">
        <v>1.262</v>
      </c>
    </row>
    <row r="703" spans="2:11" s="460" customFormat="1">
      <c r="B703" s="13">
        <v>2245</v>
      </c>
      <c r="C703" s="13">
        <v>652.4</v>
      </c>
      <c r="D703" s="13">
        <v>2.6929999999999999E-2</v>
      </c>
      <c r="E703" s="13">
        <v>689.2</v>
      </c>
      <c r="F703" s="13">
        <v>700.3</v>
      </c>
      <c r="G703" s="13">
        <v>0.88700000000000001</v>
      </c>
      <c r="H703" s="13">
        <v>0.1575</v>
      </c>
      <c r="I703" s="13">
        <v>1051</v>
      </c>
      <c r="J703" s="13">
        <v>1116</v>
      </c>
      <c r="K703" s="13">
        <v>1.2609999999999999</v>
      </c>
    </row>
    <row r="704" spans="2:11" s="460" customFormat="1">
      <c r="B704" s="13">
        <v>2250</v>
      </c>
      <c r="C704" s="13">
        <v>652.70000000000005</v>
      </c>
      <c r="D704" s="13">
        <v>2.6960000000000001E-2</v>
      </c>
      <c r="E704" s="13">
        <v>689.7</v>
      </c>
      <c r="F704" s="13">
        <v>700.9</v>
      </c>
      <c r="G704" s="13">
        <v>0.88749999999999996</v>
      </c>
      <c r="H704" s="13">
        <v>0.15690000000000001</v>
      </c>
      <c r="I704" s="13">
        <v>1051</v>
      </c>
      <c r="J704" s="13">
        <v>1116</v>
      </c>
      <c r="K704" s="13">
        <v>1.2609999999999999</v>
      </c>
    </row>
    <row r="705" spans="2:11" s="460" customFormat="1">
      <c r="B705" s="13">
        <v>2255</v>
      </c>
      <c r="C705" s="13">
        <v>653.1</v>
      </c>
      <c r="D705" s="13">
        <v>2.699E-2</v>
      </c>
      <c r="E705" s="13">
        <v>690.3</v>
      </c>
      <c r="F705" s="13">
        <v>701.5</v>
      </c>
      <c r="G705" s="13">
        <v>0.88800000000000001</v>
      </c>
      <c r="H705" s="13">
        <v>0.15640000000000001</v>
      </c>
      <c r="I705" s="13">
        <v>1050</v>
      </c>
      <c r="J705" s="13">
        <v>1116</v>
      </c>
      <c r="K705" s="13">
        <v>1.26</v>
      </c>
    </row>
    <row r="706" spans="2:11" s="460" customFormat="1">
      <c r="B706" s="13">
        <v>2260</v>
      </c>
      <c r="C706" s="13">
        <v>653.4</v>
      </c>
      <c r="D706" s="13">
        <v>2.7019999999999999E-2</v>
      </c>
      <c r="E706" s="13">
        <v>690.8</v>
      </c>
      <c r="F706" s="13">
        <v>702.1</v>
      </c>
      <c r="G706" s="13">
        <v>0.88849999999999996</v>
      </c>
      <c r="H706" s="13">
        <v>0.15579999999999999</v>
      </c>
      <c r="I706" s="13">
        <v>1050</v>
      </c>
      <c r="J706" s="13">
        <v>1115</v>
      </c>
      <c r="K706" s="13">
        <v>1.26</v>
      </c>
    </row>
    <row r="707" spans="2:11" s="460" customFormat="1">
      <c r="B707" s="13">
        <v>2265</v>
      </c>
      <c r="C707" s="13">
        <v>653.70000000000005</v>
      </c>
      <c r="D707" s="13">
        <v>2.7050000000000001E-2</v>
      </c>
      <c r="E707" s="13">
        <v>691.4</v>
      </c>
      <c r="F707" s="13">
        <v>702.7</v>
      </c>
      <c r="G707" s="13">
        <v>0.88900000000000001</v>
      </c>
      <c r="H707" s="13">
        <v>0.1552</v>
      </c>
      <c r="I707" s="13">
        <v>1050</v>
      </c>
      <c r="J707" s="13">
        <v>1115</v>
      </c>
      <c r="K707" s="13">
        <v>1.2589999999999999</v>
      </c>
    </row>
    <row r="708" spans="2:11" s="460" customFormat="1">
      <c r="B708" s="13">
        <v>2270</v>
      </c>
      <c r="C708" s="13">
        <v>654</v>
      </c>
      <c r="D708" s="13">
        <v>2.708E-2</v>
      </c>
      <c r="E708" s="13">
        <v>691.9</v>
      </c>
      <c r="F708" s="13">
        <v>703.3</v>
      </c>
      <c r="G708" s="13">
        <v>0.88949999999999996</v>
      </c>
      <c r="H708" s="13">
        <v>0.1547</v>
      </c>
      <c r="I708" s="13">
        <v>1049</v>
      </c>
      <c r="J708" s="13">
        <v>1114</v>
      </c>
      <c r="K708" s="13">
        <v>1.2589999999999999</v>
      </c>
    </row>
    <row r="709" spans="2:11" s="460" customFormat="1">
      <c r="B709" s="13">
        <v>2275</v>
      </c>
      <c r="C709" s="13">
        <v>654.4</v>
      </c>
      <c r="D709" s="13">
        <v>2.7109999999999999E-2</v>
      </c>
      <c r="E709" s="13">
        <v>692.5</v>
      </c>
      <c r="F709" s="13">
        <v>703.9</v>
      </c>
      <c r="G709" s="13">
        <v>0.89</v>
      </c>
      <c r="H709" s="13">
        <v>0.15409999999999999</v>
      </c>
      <c r="I709" s="13">
        <v>1049</v>
      </c>
      <c r="J709" s="13">
        <v>1114</v>
      </c>
      <c r="K709" s="13">
        <v>1.258</v>
      </c>
    </row>
    <row r="710" spans="2:11" s="460" customFormat="1">
      <c r="B710" s="13">
        <v>2280</v>
      </c>
      <c r="C710" s="13">
        <v>654.70000000000005</v>
      </c>
      <c r="D710" s="13">
        <v>2.7140000000000001E-2</v>
      </c>
      <c r="E710" s="13">
        <v>693</v>
      </c>
      <c r="F710" s="13">
        <v>704.5</v>
      </c>
      <c r="G710" s="13">
        <v>0.89049999999999996</v>
      </c>
      <c r="H710" s="13">
        <v>0.15359999999999999</v>
      </c>
      <c r="I710" s="13">
        <v>1049</v>
      </c>
      <c r="J710" s="13">
        <v>1113</v>
      </c>
      <c r="K710" s="13">
        <v>1.2569999999999999</v>
      </c>
    </row>
    <row r="711" spans="2:11" s="460" customFormat="1">
      <c r="B711" s="13">
        <v>2285</v>
      </c>
      <c r="C711" s="13">
        <v>655</v>
      </c>
      <c r="D711" s="13">
        <v>2.717E-2</v>
      </c>
      <c r="E711" s="13">
        <v>693.6</v>
      </c>
      <c r="F711" s="13">
        <v>705</v>
      </c>
      <c r="G711" s="13">
        <v>0.89100000000000001</v>
      </c>
      <c r="H711" s="13">
        <v>0.153</v>
      </c>
      <c r="I711" s="13">
        <v>1048</v>
      </c>
      <c r="J711" s="13">
        <v>1113</v>
      </c>
      <c r="K711" s="13">
        <v>1.2569999999999999</v>
      </c>
    </row>
    <row r="712" spans="2:11" s="460" customFormat="1">
      <c r="B712" s="13">
        <v>2290</v>
      </c>
      <c r="C712" s="13">
        <v>655.29999999999995</v>
      </c>
      <c r="D712" s="13">
        <v>2.7199999999999998E-2</v>
      </c>
      <c r="E712" s="13">
        <v>694.1</v>
      </c>
      <c r="F712" s="13">
        <v>705.6</v>
      </c>
      <c r="G712" s="13">
        <v>0.89149999999999996</v>
      </c>
      <c r="H712" s="13">
        <v>0.1525</v>
      </c>
      <c r="I712" s="13">
        <v>1048</v>
      </c>
      <c r="J712" s="13">
        <v>1112</v>
      </c>
      <c r="K712" s="13">
        <v>1.256</v>
      </c>
    </row>
    <row r="713" spans="2:11" s="460" customFormat="1">
      <c r="B713" s="13">
        <v>2295</v>
      </c>
      <c r="C713" s="13">
        <v>655.6</v>
      </c>
      <c r="D713" s="13">
        <v>2.7230000000000001E-2</v>
      </c>
      <c r="E713" s="13">
        <v>694.7</v>
      </c>
      <c r="F713" s="13">
        <v>706.2</v>
      </c>
      <c r="G713" s="13">
        <v>0.8921</v>
      </c>
      <c r="H713" s="13">
        <v>0.15190000000000001</v>
      </c>
      <c r="I713" s="13">
        <v>1047</v>
      </c>
      <c r="J713" s="13">
        <v>1112</v>
      </c>
      <c r="K713" s="13">
        <v>1.256</v>
      </c>
    </row>
    <row r="714" spans="2:11" s="460" customFormat="1">
      <c r="B714" s="13">
        <v>2300</v>
      </c>
      <c r="C714" s="13">
        <v>655.9</v>
      </c>
      <c r="D714" s="13">
        <v>2.726E-2</v>
      </c>
      <c r="E714" s="13">
        <v>695.2</v>
      </c>
      <c r="F714" s="13">
        <v>706.8</v>
      </c>
      <c r="G714" s="13">
        <v>0.89259999999999995</v>
      </c>
      <c r="H714" s="13">
        <v>0.15140000000000001</v>
      </c>
      <c r="I714" s="13">
        <v>1047</v>
      </c>
      <c r="J714" s="13">
        <v>1111</v>
      </c>
      <c r="K714" s="13">
        <v>1.2549999999999999</v>
      </c>
    </row>
    <row r="715" spans="2:11" s="460" customFormat="1">
      <c r="B715" s="13">
        <v>2305</v>
      </c>
      <c r="C715" s="13">
        <v>656.3</v>
      </c>
      <c r="D715" s="13">
        <v>2.7289999999999998E-2</v>
      </c>
      <c r="E715" s="13">
        <v>695.8</v>
      </c>
      <c r="F715" s="13">
        <v>707.4</v>
      </c>
      <c r="G715" s="13">
        <v>0.8931</v>
      </c>
      <c r="H715" s="13">
        <v>0.15079999999999999</v>
      </c>
      <c r="I715" s="13">
        <v>1047</v>
      </c>
      <c r="J715" s="13">
        <v>1111</v>
      </c>
      <c r="K715" s="13">
        <v>1.2549999999999999</v>
      </c>
    </row>
    <row r="716" spans="2:11" s="460" customFormat="1">
      <c r="B716" s="13">
        <v>2310</v>
      </c>
      <c r="C716" s="13">
        <v>656.6</v>
      </c>
      <c r="D716" s="13">
        <v>2.7320000000000001E-2</v>
      </c>
      <c r="E716" s="13">
        <v>696.3</v>
      </c>
      <c r="F716" s="13">
        <v>708</v>
      </c>
      <c r="G716" s="13">
        <v>0.89359999999999995</v>
      </c>
      <c r="H716" s="13">
        <v>0.15029999999999999</v>
      </c>
      <c r="I716" s="13">
        <v>1046</v>
      </c>
      <c r="J716" s="13">
        <v>1111</v>
      </c>
      <c r="K716" s="13">
        <v>1.254</v>
      </c>
    </row>
    <row r="717" spans="2:11" s="460" customFormat="1">
      <c r="B717" s="13">
        <v>2315</v>
      </c>
      <c r="C717" s="13">
        <v>656.9</v>
      </c>
      <c r="D717" s="13">
        <v>2.7349999999999999E-2</v>
      </c>
      <c r="E717" s="13">
        <v>696.9</v>
      </c>
      <c r="F717" s="13">
        <v>708.6</v>
      </c>
      <c r="G717" s="13">
        <v>0.89410000000000001</v>
      </c>
      <c r="H717" s="13">
        <v>0.1497</v>
      </c>
      <c r="I717" s="13">
        <v>1046</v>
      </c>
      <c r="J717" s="13">
        <v>1110</v>
      </c>
      <c r="K717" s="13">
        <v>1.254</v>
      </c>
    </row>
    <row r="718" spans="2:11" s="460" customFormat="1">
      <c r="B718" s="13">
        <v>2320</v>
      </c>
      <c r="C718" s="13">
        <v>657.2</v>
      </c>
      <c r="D718" s="13">
        <v>2.7380000000000002E-2</v>
      </c>
      <c r="E718" s="13">
        <v>697.4</v>
      </c>
      <c r="F718" s="13">
        <v>709.2</v>
      </c>
      <c r="G718" s="13">
        <v>0.89459999999999995</v>
      </c>
      <c r="H718" s="13">
        <v>0.1492</v>
      </c>
      <c r="I718" s="13">
        <v>1046</v>
      </c>
      <c r="J718" s="13">
        <v>1110</v>
      </c>
      <c r="K718" s="13">
        <v>1.2529999999999999</v>
      </c>
    </row>
    <row r="719" spans="2:11" s="460" customFormat="1">
      <c r="B719" s="13">
        <v>2325</v>
      </c>
      <c r="C719" s="13">
        <v>657.5</v>
      </c>
      <c r="D719" s="13">
        <v>2.741E-2</v>
      </c>
      <c r="E719" s="13">
        <v>698</v>
      </c>
      <c r="F719" s="13">
        <v>709.8</v>
      </c>
      <c r="G719" s="13">
        <v>0.89510000000000001</v>
      </c>
      <c r="H719" s="13">
        <v>0.14860000000000001</v>
      </c>
      <c r="I719" s="13">
        <v>1045</v>
      </c>
      <c r="J719" s="13">
        <v>1109</v>
      </c>
      <c r="K719" s="13">
        <v>1.2529999999999999</v>
      </c>
    </row>
    <row r="720" spans="2:11" s="460" customFormat="1">
      <c r="B720" s="13">
        <v>2330</v>
      </c>
      <c r="C720" s="13">
        <v>657.8</v>
      </c>
      <c r="D720" s="13">
        <v>2.7439999999999999E-2</v>
      </c>
      <c r="E720" s="13">
        <v>698.5</v>
      </c>
      <c r="F720" s="13">
        <v>710.3</v>
      </c>
      <c r="G720" s="13">
        <v>0.89559999999999995</v>
      </c>
      <c r="H720" s="13">
        <v>0.14810000000000001</v>
      </c>
      <c r="I720" s="13">
        <v>1045</v>
      </c>
      <c r="J720" s="13">
        <v>1109</v>
      </c>
      <c r="K720" s="13">
        <v>1.252</v>
      </c>
    </row>
    <row r="721" spans="2:11" s="460" customFormat="1">
      <c r="B721" s="13">
        <v>2335</v>
      </c>
      <c r="C721" s="13">
        <v>658.1</v>
      </c>
      <c r="D721" s="13">
        <v>2.7470000000000001E-2</v>
      </c>
      <c r="E721" s="13">
        <v>699.1</v>
      </c>
      <c r="F721" s="13">
        <v>710.9</v>
      </c>
      <c r="G721" s="13">
        <v>0.89610000000000001</v>
      </c>
      <c r="H721" s="13">
        <v>0.14749999999999999</v>
      </c>
      <c r="I721" s="13">
        <v>1044</v>
      </c>
      <c r="J721" s="13">
        <v>1108</v>
      </c>
      <c r="K721" s="13">
        <v>1.2509999999999999</v>
      </c>
    </row>
    <row r="722" spans="2:11" s="460" customFormat="1">
      <c r="B722" s="13">
        <v>2340</v>
      </c>
      <c r="C722" s="13">
        <v>658.5</v>
      </c>
      <c r="D722" s="13">
        <v>2.75E-2</v>
      </c>
      <c r="E722" s="13">
        <v>699.6</v>
      </c>
      <c r="F722" s="13">
        <v>711.5</v>
      </c>
      <c r="G722" s="13">
        <v>0.89659999999999995</v>
      </c>
      <c r="H722" s="13">
        <v>0.14699999999999999</v>
      </c>
      <c r="I722" s="13">
        <v>1044</v>
      </c>
      <c r="J722" s="13">
        <v>1108</v>
      </c>
      <c r="K722" s="13">
        <v>1.2509999999999999</v>
      </c>
    </row>
    <row r="723" spans="2:11" s="460" customFormat="1">
      <c r="B723" s="13">
        <v>2345</v>
      </c>
      <c r="C723" s="13">
        <v>658.8</v>
      </c>
      <c r="D723" s="13">
        <v>2.7539999999999999E-2</v>
      </c>
      <c r="E723" s="13">
        <v>700.2</v>
      </c>
      <c r="F723" s="13">
        <v>712.1</v>
      </c>
      <c r="G723" s="13">
        <v>0.89710000000000001</v>
      </c>
      <c r="H723" s="13">
        <v>0.14649999999999999</v>
      </c>
      <c r="I723" s="13">
        <v>1044</v>
      </c>
      <c r="J723" s="13">
        <v>1107</v>
      </c>
      <c r="K723" s="13">
        <v>1.25</v>
      </c>
    </row>
    <row r="724" spans="2:11" s="460" customFormat="1">
      <c r="B724" s="13">
        <v>2350</v>
      </c>
      <c r="C724" s="13">
        <v>659.1</v>
      </c>
      <c r="D724" s="13">
        <v>2.7570000000000001E-2</v>
      </c>
      <c r="E724" s="13">
        <v>700.7</v>
      </c>
      <c r="F724" s="13">
        <v>712.7</v>
      </c>
      <c r="G724" s="13">
        <v>0.89759999999999995</v>
      </c>
      <c r="H724" s="13">
        <v>0.1459</v>
      </c>
      <c r="I724" s="13">
        <v>1043</v>
      </c>
      <c r="J724" s="13">
        <v>1107</v>
      </c>
      <c r="K724" s="13">
        <v>1.25</v>
      </c>
    </row>
    <row r="725" spans="2:11" s="460" customFormat="1">
      <c r="B725" s="13">
        <v>2355</v>
      </c>
      <c r="C725" s="13">
        <v>659.4</v>
      </c>
      <c r="D725" s="13">
        <v>2.76E-2</v>
      </c>
      <c r="E725" s="13">
        <v>701.3</v>
      </c>
      <c r="F725" s="13">
        <v>713.3</v>
      </c>
      <c r="G725" s="13">
        <v>0.89810000000000001</v>
      </c>
      <c r="H725" s="13">
        <v>0.1454</v>
      </c>
      <c r="I725" s="13">
        <v>1043</v>
      </c>
      <c r="J725" s="13">
        <v>1106</v>
      </c>
      <c r="K725" s="13">
        <v>1.2490000000000001</v>
      </c>
    </row>
    <row r="726" spans="2:11" s="460" customFormat="1">
      <c r="B726" s="13">
        <v>2360</v>
      </c>
      <c r="C726" s="13">
        <v>659.7</v>
      </c>
      <c r="D726" s="13">
        <v>2.7629999999999998E-2</v>
      </c>
      <c r="E726" s="13">
        <v>701.8</v>
      </c>
      <c r="F726" s="13">
        <v>713.9</v>
      </c>
      <c r="G726" s="13">
        <v>0.89859999999999995</v>
      </c>
      <c r="H726" s="13">
        <v>0.1449</v>
      </c>
      <c r="I726" s="13">
        <v>1043</v>
      </c>
      <c r="J726" s="13">
        <v>1106</v>
      </c>
      <c r="K726" s="13">
        <v>1.2490000000000001</v>
      </c>
    </row>
    <row r="727" spans="2:11" s="460" customFormat="1">
      <c r="B727" s="13">
        <v>2365</v>
      </c>
      <c r="C727" s="13">
        <v>660</v>
      </c>
      <c r="D727" s="13">
        <v>2.7660000000000001E-2</v>
      </c>
      <c r="E727" s="13">
        <v>702.4</v>
      </c>
      <c r="F727" s="13">
        <v>714.5</v>
      </c>
      <c r="G727" s="13">
        <v>0.89910000000000001</v>
      </c>
      <c r="H727" s="13">
        <v>0.1444</v>
      </c>
      <c r="I727" s="13">
        <v>1042</v>
      </c>
      <c r="J727" s="13">
        <v>1105</v>
      </c>
      <c r="K727" s="13">
        <v>1.248</v>
      </c>
    </row>
    <row r="728" spans="2:11" s="460" customFormat="1">
      <c r="B728" s="13">
        <v>2370</v>
      </c>
      <c r="C728" s="13">
        <v>660.3</v>
      </c>
      <c r="D728" s="13">
        <v>2.7699999999999999E-2</v>
      </c>
      <c r="E728" s="13">
        <v>702.9</v>
      </c>
      <c r="F728" s="13">
        <v>715.1</v>
      </c>
      <c r="G728" s="13">
        <v>0.89959999999999996</v>
      </c>
      <c r="H728" s="13">
        <v>0.14380000000000001</v>
      </c>
      <c r="I728" s="13">
        <v>1042</v>
      </c>
      <c r="J728" s="13">
        <v>1105</v>
      </c>
      <c r="K728" s="13">
        <v>1.248</v>
      </c>
    </row>
    <row r="729" spans="2:11" s="460" customFormat="1">
      <c r="B729" s="13">
        <v>2375</v>
      </c>
      <c r="C729" s="13">
        <v>660.6</v>
      </c>
      <c r="D729" s="13">
        <v>2.7730000000000001E-2</v>
      </c>
      <c r="E729" s="13">
        <v>703.5</v>
      </c>
      <c r="F729" s="13">
        <v>715.7</v>
      </c>
      <c r="G729" s="13">
        <v>0.9002</v>
      </c>
      <c r="H729" s="13">
        <v>0.14330000000000001</v>
      </c>
      <c r="I729" s="13">
        <v>1041</v>
      </c>
      <c r="J729" s="13">
        <v>1104</v>
      </c>
      <c r="K729" s="13">
        <v>1.2470000000000001</v>
      </c>
    </row>
    <row r="730" spans="2:11" s="460" customFormat="1">
      <c r="B730" s="13">
        <v>2380</v>
      </c>
      <c r="C730" s="13">
        <v>660.9</v>
      </c>
      <c r="D730" s="13">
        <v>2.776E-2</v>
      </c>
      <c r="E730" s="13">
        <v>704</v>
      </c>
      <c r="F730" s="13">
        <v>716.3</v>
      </c>
      <c r="G730" s="13">
        <v>0.90069999999999995</v>
      </c>
      <c r="H730" s="13">
        <v>0.14280000000000001</v>
      </c>
      <c r="I730" s="13">
        <v>1041</v>
      </c>
      <c r="J730" s="13">
        <v>1104</v>
      </c>
      <c r="K730" s="13">
        <v>1.2470000000000001</v>
      </c>
    </row>
    <row r="731" spans="2:11" s="460" customFormat="1">
      <c r="B731" s="13">
        <v>2385</v>
      </c>
      <c r="C731" s="13">
        <v>661.2</v>
      </c>
      <c r="D731" s="13">
        <v>2.7789999999999999E-2</v>
      </c>
      <c r="E731" s="13">
        <v>704.6</v>
      </c>
      <c r="F731" s="13">
        <v>716.9</v>
      </c>
      <c r="G731" s="13">
        <v>0.9012</v>
      </c>
      <c r="H731" s="13">
        <v>0.14230000000000001</v>
      </c>
      <c r="I731" s="13">
        <v>1041</v>
      </c>
      <c r="J731" s="13">
        <v>1103</v>
      </c>
      <c r="K731" s="13">
        <v>1.246</v>
      </c>
    </row>
    <row r="732" spans="2:11" s="460" customFormat="1">
      <c r="B732" s="13">
        <v>2390</v>
      </c>
      <c r="C732" s="13">
        <v>661.5</v>
      </c>
      <c r="D732" s="13">
        <v>2.7820000000000001E-2</v>
      </c>
      <c r="E732" s="13">
        <v>705.2</v>
      </c>
      <c r="F732" s="13">
        <v>717.5</v>
      </c>
      <c r="G732" s="13">
        <v>0.90169999999999995</v>
      </c>
      <c r="H732" s="13">
        <v>0.14169999999999999</v>
      </c>
      <c r="I732" s="13">
        <v>1040</v>
      </c>
      <c r="J732" s="13">
        <v>1103</v>
      </c>
      <c r="K732" s="13">
        <v>1.2450000000000001</v>
      </c>
    </row>
    <row r="733" spans="2:11" s="460" customFormat="1">
      <c r="B733" s="13">
        <v>2395</v>
      </c>
      <c r="C733" s="13">
        <v>661.9</v>
      </c>
      <c r="D733" s="13">
        <v>2.7859999999999999E-2</v>
      </c>
      <c r="E733" s="13">
        <v>705.7</v>
      </c>
      <c r="F733" s="13">
        <v>718.1</v>
      </c>
      <c r="G733" s="13">
        <v>0.9022</v>
      </c>
      <c r="H733" s="13">
        <v>0.14119999999999999</v>
      </c>
      <c r="I733" s="13">
        <v>1040</v>
      </c>
      <c r="J733" s="13">
        <v>1102</v>
      </c>
      <c r="K733" s="13">
        <v>1.2450000000000001</v>
      </c>
    </row>
    <row r="734" spans="2:11" s="460" customFormat="1">
      <c r="B734" s="13">
        <v>2400</v>
      </c>
      <c r="C734" s="13">
        <v>662.2</v>
      </c>
      <c r="D734" s="13">
        <v>2.7890000000000002E-2</v>
      </c>
      <c r="E734" s="13">
        <v>706.3</v>
      </c>
      <c r="F734" s="13">
        <v>718.7</v>
      </c>
      <c r="G734" s="13">
        <v>0.90269999999999995</v>
      </c>
      <c r="H734" s="13">
        <v>0.14069999999999999</v>
      </c>
      <c r="I734" s="13">
        <v>1039</v>
      </c>
      <c r="J734" s="13">
        <v>1102</v>
      </c>
      <c r="K734" s="13">
        <v>1.244</v>
      </c>
    </row>
    <row r="735" spans="2:11" s="460" customFormat="1">
      <c r="B735" s="13">
        <v>2405</v>
      </c>
      <c r="C735" s="13">
        <v>662.5</v>
      </c>
      <c r="D735" s="13">
        <v>2.792E-2</v>
      </c>
      <c r="E735" s="13">
        <v>706.8</v>
      </c>
      <c r="F735" s="13">
        <v>719.3</v>
      </c>
      <c r="G735" s="13">
        <v>0.9032</v>
      </c>
      <c r="H735" s="13">
        <v>0.14019999999999999</v>
      </c>
      <c r="I735" s="13">
        <v>1039</v>
      </c>
      <c r="J735" s="13">
        <v>1101</v>
      </c>
      <c r="K735" s="13">
        <v>1.244</v>
      </c>
    </row>
    <row r="736" spans="2:11" s="460" customFormat="1">
      <c r="B736" s="13">
        <v>2410</v>
      </c>
      <c r="C736" s="13">
        <v>662.8</v>
      </c>
      <c r="D736" s="13">
        <v>2.7959999999999999E-2</v>
      </c>
      <c r="E736" s="13">
        <v>707.4</v>
      </c>
      <c r="F736" s="13">
        <v>719.9</v>
      </c>
      <c r="G736" s="13">
        <v>0.90369999999999995</v>
      </c>
      <c r="H736" s="13">
        <v>0.13969999999999999</v>
      </c>
      <c r="I736" s="13">
        <v>1039</v>
      </c>
      <c r="J736" s="13">
        <v>1101</v>
      </c>
      <c r="K736" s="13">
        <v>1.2430000000000001</v>
      </c>
    </row>
    <row r="737" spans="2:11" s="460" customFormat="1">
      <c r="B737" s="13">
        <v>2415</v>
      </c>
      <c r="C737" s="13">
        <v>663.1</v>
      </c>
      <c r="D737" s="13">
        <v>2.7990000000000001E-2</v>
      </c>
      <c r="E737" s="13">
        <v>708</v>
      </c>
      <c r="F737" s="13">
        <v>720.5</v>
      </c>
      <c r="G737" s="13">
        <v>0.9042</v>
      </c>
      <c r="H737" s="13">
        <v>0.13919999999999999</v>
      </c>
      <c r="I737" s="13">
        <v>1038</v>
      </c>
      <c r="J737" s="13">
        <v>1100</v>
      </c>
      <c r="K737" s="13">
        <v>1.2430000000000001</v>
      </c>
    </row>
    <row r="738" spans="2:11" s="460" customFormat="1">
      <c r="B738" s="13">
        <v>2420</v>
      </c>
      <c r="C738" s="13">
        <v>663.4</v>
      </c>
      <c r="D738" s="13">
        <v>2.8029999999999999E-2</v>
      </c>
      <c r="E738" s="13">
        <v>708.5</v>
      </c>
      <c r="F738" s="13">
        <v>721.1</v>
      </c>
      <c r="G738" s="13">
        <v>0.90480000000000005</v>
      </c>
      <c r="H738" s="13">
        <v>0.13869999999999999</v>
      </c>
      <c r="I738" s="13">
        <v>1038</v>
      </c>
      <c r="J738" s="13">
        <v>1100</v>
      </c>
      <c r="K738" s="13">
        <v>1.242</v>
      </c>
    </row>
    <row r="739" spans="2:11" s="460" customFormat="1">
      <c r="B739" s="13">
        <v>2425</v>
      </c>
      <c r="C739" s="13">
        <v>663.7</v>
      </c>
      <c r="D739" s="13">
        <v>2.8060000000000002E-2</v>
      </c>
      <c r="E739" s="13">
        <v>709.1</v>
      </c>
      <c r="F739" s="13">
        <v>721.7</v>
      </c>
      <c r="G739" s="13">
        <v>0.90529999999999999</v>
      </c>
      <c r="H739" s="13">
        <v>0.1381</v>
      </c>
      <c r="I739" s="13">
        <v>1037</v>
      </c>
      <c r="J739" s="13">
        <v>1099</v>
      </c>
      <c r="K739" s="13">
        <v>1.2410000000000001</v>
      </c>
    </row>
    <row r="740" spans="2:11" s="460" customFormat="1">
      <c r="B740" s="13">
        <v>2430</v>
      </c>
      <c r="C740" s="13">
        <v>664</v>
      </c>
      <c r="D740" s="13">
        <v>2.809E-2</v>
      </c>
      <c r="E740" s="13">
        <v>709.6</v>
      </c>
      <c r="F740" s="13">
        <v>722.3</v>
      </c>
      <c r="G740" s="13">
        <v>0.90580000000000005</v>
      </c>
      <c r="H740" s="13">
        <v>0.1376</v>
      </c>
      <c r="I740" s="13">
        <v>1037</v>
      </c>
      <c r="J740" s="13">
        <v>1099</v>
      </c>
      <c r="K740" s="13">
        <v>1.2410000000000001</v>
      </c>
    </row>
    <row r="741" spans="2:11" s="460" customFormat="1">
      <c r="B741" s="13">
        <v>2435</v>
      </c>
      <c r="C741" s="13">
        <v>664.3</v>
      </c>
      <c r="D741" s="13">
        <v>2.8129999999999999E-2</v>
      </c>
      <c r="E741" s="13">
        <v>710.2</v>
      </c>
      <c r="F741" s="13">
        <v>722.9</v>
      </c>
      <c r="G741" s="13">
        <v>0.90629999999999999</v>
      </c>
      <c r="H741" s="13">
        <v>0.1371</v>
      </c>
      <c r="I741" s="13">
        <v>1037</v>
      </c>
      <c r="J741" s="13">
        <v>1098</v>
      </c>
      <c r="K741" s="13">
        <v>1.24</v>
      </c>
    </row>
    <row r="742" spans="2:11" s="460" customFormat="1">
      <c r="B742" s="13">
        <v>2440</v>
      </c>
      <c r="C742" s="13">
        <v>664.6</v>
      </c>
      <c r="D742" s="13">
        <v>2.8160000000000001E-2</v>
      </c>
      <c r="E742" s="13">
        <v>710.8</v>
      </c>
      <c r="F742" s="13">
        <v>723.5</v>
      </c>
      <c r="G742" s="13">
        <v>0.90680000000000005</v>
      </c>
      <c r="H742" s="13">
        <v>0.1366</v>
      </c>
      <c r="I742" s="13">
        <v>1036</v>
      </c>
      <c r="J742" s="13">
        <v>1098</v>
      </c>
      <c r="K742" s="13">
        <v>1.24</v>
      </c>
    </row>
    <row r="743" spans="2:11" s="460" customFormat="1">
      <c r="B743" s="13">
        <v>2445</v>
      </c>
      <c r="C743" s="13">
        <v>664.9</v>
      </c>
      <c r="D743" s="13">
        <v>2.8199999999999999E-2</v>
      </c>
      <c r="E743" s="13">
        <v>711.3</v>
      </c>
      <c r="F743" s="13">
        <v>724.1</v>
      </c>
      <c r="G743" s="13">
        <v>0.9073</v>
      </c>
      <c r="H743" s="13">
        <v>0.1361</v>
      </c>
      <c r="I743" s="13">
        <v>1036</v>
      </c>
      <c r="J743" s="13">
        <v>1097</v>
      </c>
      <c r="K743" s="13">
        <v>1.2390000000000001</v>
      </c>
    </row>
    <row r="744" spans="2:11" s="460" customFormat="1">
      <c r="B744" s="13">
        <v>2450</v>
      </c>
      <c r="C744" s="13">
        <v>665.2</v>
      </c>
      <c r="D744" s="13">
        <v>2.8230000000000002E-2</v>
      </c>
      <c r="E744" s="13">
        <v>711.9</v>
      </c>
      <c r="F744" s="13">
        <v>724.7</v>
      </c>
      <c r="G744" s="13">
        <v>0.90780000000000005</v>
      </c>
      <c r="H744" s="13">
        <v>0.1356</v>
      </c>
      <c r="I744" s="13">
        <v>1035</v>
      </c>
      <c r="J744" s="13">
        <v>1097</v>
      </c>
      <c r="K744" s="13">
        <v>1.2390000000000001</v>
      </c>
    </row>
    <row r="745" spans="2:11" s="460" customFormat="1">
      <c r="B745" s="13">
        <v>2455</v>
      </c>
      <c r="C745" s="13">
        <v>665.5</v>
      </c>
      <c r="D745" s="13">
        <v>2.827E-2</v>
      </c>
      <c r="E745" s="13">
        <v>712.5</v>
      </c>
      <c r="F745" s="13">
        <v>725.3</v>
      </c>
      <c r="G745" s="13">
        <v>0.9083</v>
      </c>
      <c r="H745" s="13">
        <v>0.1351</v>
      </c>
      <c r="I745" s="13">
        <v>1035</v>
      </c>
      <c r="J745" s="13">
        <v>1096</v>
      </c>
      <c r="K745" s="13">
        <v>1.238</v>
      </c>
    </row>
    <row r="746" spans="2:11" s="460" customFormat="1">
      <c r="B746" s="13">
        <v>2460</v>
      </c>
      <c r="C746" s="13">
        <v>665.8</v>
      </c>
      <c r="D746" s="13">
        <v>2.8299999999999999E-2</v>
      </c>
      <c r="E746" s="13">
        <v>713</v>
      </c>
      <c r="F746" s="13">
        <v>725.9</v>
      </c>
      <c r="G746" s="13">
        <v>0.90890000000000004</v>
      </c>
      <c r="H746" s="13">
        <v>0.1346</v>
      </c>
      <c r="I746" s="13">
        <v>1035</v>
      </c>
      <c r="J746" s="13">
        <v>1096</v>
      </c>
      <c r="K746" s="13">
        <v>1.238</v>
      </c>
    </row>
    <row r="747" spans="2:11" s="460" customFormat="1">
      <c r="B747" s="13">
        <v>2465</v>
      </c>
      <c r="C747" s="13">
        <v>666.1</v>
      </c>
      <c r="D747" s="13">
        <v>2.8340000000000001E-2</v>
      </c>
      <c r="E747" s="13">
        <v>713.6</v>
      </c>
      <c r="F747" s="13">
        <v>726.5</v>
      </c>
      <c r="G747" s="13">
        <v>0.90939999999999999</v>
      </c>
      <c r="H747" s="13">
        <v>0.1341</v>
      </c>
      <c r="I747" s="13">
        <v>1034</v>
      </c>
      <c r="J747" s="13">
        <v>1095</v>
      </c>
      <c r="K747" s="13">
        <v>1.2370000000000001</v>
      </c>
    </row>
    <row r="748" spans="2:11" s="460" customFormat="1">
      <c r="B748" s="13">
        <v>2470</v>
      </c>
      <c r="C748" s="13">
        <v>666.4</v>
      </c>
      <c r="D748" s="13">
        <v>2.8369999999999999E-2</v>
      </c>
      <c r="E748" s="13">
        <v>714.1</v>
      </c>
      <c r="F748" s="13">
        <v>727.1</v>
      </c>
      <c r="G748" s="13">
        <v>0.90990000000000004</v>
      </c>
      <c r="H748" s="13">
        <v>0.1336</v>
      </c>
      <c r="I748" s="13">
        <v>1034</v>
      </c>
      <c r="J748" s="13">
        <v>1095</v>
      </c>
      <c r="K748" s="13">
        <v>1.236</v>
      </c>
    </row>
    <row r="749" spans="2:11" s="460" customFormat="1">
      <c r="B749" s="13">
        <v>2475</v>
      </c>
      <c r="C749" s="13">
        <v>666.7</v>
      </c>
      <c r="D749" s="13">
        <v>2.8410000000000001E-2</v>
      </c>
      <c r="E749" s="13">
        <v>714.7</v>
      </c>
      <c r="F749" s="13">
        <v>727.7</v>
      </c>
      <c r="G749" s="13">
        <v>0.91039999999999999</v>
      </c>
      <c r="H749" s="13">
        <v>0.1331</v>
      </c>
      <c r="I749" s="13">
        <v>1033</v>
      </c>
      <c r="J749" s="13">
        <v>1094</v>
      </c>
      <c r="K749" s="13">
        <v>1.236</v>
      </c>
    </row>
    <row r="750" spans="2:11" s="460" customFormat="1">
      <c r="B750" s="13">
        <v>2480</v>
      </c>
      <c r="C750" s="13">
        <v>667</v>
      </c>
      <c r="D750" s="13">
        <v>2.844E-2</v>
      </c>
      <c r="E750" s="13">
        <v>715.3</v>
      </c>
      <c r="F750" s="13">
        <v>728.3</v>
      </c>
      <c r="G750" s="13">
        <v>0.91090000000000004</v>
      </c>
      <c r="H750" s="13">
        <v>0.1326</v>
      </c>
      <c r="I750" s="13">
        <v>1033</v>
      </c>
      <c r="J750" s="13">
        <v>1094</v>
      </c>
      <c r="K750" s="13">
        <v>1.2350000000000001</v>
      </c>
    </row>
    <row r="751" spans="2:11" s="460" customFormat="1">
      <c r="B751" s="13">
        <v>2485</v>
      </c>
      <c r="C751" s="13">
        <v>667.3</v>
      </c>
      <c r="D751" s="13">
        <v>2.8479999999999998E-2</v>
      </c>
      <c r="E751" s="13">
        <v>715.8</v>
      </c>
      <c r="F751" s="13">
        <v>728.9</v>
      </c>
      <c r="G751" s="13">
        <v>0.91149999999999998</v>
      </c>
      <c r="H751" s="13">
        <v>0.1321</v>
      </c>
      <c r="I751" s="13">
        <v>1032</v>
      </c>
      <c r="J751" s="13">
        <v>1093</v>
      </c>
      <c r="K751" s="13">
        <v>1.2350000000000001</v>
      </c>
    </row>
    <row r="752" spans="2:11" s="460" customFormat="1">
      <c r="B752" s="13">
        <v>2490</v>
      </c>
      <c r="C752" s="13">
        <v>667.6</v>
      </c>
      <c r="D752" s="13">
        <v>2.852E-2</v>
      </c>
      <c r="E752" s="13">
        <v>716.4</v>
      </c>
      <c r="F752" s="13">
        <v>729.6</v>
      </c>
      <c r="G752" s="13">
        <v>0.91200000000000003</v>
      </c>
      <c r="H752" s="13">
        <v>0.13170000000000001</v>
      </c>
      <c r="I752" s="13">
        <v>1032</v>
      </c>
      <c r="J752" s="13">
        <v>1093</v>
      </c>
      <c r="K752" s="13">
        <v>1.234</v>
      </c>
    </row>
    <row r="753" spans="2:11" s="460" customFormat="1">
      <c r="B753" s="13">
        <v>2495</v>
      </c>
      <c r="C753" s="13">
        <v>667.9</v>
      </c>
      <c r="D753" s="13">
        <v>2.8549999999999999E-2</v>
      </c>
      <c r="E753" s="13">
        <v>717</v>
      </c>
      <c r="F753" s="13">
        <v>730.2</v>
      </c>
      <c r="G753" s="13">
        <v>0.91249999999999998</v>
      </c>
      <c r="H753" s="13">
        <v>0.13120000000000001</v>
      </c>
      <c r="I753" s="13">
        <v>1032</v>
      </c>
      <c r="J753" s="13">
        <v>1092</v>
      </c>
      <c r="K753" s="13">
        <v>1.2330000000000001</v>
      </c>
    </row>
    <row r="754" spans="2:11" s="460" customFormat="1">
      <c r="B754" s="13">
        <v>2500</v>
      </c>
      <c r="C754" s="13">
        <v>668.2</v>
      </c>
      <c r="D754" s="13">
        <v>2.8590000000000001E-2</v>
      </c>
      <c r="E754" s="13">
        <v>717.6</v>
      </c>
      <c r="F754" s="13">
        <v>730.8</v>
      </c>
      <c r="G754" s="13">
        <v>0.91300000000000003</v>
      </c>
      <c r="H754" s="13">
        <v>0.13070000000000001</v>
      </c>
      <c r="I754" s="13">
        <v>1031</v>
      </c>
      <c r="J754" s="13">
        <v>1092</v>
      </c>
      <c r="K754" s="13">
        <v>1.2330000000000001</v>
      </c>
    </row>
    <row r="755" spans="2:11" s="460" customFormat="1">
      <c r="B755" s="603" t="s">
        <v>1288</v>
      </c>
    </row>
    <row r="756" spans="2:11" s="460" customFormat="1">
      <c r="B756" s="604"/>
    </row>
    <row r="757" spans="2:11" s="460" customFormat="1">
      <c r="B757" s="604"/>
    </row>
    <row r="758" spans="2:11" s="460" customFormat="1">
      <c r="B758" s="100" t="s">
        <v>1289</v>
      </c>
    </row>
    <row r="759" spans="2:11" s="460" customFormat="1" ht="17.100000000000001" customHeight="1">
      <c r="B759" s="106" t="s">
        <v>504</v>
      </c>
      <c r="C759" s="106" t="s">
        <v>503</v>
      </c>
      <c r="D759" s="106" t="s">
        <v>513</v>
      </c>
      <c r="E759" s="106" t="s">
        <v>514</v>
      </c>
      <c r="F759" s="106" t="s">
        <v>515</v>
      </c>
      <c r="G759" s="106" t="s">
        <v>516</v>
      </c>
      <c r="H759" s="106" t="s">
        <v>515</v>
      </c>
    </row>
    <row r="760" spans="2:11" s="460" customFormat="1" ht="17.100000000000001" customHeight="1">
      <c r="B760" s="106" t="s">
        <v>517</v>
      </c>
      <c r="C760" s="106" t="s">
        <v>518</v>
      </c>
      <c r="D760" s="106" t="s">
        <v>519</v>
      </c>
      <c r="E760" s="106" t="s">
        <v>1785</v>
      </c>
      <c r="F760" s="106" t="s">
        <v>1785</v>
      </c>
      <c r="G760" s="106" t="s">
        <v>1786</v>
      </c>
      <c r="H760" s="106" t="s">
        <v>520</v>
      </c>
    </row>
    <row r="761" spans="2:11" s="460" customFormat="1">
      <c r="B761" s="13">
        <v>100</v>
      </c>
      <c r="C761" s="13">
        <v>40</v>
      </c>
      <c r="D761" s="13">
        <v>1.601E-2</v>
      </c>
      <c r="E761" s="13">
        <v>8.0310000000000006</v>
      </c>
      <c r="F761" s="13">
        <v>8.327</v>
      </c>
      <c r="G761" s="13">
        <v>1.6199999999999999E-2</v>
      </c>
      <c r="H761" s="13">
        <f t="shared" ref="H761:H824" si="11">F761/$E$22*18</f>
        <v>0.33044206629842565</v>
      </c>
    </row>
    <row r="762" spans="2:11" s="460" customFormat="1">
      <c r="B762" s="13">
        <v>100</v>
      </c>
      <c r="C762" s="13">
        <v>60</v>
      </c>
      <c r="D762" s="13">
        <v>1.6029999999999999E-2</v>
      </c>
      <c r="E762" s="13">
        <v>28.06</v>
      </c>
      <c r="F762" s="13">
        <v>28.36</v>
      </c>
      <c r="G762" s="13">
        <v>5.552E-2</v>
      </c>
      <c r="H762" s="13">
        <f t="shared" si="11"/>
        <v>1.1254157560013629</v>
      </c>
    </row>
    <row r="763" spans="2:11" s="460" customFormat="1">
      <c r="B763" s="13">
        <v>100</v>
      </c>
      <c r="C763" s="13">
        <v>80</v>
      </c>
      <c r="D763" s="13">
        <v>1.6070000000000001E-2</v>
      </c>
      <c r="E763" s="13">
        <v>48.04</v>
      </c>
      <c r="F763" s="13">
        <v>48.34</v>
      </c>
      <c r="G763" s="13">
        <v>9.3240000000000003E-2</v>
      </c>
      <c r="H763" s="13">
        <f t="shared" si="11"/>
        <v>1.9182862357230568</v>
      </c>
    </row>
    <row r="764" spans="2:11" s="460" customFormat="1">
      <c r="B764" s="13">
        <v>100</v>
      </c>
      <c r="C764" s="13">
        <v>100</v>
      </c>
      <c r="D764" s="13">
        <v>1.6129999999999999E-2</v>
      </c>
      <c r="E764" s="13">
        <v>68</v>
      </c>
      <c r="F764" s="13">
        <v>68.3</v>
      </c>
      <c r="G764" s="13">
        <v>0.12959999999999999</v>
      </c>
      <c r="H764" s="13">
        <f t="shared" si="11"/>
        <v>2.710363051300885</v>
      </c>
    </row>
    <row r="765" spans="2:11" s="460" customFormat="1">
      <c r="B765" s="13">
        <v>100</v>
      </c>
      <c r="C765" s="13">
        <v>120</v>
      </c>
      <c r="D765" s="13">
        <v>1.6199999999999999E-2</v>
      </c>
      <c r="E765" s="13">
        <v>87.95</v>
      </c>
      <c r="F765" s="13">
        <v>88.25</v>
      </c>
      <c r="G765" s="13">
        <v>0.1646</v>
      </c>
      <c r="H765" s="13">
        <f t="shared" si="11"/>
        <v>3.5020430348067801</v>
      </c>
    </row>
    <row r="766" spans="2:11" s="460" customFormat="1">
      <c r="B766" s="13">
        <v>100</v>
      </c>
      <c r="C766" s="13">
        <v>140</v>
      </c>
      <c r="D766" s="13">
        <v>1.6289999999999999E-2</v>
      </c>
      <c r="E766" s="13">
        <v>107.9</v>
      </c>
      <c r="F766" s="13">
        <v>108.2</v>
      </c>
      <c r="G766" s="13">
        <v>0.19839999999999999</v>
      </c>
      <c r="H766" s="13">
        <f t="shared" si="11"/>
        <v>4.2937230183126758</v>
      </c>
    </row>
    <row r="767" spans="2:11" s="460" customFormat="1">
      <c r="B767" s="13">
        <v>100</v>
      </c>
      <c r="C767" s="13">
        <v>160</v>
      </c>
      <c r="D767" s="13">
        <v>1.6389999999999998E-2</v>
      </c>
      <c r="E767" s="13">
        <v>127.9</v>
      </c>
      <c r="F767" s="13">
        <v>128.19999999999999</v>
      </c>
      <c r="G767" s="13">
        <v>0.23119999999999999</v>
      </c>
      <c r="H767" s="13">
        <f t="shared" si="11"/>
        <v>5.0873871621782349</v>
      </c>
    </row>
    <row r="768" spans="2:11" s="460" customFormat="1">
      <c r="B768" s="13">
        <v>100</v>
      </c>
      <c r="C768" s="13">
        <v>180</v>
      </c>
      <c r="D768" s="13">
        <v>1.6500000000000001E-2</v>
      </c>
      <c r="E768" s="13">
        <v>147.9</v>
      </c>
      <c r="F768" s="13">
        <v>148.19999999999999</v>
      </c>
      <c r="G768" s="13">
        <v>0.26300000000000001</v>
      </c>
      <c r="H768" s="13">
        <f t="shared" si="11"/>
        <v>5.8810513060437941</v>
      </c>
    </row>
    <row r="769" spans="2:8" s="460" customFormat="1">
      <c r="B769" s="13">
        <v>100</v>
      </c>
      <c r="C769" s="13">
        <v>200</v>
      </c>
      <c r="D769" s="13">
        <v>1.6629999999999999E-2</v>
      </c>
      <c r="E769" s="13">
        <v>168</v>
      </c>
      <c r="F769" s="13">
        <v>168.3</v>
      </c>
      <c r="G769" s="13">
        <v>0.29389999999999999</v>
      </c>
      <c r="H769" s="13">
        <f t="shared" si="11"/>
        <v>6.6786837706286821</v>
      </c>
    </row>
    <row r="770" spans="2:8" s="460" customFormat="1">
      <c r="B770" s="13">
        <v>100</v>
      </c>
      <c r="C770" s="13">
        <v>220</v>
      </c>
      <c r="D770" s="13">
        <v>1.677E-2</v>
      </c>
      <c r="E770" s="13">
        <v>188.1</v>
      </c>
      <c r="F770" s="13">
        <v>188.4</v>
      </c>
      <c r="G770" s="13">
        <v>0.32400000000000001</v>
      </c>
      <c r="H770" s="13">
        <f t="shared" si="11"/>
        <v>7.4763162352135684</v>
      </c>
    </row>
    <row r="771" spans="2:8" s="460" customFormat="1">
      <c r="B771" s="13">
        <v>100</v>
      </c>
      <c r="C771" s="13">
        <v>240</v>
      </c>
      <c r="D771" s="13">
        <v>1.6920000000000001E-2</v>
      </c>
      <c r="E771" s="13">
        <v>208.3</v>
      </c>
      <c r="F771" s="13">
        <v>208.6</v>
      </c>
      <c r="G771" s="13">
        <v>0.3533</v>
      </c>
      <c r="H771" s="13">
        <f t="shared" si="11"/>
        <v>8.2779170205177834</v>
      </c>
    </row>
    <row r="772" spans="2:8" s="460" customFormat="1">
      <c r="B772" s="13">
        <v>100</v>
      </c>
      <c r="C772" s="13">
        <v>260</v>
      </c>
      <c r="D772" s="13">
        <v>1.7080000000000001E-2</v>
      </c>
      <c r="E772" s="13">
        <v>228.6</v>
      </c>
      <c r="F772" s="13">
        <v>228.9</v>
      </c>
      <c r="G772" s="13">
        <v>0.38190000000000002</v>
      </c>
      <c r="H772" s="13">
        <f t="shared" si="11"/>
        <v>9.0834861265413256</v>
      </c>
    </row>
    <row r="773" spans="2:8" s="460" customFormat="1">
      <c r="B773" s="13">
        <v>100</v>
      </c>
      <c r="C773" s="13">
        <v>280</v>
      </c>
      <c r="D773" s="13">
        <v>1.7260000000000001E-2</v>
      </c>
      <c r="E773" s="13">
        <v>249</v>
      </c>
      <c r="F773" s="13">
        <v>249.3</v>
      </c>
      <c r="G773" s="13">
        <v>0.4098</v>
      </c>
      <c r="H773" s="13">
        <f t="shared" si="11"/>
        <v>9.8930235532841966</v>
      </c>
    </row>
    <row r="774" spans="2:8" s="460" customFormat="1">
      <c r="B774" s="13">
        <v>100</v>
      </c>
      <c r="C774" s="13">
        <v>300</v>
      </c>
      <c r="D774" s="13">
        <v>1.745E-2</v>
      </c>
      <c r="E774" s="13">
        <v>269.5</v>
      </c>
      <c r="F774" s="13">
        <v>269.8</v>
      </c>
      <c r="G774" s="13">
        <v>0.43719999999999998</v>
      </c>
      <c r="H774" s="13">
        <f t="shared" si="11"/>
        <v>10.706529300746396</v>
      </c>
    </row>
    <row r="775" spans="2:8" s="460" customFormat="1">
      <c r="B775" s="13">
        <v>100</v>
      </c>
      <c r="C775" s="13">
        <v>320</v>
      </c>
      <c r="D775" s="13">
        <v>1.7649999999999999E-2</v>
      </c>
      <c r="E775" s="13">
        <v>290.10000000000002</v>
      </c>
      <c r="F775" s="13">
        <v>290.5</v>
      </c>
      <c r="G775" s="13">
        <v>0.46400000000000002</v>
      </c>
      <c r="H775" s="13">
        <f t="shared" si="11"/>
        <v>11.527971689647249</v>
      </c>
    </row>
    <row r="776" spans="2:8" s="460" customFormat="1">
      <c r="B776" s="13">
        <v>100</v>
      </c>
      <c r="C776" s="13">
        <v>340</v>
      </c>
      <c r="D776" s="13">
        <v>4.5209999999999999</v>
      </c>
      <c r="E776" s="13">
        <v>1111</v>
      </c>
      <c r="F776" s="13">
        <v>1195</v>
      </c>
      <c r="G776" s="13">
        <v>1.6120000000000001</v>
      </c>
      <c r="H776" s="13">
        <f t="shared" si="11"/>
        <v>47.421432595967168</v>
      </c>
    </row>
    <row r="777" spans="2:8" s="460" customFormat="1">
      <c r="B777" s="13">
        <v>100</v>
      </c>
      <c r="C777" s="13">
        <v>360</v>
      </c>
      <c r="D777" s="13">
        <v>4.6630000000000003</v>
      </c>
      <c r="E777" s="13">
        <v>1120</v>
      </c>
      <c r="F777" s="13">
        <v>1206</v>
      </c>
      <c r="G777" s="13">
        <v>1.6259999999999999</v>
      </c>
      <c r="H777" s="13">
        <f t="shared" si="11"/>
        <v>47.857947875093231</v>
      </c>
    </row>
    <row r="778" spans="2:8" s="460" customFormat="1">
      <c r="B778" s="13">
        <v>100</v>
      </c>
      <c r="C778" s="13">
        <v>380</v>
      </c>
      <c r="D778" s="13">
        <v>4.8</v>
      </c>
      <c r="E778" s="13">
        <v>1128</v>
      </c>
      <c r="F778" s="13">
        <v>1217</v>
      </c>
      <c r="G778" s="13">
        <v>1.64</v>
      </c>
      <c r="H778" s="13">
        <f t="shared" si="11"/>
        <v>48.294463154219279</v>
      </c>
    </row>
    <row r="779" spans="2:8" s="460" customFormat="1">
      <c r="B779" s="13">
        <v>100</v>
      </c>
      <c r="C779" s="13">
        <v>400</v>
      </c>
      <c r="D779" s="13">
        <v>4.9359999999999999</v>
      </c>
      <c r="E779" s="13">
        <v>1136</v>
      </c>
      <c r="F779" s="13">
        <v>1228</v>
      </c>
      <c r="G779" s="13">
        <v>1.6519999999999999</v>
      </c>
      <c r="H779" s="13">
        <f t="shared" si="11"/>
        <v>48.730978433345335</v>
      </c>
    </row>
    <row r="780" spans="2:8" s="460" customFormat="1">
      <c r="B780" s="13">
        <v>100</v>
      </c>
      <c r="C780" s="13">
        <v>420</v>
      </c>
      <c r="D780" s="13">
        <v>5.069</v>
      </c>
      <c r="E780" s="13">
        <v>1145</v>
      </c>
      <c r="F780" s="13">
        <v>1238</v>
      </c>
      <c r="G780" s="13">
        <v>1.6639999999999999</v>
      </c>
      <c r="H780" s="13">
        <f t="shared" si="11"/>
        <v>49.12781050527812</v>
      </c>
    </row>
    <row r="781" spans="2:8" s="460" customFormat="1">
      <c r="B781" s="13">
        <v>100</v>
      </c>
      <c r="C781" s="13">
        <v>440</v>
      </c>
      <c r="D781" s="13">
        <v>5.2009999999999996</v>
      </c>
      <c r="E781" s="13">
        <v>1152</v>
      </c>
      <c r="F781" s="13">
        <v>1249</v>
      </c>
      <c r="G781" s="13">
        <v>1.6759999999999999</v>
      </c>
      <c r="H781" s="13">
        <f t="shared" si="11"/>
        <v>49.564325784404176</v>
      </c>
    </row>
    <row r="782" spans="2:8" s="460" customFormat="1">
      <c r="B782" s="13">
        <v>100</v>
      </c>
      <c r="C782" s="13">
        <v>460</v>
      </c>
      <c r="D782" s="13">
        <v>5.3310000000000004</v>
      </c>
      <c r="E782" s="13">
        <v>1160</v>
      </c>
      <c r="F782" s="13">
        <v>1259</v>
      </c>
      <c r="G782" s="13">
        <v>1.6870000000000001</v>
      </c>
      <c r="H782" s="13">
        <f t="shared" si="11"/>
        <v>49.961157856336953</v>
      </c>
    </row>
    <row r="783" spans="2:8" s="460" customFormat="1">
      <c r="B783" s="13">
        <v>100</v>
      </c>
      <c r="C783" s="13">
        <v>480</v>
      </c>
      <c r="D783" s="13">
        <v>5.46</v>
      </c>
      <c r="E783" s="13">
        <v>1168</v>
      </c>
      <c r="F783" s="13">
        <v>1269</v>
      </c>
      <c r="G783" s="13">
        <v>1.698</v>
      </c>
      <c r="H783" s="13">
        <f t="shared" si="11"/>
        <v>50.357989928269738</v>
      </c>
    </row>
    <row r="784" spans="2:8" s="460" customFormat="1">
      <c r="B784" s="13">
        <v>100</v>
      </c>
      <c r="C784" s="13">
        <v>500</v>
      </c>
      <c r="D784" s="13">
        <v>5.5880000000000001</v>
      </c>
      <c r="E784" s="13">
        <v>1176</v>
      </c>
      <c r="F784" s="13">
        <v>1279</v>
      </c>
      <c r="G784" s="13">
        <v>1.7090000000000001</v>
      </c>
      <c r="H784" s="13">
        <f t="shared" si="11"/>
        <v>50.754822000202509</v>
      </c>
    </row>
    <row r="785" spans="2:8" s="460" customFormat="1">
      <c r="B785" s="13">
        <v>100</v>
      </c>
      <c r="C785" s="13">
        <v>520</v>
      </c>
      <c r="D785" s="13">
        <v>5.7149999999999999</v>
      </c>
      <c r="E785" s="13">
        <v>1184</v>
      </c>
      <c r="F785" s="13">
        <v>1289</v>
      </c>
      <c r="G785" s="13">
        <v>1.7190000000000001</v>
      </c>
      <c r="H785" s="13">
        <f t="shared" si="11"/>
        <v>51.151654072135294</v>
      </c>
    </row>
    <row r="786" spans="2:8" s="460" customFormat="1">
      <c r="B786" s="13">
        <v>100</v>
      </c>
      <c r="C786" s="13">
        <v>540</v>
      </c>
      <c r="D786" s="13">
        <v>5.8410000000000002</v>
      </c>
      <c r="E786" s="13">
        <v>1191</v>
      </c>
      <c r="F786" s="13">
        <v>1299</v>
      </c>
      <c r="G786" s="13">
        <v>1.7290000000000001</v>
      </c>
      <c r="H786" s="13">
        <f t="shared" si="11"/>
        <v>51.548486144068079</v>
      </c>
    </row>
    <row r="787" spans="2:8" s="460" customFormat="1">
      <c r="B787" s="13">
        <v>100</v>
      </c>
      <c r="C787" s="13">
        <v>560</v>
      </c>
      <c r="D787" s="13">
        <v>5.9669999999999996</v>
      </c>
      <c r="E787" s="13">
        <v>1199</v>
      </c>
      <c r="F787" s="13">
        <v>1309</v>
      </c>
      <c r="G787" s="13">
        <v>1.7390000000000001</v>
      </c>
      <c r="H787" s="13">
        <f t="shared" si="11"/>
        <v>51.94531821600085</v>
      </c>
    </row>
    <row r="788" spans="2:8" s="460" customFormat="1">
      <c r="B788" s="13">
        <v>100</v>
      </c>
      <c r="C788" s="13">
        <v>580</v>
      </c>
      <c r="D788" s="13">
        <v>6.0919999999999996</v>
      </c>
      <c r="E788" s="13">
        <v>1207</v>
      </c>
      <c r="F788" s="13">
        <v>1319</v>
      </c>
      <c r="G788" s="13">
        <v>1.7490000000000001</v>
      </c>
      <c r="H788" s="13">
        <f t="shared" si="11"/>
        <v>52.342150287933634</v>
      </c>
    </row>
    <row r="789" spans="2:8" s="460" customFormat="1">
      <c r="B789" s="13">
        <v>100</v>
      </c>
      <c r="C789" s="13">
        <v>600</v>
      </c>
      <c r="D789" s="13">
        <v>6.2160000000000002</v>
      </c>
      <c r="E789" s="13">
        <v>1214</v>
      </c>
      <c r="F789" s="13">
        <v>1329</v>
      </c>
      <c r="G789" s="13">
        <v>1.7589999999999999</v>
      </c>
      <c r="H789" s="13">
        <f t="shared" si="11"/>
        <v>52.738982359866412</v>
      </c>
    </row>
    <row r="790" spans="2:8" s="460" customFormat="1">
      <c r="B790" s="13">
        <v>100</v>
      </c>
      <c r="C790" s="13">
        <v>620</v>
      </c>
      <c r="D790" s="13">
        <v>6.3410000000000002</v>
      </c>
      <c r="E790" s="13">
        <v>1222</v>
      </c>
      <c r="F790" s="13">
        <v>1339</v>
      </c>
      <c r="G790" s="13">
        <v>1.768</v>
      </c>
      <c r="H790" s="13">
        <f t="shared" si="11"/>
        <v>53.13581443179919</v>
      </c>
    </row>
    <row r="791" spans="2:8" s="460" customFormat="1">
      <c r="B791" s="13">
        <v>100</v>
      </c>
      <c r="C791" s="13">
        <v>640</v>
      </c>
      <c r="D791" s="13">
        <v>6.4649999999999999</v>
      </c>
      <c r="E791" s="13">
        <v>1230</v>
      </c>
      <c r="F791" s="13">
        <v>1349</v>
      </c>
      <c r="G791" s="13">
        <v>1.7769999999999999</v>
      </c>
      <c r="H791" s="13">
        <f t="shared" si="11"/>
        <v>53.532646503731968</v>
      </c>
    </row>
    <row r="792" spans="2:8" s="460" customFormat="1">
      <c r="B792" s="13">
        <v>100</v>
      </c>
      <c r="C792" s="13">
        <v>660</v>
      </c>
      <c r="D792" s="13">
        <v>6.5880000000000001</v>
      </c>
      <c r="E792" s="13">
        <v>1238</v>
      </c>
      <c r="F792" s="13">
        <v>1359</v>
      </c>
      <c r="G792" s="13">
        <v>1.786</v>
      </c>
      <c r="H792" s="13">
        <f t="shared" si="11"/>
        <v>53.929478575664753</v>
      </c>
    </row>
    <row r="793" spans="2:8" s="460" customFormat="1">
      <c r="B793" s="13">
        <v>100</v>
      </c>
      <c r="C793" s="13">
        <v>680</v>
      </c>
      <c r="D793" s="13">
        <v>6.7110000000000003</v>
      </c>
      <c r="E793" s="13">
        <v>1245</v>
      </c>
      <c r="F793" s="13">
        <v>1369</v>
      </c>
      <c r="G793" s="13">
        <v>1.7949999999999999</v>
      </c>
      <c r="H793" s="13">
        <f t="shared" si="11"/>
        <v>54.326310647597538</v>
      </c>
    </row>
    <row r="794" spans="2:8" s="460" customFormat="1">
      <c r="B794" s="13">
        <v>100</v>
      </c>
      <c r="C794" s="13">
        <v>700</v>
      </c>
      <c r="D794" s="13">
        <v>6.8339999999999996</v>
      </c>
      <c r="E794" s="13">
        <v>1253</v>
      </c>
      <c r="F794" s="13">
        <v>1379</v>
      </c>
      <c r="G794" s="13">
        <v>1.804</v>
      </c>
      <c r="H794" s="13">
        <f t="shared" si="11"/>
        <v>54.723142719530308</v>
      </c>
    </row>
    <row r="795" spans="2:8" s="460" customFormat="1">
      <c r="B795" s="13">
        <v>100</v>
      </c>
      <c r="C795" s="13">
        <v>720</v>
      </c>
      <c r="D795" s="13">
        <v>6.9569999999999999</v>
      </c>
      <c r="E795" s="13">
        <v>1261</v>
      </c>
      <c r="F795" s="13">
        <v>1389</v>
      </c>
      <c r="G795" s="13">
        <v>1.8120000000000001</v>
      </c>
      <c r="H795" s="13">
        <f t="shared" si="11"/>
        <v>55.119974791463093</v>
      </c>
    </row>
    <row r="796" spans="2:8" s="460" customFormat="1">
      <c r="B796" s="13">
        <v>100</v>
      </c>
      <c r="C796" s="13">
        <v>740</v>
      </c>
      <c r="D796" s="13">
        <v>7.0789999999999997</v>
      </c>
      <c r="E796" s="13">
        <v>1269</v>
      </c>
      <c r="F796" s="13">
        <v>1400</v>
      </c>
      <c r="G796" s="13">
        <v>1.821</v>
      </c>
      <c r="H796" s="13">
        <f t="shared" si="11"/>
        <v>55.556490070589149</v>
      </c>
    </row>
    <row r="797" spans="2:8" s="460" customFormat="1">
      <c r="B797" s="13">
        <v>100</v>
      </c>
      <c r="C797" s="13">
        <v>760</v>
      </c>
      <c r="D797" s="13">
        <v>7.202</v>
      </c>
      <c r="E797" s="13">
        <v>1276</v>
      </c>
      <c r="F797" s="13">
        <v>1410</v>
      </c>
      <c r="G797" s="13">
        <v>1.829</v>
      </c>
      <c r="H797" s="13">
        <f t="shared" si="11"/>
        <v>55.953322142521927</v>
      </c>
    </row>
    <row r="798" spans="2:8" s="460" customFormat="1">
      <c r="B798" s="13">
        <v>100</v>
      </c>
      <c r="C798" s="13">
        <v>780</v>
      </c>
      <c r="D798" s="13">
        <v>7.3239999999999998</v>
      </c>
      <c r="E798" s="13">
        <v>1284</v>
      </c>
      <c r="F798" s="13">
        <v>1420</v>
      </c>
      <c r="G798" s="13">
        <v>1.837</v>
      </c>
      <c r="H798" s="13">
        <f t="shared" si="11"/>
        <v>56.350154214454712</v>
      </c>
    </row>
    <row r="799" spans="2:8" s="460" customFormat="1">
      <c r="B799" s="13">
        <v>100</v>
      </c>
      <c r="C799" s="13">
        <v>800</v>
      </c>
      <c r="D799" s="13">
        <v>7.4459999999999997</v>
      </c>
      <c r="E799" s="13">
        <v>1292</v>
      </c>
      <c r="F799" s="13">
        <v>1430</v>
      </c>
      <c r="G799" s="13">
        <v>1.845</v>
      </c>
      <c r="H799" s="13">
        <f t="shared" si="11"/>
        <v>56.746986286387482</v>
      </c>
    </row>
    <row r="800" spans="2:8" s="460" customFormat="1">
      <c r="B800" s="13">
        <v>100</v>
      </c>
      <c r="C800" s="13">
        <v>820</v>
      </c>
      <c r="D800" s="13">
        <v>7.5670000000000002</v>
      </c>
      <c r="E800" s="13">
        <v>1300</v>
      </c>
      <c r="F800" s="13">
        <v>1440</v>
      </c>
      <c r="G800" s="13">
        <v>1.853</v>
      </c>
      <c r="H800" s="13">
        <f t="shared" si="11"/>
        <v>57.143818358320267</v>
      </c>
    </row>
    <row r="801" spans="2:8" s="460" customFormat="1">
      <c r="B801" s="13">
        <v>100</v>
      </c>
      <c r="C801" s="13">
        <v>840</v>
      </c>
      <c r="D801" s="13">
        <v>7.6890000000000001</v>
      </c>
      <c r="E801" s="13">
        <v>1308</v>
      </c>
      <c r="F801" s="13">
        <v>1450</v>
      </c>
      <c r="G801" s="13">
        <v>1.861</v>
      </c>
      <c r="H801" s="13">
        <f t="shared" si="11"/>
        <v>57.540650430253045</v>
      </c>
    </row>
    <row r="802" spans="2:8" s="460" customFormat="1">
      <c r="B802" s="13">
        <v>100</v>
      </c>
      <c r="C802" s="13">
        <v>860</v>
      </c>
      <c r="D802" s="13">
        <v>7.81</v>
      </c>
      <c r="E802" s="13">
        <v>1316</v>
      </c>
      <c r="F802" s="13">
        <v>1460</v>
      </c>
      <c r="G802" s="13">
        <v>1.869</v>
      </c>
      <c r="H802" s="13">
        <f t="shared" si="11"/>
        <v>57.93748250218583</v>
      </c>
    </row>
    <row r="803" spans="2:8" s="460" customFormat="1">
      <c r="B803" s="13">
        <v>100</v>
      </c>
      <c r="C803" s="13">
        <v>880</v>
      </c>
      <c r="D803" s="13">
        <v>7.9320000000000004</v>
      </c>
      <c r="E803" s="13">
        <v>1324</v>
      </c>
      <c r="F803" s="13">
        <v>1470</v>
      </c>
      <c r="G803" s="13">
        <v>1.877</v>
      </c>
      <c r="H803" s="13">
        <f t="shared" si="11"/>
        <v>58.334314574118608</v>
      </c>
    </row>
    <row r="804" spans="2:8" s="460" customFormat="1">
      <c r="B804" s="13">
        <v>100</v>
      </c>
      <c r="C804" s="13">
        <v>900</v>
      </c>
      <c r="D804" s="13">
        <v>8.0530000000000008</v>
      </c>
      <c r="E804" s="13">
        <v>1332</v>
      </c>
      <c r="F804" s="13">
        <v>1481</v>
      </c>
      <c r="G804" s="13">
        <v>1.8839999999999999</v>
      </c>
      <c r="H804" s="13">
        <f t="shared" si="11"/>
        <v>58.770829853244663</v>
      </c>
    </row>
    <row r="805" spans="2:8" s="460" customFormat="1">
      <c r="B805" s="13">
        <v>100</v>
      </c>
      <c r="C805" s="13">
        <v>920</v>
      </c>
      <c r="D805" s="13">
        <v>8.1739999999999995</v>
      </c>
      <c r="E805" s="13">
        <v>1340</v>
      </c>
      <c r="F805" s="13">
        <v>1491</v>
      </c>
      <c r="G805" s="13">
        <v>1.8919999999999999</v>
      </c>
      <c r="H805" s="13">
        <f t="shared" si="11"/>
        <v>59.167661925177441</v>
      </c>
    </row>
    <row r="806" spans="2:8" s="460" customFormat="1">
      <c r="B806" s="13">
        <v>100</v>
      </c>
      <c r="C806" s="13">
        <v>940</v>
      </c>
      <c r="D806" s="13">
        <v>8.2949999999999999</v>
      </c>
      <c r="E806" s="13">
        <v>1348</v>
      </c>
      <c r="F806" s="13">
        <v>1501</v>
      </c>
      <c r="G806" s="13">
        <v>1.899</v>
      </c>
      <c r="H806" s="13">
        <f t="shared" si="11"/>
        <v>59.564493997110226</v>
      </c>
    </row>
    <row r="807" spans="2:8" s="460" customFormat="1">
      <c r="B807" s="13">
        <v>100</v>
      </c>
      <c r="C807" s="13">
        <v>960</v>
      </c>
      <c r="D807" s="13">
        <v>8.4160000000000004</v>
      </c>
      <c r="E807" s="13">
        <v>1356</v>
      </c>
      <c r="F807" s="13">
        <v>1512</v>
      </c>
      <c r="G807" s="13">
        <v>1.9059999999999999</v>
      </c>
      <c r="H807" s="13">
        <f t="shared" si="11"/>
        <v>60.001009276236275</v>
      </c>
    </row>
    <row r="808" spans="2:8" s="460" customFormat="1">
      <c r="B808" s="13">
        <v>100</v>
      </c>
      <c r="C808" s="13">
        <v>980</v>
      </c>
      <c r="D808" s="13">
        <v>8.5370000000000008</v>
      </c>
      <c r="E808" s="13">
        <v>1364</v>
      </c>
      <c r="F808" s="13">
        <v>1522</v>
      </c>
      <c r="G808" s="13">
        <v>1.9139999999999999</v>
      </c>
      <c r="H808" s="13">
        <f t="shared" si="11"/>
        <v>60.397841348169059</v>
      </c>
    </row>
    <row r="809" spans="2:8" s="460" customFormat="1">
      <c r="B809" s="13">
        <v>100</v>
      </c>
      <c r="C809" s="13">
        <v>1000</v>
      </c>
      <c r="D809" s="13">
        <v>8.6579999999999995</v>
      </c>
      <c r="E809" s="13">
        <v>1372</v>
      </c>
      <c r="F809" s="13">
        <v>1532</v>
      </c>
      <c r="G809" s="13">
        <v>1.921</v>
      </c>
      <c r="H809" s="13">
        <f t="shared" si="11"/>
        <v>60.794673420101844</v>
      </c>
    </row>
    <row r="810" spans="2:8" s="460" customFormat="1">
      <c r="B810" s="13">
        <v>100</v>
      </c>
      <c r="C810" s="13">
        <v>1020</v>
      </c>
      <c r="D810" s="13">
        <v>8.7780000000000005</v>
      </c>
      <c r="E810" s="13">
        <v>1380</v>
      </c>
      <c r="F810" s="13">
        <v>1543</v>
      </c>
      <c r="G810" s="13">
        <v>1.9279999999999999</v>
      </c>
      <c r="H810" s="13">
        <f t="shared" si="11"/>
        <v>61.2311886992279</v>
      </c>
    </row>
    <row r="811" spans="2:8" s="460" customFormat="1">
      <c r="B811" s="13">
        <v>100</v>
      </c>
      <c r="C811" s="13">
        <v>1040</v>
      </c>
      <c r="D811" s="13">
        <v>8.8989999999999991</v>
      </c>
      <c r="E811" s="13">
        <v>1389</v>
      </c>
      <c r="F811" s="13">
        <v>1553</v>
      </c>
      <c r="G811" s="13">
        <v>1.9350000000000001</v>
      </c>
      <c r="H811" s="13">
        <f t="shared" si="11"/>
        <v>61.628020771160678</v>
      </c>
    </row>
    <row r="812" spans="2:8" s="460" customFormat="1">
      <c r="B812" s="13">
        <v>100</v>
      </c>
      <c r="C812" s="13">
        <v>1060</v>
      </c>
      <c r="D812" s="13">
        <v>9.0190000000000001</v>
      </c>
      <c r="E812" s="13">
        <v>1397</v>
      </c>
      <c r="F812" s="13">
        <v>1564</v>
      </c>
      <c r="G812" s="13">
        <v>1.9419999999999999</v>
      </c>
      <c r="H812" s="13">
        <f t="shared" si="11"/>
        <v>62.064536050286733</v>
      </c>
    </row>
    <row r="813" spans="2:8" s="460" customFormat="1">
      <c r="B813" s="13">
        <v>100</v>
      </c>
      <c r="C813" s="13">
        <v>1080</v>
      </c>
      <c r="D813" s="13">
        <v>9.14</v>
      </c>
      <c r="E813" s="13">
        <v>1405</v>
      </c>
      <c r="F813" s="13">
        <v>1574</v>
      </c>
      <c r="G813" s="13">
        <v>1.9490000000000001</v>
      </c>
      <c r="H813" s="13">
        <f t="shared" si="11"/>
        <v>62.461368122219518</v>
      </c>
    </row>
    <row r="814" spans="2:8" s="460" customFormat="1">
      <c r="B814" s="13">
        <v>100</v>
      </c>
      <c r="C814" s="13">
        <v>1100</v>
      </c>
      <c r="D814" s="13">
        <v>9.26</v>
      </c>
      <c r="E814" s="13">
        <v>1413</v>
      </c>
      <c r="F814" s="13">
        <v>1585</v>
      </c>
      <c r="G814" s="13">
        <v>1.956</v>
      </c>
      <c r="H814" s="13">
        <f t="shared" si="11"/>
        <v>62.897883401345567</v>
      </c>
    </row>
    <row r="815" spans="2:8" s="460" customFormat="1">
      <c r="B815" s="13">
        <v>100</v>
      </c>
      <c r="C815" s="13">
        <v>1120</v>
      </c>
      <c r="D815" s="13">
        <v>9.3810000000000002</v>
      </c>
      <c r="E815" s="13">
        <v>1422</v>
      </c>
      <c r="F815" s="13">
        <v>1595</v>
      </c>
      <c r="G815" s="13">
        <v>1.962</v>
      </c>
      <c r="H815" s="13">
        <f t="shared" si="11"/>
        <v>63.294715473278352</v>
      </c>
    </row>
    <row r="816" spans="2:8" s="460" customFormat="1">
      <c r="B816" s="13">
        <v>100</v>
      </c>
      <c r="C816" s="13">
        <v>1140</v>
      </c>
      <c r="D816" s="13">
        <v>9.5009999999999994</v>
      </c>
      <c r="E816" s="13">
        <v>1430</v>
      </c>
      <c r="F816" s="13">
        <v>1606</v>
      </c>
      <c r="G816" s="13">
        <v>1.9690000000000001</v>
      </c>
      <c r="H816" s="13">
        <f t="shared" si="11"/>
        <v>63.731230752404407</v>
      </c>
    </row>
    <row r="817" spans="2:8" s="460" customFormat="1">
      <c r="B817" s="13">
        <v>100</v>
      </c>
      <c r="C817" s="13">
        <v>1160</v>
      </c>
      <c r="D817" s="13">
        <v>9.6210000000000004</v>
      </c>
      <c r="E817" s="13">
        <v>1439</v>
      </c>
      <c r="F817" s="13">
        <v>1617</v>
      </c>
      <c r="G817" s="13">
        <v>1.976</v>
      </c>
      <c r="H817" s="13">
        <f t="shared" si="11"/>
        <v>64.16774603153047</v>
      </c>
    </row>
    <row r="818" spans="2:8" s="460" customFormat="1">
      <c r="B818" s="13">
        <v>100</v>
      </c>
      <c r="C818" s="13">
        <v>1180</v>
      </c>
      <c r="D818" s="13">
        <v>9.7409999999999997</v>
      </c>
      <c r="E818" s="13">
        <v>1447</v>
      </c>
      <c r="F818" s="13">
        <v>1627</v>
      </c>
      <c r="G818" s="13">
        <v>1.982</v>
      </c>
      <c r="H818" s="13">
        <f t="shared" si="11"/>
        <v>64.564578103463248</v>
      </c>
    </row>
    <row r="819" spans="2:8" s="460" customFormat="1">
      <c r="B819" s="13">
        <v>100</v>
      </c>
      <c r="C819" s="13">
        <v>1200</v>
      </c>
      <c r="D819" s="13">
        <v>9.8620000000000001</v>
      </c>
      <c r="E819" s="13">
        <v>1456</v>
      </c>
      <c r="F819" s="13">
        <v>1638</v>
      </c>
      <c r="G819" s="13">
        <v>1.9890000000000001</v>
      </c>
      <c r="H819" s="13">
        <f t="shared" si="11"/>
        <v>65.001093382589303</v>
      </c>
    </row>
    <row r="820" spans="2:8" s="460" customFormat="1">
      <c r="B820" s="13">
        <v>100</v>
      </c>
      <c r="C820" s="13">
        <v>1220</v>
      </c>
      <c r="D820" s="13">
        <v>9.9819999999999993</v>
      </c>
      <c r="E820" s="13">
        <v>1464</v>
      </c>
      <c r="F820" s="13">
        <v>1649</v>
      </c>
      <c r="G820" s="13">
        <v>1.9950000000000001</v>
      </c>
      <c r="H820" s="13">
        <f t="shared" si="11"/>
        <v>65.437608661715359</v>
      </c>
    </row>
    <row r="821" spans="2:8" s="460" customFormat="1">
      <c r="B821" s="13">
        <v>100</v>
      </c>
      <c r="C821" s="13">
        <v>1240</v>
      </c>
      <c r="D821" s="13">
        <v>10.1</v>
      </c>
      <c r="E821" s="13">
        <v>1473</v>
      </c>
      <c r="F821" s="13">
        <v>1660</v>
      </c>
      <c r="G821" s="13">
        <v>2.0019999999999998</v>
      </c>
      <c r="H821" s="13">
        <f t="shared" si="11"/>
        <v>65.874123940841415</v>
      </c>
    </row>
    <row r="822" spans="2:8" s="460" customFormat="1">
      <c r="B822" s="13">
        <v>100</v>
      </c>
      <c r="C822" s="13">
        <v>1260</v>
      </c>
      <c r="D822" s="13">
        <v>10.220000000000001</v>
      </c>
      <c r="E822" s="13">
        <v>1481</v>
      </c>
      <c r="F822" s="13">
        <v>1670</v>
      </c>
      <c r="G822" s="13">
        <v>2.008</v>
      </c>
      <c r="H822" s="13">
        <f t="shared" si="11"/>
        <v>66.270956012774207</v>
      </c>
    </row>
    <row r="823" spans="2:8" s="460" customFormat="1">
      <c r="B823" s="13">
        <v>100</v>
      </c>
      <c r="C823" s="13">
        <v>1280</v>
      </c>
      <c r="D823" s="13">
        <v>10.34</v>
      </c>
      <c r="E823" s="13">
        <v>1490</v>
      </c>
      <c r="F823" s="13">
        <v>1681</v>
      </c>
      <c r="G823" s="13">
        <v>2.0139999999999998</v>
      </c>
      <c r="H823" s="13">
        <f t="shared" si="11"/>
        <v>66.707471291900262</v>
      </c>
    </row>
    <row r="824" spans="2:8" s="460" customFormat="1">
      <c r="B824" s="13">
        <v>100</v>
      </c>
      <c r="C824" s="13">
        <v>1300</v>
      </c>
      <c r="D824" s="13">
        <v>10.46</v>
      </c>
      <c r="E824" s="13">
        <v>1499</v>
      </c>
      <c r="F824" s="13">
        <v>1692</v>
      </c>
      <c r="G824" s="13">
        <v>2.02</v>
      </c>
      <c r="H824" s="13">
        <f t="shared" si="11"/>
        <v>67.143986571026318</v>
      </c>
    </row>
    <row r="825" spans="2:8" s="460" customFormat="1">
      <c r="B825" s="13">
        <v>100</v>
      </c>
      <c r="C825" s="13">
        <v>1320</v>
      </c>
      <c r="D825" s="13">
        <v>10.58</v>
      </c>
      <c r="E825" s="13">
        <v>1507</v>
      </c>
      <c r="F825" s="13">
        <v>1703</v>
      </c>
      <c r="G825" s="13">
        <v>2.0270000000000001</v>
      </c>
      <c r="H825" s="13">
        <f t="shared" ref="H825:H888" si="12">F825/$E$22*18</f>
        <v>67.580501850152373</v>
      </c>
    </row>
    <row r="826" spans="2:8" s="460" customFormat="1">
      <c r="B826" s="13">
        <v>100</v>
      </c>
      <c r="C826" s="13">
        <v>1340</v>
      </c>
      <c r="D826" s="13">
        <v>10.7</v>
      </c>
      <c r="E826" s="13">
        <v>1516</v>
      </c>
      <c r="F826" s="13">
        <v>1714</v>
      </c>
      <c r="G826" s="13">
        <v>2.0329999999999999</v>
      </c>
      <c r="H826" s="13">
        <f t="shared" si="12"/>
        <v>68.017017129278429</v>
      </c>
    </row>
    <row r="827" spans="2:8" s="460" customFormat="1">
      <c r="B827" s="13">
        <v>100</v>
      </c>
      <c r="C827" s="13">
        <v>1360</v>
      </c>
      <c r="D827" s="13">
        <v>10.82</v>
      </c>
      <c r="E827" s="13">
        <v>1525</v>
      </c>
      <c r="F827" s="13">
        <v>1725</v>
      </c>
      <c r="G827" s="13">
        <v>2.0390000000000001</v>
      </c>
      <c r="H827" s="13">
        <f t="shared" si="12"/>
        <v>68.453532408404484</v>
      </c>
    </row>
    <row r="828" spans="2:8" s="460" customFormat="1">
      <c r="B828" s="13">
        <v>100</v>
      </c>
      <c r="C828" s="13">
        <v>1380</v>
      </c>
      <c r="D828" s="13">
        <v>10.94</v>
      </c>
      <c r="E828" s="13">
        <v>1534</v>
      </c>
      <c r="F828" s="13">
        <v>1736</v>
      </c>
      <c r="G828" s="13">
        <v>2.0449999999999999</v>
      </c>
      <c r="H828" s="13">
        <f t="shared" si="12"/>
        <v>68.89004768753054</v>
      </c>
    </row>
    <row r="829" spans="2:8" s="460" customFormat="1">
      <c r="B829" s="13">
        <v>100</v>
      </c>
      <c r="C829" s="13">
        <v>1400</v>
      </c>
      <c r="D829" s="13">
        <v>11.06</v>
      </c>
      <c r="E829" s="13">
        <v>1543</v>
      </c>
      <c r="F829" s="13">
        <v>1747</v>
      </c>
      <c r="G829" s="13">
        <v>2.0510000000000002</v>
      </c>
      <c r="H829" s="13">
        <f t="shared" si="12"/>
        <v>69.326562966656596</v>
      </c>
    </row>
    <row r="830" spans="2:8" s="460" customFormat="1">
      <c r="B830" s="13">
        <v>100</v>
      </c>
      <c r="C830" s="13">
        <v>1420</v>
      </c>
      <c r="D830" s="13">
        <v>11.18</v>
      </c>
      <c r="E830" s="13">
        <v>1551</v>
      </c>
      <c r="F830" s="13">
        <v>1758</v>
      </c>
      <c r="G830" s="13">
        <v>2.0569999999999999</v>
      </c>
      <c r="H830" s="13">
        <f t="shared" si="12"/>
        <v>69.763078245782651</v>
      </c>
    </row>
    <row r="831" spans="2:8" s="460" customFormat="1">
      <c r="B831" s="13">
        <v>100</v>
      </c>
      <c r="C831" s="13">
        <v>1440</v>
      </c>
      <c r="D831" s="13">
        <v>11.3</v>
      </c>
      <c r="E831" s="13">
        <v>1560</v>
      </c>
      <c r="F831" s="13">
        <v>1770</v>
      </c>
      <c r="G831" s="13">
        <v>2.0630000000000002</v>
      </c>
      <c r="H831" s="13">
        <f t="shared" si="12"/>
        <v>70.239276732101985</v>
      </c>
    </row>
    <row r="832" spans="2:8" s="460" customFormat="1">
      <c r="B832" s="13">
        <v>100</v>
      </c>
      <c r="C832" s="13">
        <v>1460</v>
      </c>
      <c r="D832" s="13">
        <v>11.42</v>
      </c>
      <c r="E832" s="13">
        <v>1569</v>
      </c>
      <c r="F832" s="13">
        <v>1781</v>
      </c>
      <c r="G832" s="13">
        <v>2.0680000000000001</v>
      </c>
      <c r="H832" s="13">
        <f t="shared" si="12"/>
        <v>70.675792011228054</v>
      </c>
    </row>
    <row r="833" spans="2:8" s="460" customFormat="1">
      <c r="B833" s="13">
        <v>100</v>
      </c>
      <c r="C833" s="13">
        <v>1480</v>
      </c>
      <c r="D833" s="13">
        <v>11.54</v>
      </c>
      <c r="E833" s="13">
        <v>1578</v>
      </c>
      <c r="F833" s="13">
        <v>1792</v>
      </c>
      <c r="G833" s="13">
        <v>2.0739999999999998</v>
      </c>
      <c r="H833" s="13">
        <f t="shared" si="12"/>
        <v>71.11230729035411</v>
      </c>
    </row>
    <row r="834" spans="2:8" s="460" customFormat="1">
      <c r="B834" s="13">
        <v>100</v>
      </c>
      <c r="C834" s="13">
        <v>1500</v>
      </c>
      <c r="D834" s="13">
        <v>11.66</v>
      </c>
      <c r="E834" s="13">
        <v>1587</v>
      </c>
      <c r="F834" s="13">
        <v>1803</v>
      </c>
      <c r="G834" s="13">
        <v>2.08</v>
      </c>
      <c r="H834" s="13">
        <f t="shared" si="12"/>
        <v>71.548822569480166</v>
      </c>
    </row>
    <row r="835" spans="2:8" s="460" customFormat="1">
      <c r="B835" s="13">
        <v>200</v>
      </c>
      <c r="C835" s="13">
        <v>40</v>
      </c>
      <c r="D835" s="13">
        <v>1.601E-2</v>
      </c>
      <c r="E835" s="13">
        <v>8.0299999999999994</v>
      </c>
      <c r="F835" s="13">
        <v>8.6229999999999993</v>
      </c>
      <c r="G835" s="13">
        <v>1.6199999999999999E-2</v>
      </c>
      <c r="H835" s="13">
        <f t="shared" si="12"/>
        <v>0.34218829562763586</v>
      </c>
    </row>
    <row r="836" spans="2:8" s="460" customFormat="1">
      <c r="B836" s="13">
        <v>200</v>
      </c>
      <c r="C836" s="13">
        <v>60</v>
      </c>
      <c r="D836" s="13">
        <v>1.602E-2</v>
      </c>
      <c r="E836" s="13">
        <v>28.05</v>
      </c>
      <c r="F836" s="13">
        <v>28.64</v>
      </c>
      <c r="G836" s="13">
        <v>5.5489999999999998E-2</v>
      </c>
      <c r="H836" s="13">
        <f t="shared" si="12"/>
        <v>1.1365270540154808</v>
      </c>
    </row>
    <row r="837" spans="2:8" s="460" customFormat="1">
      <c r="B837" s="13">
        <v>200</v>
      </c>
      <c r="C837" s="13">
        <v>80</v>
      </c>
      <c r="D837" s="13">
        <v>1.6060000000000001E-2</v>
      </c>
      <c r="E837" s="13">
        <v>48.02</v>
      </c>
      <c r="F837" s="13">
        <v>48.61</v>
      </c>
      <c r="G837" s="13">
        <v>9.3200000000000005E-2</v>
      </c>
      <c r="H837" s="13">
        <f t="shared" si="12"/>
        <v>1.9290007016652417</v>
      </c>
    </row>
    <row r="838" spans="2:8" s="460" customFormat="1">
      <c r="B838" s="13">
        <v>200</v>
      </c>
      <c r="C838" s="13">
        <v>100</v>
      </c>
      <c r="D838" s="13">
        <v>1.6119999999999999E-2</v>
      </c>
      <c r="E838" s="13">
        <v>67.97</v>
      </c>
      <c r="F838" s="13">
        <v>68.56</v>
      </c>
      <c r="G838" s="13">
        <v>0.1295</v>
      </c>
      <c r="H838" s="13">
        <f t="shared" si="12"/>
        <v>2.7206806851711374</v>
      </c>
    </row>
    <row r="839" spans="2:8" s="460" customFormat="1">
      <c r="B839" s="13">
        <v>200</v>
      </c>
      <c r="C839" s="13">
        <v>120</v>
      </c>
      <c r="D839" s="13">
        <v>1.619E-2</v>
      </c>
      <c r="E839" s="13">
        <v>87.91</v>
      </c>
      <c r="F839" s="13">
        <v>88.51</v>
      </c>
      <c r="G839" s="13">
        <v>0.16450000000000001</v>
      </c>
      <c r="H839" s="13">
        <f t="shared" si="12"/>
        <v>3.512360668677033</v>
      </c>
    </row>
    <row r="840" spans="2:8" s="460" customFormat="1">
      <c r="B840" s="13">
        <v>200</v>
      </c>
      <c r="C840" s="13">
        <v>140</v>
      </c>
      <c r="D840" s="13">
        <v>1.6279999999999999E-2</v>
      </c>
      <c r="E840" s="13">
        <v>107.9</v>
      </c>
      <c r="F840" s="13">
        <v>108.5</v>
      </c>
      <c r="G840" s="13">
        <v>0.19839999999999999</v>
      </c>
      <c r="H840" s="13">
        <f t="shared" si="12"/>
        <v>4.3056279804706588</v>
      </c>
    </row>
    <row r="841" spans="2:8" s="460" customFormat="1">
      <c r="B841" s="13">
        <v>200</v>
      </c>
      <c r="C841" s="13">
        <v>160</v>
      </c>
      <c r="D841" s="13">
        <v>1.6379999999999999E-2</v>
      </c>
      <c r="E841" s="13">
        <v>127.8</v>
      </c>
      <c r="F841" s="13">
        <v>128.4</v>
      </c>
      <c r="G841" s="13">
        <v>0.2311</v>
      </c>
      <c r="H841" s="13">
        <f t="shared" si="12"/>
        <v>5.0953238036168909</v>
      </c>
    </row>
    <row r="842" spans="2:8" s="460" customFormat="1">
      <c r="B842" s="13">
        <v>200</v>
      </c>
      <c r="C842" s="13">
        <v>180</v>
      </c>
      <c r="D842" s="13">
        <v>1.6500000000000001E-2</v>
      </c>
      <c r="E842" s="13">
        <v>147.9</v>
      </c>
      <c r="F842" s="13">
        <v>148.5</v>
      </c>
      <c r="G842" s="13">
        <v>0.26290000000000002</v>
      </c>
      <c r="H842" s="13">
        <f t="shared" si="12"/>
        <v>5.8929562682017771</v>
      </c>
    </row>
    <row r="843" spans="2:8" s="460" customFormat="1">
      <c r="B843" s="13">
        <v>200</v>
      </c>
      <c r="C843" s="13">
        <v>200</v>
      </c>
      <c r="D843" s="13">
        <v>1.6619999999999999E-2</v>
      </c>
      <c r="E843" s="13">
        <v>167.9</v>
      </c>
      <c r="F843" s="13">
        <v>168.5</v>
      </c>
      <c r="G843" s="13">
        <v>0.29380000000000001</v>
      </c>
      <c r="H843" s="13">
        <f t="shared" si="12"/>
        <v>6.6866204120673363</v>
      </c>
    </row>
    <row r="844" spans="2:8" s="460" customFormat="1">
      <c r="B844" s="13">
        <v>200</v>
      </c>
      <c r="C844" s="13">
        <v>220</v>
      </c>
      <c r="D844" s="13">
        <v>1.6760000000000001E-2</v>
      </c>
      <c r="E844" s="13">
        <v>188</v>
      </c>
      <c r="F844" s="13">
        <v>188.6</v>
      </c>
      <c r="G844" s="13">
        <v>0.32390000000000002</v>
      </c>
      <c r="H844" s="13">
        <f t="shared" si="12"/>
        <v>7.4842528766522234</v>
      </c>
    </row>
    <row r="845" spans="2:8" s="460" customFormat="1">
      <c r="B845" s="13">
        <v>200</v>
      </c>
      <c r="C845" s="13">
        <v>240</v>
      </c>
      <c r="D845" s="13">
        <v>1.6910000000000001E-2</v>
      </c>
      <c r="E845" s="13">
        <v>208.2</v>
      </c>
      <c r="F845" s="13">
        <v>208.8</v>
      </c>
      <c r="G845" s="13">
        <v>0.35310000000000002</v>
      </c>
      <c r="H845" s="13">
        <f t="shared" si="12"/>
        <v>8.2858536619564394</v>
      </c>
    </row>
    <row r="846" spans="2:8" s="460" customFormat="1">
      <c r="B846" s="13">
        <v>200</v>
      </c>
      <c r="C846" s="13">
        <v>260</v>
      </c>
      <c r="D846" s="13">
        <v>1.7069999999999998E-2</v>
      </c>
      <c r="E846" s="13">
        <v>228.5</v>
      </c>
      <c r="F846" s="13">
        <v>229.1</v>
      </c>
      <c r="G846" s="13">
        <v>0.38169999999999998</v>
      </c>
      <c r="H846" s="13">
        <f t="shared" si="12"/>
        <v>9.0914227679799815</v>
      </c>
    </row>
    <row r="847" spans="2:8" s="460" customFormat="1">
      <c r="B847" s="13">
        <v>200</v>
      </c>
      <c r="C847" s="13">
        <v>280</v>
      </c>
      <c r="D847" s="13">
        <v>1.7250000000000001E-2</v>
      </c>
      <c r="E847" s="13">
        <v>248.9</v>
      </c>
      <c r="F847" s="13">
        <v>249.5</v>
      </c>
      <c r="G847" s="13">
        <v>0.40970000000000001</v>
      </c>
      <c r="H847" s="13">
        <f t="shared" si="12"/>
        <v>9.9009601947228507</v>
      </c>
    </row>
    <row r="848" spans="2:8" s="460" customFormat="1">
      <c r="B848" s="13">
        <v>200</v>
      </c>
      <c r="C848" s="13">
        <v>300</v>
      </c>
      <c r="D848" s="13">
        <v>1.7440000000000001E-2</v>
      </c>
      <c r="E848" s="13">
        <v>269.39999999999998</v>
      </c>
      <c r="F848" s="13">
        <v>270</v>
      </c>
      <c r="G848" s="13">
        <v>0.437</v>
      </c>
      <c r="H848" s="13">
        <f t="shared" si="12"/>
        <v>10.714465942185051</v>
      </c>
    </row>
    <row r="849" spans="2:8" s="460" customFormat="1">
      <c r="B849" s="13">
        <v>200</v>
      </c>
      <c r="C849" s="13">
        <v>320</v>
      </c>
      <c r="D849" s="13">
        <v>1.7639999999999999E-2</v>
      </c>
      <c r="E849" s="13">
        <v>290</v>
      </c>
      <c r="F849" s="13">
        <v>290.60000000000002</v>
      </c>
      <c r="G849" s="13">
        <v>0.46379999999999999</v>
      </c>
      <c r="H849" s="13">
        <f t="shared" si="12"/>
        <v>11.531940010366576</v>
      </c>
    </row>
    <row r="850" spans="2:8" s="460" customFormat="1">
      <c r="B850" s="13">
        <v>200</v>
      </c>
      <c r="C850" s="13">
        <v>340</v>
      </c>
      <c r="D850" s="13">
        <v>1.7860000000000001E-2</v>
      </c>
      <c r="E850" s="13">
        <v>310.8</v>
      </c>
      <c r="F850" s="13">
        <v>311.39999999999998</v>
      </c>
      <c r="G850" s="13">
        <v>0.49009999999999998</v>
      </c>
      <c r="H850" s="13">
        <f t="shared" si="12"/>
        <v>12.357350719986757</v>
      </c>
    </row>
    <row r="851" spans="2:8" s="460" customFormat="1">
      <c r="B851" s="13">
        <v>200</v>
      </c>
      <c r="C851" s="13">
        <v>360</v>
      </c>
      <c r="D851" s="13">
        <v>1.8100000000000002E-2</v>
      </c>
      <c r="E851" s="13">
        <v>331.7</v>
      </c>
      <c r="F851" s="13">
        <v>332.4</v>
      </c>
      <c r="G851" s="13">
        <v>0.51600000000000001</v>
      </c>
      <c r="H851" s="13">
        <f t="shared" si="12"/>
        <v>13.190698071045594</v>
      </c>
    </row>
    <row r="852" spans="2:8" s="460" customFormat="1">
      <c r="B852" s="13">
        <v>200</v>
      </c>
      <c r="C852" s="605">
        <v>380</v>
      </c>
      <c r="D852" s="605">
        <v>1.8360000000000001E-2</v>
      </c>
      <c r="E852" s="605">
        <v>352.9</v>
      </c>
      <c r="F852" s="605">
        <v>353.6</v>
      </c>
      <c r="G852" s="605">
        <v>0.54159999999999997</v>
      </c>
      <c r="H852" s="13">
        <f t="shared" si="12"/>
        <v>14.031982063543088</v>
      </c>
    </row>
    <row r="853" spans="2:8" s="460" customFormat="1">
      <c r="B853" s="13">
        <v>200</v>
      </c>
      <c r="C853" s="605">
        <v>400</v>
      </c>
      <c r="D853" s="605">
        <v>2.3610000000000002</v>
      </c>
      <c r="E853" s="605">
        <v>1123</v>
      </c>
      <c r="F853" s="605">
        <v>1211</v>
      </c>
      <c r="G853" s="605">
        <v>1.56</v>
      </c>
      <c r="H853" s="13">
        <f t="shared" si="12"/>
        <v>48.056363911059613</v>
      </c>
    </row>
    <row r="854" spans="2:8" s="460" customFormat="1">
      <c r="B854" s="13">
        <v>200</v>
      </c>
      <c r="C854" s="13">
        <v>420</v>
      </c>
      <c r="D854" s="13">
        <v>2.4380000000000002</v>
      </c>
      <c r="E854" s="13">
        <v>1133</v>
      </c>
      <c r="F854" s="13">
        <v>1223</v>
      </c>
      <c r="G854" s="13">
        <v>1.5740000000000001</v>
      </c>
      <c r="H854" s="13">
        <f t="shared" si="12"/>
        <v>48.532562397378953</v>
      </c>
    </row>
    <row r="855" spans="2:8" s="460" customFormat="1">
      <c r="B855" s="13">
        <v>200</v>
      </c>
      <c r="C855" s="13">
        <v>440</v>
      </c>
      <c r="D855" s="13">
        <v>2.512</v>
      </c>
      <c r="E855" s="13">
        <v>1142</v>
      </c>
      <c r="F855" s="13">
        <v>1235</v>
      </c>
      <c r="G855" s="13">
        <v>1.5880000000000001</v>
      </c>
      <c r="H855" s="13">
        <f t="shared" si="12"/>
        <v>49.008760883698287</v>
      </c>
    </row>
    <row r="856" spans="2:8" s="460" customFormat="1">
      <c r="B856" s="13">
        <v>200</v>
      </c>
      <c r="C856" s="13">
        <v>460</v>
      </c>
      <c r="D856" s="13">
        <v>2.5840000000000001</v>
      </c>
      <c r="E856" s="13">
        <v>1151</v>
      </c>
      <c r="F856" s="13">
        <v>1247</v>
      </c>
      <c r="G856" s="13">
        <v>1.601</v>
      </c>
      <c r="H856" s="13">
        <f t="shared" si="12"/>
        <v>49.48495937001762</v>
      </c>
    </row>
    <row r="857" spans="2:8" s="460" customFormat="1">
      <c r="B857" s="13">
        <v>200</v>
      </c>
      <c r="C857" s="13">
        <v>480</v>
      </c>
      <c r="D857" s="13">
        <v>2.6549999999999998</v>
      </c>
      <c r="E857" s="13">
        <v>1160</v>
      </c>
      <c r="F857" s="13">
        <v>1258</v>
      </c>
      <c r="G857" s="13">
        <v>1.613</v>
      </c>
      <c r="H857" s="13">
        <f t="shared" si="12"/>
        <v>49.921474649143676</v>
      </c>
    </row>
    <row r="858" spans="2:8" s="460" customFormat="1">
      <c r="B858" s="13">
        <v>200</v>
      </c>
      <c r="C858" s="13">
        <v>500</v>
      </c>
      <c r="D858" s="13">
        <v>2.7250000000000001</v>
      </c>
      <c r="E858" s="13">
        <v>1168</v>
      </c>
      <c r="F858" s="13">
        <v>1269</v>
      </c>
      <c r="G858" s="13">
        <v>1.6240000000000001</v>
      </c>
      <c r="H858" s="13">
        <f t="shared" si="12"/>
        <v>50.357989928269738</v>
      </c>
    </row>
    <row r="859" spans="2:8" s="460" customFormat="1">
      <c r="B859" s="13">
        <v>200</v>
      </c>
      <c r="C859" s="13">
        <v>520</v>
      </c>
      <c r="D859" s="13">
        <v>2.7930000000000001</v>
      </c>
      <c r="E859" s="13">
        <v>1177</v>
      </c>
      <c r="F859" s="13">
        <v>1280</v>
      </c>
      <c r="G859" s="13">
        <v>1.6359999999999999</v>
      </c>
      <c r="H859" s="13">
        <f t="shared" si="12"/>
        <v>50.794505207395794</v>
      </c>
    </row>
    <row r="860" spans="2:8" s="460" customFormat="1">
      <c r="B860" s="13">
        <v>200</v>
      </c>
      <c r="C860" s="13">
        <v>540</v>
      </c>
      <c r="D860" s="13">
        <v>2.86</v>
      </c>
      <c r="E860" s="13">
        <v>1185</v>
      </c>
      <c r="F860" s="13">
        <v>1291</v>
      </c>
      <c r="G860" s="13">
        <v>1.6459999999999999</v>
      </c>
      <c r="H860" s="13">
        <f t="shared" si="12"/>
        <v>51.231020486521849</v>
      </c>
    </row>
    <row r="861" spans="2:8" s="460" customFormat="1">
      <c r="B861" s="13">
        <v>200</v>
      </c>
      <c r="C861" s="13">
        <v>560</v>
      </c>
      <c r="D861" s="13">
        <v>2.927</v>
      </c>
      <c r="E861" s="13">
        <v>1193</v>
      </c>
      <c r="F861" s="13">
        <v>1301</v>
      </c>
      <c r="G861" s="13">
        <v>1.657</v>
      </c>
      <c r="H861" s="13">
        <f t="shared" si="12"/>
        <v>51.627852558454627</v>
      </c>
    </row>
    <row r="862" spans="2:8" s="460" customFormat="1">
      <c r="B862" s="13">
        <v>200</v>
      </c>
      <c r="C862" s="13">
        <v>580</v>
      </c>
      <c r="D862" s="13">
        <v>2.9929999999999999</v>
      </c>
      <c r="E862" s="13">
        <v>1201</v>
      </c>
      <c r="F862" s="13">
        <v>1312</v>
      </c>
      <c r="G862" s="13">
        <v>1.667</v>
      </c>
      <c r="H862" s="13">
        <f t="shared" si="12"/>
        <v>52.064367837580683</v>
      </c>
    </row>
    <row r="863" spans="2:8" s="460" customFormat="1">
      <c r="B863" s="13">
        <v>200</v>
      </c>
      <c r="C863" s="13">
        <v>600</v>
      </c>
      <c r="D863" s="13">
        <v>3.0579999999999998</v>
      </c>
      <c r="E863" s="13">
        <v>1209</v>
      </c>
      <c r="F863" s="13">
        <v>1322</v>
      </c>
      <c r="G863" s="13">
        <v>1.677</v>
      </c>
      <c r="H863" s="13">
        <f t="shared" si="12"/>
        <v>52.461199909513468</v>
      </c>
    </row>
    <row r="864" spans="2:8" s="460" customFormat="1">
      <c r="B864" s="13">
        <v>200</v>
      </c>
      <c r="C864" s="13">
        <v>620</v>
      </c>
      <c r="D864" s="13">
        <v>3.1230000000000002</v>
      </c>
      <c r="E864" s="13">
        <v>1217</v>
      </c>
      <c r="F864" s="13">
        <v>1333</v>
      </c>
      <c r="G864" s="13">
        <v>1.6870000000000001</v>
      </c>
      <c r="H864" s="13">
        <f t="shared" si="12"/>
        <v>52.897715188639523</v>
      </c>
    </row>
    <row r="865" spans="2:8" s="460" customFormat="1">
      <c r="B865" s="13">
        <v>200</v>
      </c>
      <c r="C865" s="13">
        <v>640</v>
      </c>
      <c r="D865" s="13">
        <v>3.1880000000000002</v>
      </c>
      <c r="E865" s="13">
        <v>1225</v>
      </c>
      <c r="F865" s="13">
        <v>1343</v>
      </c>
      <c r="G865" s="13">
        <v>1.696</v>
      </c>
      <c r="H865" s="13">
        <f t="shared" si="12"/>
        <v>53.294547260572301</v>
      </c>
    </row>
    <row r="866" spans="2:8" s="460" customFormat="1">
      <c r="B866" s="13">
        <v>200</v>
      </c>
      <c r="C866" s="13">
        <v>660</v>
      </c>
      <c r="D866" s="13">
        <v>3.2519999999999998</v>
      </c>
      <c r="E866" s="13">
        <v>1233</v>
      </c>
      <c r="F866" s="13">
        <v>1353</v>
      </c>
      <c r="G866" s="13">
        <v>1.706</v>
      </c>
      <c r="H866" s="13">
        <f t="shared" si="12"/>
        <v>53.691379332505086</v>
      </c>
    </row>
    <row r="867" spans="2:8" s="460" customFormat="1">
      <c r="B867" s="13">
        <v>200</v>
      </c>
      <c r="C867" s="13">
        <v>680</v>
      </c>
      <c r="D867" s="13">
        <v>3.3159999999999998</v>
      </c>
      <c r="E867" s="13">
        <v>1241</v>
      </c>
      <c r="F867" s="13">
        <v>1364</v>
      </c>
      <c r="G867" s="13">
        <v>1.7150000000000001</v>
      </c>
      <c r="H867" s="13">
        <f t="shared" si="12"/>
        <v>54.127894611631142</v>
      </c>
    </row>
    <row r="868" spans="2:8" s="460" customFormat="1">
      <c r="B868" s="13">
        <v>200</v>
      </c>
      <c r="C868" s="13">
        <v>700</v>
      </c>
      <c r="D868" s="13">
        <v>3.379</v>
      </c>
      <c r="E868" s="13">
        <v>1249</v>
      </c>
      <c r="F868" s="13">
        <v>1374</v>
      </c>
      <c r="G868" s="13">
        <v>1.724</v>
      </c>
      <c r="H868" s="13">
        <f t="shared" si="12"/>
        <v>54.524726683563919</v>
      </c>
    </row>
    <row r="869" spans="2:8" s="460" customFormat="1">
      <c r="B869" s="13">
        <v>200</v>
      </c>
      <c r="C869" s="13">
        <v>720</v>
      </c>
      <c r="D869" s="13">
        <v>3.4430000000000001</v>
      </c>
      <c r="E869" s="13">
        <v>1257</v>
      </c>
      <c r="F869" s="13">
        <v>1384</v>
      </c>
      <c r="G869" s="13">
        <v>1.7330000000000001</v>
      </c>
      <c r="H869" s="13">
        <f t="shared" si="12"/>
        <v>54.921558755496704</v>
      </c>
    </row>
    <row r="870" spans="2:8" s="460" customFormat="1">
      <c r="B870" s="13">
        <v>200</v>
      </c>
      <c r="C870" s="13">
        <v>740</v>
      </c>
      <c r="D870" s="13">
        <v>3.5059999999999998</v>
      </c>
      <c r="E870" s="13">
        <v>1265</v>
      </c>
      <c r="F870" s="13">
        <v>1395</v>
      </c>
      <c r="G870" s="13">
        <v>1.7410000000000001</v>
      </c>
      <c r="H870" s="13">
        <f t="shared" si="12"/>
        <v>55.35807403462276</v>
      </c>
    </row>
    <row r="871" spans="2:8" s="460" customFormat="1">
      <c r="B871" s="13">
        <v>200</v>
      </c>
      <c r="C871" s="13">
        <v>760</v>
      </c>
      <c r="D871" s="13">
        <v>3.5680000000000001</v>
      </c>
      <c r="E871" s="13">
        <v>1273</v>
      </c>
      <c r="F871" s="13">
        <v>1405</v>
      </c>
      <c r="G871" s="13">
        <v>1.75</v>
      </c>
      <c r="H871" s="13">
        <f t="shared" si="12"/>
        <v>55.754906106555538</v>
      </c>
    </row>
    <row r="872" spans="2:8" s="460" customFormat="1">
      <c r="B872" s="13">
        <v>200</v>
      </c>
      <c r="C872" s="13">
        <v>780</v>
      </c>
      <c r="D872" s="13">
        <v>3.6309999999999998</v>
      </c>
      <c r="E872" s="13">
        <v>1281</v>
      </c>
      <c r="F872" s="13">
        <v>1415</v>
      </c>
      <c r="G872" s="13">
        <v>1.758</v>
      </c>
      <c r="H872" s="13">
        <f t="shared" si="12"/>
        <v>56.151738178488316</v>
      </c>
    </row>
    <row r="873" spans="2:8" s="460" customFormat="1">
      <c r="B873" s="13">
        <v>200</v>
      </c>
      <c r="C873" s="13">
        <v>800</v>
      </c>
      <c r="D873" s="13">
        <v>3.6930000000000001</v>
      </c>
      <c r="E873" s="13">
        <v>1289</v>
      </c>
      <c r="F873" s="13">
        <v>1426</v>
      </c>
      <c r="G873" s="13">
        <v>1.766</v>
      </c>
      <c r="H873" s="13">
        <f t="shared" si="12"/>
        <v>56.588253457614378</v>
      </c>
    </row>
    <row r="874" spans="2:8" s="460" customFormat="1">
      <c r="B874" s="13">
        <v>200</v>
      </c>
      <c r="C874" s="13">
        <v>820</v>
      </c>
      <c r="D874" s="13">
        <v>3.7559999999999998</v>
      </c>
      <c r="E874" s="13">
        <v>1297</v>
      </c>
      <c r="F874" s="13">
        <v>1436</v>
      </c>
      <c r="G874" s="13">
        <v>1.7749999999999999</v>
      </c>
      <c r="H874" s="13">
        <f t="shared" si="12"/>
        <v>56.985085529547149</v>
      </c>
    </row>
    <row r="875" spans="2:8" s="460" customFormat="1">
      <c r="B875" s="13">
        <v>200</v>
      </c>
      <c r="C875" s="13">
        <v>840</v>
      </c>
      <c r="D875" s="13">
        <v>3.8180000000000001</v>
      </c>
      <c r="E875" s="13">
        <v>1305</v>
      </c>
      <c r="F875" s="13">
        <v>1446</v>
      </c>
      <c r="G875" s="13">
        <v>1.7829999999999999</v>
      </c>
      <c r="H875" s="13">
        <f t="shared" si="12"/>
        <v>57.381917601479934</v>
      </c>
    </row>
    <row r="876" spans="2:8" s="460" customFormat="1">
      <c r="B876" s="13">
        <v>200</v>
      </c>
      <c r="C876" s="13">
        <v>860</v>
      </c>
      <c r="D876" s="13">
        <v>3.88</v>
      </c>
      <c r="E876" s="13">
        <v>1313</v>
      </c>
      <c r="F876" s="13">
        <v>1457</v>
      </c>
      <c r="G876" s="13">
        <v>1.79</v>
      </c>
      <c r="H876" s="13">
        <f t="shared" si="12"/>
        <v>57.818432880605997</v>
      </c>
    </row>
    <row r="877" spans="2:8" s="460" customFormat="1">
      <c r="B877" s="13">
        <v>200</v>
      </c>
      <c r="C877" s="13">
        <v>880</v>
      </c>
      <c r="D877" s="13">
        <v>3.9409999999999998</v>
      </c>
      <c r="E877" s="13">
        <v>1321</v>
      </c>
      <c r="F877" s="13">
        <v>1467</v>
      </c>
      <c r="G877" s="13">
        <v>1.798</v>
      </c>
      <c r="H877" s="13">
        <f t="shared" si="12"/>
        <v>58.215264952538767</v>
      </c>
    </row>
    <row r="878" spans="2:8" s="460" customFormat="1">
      <c r="B878" s="13">
        <v>200</v>
      </c>
      <c r="C878" s="13">
        <v>900</v>
      </c>
      <c r="D878" s="13">
        <v>4.0030000000000001</v>
      </c>
      <c r="E878" s="13">
        <v>1329</v>
      </c>
      <c r="F878" s="13">
        <v>1477</v>
      </c>
      <c r="G878" s="13">
        <v>1.806</v>
      </c>
      <c r="H878" s="13">
        <f t="shared" si="12"/>
        <v>58.612097024471552</v>
      </c>
    </row>
    <row r="879" spans="2:8" s="460" customFormat="1">
      <c r="B879" s="13">
        <v>200</v>
      </c>
      <c r="C879" s="13">
        <v>920</v>
      </c>
      <c r="D879" s="13">
        <v>4.0650000000000004</v>
      </c>
      <c r="E879" s="13">
        <v>1337</v>
      </c>
      <c r="F879" s="13">
        <v>1488</v>
      </c>
      <c r="G879" s="13">
        <v>1.8140000000000001</v>
      </c>
      <c r="H879" s="13">
        <f t="shared" si="12"/>
        <v>59.048612303597608</v>
      </c>
    </row>
    <row r="880" spans="2:8" s="460" customFormat="1">
      <c r="B880" s="13">
        <v>200</v>
      </c>
      <c r="C880" s="13">
        <v>940</v>
      </c>
      <c r="D880" s="13">
        <v>4.1260000000000003</v>
      </c>
      <c r="E880" s="13">
        <v>1345</v>
      </c>
      <c r="F880" s="13">
        <v>1498</v>
      </c>
      <c r="G880" s="13">
        <v>1.821</v>
      </c>
      <c r="H880" s="13">
        <f t="shared" si="12"/>
        <v>59.445444375530386</v>
      </c>
    </row>
    <row r="881" spans="2:8" s="460" customFormat="1">
      <c r="B881" s="13">
        <v>200</v>
      </c>
      <c r="C881" s="13">
        <v>960</v>
      </c>
      <c r="D881" s="13">
        <v>4.1870000000000003</v>
      </c>
      <c r="E881" s="13">
        <v>1354</v>
      </c>
      <c r="F881" s="13">
        <v>1509</v>
      </c>
      <c r="G881" s="13">
        <v>1.8280000000000001</v>
      </c>
      <c r="H881" s="13">
        <f t="shared" si="12"/>
        <v>59.881959654656441</v>
      </c>
    </row>
    <row r="882" spans="2:8" s="460" customFormat="1">
      <c r="B882" s="13">
        <v>200</v>
      </c>
      <c r="C882" s="13">
        <v>980</v>
      </c>
      <c r="D882" s="13">
        <v>4.2489999999999997</v>
      </c>
      <c r="E882" s="13">
        <v>1362</v>
      </c>
      <c r="F882" s="13">
        <v>1519</v>
      </c>
      <c r="G882" s="13">
        <v>1.8360000000000001</v>
      </c>
      <c r="H882" s="13">
        <f t="shared" si="12"/>
        <v>60.278791726589226</v>
      </c>
    </row>
    <row r="883" spans="2:8" s="460" customFormat="1">
      <c r="B883" s="13">
        <v>200</v>
      </c>
      <c r="C883" s="13">
        <v>1000</v>
      </c>
      <c r="D883" s="13">
        <v>4.3099999999999996</v>
      </c>
      <c r="E883" s="13">
        <v>1370</v>
      </c>
      <c r="F883" s="13">
        <v>1530</v>
      </c>
      <c r="G883" s="13">
        <v>1.843</v>
      </c>
      <c r="H883" s="13">
        <f t="shared" si="12"/>
        <v>60.715307005715282</v>
      </c>
    </row>
    <row r="884" spans="2:8" s="460" customFormat="1">
      <c r="B884" s="13">
        <v>200</v>
      </c>
      <c r="C884" s="13">
        <v>1020</v>
      </c>
      <c r="D884" s="13">
        <v>4.3710000000000004</v>
      </c>
      <c r="E884" s="13">
        <v>1378</v>
      </c>
      <c r="F884" s="13">
        <v>1540</v>
      </c>
      <c r="G884" s="13">
        <v>1.85</v>
      </c>
      <c r="H884" s="13">
        <f t="shared" si="12"/>
        <v>61.11213907764806</v>
      </c>
    </row>
    <row r="885" spans="2:8" s="460" customFormat="1">
      <c r="B885" s="13">
        <v>200</v>
      </c>
      <c r="C885" s="13">
        <v>1040</v>
      </c>
      <c r="D885" s="13">
        <v>4.4320000000000004</v>
      </c>
      <c r="E885" s="13">
        <v>1387</v>
      </c>
      <c r="F885" s="13">
        <v>1551</v>
      </c>
      <c r="G885" s="13">
        <v>1.857</v>
      </c>
      <c r="H885" s="13">
        <f t="shared" si="12"/>
        <v>61.548654356774115</v>
      </c>
    </row>
    <row r="886" spans="2:8" s="460" customFormat="1">
      <c r="B886" s="13">
        <v>200</v>
      </c>
      <c r="C886" s="13">
        <v>1060</v>
      </c>
      <c r="D886" s="13">
        <v>4.4930000000000003</v>
      </c>
      <c r="E886" s="13">
        <v>1395</v>
      </c>
      <c r="F886" s="13">
        <v>1561</v>
      </c>
      <c r="G886" s="13">
        <v>1.8640000000000001</v>
      </c>
      <c r="H886" s="13">
        <f t="shared" si="12"/>
        <v>61.9454864287069</v>
      </c>
    </row>
    <row r="887" spans="2:8" s="460" customFormat="1">
      <c r="B887" s="13">
        <v>200</v>
      </c>
      <c r="C887" s="13">
        <v>1080</v>
      </c>
      <c r="D887" s="13">
        <v>4.5540000000000003</v>
      </c>
      <c r="E887" s="13">
        <v>1403</v>
      </c>
      <c r="F887" s="13">
        <v>1572</v>
      </c>
      <c r="G887" s="13">
        <v>1.871</v>
      </c>
      <c r="H887" s="13">
        <f t="shared" si="12"/>
        <v>62.382001707832956</v>
      </c>
    </row>
    <row r="888" spans="2:8" s="460" customFormat="1">
      <c r="B888" s="13">
        <v>200</v>
      </c>
      <c r="C888" s="13">
        <v>1100</v>
      </c>
      <c r="D888" s="13">
        <v>4.6150000000000002</v>
      </c>
      <c r="E888" s="13">
        <v>1412</v>
      </c>
      <c r="F888" s="13">
        <v>1582</v>
      </c>
      <c r="G888" s="13">
        <v>1.8779999999999999</v>
      </c>
      <c r="H888" s="13">
        <f t="shared" si="12"/>
        <v>62.778833779765733</v>
      </c>
    </row>
    <row r="889" spans="2:8" s="460" customFormat="1">
      <c r="B889" s="13">
        <v>200</v>
      </c>
      <c r="C889" s="13">
        <v>1120</v>
      </c>
      <c r="D889" s="13">
        <v>4.6760000000000002</v>
      </c>
      <c r="E889" s="13">
        <v>1420</v>
      </c>
      <c r="F889" s="13">
        <v>1593</v>
      </c>
      <c r="G889" s="13">
        <v>1.885</v>
      </c>
      <c r="H889" s="13">
        <f t="shared" ref="H889:H952" si="13">F889/$E$22*18</f>
        <v>63.215349058891789</v>
      </c>
    </row>
    <row r="890" spans="2:8" s="460" customFormat="1">
      <c r="B890" s="13">
        <v>200</v>
      </c>
      <c r="C890" s="13">
        <v>1140</v>
      </c>
      <c r="D890" s="13">
        <v>4.7359999999999998</v>
      </c>
      <c r="E890" s="13">
        <v>1428</v>
      </c>
      <c r="F890" s="13">
        <v>1604</v>
      </c>
      <c r="G890" s="13">
        <v>1.8919999999999999</v>
      </c>
      <c r="H890" s="13">
        <f t="shared" si="13"/>
        <v>63.651864338017852</v>
      </c>
    </row>
    <row r="891" spans="2:8" s="460" customFormat="1">
      <c r="B891" s="13">
        <v>200</v>
      </c>
      <c r="C891" s="13">
        <v>1160</v>
      </c>
      <c r="D891" s="13">
        <v>4.7969999999999997</v>
      </c>
      <c r="E891" s="13">
        <v>1437</v>
      </c>
      <c r="F891" s="13">
        <v>1615</v>
      </c>
      <c r="G891" s="13">
        <v>1.8979999999999999</v>
      </c>
      <c r="H891" s="13">
        <f t="shared" si="13"/>
        <v>64.088379617143914</v>
      </c>
    </row>
    <row r="892" spans="2:8" s="460" customFormat="1">
      <c r="B892" s="13">
        <v>200</v>
      </c>
      <c r="C892" s="13">
        <v>1180</v>
      </c>
      <c r="D892" s="13">
        <v>4.8579999999999997</v>
      </c>
      <c r="E892" s="13">
        <v>1445</v>
      </c>
      <c r="F892" s="13">
        <v>1625</v>
      </c>
      <c r="G892" s="13">
        <v>1.905</v>
      </c>
      <c r="H892" s="13">
        <f t="shared" si="13"/>
        <v>64.485211689076692</v>
      </c>
    </row>
    <row r="893" spans="2:8" s="460" customFormat="1">
      <c r="B893" s="13">
        <v>200</v>
      </c>
      <c r="C893" s="13">
        <v>1200</v>
      </c>
      <c r="D893" s="13">
        <v>4.9180000000000001</v>
      </c>
      <c r="E893" s="13">
        <v>1454</v>
      </c>
      <c r="F893" s="13">
        <v>1636</v>
      </c>
      <c r="G893" s="13">
        <v>1.911</v>
      </c>
      <c r="H893" s="13">
        <f t="shared" si="13"/>
        <v>64.921726968202748</v>
      </c>
    </row>
    <row r="894" spans="2:8" s="460" customFormat="1">
      <c r="B894" s="13">
        <v>200</v>
      </c>
      <c r="C894" s="13">
        <v>1220</v>
      </c>
      <c r="D894" s="13">
        <v>4.9790000000000001</v>
      </c>
      <c r="E894" s="13">
        <v>1463</v>
      </c>
      <c r="F894" s="13">
        <v>1647</v>
      </c>
      <c r="G894" s="13">
        <v>1.9179999999999999</v>
      </c>
      <c r="H894" s="13">
        <f t="shared" si="13"/>
        <v>65.358242247328803</v>
      </c>
    </row>
    <row r="895" spans="2:8" s="460" customFormat="1">
      <c r="B895" s="13">
        <v>200</v>
      </c>
      <c r="C895" s="13">
        <v>1240</v>
      </c>
      <c r="D895" s="13">
        <v>5.0389999999999997</v>
      </c>
      <c r="E895" s="13">
        <v>1471</v>
      </c>
      <c r="F895" s="13">
        <v>1658</v>
      </c>
      <c r="G895" s="13">
        <v>1.9239999999999999</v>
      </c>
      <c r="H895" s="13">
        <f t="shared" si="13"/>
        <v>65.794757526454859</v>
      </c>
    </row>
    <row r="896" spans="2:8" s="460" customFormat="1">
      <c r="B896" s="13">
        <v>200</v>
      </c>
      <c r="C896" s="13">
        <v>1260</v>
      </c>
      <c r="D896" s="13">
        <v>5.0999999999999996</v>
      </c>
      <c r="E896" s="13">
        <v>1480</v>
      </c>
      <c r="F896" s="13">
        <v>1669</v>
      </c>
      <c r="G896" s="13">
        <v>1.931</v>
      </c>
      <c r="H896" s="13">
        <f t="shared" si="13"/>
        <v>66.231272805580915</v>
      </c>
    </row>
    <row r="897" spans="2:8" s="460" customFormat="1">
      <c r="B897" s="13">
        <v>200</v>
      </c>
      <c r="C897" s="13">
        <v>1280</v>
      </c>
      <c r="D897" s="13">
        <v>5.16</v>
      </c>
      <c r="E897" s="13">
        <v>1489</v>
      </c>
      <c r="F897" s="13">
        <v>1680</v>
      </c>
      <c r="G897" s="13">
        <v>1.9370000000000001</v>
      </c>
      <c r="H897" s="13">
        <f t="shared" si="13"/>
        <v>66.66778808470697</v>
      </c>
    </row>
    <row r="898" spans="2:8" s="460" customFormat="1">
      <c r="B898" s="13">
        <v>200</v>
      </c>
      <c r="C898" s="13">
        <v>1300</v>
      </c>
      <c r="D898" s="13">
        <v>5.2210000000000001</v>
      </c>
      <c r="E898" s="13">
        <v>1497</v>
      </c>
      <c r="F898" s="13">
        <v>1690</v>
      </c>
      <c r="G898" s="13">
        <v>1.9430000000000001</v>
      </c>
      <c r="H898" s="13">
        <f t="shared" si="13"/>
        <v>67.064620156639762</v>
      </c>
    </row>
    <row r="899" spans="2:8" s="460" customFormat="1">
      <c r="B899" s="13">
        <v>200</v>
      </c>
      <c r="C899" s="13">
        <v>1320</v>
      </c>
      <c r="D899" s="13">
        <v>5.2809999999999997</v>
      </c>
      <c r="E899" s="13">
        <v>1506</v>
      </c>
      <c r="F899" s="13">
        <v>1701</v>
      </c>
      <c r="G899" s="13">
        <v>1.9490000000000001</v>
      </c>
      <c r="H899" s="13">
        <f t="shared" si="13"/>
        <v>67.501135435765818</v>
      </c>
    </row>
    <row r="900" spans="2:8" s="460" customFormat="1">
      <c r="B900" s="13">
        <v>200</v>
      </c>
      <c r="C900" s="13">
        <v>1340</v>
      </c>
      <c r="D900" s="13">
        <v>5.3410000000000002</v>
      </c>
      <c r="E900" s="13">
        <v>1515</v>
      </c>
      <c r="F900" s="13">
        <v>1713</v>
      </c>
      <c r="G900" s="13">
        <v>1.956</v>
      </c>
      <c r="H900" s="13">
        <f t="shared" si="13"/>
        <v>67.977333922085151</v>
      </c>
    </row>
    <row r="901" spans="2:8" s="460" customFormat="1">
      <c r="B901" s="13">
        <v>200</v>
      </c>
      <c r="C901" s="13">
        <v>1360</v>
      </c>
      <c r="D901" s="13">
        <v>5.4020000000000001</v>
      </c>
      <c r="E901" s="13">
        <v>1524</v>
      </c>
      <c r="F901" s="13">
        <v>1724</v>
      </c>
      <c r="G901" s="13">
        <v>1.962</v>
      </c>
      <c r="H901" s="13">
        <f t="shared" si="13"/>
        <v>68.413849201211207</v>
      </c>
    </row>
    <row r="902" spans="2:8" s="460" customFormat="1">
      <c r="B902" s="13">
        <v>200</v>
      </c>
      <c r="C902" s="13">
        <v>1380</v>
      </c>
      <c r="D902" s="13">
        <v>5.4619999999999997</v>
      </c>
      <c r="E902" s="13">
        <v>1532</v>
      </c>
      <c r="F902" s="13">
        <v>1735</v>
      </c>
      <c r="G902" s="13">
        <v>1.968</v>
      </c>
      <c r="H902" s="13">
        <f t="shared" si="13"/>
        <v>68.850364480337262</v>
      </c>
    </row>
    <row r="903" spans="2:8" s="460" customFormat="1">
      <c r="B903" s="13">
        <v>200</v>
      </c>
      <c r="C903" s="13">
        <v>1400</v>
      </c>
      <c r="D903" s="13">
        <v>5.5220000000000002</v>
      </c>
      <c r="E903" s="13">
        <v>1541</v>
      </c>
      <c r="F903" s="13">
        <v>1746</v>
      </c>
      <c r="G903" s="13">
        <v>1.974</v>
      </c>
      <c r="H903" s="13">
        <f t="shared" si="13"/>
        <v>69.286879759463318</v>
      </c>
    </row>
    <row r="904" spans="2:8" s="460" customFormat="1">
      <c r="B904" s="13">
        <v>200</v>
      </c>
      <c r="C904" s="13">
        <v>1420</v>
      </c>
      <c r="D904" s="13">
        <v>5.5819999999999999</v>
      </c>
      <c r="E904" s="13">
        <v>1550</v>
      </c>
      <c r="F904" s="13">
        <v>1757</v>
      </c>
      <c r="G904" s="13">
        <v>1.98</v>
      </c>
      <c r="H904" s="13">
        <f t="shared" si="13"/>
        <v>69.723395038589388</v>
      </c>
    </row>
    <row r="905" spans="2:8" s="460" customFormat="1">
      <c r="B905" s="13">
        <v>200</v>
      </c>
      <c r="C905" s="13">
        <v>1440</v>
      </c>
      <c r="D905" s="13">
        <v>5.6429999999999998</v>
      </c>
      <c r="E905" s="13">
        <v>1559</v>
      </c>
      <c r="F905" s="13">
        <v>1768</v>
      </c>
      <c r="G905" s="13">
        <v>1.986</v>
      </c>
      <c r="H905" s="13">
        <f t="shared" si="13"/>
        <v>70.159910317715443</v>
      </c>
    </row>
    <row r="906" spans="2:8" s="460" customFormat="1">
      <c r="B906" s="13">
        <v>200</v>
      </c>
      <c r="C906" s="13">
        <v>1460</v>
      </c>
      <c r="D906" s="13">
        <v>5.7030000000000003</v>
      </c>
      <c r="E906" s="13">
        <v>1568</v>
      </c>
      <c r="F906" s="13">
        <v>1779</v>
      </c>
      <c r="G906" s="13">
        <v>1.992</v>
      </c>
      <c r="H906" s="13">
        <f t="shared" si="13"/>
        <v>70.596425596841499</v>
      </c>
    </row>
    <row r="907" spans="2:8" s="460" customFormat="1">
      <c r="B907" s="13">
        <v>200</v>
      </c>
      <c r="C907" s="13">
        <v>1480</v>
      </c>
      <c r="D907" s="13">
        <v>5.7629999999999999</v>
      </c>
      <c r="E907" s="13">
        <v>1577</v>
      </c>
      <c r="F907" s="13">
        <v>1791</v>
      </c>
      <c r="G907" s="13">
        <v>1.9970000000000001</v>
      </c>
      <c r="H907" s="13">
        <f t="shared" si="13"/>
        <v>71.072624083160832</v>
      </c>
    </row>
    <row r="908" spans="2:8" s="460" customFormat="1">
      <c r="B908" s="13">
        <v>200</v>
      </c>
      <c r="C908" s="13">
        <v>1500</v>
      </c>
      <c r="D908" s="13">
        <v>5.8230000000000004</v>
      </c>
      <c r="E908" s="13">
        <v>1586</v>
      </c>
      <c r="F908" s="13">
        <v>1802</v>
      </c>
      <c r="G908" s="13">
        <v>2.0030000000000001</v>
      </c>
      <c r="H908" s="13">
        <f t="shared" si="13"/>
        <v>71.509139362286888</v>
      </c>
    </row>
    <row r="909" spans="2:8" s="460" customFormat="1">
      <c r="B909" s="13">
        <v>150</v>
      </c>
      <c r="C909" s="13">
        <v>1480</v>
      </c>
      <c r="D909" s="13">
        <v>7.6890000000000001</v>
      </c>
      <c r="E909" s="13">
        <v>1578</v>
      </c>
      <c r="F909" s="13">
        <v>1791</v>
      </c>
      <c r="G909" s="13">
        <v>2.0289999999999999</v>
      </c>
      <c r="H909" s="13">
        <f t="shared" si="13"/>
        <v>71.072624083160832</v>
      </c>
    </row>
    <row r="910" spans="2:8" s="460" customFormat="1" ht="14.1" customHeight="1">
      <c r="B910" s="13">
        <v>150</v>
      </c>
      <c r="C910" s="13">
        <v>1500</v>
      </c>
      <c r="D910" s="13">
        <v>7.7690000000000001</v>
      </c>
      <c r="E910" s="13">
        <v>1587</v>
      </c>
      <c r="F910" s="13">
        <v>1803</v>
      </c>
      <c r="G910" s="13">
        <v>2.0350000000000001</v>
      </c>
      <c r="H910" s="13">
        <f t="shared" si="13"/>
        <v>71.548822569480166</v>
      </c>
    </row>
    <row r="911" spans="2:8" s="460" customFormat="1">
      <c r="B911" s="13">
        <v>300</v>
      </c>
      <c r="C911" s="13">
        <v>32</v>
      </c>
      <c r="D911" s="13">
        <v>1.6E-2</v>
      </c>
      <c r="E911" s="13">
        <v>-2.1050000000000001E-3</v>
      </c>
      <c r="F911" s="13">
        <v>0.88639999999999997</v>
      </c>
      <c r="G911" s="13">
        <v>-5.0000000000000004E-6</v>
      </c>
      <c r="H911" s="13">
        <f t="shared" si="13"/>
        <v>3.517519485612159E-2</v>
      </c>
    </row>
    <row r="912" spans="2:8" s="460" customFormat="1">
      <c r="B912" s="13">
        <v>300</v>
      </c>
      <c r="C912" s="13">
        <v>40</v>
      </c>
      <c r="D912" s="13">
        <v>1.6E-2</v>
      </c>
      <c r="E912" s="13">
        <v>8.0299999999999994</v>
      </c>
      <c r="F912" s="13">
        <v>8.9179999999999993</v>
      </c>
      <c r="G912" s="13">
        <v>1.6199999999999999E-2</v>
      </c>
      <c r="H912" s="13">
        <f t="shared" si="13"/>
        <v>0.35389484174965286</v>
      </c>
    </row>
    <row r="913" spans="2:8" s="460" customFormat="1">
      <c r="B913" s="13">
        <v>300</v>
      </c>
      <c r="C913" s="13">
        <v>60</v>
      </c>
      <c r="D913" s="13">
        <v>1.602E-2</v>
      </c>
      <c r="E913" s="13">
        <v>28.04</v>
      </c>
      <c r="F913" s="13">
        <v>28.93</v>
      </c>
      <c r="G913" s="13">
        <v>5.5460000000000002E-2</v>
      </c>
      <c r="H913" s="13">
        <f t="shared" si="13"/>
        <v>1.1480351841015315</v>
      </c>
    </row>
    <row r="914" spans="2:8" s="460" customFormat="1">
      <c r="B914" s="13">
        <v>300</v>
      </c>
      <c r="C914" s="13">
        <v>80</v>
      </c>
      <c r="D914" s="13">
        <v>1.6060000000000001E-2</v>
      </c>
      <c r="E914" s="13">
        <v>47.99</v>
      </c>
      <c r="F914" s="13">
        <v>48.89</v>
      </c>
      <c r="G914" s="13">
        <v>9.3149999999999997E-2</v>
      </c>
      <c r="H914" s="13">
        <f t="shared" si="13"/>
        <v>1.9401119996793597</v>
      </c>
    </row>
    <row r="915" spans="2:8" s="460" customFormat="1">
      <c r="B915" s="13">
        <v>300</v>
      </c>
      <c r="C915" s="13">
        <v>100</v>
      </c>
      <c r="D915" s="13">
        <v>1.6119999999999999E-2</v>
      </c>
      <c r="E915" s="13">
        <v>67.930000000000007</v>
      </c>
      <c r="F915" s="13">
        <v>68.83</v>
      </c>
      <c r="G915" s="13">
        <v>0.12939999999999999</v>
      </c>
      <c r="H915" s="13">
        <f t="shared" si="13"/>
        <v>2.7313951511133219</v>
      </c>
    </row>
    <row r="916" spans="2:8" s="460" customFormat="1">
      <c r="B916" s="13">
        <v>300</v>
      </c>
      <c r="C916" s="13">
        <v>120</v>
      </c>
      <c r="D916" s="13">
        <v>1.619E-2</v>
      </c>
      <c r="E916" s="13">
        <v>87.87</v>
      </c>
      <c r="F916" s="13">
        <v>88.77</v>
      </c>
      <c r="G916" s="13">
        <v>0.16439999999999999</v>
      </c>
      <c r="H916" s="13">
        <f t="shared" si="13"/>
        <v>3.522678302547285</v>
      </c>
    </row>
    <row r="917" spans="2:8" s="460" customFormat="1">
      <c r="B917" s="13">
        <v>300</v>
      </c>
      <c r="C917" s="13">
        <v>140</v>
      </c>
      <c r="D917" s="13">
        <v>1.6279999999999999E-2</v>
      </c>
      <c r="E917" s="13">
        <v>107.8</v>
      </c>
      <c r="F917" s="13">
        <v>108.7</v>
      </c>
      <c r="G917" s="13">
        <v>0.1983</v>
      </c>
      <c r="H917" s="13">
        <f t="shared" si="13"/>
        <v>4.3135646219093147</v>
      </c>
    </row>
    <row r="918" spans="2:8" s="460" customFormat="1">
      <c r="B918" s="13">
        <v>300</v>
      </c>
      <c r="C918" s="13">
        <v>160</v>
      </c>
      <c r="D918" s="13">
        <v>1.6379999999999999E-2</v>
      </c>
      <c r="E918" s="13">
        <v>127.8</v>
      </c>
      <c r="F918" s="13">
        <v>128.69999999999999</v>
      </c>
      <c r="G918" s="13">
        <v>0.23100000000000001</v>
      </c>
      <c r="H918" s="13">
        <f t="shared" si="13"/>
        <v>5.1072287657748729</v>
      </c>
    </row>
    <row r="919" spans="2:8" s="460" customFormat="1">
      <c r="B919" s="13">
        <v>300</v>
      </c>
      <c r="C919" s="13">
        <v>180</v>
      </c>
      <c r="D919" s="13">
        <v>1.6490000000000001E-2</v>
      </c>
      <c r="E919" s="13">
        <v>147.80000000000001</v>
      </c>
      <c r="F919" s="13">
        <v>148.69999999999999</v>
      </c>
      <c r="G919" s="13">
        <v>0.26279999999999998</v>
      </c>
      <c r="H919" s="13">
        <f t="shared" si="13"/>
        <v>5.9008929096404321</v>
      </c>
    </row>
    <row r="920" spans="2:8" s="460" customFormat="1">
      <c r="B920" s="13">
        <v>300</v>
      </c>
      <c r="C920" s="13">
        <v>200</v>
      </c>
      <c r="D920" s="13">
        <v>1.6619999999999999E-2</v>
      </c>
      <c r="E920" s="13">
        <v>167.8</v>
      </c>
      <c r="F920" s="13">
        <v>168.8</v>
      </c>
      <c r="G920" s="13">
        <v>0.29370000000000002</v>
      </c>
      <c r="H920" s="13">
        <f t="shared" si="13"/>
        <v>6.6985253742253201</v>
      </c>
    </row>
    <row r="921" spans="2:8" s="460" customFormat="1">
      <c r="B921" s="13">
        <v>300</v>
      </c>
      <c r="C921" s="13">
        <v>220</v>
      </c>
      <c r="D921" s="13">
        <v>1.6750000000000001E-2</v>
      </c>
      <c r="E921" s="13">
        <v>187.9</v>
      </c>
      <c r="F921" s="13">
        <v>188.9</v>
      </c>
      <c r="G921" s="13">
        <v>0.32369999999999999</v>
      </c>
      <c r="H921" s="13">
        <f t="shared" si="13"/>
        <v>7.4961578388102073</v>
      </c>
    </row>
    <row r="922" spans="2:8" s="460" customFormat="1">
      <c r="B922" s="13">
        <v>300</v>
      </c>
      <c r="C922" s="13">
        <v>240</v>
      </c>
      <c r="D922" s="13">
        <v>1.6899999999999998E-2</v>
      </c>
      <c r="E922" s="13">
        <v>208.1</v>
      </c>
      <c r="F922" s="13">
        <v>209.1</v>
      </c>
      <c r="G922" s="13">
        <v>0.35299999999999998</v>
      </c>
      <c r="H922" s="13">
        <f t="shared" si="13"/>
        <v>8.2977586241144223</v>
      </c>
    </row>
    <row r="923" spans="2:8" s="460" customFormat="1">
      <c r="B923" s="13">
        <v>300</v>
      </c>
      <c r="C923" s="13">
        <v>260</v>
      </c>
      <c r="D923" s="13">
        <v>1.7069999999999998E-2</v>
      </c>
      <c r="E923" s="13">
        <v>228.4</v>
      </c>
      <c r="F923" s="13">
        <v>229.3</v>
      </c>
      <c r="G923" s="13">
        <v>0.38159999999999999</v>
      </c>
      <c r="H923" s="13">
        <f t="shared" si="13"/>
        <v>9.0993594094186374</v>
      </c>
    </row>
    <row r="924" spans="2:8" s="460" customFormat="1">
      <c r="B924" s="13">
        <v>300</v>
      </c>
      <c r="C924" s="13">
        <v>280</v>
      </c>
      <c r="D924" s="13">
        <v>1.7239999999999998E-2</v>
      </c>
      <c r="E924" s="13">
        <v>248.7</v>
      </c>
      <c r="F924" s="13">
        <v>249.7</v>
      </c>
      <c r="G924" s="13">
        <v>0.40949999999999998</v>
      </c>
      <c r="H924" s="13">
        <f t="shared" si="13"/>
        <v>9.9088968361615066</v>
      </c>
    </row>
    <row r="925" spans="2:8" s="460" customFormat="1">
      <c r="B925" s="13">
        <v>300</v>
      </c>
      <c r="C925" s="13">
        <v>300</v>
      </c>
      <c r="D925" s="13">
        <v>1.7430000000000001E-2</v>
      </c>
      <c r="E925" s="13">
        <v>269.2</v>
      </c>
      <c r="F925" s="13">
        <v>270.2</v>
      </c>
      <c r="G925" s="13">
        <v>0.43680000000000002</v>
      </c>
      <c r="H925" s="13">
        <f t="shared" si="13"/>
        <v>10.722402583623706</v>
      </c>
    </row>
    <row r="926" spans="2:8" s="460" customFormat="1">
      <c r="B926" s="13">
        <v>300</v>
      </c>
      <c r="C926" s="13">
        <v>320</v>
      </c>
      <c r="D926" s="13">
        <v>1.7639999999999999E-2</v>
      </c>
      <c r="E926" s="13">
        <v>289.8</v>
      </c>
      <c r="F926" s="13">
        <v>290.8</v>
      </c>
      <c r="G926" s="13">
        <v>0.46360000000000001</v>
      </c>
      <c r="H926" s="13">
        <f t="shared" si="13"/>
        <v>11.539876651805232</v>
      </c>
    </row>
    <row r="927" spans="2:8" s="460" customFormat="1">
      <c r="B927" s="13">
        <v>300</v>
      </c>
      <c r="C927" s="13">
        <v>340</v>
      </c>
      <c r="D927" s="13">
        <v>1.7860000000000001E-2</v>
      </c>
      <c r="E927" s="13">
        <v>310.60000000000002</v>
      </c>
      <c r="F927" s="13">
        <v>311.60000000000002</v>
      </c>
      <c r="G927" s="13">
        <v>0.4899</v>
      </c>
      <c r="H927" s="13">
        <f t="shared" si="13"/>
        <v>12.365287361425413</v>
      </c>
    </row>
    <row r="928" spans="2:8" s="460" customFormat="1">
      <c r="B928" s="13">
        <v>300</v>
      </c>
      <c r="C928" s="13">
        <v>360</v>
      </c>
      <c r="D928" s="13">
        <v>1.8089999999999998E-2</v>
      </c>
      <c r="E928" s="13">
        <v>331.5</v>
      </c>
      <c r="F928" s="13">
        <v>332.6</v>
      </c>
      <c r="G928" s="13">
        <v>0.51580000000000004</v>
      </c>
      <c r="H928" s="13">
        <f t="shared" si="13"/>
        <v>13.198634712484251</v>
      </c>
    </row>
    <row r="929" spans="2:8" s="460" customFormat="1">
      <c r="B929" s="13">
        <v>300</v>
      </c>
      <c r="C929" s="13">
        <v>380</v>
      </c>
      <c r="D929" s="13">
        <v>1.8350000000000002E-2</v>
      </c>
      <c r="E929" s="13">
        <v>352.7</v>
      </c>
      <c r="F929" s="13">
        <v>353.7</v>
      </c>
      <c r="G929" s="13">
        <v>0.5413</v>
      </c>
      <c r="H929" s="13">
        <f t="shared" si="13"/>
        <v>14.035950384262415</v>
      </c>
    </row>
    <row r="930" spans="2:8" s="460" customFormat="1">
      <c r="B930" s="13">
        <v>300</v>
      </c>
      <c r="C930" s="13">
        <v>400</v>
      </c>
      <c r="D930" s="13">
        <v>1.8630000000000001E-2</v>
      </c>
      <c r="E930" s="13">
        <v>374.1</v>
      </c>
      <c r="F930" s="13">
        <v>375.2</v>
      </c>
      <c r="G930" s="13">
        <v>0.56659999999999999</v>
      </c>
      <c r="H930" s="13">
        <f t="shared" si="13"/>
        <v>14.889139338917891</v>
      </c>
    </row>
    <row r="931" spans="2:8" s="460" customFormat="1">
      <c r="B931" s="13">
        <v>300</v>
      </c>
      <c r="C931" s="13">
        <v>417.37</v>
      </c>
      <c r="D931" s="13">
        <v>1.89E-2</v>
      </c>
      <c r="E931" s="13">
        <v>393</v>
      </c>
      <c r="F931" s="13">
        <v>394</v>
      </c>
      <c r="G931" s="13">
        <v>0.58830000000000005</v>
      </c>
      <c r="H931" s="13">
        <f t="shared" si="13"/>
        <v>15.635183634151517</v>
      </c>
    </row>
    <row r="932" spans="2:8" s="460" customFormat="1">
      <c r="B932" s="13">
        <v>300</v>
      </c>
      <c r="C932" s="13">
        <v>417.37</v>
      </c>
      <c r="D932" s="13">
        <v>1.5429999999999999</v>
      </c>
      <c r="E932" s="13">
        <v>1118</v>
      </c>
      <c r="F932" s="13">
        <v>1203</v>
      </c>
      <c r="G932" s="13">
        <v>1.5109999999999999</v>
      </c>
      <c r="H932" s="13">
        <f t="shared" si="13"/>
        <v>47.738898253513383</v>
      </c>
    </row>
    <row r="933" spans="2:8" s="460" customFormat="1">
      <c r="B933" s="13">
        <v>300</v>
      </c>
      <c r="C933" s="13">
        <v>420</v>
      </c>
      <c r="D933" s="13">
        <v>1.5509999999999999</v>
      </c>
      <c r="E933" s="13">
        <v>1119</v>
      </c>
      <c r="F933" s="13">
        <v>1205</v>
      </c>
      <c r="G933" s="13">
        <v>1.5129999999999999</v>
      </c>
      <c r="H933" s="13">
        <f t="shared" si="13"/>
        <v>47.818264667899946</v>
      </c>
    </row>
    <row r="934" spans="2:8" s="460" customFormat="1">
      <c r="B934" s="13">
        <v>300</v>
      </c>
      <c r="C934" s="13">
        <v>440</v>
      </c>
      <c r="D934" s="13">
        <v>1.609</v>
      </c>
      <c r="E934" s="13">
        <v>1130</v>
      </c>
      <c r="F934" s="13">
        <v>1220</v>
      </c>
      <c r="G934" s="13">
        <v>1.53</v>
      </c>
      <c r="H934" s="13">
        <f t="shared" si="13"/>
        <v>48.413512775799113</v>
      </c>
    </row>
    <row r="935" spans="2:8" s="460" customFormat="1">
      <c r="B935" s="13">
        <v>300</v>
      </c>
      <c r="C935" s="13">
        <v>460</v>
      </c>
      <c r="D935" s="13">
        <v>1.6639999999999999</v>
      </c>
      <c r="E935" s="13">
        <v>1141</v>
      </c>
      <c r="F935" s="13">
        <v>1233</v>
      </c>
      <c r="G935" s="13">
        <v>1.544</v>
      </c>
      <c r="H935" s="13">
        <f t="shared" si="13"/>
        <v>48.929394469311731</v>
      </c>
    </row>
    <row r="936" spans="2:8" s="460" customFormat="1">
      <c r="B936" s="13">
        <v>300</v>
      </c>
      <c r="C936" s="13">
        <v>480</v>
      </c>
      <c r="D936" s="13">
        <v>1.716</v>
      </c>
      <c r="E936" s="13">
        <v>1150</v>
      </c>
      <c r="F936" s="13">
        <v>1246</v>
      </c>
      <c r="G936" s="13">
        <v>1.5580000000000001</v>
      </c>
      <c r="H936" s="13">
        <f t="shared" si="13"/>
        <v>49.445276162824342</v>
      </c>
    </row>
    <row r="937" spans="2:8" s="460" customFormat="1">
      <c r="B937" s="13">
        <v>300</v>
      </c>
      <c r="C937" s="13">
        <v>500</v>
      </c>
      <c r="D937" s="13">
        <v>1.7669999999999999</v>
      </c>
      <c r="E937" s="13">
        <v>1160</v>
      </c>
      <c r="F937" s="13">
        <v>1258</v>
      </c>
      <c r="G937" s="13">
        <v>1.571</v>
      </c>
      <c r="H937" s="13">
        <f t="shared" si="13"/>
        <v>49.921474649143676</v>
      </c>
    </row>
    <row r="938" spans="2:8" s="460" customFormat="1">
      <c r="B938" s="13">
        <v>300</v>
      </c>
      <c r="C938" s="13">
        <v>520</v>
      </c>
      <c r="D938" s="13">
        <v>1.8160000000000001</v>
      </c>
      <c r="E938" s="13">
        <v>1169</v>
      </c>
      <c r="F938" s="13">
        <v>1270</v>
      </c>
      <c r="G938" s="13">
        <v>1.583</v>
      </c>
      <c r="H938" s="13">
        <f t="shared" si="13"/>
        <v>50.397673135463009</v>
      </c>
    </row>
    <row r="939" spans="2:8" s="460" customFormat="1">
      <c r="B939" s="13">
        <v>300</v>
      </c>
      <c r="C939" s="13">
        <v>540</v>
      </c>
      <c r="D939" s="13">
        <v>1.865</v>
      </c>
      <c r="E939" s="13">
        <v>1178</v>
      </c>
      <c r="F939" s="13">
        <v>1281</v>
      </c>
      <c r="G939" s="13">
        <v>1.595</v>
      </c>
      <c r="H939" s="13">
        <f t="shared" si="13"/>
        <v>50.834188414589072</v>
      </c>
    </row>
    <row r="940" spans="2:8" s="460" customFormat="1">
      <c r="B940" s="13">
        <v>300</v>
      </c>
      <c r="C940" s="13">
        <v>560</v>
      </c>
      <c r="D940" s="13">
        <v>1.9119999999999999</v>
      </c>
      <c r="E940" s="13">
        <v>1186</v>
      </c>
      <c r="F940" s="13">
        <v>1293</v>
      </c>
      <c r="G940" s="13">
        <v>1.6060000000000001</v>
      </c>
      <c r="H940" s="13">
        <f t="shared" si="13"/>
        <v>51.310386900908405</v>
      </c>
    </row>
    <row r="941" spans="2:8" s="460" customFormat="1">
      <c r="B941" s="13">
        <v>300</v>
      </c>
      <c r="C941" s="13">
        <v>580</v>
      </c>
      <c r="D941" s="13">
        <v>1.9590000000000001</v>
      </c>
      <c r="E941" s="13">
        <v>1195</v>
      </c>
      <c r="F941" s="13">
        <v>1304</v>
      </c>
      <c r="G941" s="13">
        <v>1.617</v>
      </c>
      <c r="H941" s="13">
        <f t="shared" si="13"/>
        <v>51.746902180034461</v>
      </c>
    </row>
    <row r="942" spans="2:8" s="460" customFormat="1">
      <c r="B942" s="13">
        <v>300</v>
      </c>
      <c r="C942" s="13">
        <v>600</v>
      </c>
      <c r="D942" s="13">
        <v>2.0049999999999999</v>
      </c>
      <c r="E942" s="13">
        <v>1204</v>
      </c>
      <c r="F942" s="13">
        <v>1315</v>
      </c>
      <c r="G942" s="13">
        <v>1.627</v>
      </c>
      <c r="H942" s="13">
        <f t="shared" si="13"/>
        <v>52.183417459160516</v>
      </c>
    </row>
    <row r="943" spans="2:8" s="460" customFormat="1">
      <c r="B943" s="13">
        <v>300</v>
      </c>
      <c r="C943" s="13">
        <v>620</v>
      </c>
      <c r="D943" s="13">
        <v>2.0499999999999998</v>
      </c>
      <c r="E943" s="13">
        <v>1212</v>
      </c>
      <c r="F943" s="13">
        <v>1326</v>
      </c>
      <c r="G943" s="13">
        <v>1.637</v>
      </c>
      <c r="H943" s="13">
        <f t="shared" si="13"/>
        <v>52.619932738286579</v>
      </c>
    </row>
    <row r="944" spans="2:8" s="460" customFormat="1">
      <c r="B944" s="13">
        <v>300</v>
      </c>
      <c r="C944" s="13">
        <v>640</v>
      </c>
      <c r="D944" s="13">
        <v>2.0950000000000002</v>
      </c>
      <c r="E944" s="13">
        <v>1220</v>
      </c>
      <c r="F944" s="13">
        <v>1337</v>
      </c>
      <c r="G944" s="13">
        <v>1.647</v>
      </c>
      <c r="H944" s="13">
        <f t="shared" si="13"/>
        <v>53.056448017412634</v>
      </c>
    </row>
    <row r="945" spans="2:8" s="460" customFormat="1">
      <c r="B945" s="13">
        <v>300</v>
      </c>
      <c r="C945" s="13">
        <v>660</v>
      </c>
      <c r="D945" s="13">
        <v>2.1389999999999998</v>
      </c>
      <c r="E945" s="13">
        <v>1228</v>
      </c>
      <c r="F945" s="13">
        <v>1347</v>
      </c>
      <c r="G945" s="13">
        <v>1.657</v>
      </c>
      <c r="H945" s="13">
        <f t="shared" si="13"/>
        <v>53.453280089345419</v>
      </c>
    </row>
    <row r="946" spans="2:8" s="460" customFormat="1">
      <c r="B946" s="13">
        <v>300</v>
      </c>
      <c r="C946" s="13">
        <v>680</v>
      </c>
      <c r="D946" s="13">
        <v>2.1829999999999998</v>
      </c>
      <c r="E946" s="13">
        <v>1237</v>
      </c>
      <c r="F946" s="13">
        <v>1358</v>
      </c>
      <c r="G946" s="13">
        <v>1.6659999999999999</v>
      </c>
      <c r="H946" s="13">
        <f t="shared" si="13"/>
        <v>53.889795368471475</v>
      </c>
    </row>
    <row r="947" spans="2:8" s="460" customFormat="1">
      <c r="B947" s="13">
        <v>300</v>
      </c>
      <c r="C947" s="13">
        <v>700</v>
      </c>
      <c r="D947" s="13">
        <v>2.2269999999999999</v>
      </c>
      <c r="E947" s="13">
        <v>1245</v>
      </c>
      <c r="F947" s="13">
        <v>1369</v>
      </c>
      <c r="G947" s="13">
        <v>1.6759999999999999</v>
      </c>
      <c r="H947" s="13">
        <f t="shared" si="13"/>
        <v>54.326310647597538</v>
      </c>
    </row>
    <row r="948" spans="2:8" s="460" customFormat="1">
      <c r="B948" s="13">
        <v>300</v>
      </c>
      <c r="C948" s="13">
        <v>720</v>
      </c>
      <c r="D948" s="13">
        <v>2.2709999999999999</v>
      </c>
      <c r="E948" s="13">
        <v>1253</v>
      </c>
      <c r="F948" s="13">
        <v>1379</v>
      </c>
      <c r="G948" s="13">
        <v>1.6850000000000001</v>
      </c>
      <c r="H948" s="13">
        <f t="shared" si="13"/>
        <v>54.723142719530308</v>
      </c>
    </row>
    <row r="949" spans="2:8" s="460" customFormat="1">
      <c r="B949" s="13">
        <v>300</v>
      </c>
      <c r="C949" s="13">
        <v>740</v>
      </c>
      <c r="D949" s="13">
        <v>2.3140000000000001</v>
      </c>
      <c r="E949" s="13">
        <v>1261</v>
      </c>
      <c r="F949" s="13">
        <v>1390</v>
      </c>
      <c r="G949" s="13">
        <v>1.6930000000000001</v>
      </c>
      <c r="H949" s="13">
        <f t="shared" si="13"/>
        <v>55.159657998656371</v>
      </c>
    </row>
    <row r="950" spans="2:8" s="460" customFormat="1">
      <c r="B950" s="13">
        <v>300</v>
      </c>
      <c r="C950" s="13">
        <v>760</v>
      </c>
      <c r="D950" s="13">
        <v>2.3570000000000002</v>
      </c>
      <c r="E950" s="13">
        <v>1269</v>
      </c>
      <c r="F950" s="13">
        <v>1400</v>
      </c>
      <c r="G950" s="13">
        <v>1.702</v>
      </c>
      <c r="H950" s="13">
        <f t="shared" si="13"/>
        <v>55.556490070589149</v>
      </c>
    </row>
    <row r="951" spans="2:8" s="460" customFormat="1">
      <c r="B951" s="13">
        <v>300</v>
      </c>
      <c r="C951" s="13">
        <v>780</v>
      </c>
      <c r="D951" s="13">
        <v>2.4</v>
      </c>
      <c r="E951" s="13">
        <v>1278</v>
      </c>
      <c r="F951" s="13">
        <v>1411</v>
      </c>
      <c r="G951" s="13">
        <v>1.7110000000000001</v>
      </c>
      <c r="H951" s="13">
        <f t="shared" si="13"/>
        <v>55.993005349715212</v>
      </c>
    </row>
    <row r="952" spans="2:8" s="460" customFormat="1">
      <c r="B952" s="13">
        <v>300</v>
      </c>
      <c r="C952" s="13">
        <v>800</v>
      </c>
      <c r="D952" s="13">
        <v>2.4420000000000002</v>
      </c>
      <c r="E952" s="13">
        <v>1286</v>
      </c>
      <c r="F952" s="13">
        <v>1421</v>
      </c>
      <c r="G952" s="13">
        <v>1.7190000000000001</v>
      </c>
      <c r="H952" s="13">
        <f t="shared" si="13"/>
        <v>56.389837421647982</v>
      </c>
    </row>
    <row r="953" spans="2:8" s="460" customFormat="1">
      <c r="B953" s="13">
        <v>300</v>
      </c>
      <c r="C953" s="13">
        <v>820</v>
      </c>
      <c r="D953" s="13">
        <v>2.4849999999999999</v>
      </c>
      <c r="E953" s="13">
        <v>1294</v>
      </c>
      <c r="F953" s="13">
        <v>1432</v>
      </c>
      <c r="G953" s="13">
        <v>1.7270000000000001</v>
      </c>
      <c r="H953" s="13">
        <f t="shared" ref="H953:H1016" si="14">F953/$E$22*18</f>
        <v>56.826352700774045</v>
      </c>
    </row>
    <row r="954" spans="2:8" s="460" customFormat="1">
      <c r="B954" s="13">
        <v>300</v>
      </c>
      <c r="C954" s="13">
        <v>840</v>
      </c>
      <c r="D954" s="13">
        <v>2.5270000000000001</v>
      </c>
      <c r="E954" s="13">
        <v>1302</v>
      </c>
      <c r="F954" s="13">
        <v>1442</v>
      </c>
      <c r="G954" s="13">
        <v>1.736</v>
      </c>
      <c r="H954" s="13">
        <f t="shared" si="14"/>
        <v>57.22318477270683</v>
      </c>
    </row>
    <row r="955" spans="2:8" s="460" customFormat="1">
      <c r="B955" s="13">
        <v>300</v>
      </c>
      <c r="C955" s="13">
        <v>860</v>
      </c>
      <c r="D955" s="13">
        <v>2.569</v>
      </c>
      <c r="E955" s="13">
        <v>1310</v>
      </c>
      <c r="F955" s="13">
        <v>1453</v>
      </c>
      <c r="G955" s="13">
        <v>1.744</v>
      </c>
      <c r="H955" s="13">
        <f t="shared" si="14"/>
        <v>57.659700051832878</v>
      </c>
    </row>
    <row r="956" spans="2:8" s="460" customFormat="1">
      <c r="B956" s="13">
        <v>300</v>
      </c>
      <c r="C956" s="13">
        <v>880</v>
      </c>
      <c r="D956" s="13">
        <v>2.6110000000000002</v>
      </c>
      <c r="E956" s="13">
        <v>1318</v>
      </c>
      <c r="F956" s="13">
        <v>1463</v>
      </c>
      <c r="G956" s="13">
        <v>1.752</v>
      </c>
      <c r="H956" s="13">
        <f t="shared" si="14"/>
        <v>58.056532123765663</v>
      </c>
    </row>
    <row r="957" spans="2:8" s="460" customFormat="1">
      <c r="B957" s="13">
        <v>300</v>
      </c>
      <c r="C957" s="13">
        <v>900</v>
      </c>
      <c r="D957" s="13">
        <v>2.653</v>
      </c>
      <c r="E957" s="13">
        <v>1327</v>
      </c>
      <c r="F957" s="13">
        <v>1474</v>
      </c>
      <c r="G957" s="13">
        <v>1.7589999999999999</v>
      </c>
      <c r="H957" s="13">
        <f t="shared" si="14"/>
        <v>58.493047402891719</v>
      </c>
    </row>
    <row r="958" spans="2:8" s="460" customFormat="1">
      <c r="B958" s="13">
        <v>300</v>
      </c>
      <c r="C958" s="13">
        <v>920</v>
      </c>
      <c r="D958" s="13">
        <v>2.6949999999999998</v>
      </c>
      <c r="E958" s="13">
        <v>1335</v>
      </c>
      <c r="F958" s="13">
        <v>1484</v>
      </c>
      <c r="G958" s="13">
        <v>1.7669999999999999</v>
      </c>
      <c r="H958" s="13">
        <f t="shared" si="14"/>
        <v>58.889879474824504</v>
      </c>
    </row>
    <row r="959" spans="2:8" s="460" customFormat="1">
      <c r="B959" s="13">
        <v>300</v>
      </c>
      <c r="C959" s="13">
        <v>940</v>
      </c>
      <c r="D959" s="13">
        <v>2.7360000000000002</v>
      </c>
      <c r="E959" s="13">
        <v>1343</v>
      </c>
      <c r="F959" s="13">
        <v>1495</v>
      </c>
      <c r="G959" s="13">
        <v>1.7749999999999999</v>
      </c>
      <c r="H959" s="13">
        <f t="shared" si="14"/>
        <v>59.326394753950552</v>
      </c>
    </row>
    <row r="960" spans="2:8" s="460" customFormat="1">
      <c r="B960" s="13">
        <v>300</v>
      </c>
      <c r="C960" s="13">
        <v>960</v>
      </c>
      <c r="D960" s="13">
        <v>2.778</v>
      </c>
      <c r="E960" s="13">
        <v>1351</v>
      </c>
      <c r="F960" s="13">
        <v>1505</v>
      </c>
      <c r="G960" s="13">
        <v>1.782</v>
      </c>
      <c r="H960" s="13">
        <f t="shared" si="14"/>
        <v>59.723226825883337</v>
      </c>
    </row>
    <row r="961" spans="2:8" s="460" customFormat="1">
      <c r="B961" s="13">
        <v>300</v>
      </c>
      <c r="C961" s="13">
        <v>980</v>
      </c>
      <c r="D961" s="13">
        <v>2.819</v>
      </c>
      <c r="E961" s="13">
        <v>1360</v>
      </c>
      <c r="F961" s="13">
        <v>1516</v>
      </c>
      <c r="G961" s="13">
        <v>1.79</v>
      </c>
      <c r="H961" s="13">
        <f t="shared" si="14"/>
        <v>60.159742105009393</v>
      </c>
    </row>
    <row r="962" spans="2:8" s="460" customFormat="1">
      <c r="B962" s="13">
        <v>300</v>
      </c>
      <c r="C962" s="13">
        <v>1000</v>
      </c>
      <c r="D962" s="13">
        <v>2.8610000000000002</v>
      </c>
      <c r="E962" s="13">
        <v>1368</v>
      </c>
      <c r="F962" s="13">
        <v>1527</v>
      </c>
      <c r="G962" s="13">
        <v>1.7969999999999999</v>
      </c>
      <c r="H962" s="13">
        <f t="shared" si="14"/>
        <v>60.596257384135448</v>
      </c>
    </row>
    <row r="963" spans="2:8" s="460" customFormat="1">
      <c r="B963" s="13">
        <v>300</v>
      </c>
      <c r="C963" s="13">
        <v>1020</v>
      </c>
      <c r="D963" s="13">
        <v>2.9020000000000001</v>
      </c>
      <c r="E963" s="13">
        <v>1376</v>
      </c>
      <c r="F963" s="13">
        <v>1537</v>
      </c>
      <c r="G963" s="13">
        <v>1.804</v>
      </c>
      <c r="H963" s="13">
        <f t="shared" si="14"/>
        <v>60.993089456068226</v>
      </c>
    </row>
    <row r="964" spans="2:8" s="460" customFormat="1">
      <c r="B964" s="13">
        <v>300</v>
      </c>
      <c r="C964" s="13">
        <v>1040</v>
      </c>
      <c r="D964" s="13">
        <v>2.9430000000000001</v>
      </c>
      <c r="E964" s="13">
        <v>1385</v>
      </c>
      <c r="F964" s="13">
        <v>1548</v>
      </c>
      <c r="G964" s="13">
        <v>1.8109999999999999</v>
      </c>
      <c r="H964" s="13">
        <f t="shared" si="14"/>
        <v>61.429604735194282</v>
      </c>
    </row>
    <row r="965" spans="2:8" s="460" customFormat="1">
      <c r="B965" s="13">
        <v>300</v>
      </c>
      <c r="C965" s="13">
        <v>1060</v>
      </c>
      <c r="D965" s="13">
        <v>2.984</v>
      </c>
      <c r="E965" s="13">
        <v>1393</v>
      </c>
      <c r="F965" s="13">
        <v>1559</v>
      </c>
      <c r="G965" s="13">
        <v>1.8180000000000001</v>
      </c>
      <c r="H965" s="13">
        <f t="shared" si="14"/>
        <v>61.866120014320344</v>
      </c>
    </row>
    <row r="966" spans="2:8" s="460" customFormat="1">
      <c r="B966" s="13">
        <v>300</v>
      </c>
      <c r="C966" s="13">
        <v>1080</v>
      </c>
      <c r="D966" s="13">
        <v>3.0249999999999999</v>
      </c>
      <c r="E966" s="13">
        <v>1401</v>
      </c>
      <c r="F966" s="13">
        <v>1569</v>
      </c>
      <c r="G966" s="13">
        <v>1.825</v>
      </c>
      <c r="H966" s="13">
        <f t="shared" si="14"/>
        <v>62.262952086253122</v>
      </c>
    </row>
    <row r="967" spans="2:8" s="460" customFormat="1">
      <c r="B967" s="13">
        <v>300</v>
      </c>
      <c r="C967" s="13">
        <v>1100</v>
      </c>
      <c r="D967" s="13">
        <v>3.0659999999999998</v>
      </c>
      <c r="E967" s="13">
        <v>1410</v>
      </c>
      <c r="F967" s="13">
        <v>1580</v>
      </c>
      <c r="G967" s="13">
        <v>1.8320000000000001</v>
      </c>
      <c r="H967" s="13">
        <f t="shared" si="14"/>
        <v>62.699467365379185</v>
      </c>
    </row>
    <row r="968" spans="2:8" s="460" customFormat="1">
      <c r="B968" s="13">
        <v>300</v>
      </c>
      <c r="C968" s="13">
        <v>1120</v>
      </c>
      <c r="D968" s="13">
        <v>3.1070000000000002</v>
      </c>
      <c r="E968" s="13">
        <v>1418</v>
      </c>
      <c r="F968" s="13">
        <v>1591</v>
      </c>
      <c r="G968" s="13">
        <v>1.839</v>
      </c>
      <c r="H968" s="13">
        <f t="shared" si="14"/>
        <v>63.135982644505241</v>
      </c>
    </row>
    <row r="969" spans="2:8" s="460" customFormat="1">
      <c r="B969" s="13">
        <v>300</v>
      </c>
      <c r="C969" s="13">
        <v>1140</v>
      </c>
      <c r="D969" s="13">
        <v>3.1480000000000001</v>
      </c>
      <c r="E969" s="13">
        <v>1427</v>
      </c>
      <c r="F969" s="13">
        <v>1602</v>
      </c>
      <c r="G969" s="13">
        <v>1.8460000000000001</v>
      </c>
      <c r="H969" s="13">
        <f t="shared" si="14"/>
        <v>63.572497923631303</v>
      </c>
    </row>
    <row r="970" spans="2:8" s="460" customFormat="1">
      <c r="B970" s="13">
        <v>300</v>
      </c>
      <c r="C970" s="13">
        <v>1160</v>
      </c>
      <c r="D970" s="13">
        <v>3.1890000000000001</v>
      </c>
      <c r="E970" s="13">
        <v>1435</v>
      </c>
      <c r="F970" s="13">
        <v>1612</v>
      </c>
      <c r="G970" s="13">
        <v>1.853</v>
      </c>
      <c r="H970" s="13">
        <f t="shared" si="14"/>
        <v>63.969329995564074</v>
      </c>
    </row>
    <row r="971" spans="2:8" s="460" customFormat="1">
      <c r="B971" s="13">
        <v>300</v>
      </c>
      <c r="C971" s="13">
        <v>1180</v>
      </c>
      <c r="D971" s="13">
        <v>3.23</v>
      </c>
      <c r="E971" s="13">
        <v>1444</v>
      </c>
      <c r="F971" s="13">
        <v>1623</v>
      </c>
      <c r="G971" s="13">
        <v>1.859</v>
      </c>
      <c r="H971" s="13">
        <f t="shared" si="14"/>
        <v>64.405845274690137</v>
      </c>
    </row>
    <row r="972" spans="2:8" s="460" customFormat="1">
      <c r="B972" s="13">
        <v>300</v>
      </c>
      <c r="C972" s="13">
        <v>1200</v>
      </c>
      <c r="D972" s="13">
        <v>3.27</v>
      </c>
      <c r="E972" s="13">
        <v>1452</v>
      </c>
      <c r="F972" s="13">
        <v>1634</v>
      </c>
      <c r="G972" s="13">
        <v>1.8660000000000001</v>
      </c>
      <c r="H972" s="13">
        <f t="shared" si="14"/>
        <v>64.842360553816192</v>
      </c>
    </row>
    <row r="973" spans="2:8" s="460" customFormat="1">
      <c r="B973" s="13">
        <v>300</v>
      </c>
      <c r="C973" s="13">
        <v>1220</v>
      </c>
      <c r="D973" s="13">
        <v>3.3109999999999999</v>
      </c>
      <c r="E973" s="13">
        <v>1461</v>
      </c>
      <c r="F973" s="13">
        <v>1645</v>
      </c>
      <c r="G973" s="13">
        <v>1.8720000000000001</v>
      </c>
      <c r="H973" s="13">
        <f t="shared" si="14"/>
        <v>65.278875832942248</v>
      </c>
    </row>
    <row r="974" spans="2:8" s="460" customFormat="1">
      <c r="B974" s="13">
        <v>300</v>
      </c>
      <c r="C974" s="13">
        <v>1240</v>
      </c>
      <c r="D974" s="13">
        <v>3.3519999999999999</v>
      </c>
      <c r="E974" s="13">
        <v>1470</v>
      </c>
      <c r="F974" s="13">
        <v>1656</v>
      </c>
      <c r="G974" s="13">
        <v>1.879</v>
      </c>
      <c r="H974" s="13">
        <f t="shared" si="14"/>
        <v>65.715391112068303</v>
      </c>
    </row>
    <row r="975" spans="2:8" s="460" customFormat="1">
      <c r="B975" s="13">
        <v>300</v>
      </c>
      <c r="C975" s="13">
        <v>1260</v>
      </c>
      <c r="D975" s="13">
        <v>3.3919999999999999</v>
      </c>
      <c r="E975" s="13">
        <v>1478</v>
      </c>
      <c r="F975" s="13">
        <v>1667</v>
      </c>
      <c r="G975" s="13">
        <v>1.885</v>
      </c>
      <c r="H975" s="13">
        <f t="shared" si="14"/>
        <v>66.151906391194373</v>
      </c>
    </row>
    <row r="976" spans="2:8" s="460" customFormat="1">
      <c r="B976" s="13">
        <v>300</v>
      </c>
      <c r="C976" s="13">
        <v>1280</v>
      </c>
      <c r="D976" s="13">
        <v>3.4329999999999998</v>
      </c>
      <c r="E976" s="13">
        <v>1487</v>
      </c>
      <c r="F976" s="13">
        <v>1678</v>
      </c>
      <c r="G976" s="13">
        <v>1.891</v>
      </c>
      <c r="H976" s="13">
        <f t="shared" si="14"/>
        <v>66.588421670320429</v>
      </c>
    </row>
    <row r="977" spans="2:8" s="460" customFormat="1">
      <c r="B977" s="13">
        <v>300</v>
      </c>
      <c r="C977" s="13">
        <v>1300</v>
      </c>
      <c r="D977" s="13">
        <v>3.4729999999999999</v>
      </c>
      <c r="E977" s="13">
        <v>1496</v>
      </c>
      <c r="F977" s="13">
        <v>1689</v>
      </c>
      <c r="G977" s="13">
        <v>1.8979999999999999</v>
      </c>
      <c r="H977" s="13">
        <f t="shared" si="14"/>
        <v>67.024936949446484</v>
      </c>
    </row>
    <row r="978" spans="2:8" s="460" customFormat="1">
      <c r="B978" s="13">
        <v>300</v>
      </c>
      <c r="C978" s="13">
        <v>1320</v>
      </c>
      <c r="D978" s="13">
        <v>3.5139999999999998</v>
      </c>
      <c r="E978" s="13">
        <v>1505</v>
      </c>
      <c r="F978" s="13">
        <v>1700</v>
      </c>
      <c r="G978" s="13">
        <v>1.9039999999999999</v>
      </c>
      <c r="H978" s="13">
        <f t="shared" si="14"/>
        <v>67.46145222857254</v>
      </c>
    </row>
    <row r="979" spans="2:8" s="460" customFormat="1">
      <c r="B979" s="13">
        <v>300</v>
      </c>
      <c r="C979" s="13">
        <v>1340</v>
      </c>
      <c r="D979" s="13">
        <v>3.5550000000000002</v>
      </c>
      <c r="E979" s="13">
        <v>1514</v>
      </c>
      <c r="F979" s="13">
        <v>1711</v>
      </c>
      <c r="G979" s="13">
        <v>1.91</v>
      </c>
      <c r="H979" s="13">
        <f t="shared" si="14"/>
        <v>67.897967507698596</v>
      </c>
    </row>
    <row r="980" spans="2:8" s="460" customFormat="1">
      <c r="B980" s="13">
        <v>300</v>
      </c>
      <c r="C980" s="13">
        <v>1360</v>
      </c>
      <c r="D980" s="13">
        <v>3.5950000000000002</v>
      </c>
      <c r="E980" s="13">
        <v>1522</v>
      </c>
      <c r="F980" s="13">
        <v>1722</v>
      </c>
      <c r="G980" s="13">
        <v>1.9159999999999999</v>
      </c>
      <c r="H980" s="13">
        <f t="shared" si="14"/>
        <v>68.334482786824651</v>
      </c>
    </row>
    <row r="981" spans="2:8" s="460" customFormat="1">
      <c r="B981" s="13">
        <v>300</v>
      </c>
      <c r="C981" s="13">
        <v>1380</v>
      </c>
      <c r="D981" s="13">
        <v>3.6349999999999998</v>
      </c>
      <c r="E981" s="13">
        <v>1531</v>
      </c>
      <c r="F981" s="13">
        <v>1733</v>
      </c>
      <c r="G981" s="13">
        <v>1.9219999999999999</v>
      </c>
      <c r="H981" s="13">
        <f t="shared" si="14"/>
        <v>68.770998065950707</v>
      </c>
    </row>
    <row r="982" spans="2:8" s="460" customFormat="1">
      <c r="B982" s="13">
        <v>300</v>
      </c>
      <c r="C982" s="13">
        <v>1400</v>
      </c>
      <c r="D982" s="13">
        <v>3.6760000000000002</v>
      </c>
      <c r="E982" s="13">
        <v>1540</v>
      </c>
      <c r="F982" s="13">
        <v>1744</v>
      </c>
      <c r="G982" s="13">
        <v>1.9279999999999999</v>
      </c>
      <c r="H982" s="13">
        <f t="shared" si="14"/>
        <v>69.207513345076762</v>
      </c>
    </row>
    <row r="983" spans="2:8" s="460" customFormat="1">
      <c r="B983" s="13">
        <v>300</v>
      </c>
      <c r="C983" s="13">
        <v>1420</v>
      </c>
      <c r="D983" s="13">
        <v>3.7160000000000002</v>
      </c>
      <c r="E983" s="13">
        <v>1549</v>
      </c>
      <c r="F983" s="13">
        <v>1755</v>
      </c>
      <c r="G983" s="13">
        <v>1.9339999999999999</v>
      </c>
      <c r="H983" s="13">
        <f t="shared" si="14"/>
        <v>69.644028624202832</v>
      </c>
    </row>
    <row r="984" spans="2:8" s="460" customFormat="1">
      <c r="B984" s="13">
        <v>300</v>
      </c>
      <c r="C984" s="13">
        <v>1440</v>
      </c>
      <c r="D984" s="13">
        <v>3.7570000000000001</v>
      </c>
      <c r="E984" s="13">
        <v>1558</v>
      </c>
      <c r="F984" s="13">
        <v>1767</v>
      </c>
      <c r="G984" s="13">
        <v>1.94</v>
      </c>
      <c r="H984" s="13">
        <f t="shared" si="14"/>
        <v>70.120227110522166</v>
      </c>
    </row>
    <row r="985" spans="2:8" s="460" customFormat="1">
      <c r="B985" s="13">
        <v>300</v>
      </c>
      <c r="C985" s="13">
        <v>1460</v>
      </c>
      <c r="D985" s="13">
        <v>3.7970000000000002</v>
      </c>
      <c r="E985" s="13">
        <v>1567</v>
      </c>
      <c r="F985" s="13">
        <v>1778</v>
      </c>
      <c r="G985" s="13">
        <v>1.946</v>
      </c>
      <c r="H985" s="13">
        <f t="shared" si="14"/>
        <v>70.556742389648221</v>
      </c>
    </row>
    <row r="986" spans="2:8" s="460" customFormat="1">
      <c r="B986" s="13">
        <v>300</v>
      </c>
      <c r="C986" s="13">
        <v>1480</v>
      </c>
      <c r="D986" s="13">
        <v>3.8370000000000002</v>
      </c>
      <c r="E986" s="13">
        <v>1576</v>
      </c>
      <c r="F986" s="13">
        <v>1789</v>
      </c>
      <c r="G986" s="13">
        <v>1.952</v>
      </c>
      <c r="H986" s="13">
        <f t="shared" si="14"/>
        <v>70.993257668774277</v>
      </c>
    </row>
    <row r="987" spans="2:8" s="460" customFormat="1">
      <c r="B987" s="13">
        <v>300</v>
      </c>
      <c r="C987" s="13">
        <v>1500</v>
      </c>
      <c r="D987" s="13">
        <v>3.8780000000000001</v>
      </c>
      <c r="E987" s="13">
        <v>1585</v>
      </c>
      <c r="F987" s="13">
        <v>1801</v>
      </c>
      <c r="G987" s="13">
        <v>1.958</v>
      </c>
      <c r="H987" s="13">
        <f t="shared" si="14"/>
        <v>71.46945615509361</v>
      </c>
    </row>
    <row r="988" spans="2:8" s="115" customFormat="1">
      <c r="B988" s="13">
        <v>400</v>
      </c>
      <c r="C988" s="13">
        <v>40</v>
      </c>
      <c r="D988" s="13">
        <v>1.6E-2</v>
      </c>
      <c r="E988" s="13">
        <v>8.0289999999999999</v>
      </c>
      <c r="F988" s="13">
        <v>9.2129999999999992</v>
      </c>
      <c r="G988" s="13">
        <v>1.6199999999999999E-2</v>
      </c>
      <c r="H988" s="13">
        <f t="shared" si="14"/>
        <v>0.36560138787166979</v>
      </c>
    </row>
    <row r="989" spans="2:8" s="115" customFormat="1">
      <c r="B989" s="13">
        <v>400</v>
      </c>
      <c r="C989" s="13">
        <v>60</v>
      </c>
      <c r="D989" s="13">
        <v>1.601E-2</v>
      </c>
      <c r="E989" s="13">
        <v>28.02</v>
      </c>
      <c r="F989" s="13">
        <v>29.21</v>
      </c>
      <c r="G989" s="13">
        <v>5.5440000000000003E-2</v>
      </c>
      <c r="H989" s="13">
        <f t="shared" si="14"/>
        <v>1.1591464821156494</v>
      </c>
    </row>
    <row r="990" spans="2:8" s="115" customFormat="1">
      <c r="B990" s="13">
        <v>400</v>
      </c>
      <c r="C990" s="13">
        <v>80</v>
      </c>
      <c r="D990" s="13">
        <v>1.6049999999999998E-2</v>
      </c>
      <c r="E990" s="13">
        <v>47.97</v>
      </c>
      <c r="F990" s="13">
        <v>49.16</v>
      </c>
      <c r="G990" s="13">
        <v>9.3100000000000002E-2</v>
      </c>
      <c r="H990" s="13">
        <f t="shared" si="14"/>
        <v>1.9508264656215446</v>
      </c>
    </row>
    <row r="991" spans="2:8" s="115" customFormat="1">
      <c r="B991" s="13">
        <v>400</v>
      </c>
      <c r="C991" s="13">
        <v>100</v>
      </c>
      <c r="D991" s="13">
        <v>1.6109999999999999E-2</v>
      </c>
      <c r="E991" s="13">
        <v>67.900000000000006</v>
      </c>
      <c r="F991" s="13">
        <v>69.09</v>
      </c>
      <c r="G991" s="13">
        <v>0.12939999999999999</v>
      </c>
      <c r="H991" s="13">
        <f t="shared" si="14"/>
        <v>2.7417127849835747</v>
      </c>
    </row>
    <row r="992" spans="2:8" s="115" customFormat="1">
      <c r="B992" s="13">
        <v>400</v>
      </c>
      <c r="C992" s="13">
        <v>120</v>
      </c>
      <c r="D992" s="13">
        <v>1.619E-2</v>
      </c>
      <c r="E992" s="13">
        <v>87.82</v>
      </c>
      <c r="F992" s="13">
        <v>89.02</v>
      </c>
      <c r="G992" s="13">
        <v>0.16439999999999999</v>
      </c>
      <c r="H992" s="13">
        <f t="shared" si="14"/>
        <v>3.532599104345604</v>
      </c>
    </row>
    <row r="993" spans="2:8" s="115" customFormat="1">
      <c r="B993" s="13">
        <v>400</v>
      </c>
      <c r="C993" s="13">
        <v>140</v>
      </c>
      <c r="D993" s="13">
        <v>1.627E-2</v>
      </c>
      <c r="E993" s="13">
        <v>107.8</v>
      </c>
      <c r="F993" s="13">
        <v>109</v>
      </c>
      <c r="G993" s="13">
        <v>0.19819999999999999</v>
      </c>
      <c r="H993" s="13">
        <f t="shared" si="14"/>
        <v>4.3254695840672976</v>
      </c>
    </row>
    <row r="994" spans="2:8" s="115" customFormat="1">
      <c r="B994" s="13">
        <v>400</v>
      </c>
      <c r="C994" s="13">
        <v>160</v>
      </c>
      <c r="D994" s="13">
        <v>1.6369999999999999E-2</v>
      </c>
      <c r="E994" s="13">
        <v>127.7</v>
      </c>
      <c r="F994" s="13">
        <v>128.9</v>
      </c>
      <c r="G994" s="13">
        <v>0.23089999999999999</v>
      </c>
      <c r="H994" s="13">
        <f t="shared" si="14"/>
        <v>5.1151654072135289</v>
      </c>
    </row>
    <row r="995" spans="2:8" s="115" customFormat="1">
      <c r="B995" s="13">
        <v>400</v>
      </c>
      <c r="C995" s="13">
        <v>180</v>
      </c>
      <c r="D995" s="13">
        <v>1.6490000000000001E-2</v>
      </c>
      <c r="E995" s="13">
        <v>147.69999999999999</v>
      </c>
      <c r="F995" s="13">
        <v>148.9</v>
      </c>
      <c r="G995" s="13">
        <v>0.26269999999999999</v>
      </c>
      <c r="H995" s="13">
        <f t="shared" si="14"/>
        <v>5.9088295510790889</v>
      </c>
    </row>
    <row r="996" spans="2:8" s="115" customFormat="1">
      <c r="B996" s="13">
        <v>400</v>
      </c>
      <c r="C996" s="13">
        <v>200</v>
      </c>
      <c r="D996" s="13">
        <v>1.661E-2</v>
      </c>
      <c r="E996" s="13">
        <v>167.8</v>
      </c>
      <c r="F996" s="13">
        <v>169</v>
      </c>
      <c r="G996" s="13">
        <v>0.29360000000000003</v>
      </c>
      <c r="H996" s="13">
        <f t="shared" si="14"/>
        <v>6.7064620156639752</v>
      </c>
    </row>
    <row r="997" spans="2:8" s="115" customFormat="1">
      <c r="B997" s="13">
        <v>400</v>
      </c>
      <c r="C997" s="13">
        <v>220</v>
      </c>
      <c r="D997" s="13">
        <v>1.6750000000000001E-2</v>
      </c>
      <c r="E997" s="13">
        <v>187.8</v>
      </c>
      <c r="F997" s="13">
        <v>189.1</v>
      </c>
      <c r="G997" s="13">
        <v>0.3236</v>
      </c>
      <c r="H997" s="13">
        <f t="shared" si="14"/>
        <v>7.5040944802488632</v>
      </c>
    </row>
    <row r="998" spans="2:8" s="115" customFormat="1">
      <c r="B998" s="13">
        <v>400</v>
      </c>
      <c r="C998" s="13">
        <v>240</v>
      </c>
      <c r="D998" s="13">
        <v>1.6899999999999998E-2</v>
      </c>
      <c r="E998" s="13">
        <v>208</v>
      </c>
      <c r="F998" s="13">
        <v>209.3</v>
      </c>
      <c r="G998" s="13">
        <v>0.35289999999999999</v>
      </c>
      <c r="H998" s="13">
        <f t="shared" si="14"/>
        <v>8.3056952655530782</v>
      </c>
    </row>
    <row r="999" spans="2:8" s="115" customFormat="1">
      <c r="B999" s="13">
        <v>400</v>
      </c>
      <c r="C999" s="13">
        <v>260</v>
      </c>
      <c r="D999" s="13">
        <v>1.7059999999999999E-2</v>
      </c>
      <c r="E999" s="13">
        <v>228.3</v>
      </c>
      <c r="F999" s="13">
        <v>229.5</v>
      </c>
      <c r="G999" s="13">
        <v>0.38140000000000002</v>
      </c>
      <c r="H999" s="13">
        <f t="shared" si="14"/>
        <v>9.1072960508572933</v>
      </c>
    </row>
    <row r="1000" spans="2:8" s="115" customFormat="1">
      <c r="B1000" s="13">
        <v>400</v>
      </c>
      <c r="C1000" s="13">
        <v>280</v>
      </c>
      <c r="D1000" s="13">
        <v>1.7239999999999998E-2</v>
      </c>
      <c r="E1000" s="13">
        <v>248.6</v>
      </c>
      <c r="F1000" s="13">
        <v>249.9</v>
      </c>
      <c r="G1000" s="13">
        <v>0.4093</v>
      </c>
      <c r="H1000" s="13">
        <f t="shared" si="14"/>
        <v>9.9168334776001625</v>
      </c>
    </row>
    <row r="1001" spans="2:8" s="115" customFormat="1">
      <c r="B1001" s="13">
        <v>400</v>
      </c>
      <c r="C1001" s="13">
        <v>300</v>
      </c>
      <c r="D1001" s="13">
        <v>1.7420000000000001E-2</v>
      </c>
      <c r="E1001" s="13">
        <v>269.10000000000002</v>
      </c>
      <c r="F1001" s="13">
        <v>270.39999999999998</v>
      </c>
      <c r="G1001" s="13">
        <v>0.43659999999999999</v>
      </c>
      <c r="H1001" s="13">
        <f t="shared" si="14"/>
        <v>10.730339225062361</v>
      </c>
    </row>
    <row r="1002" spans="2:8" s="115" customFormat="1">
      <c r="B1002" s="13">
        <v>400</v>
      </c>
      <c r="C1002" s="13">
        <v>320</v>
      </c>
      <c r="D1002" s="13">
        <v>1.763E-2</v>
      </c>
      <c r="E1002" s="13">
        <v>289.7</v>
      </c>
      <c r="F1002" s="13">
        <v>291</v>
      </c>
      <c r="G1002" s="13">
        <v>0.46339999999999998</v>
      </c>
      <c r="H1002" s="13">
        <f t="shared" si="14"/>
        <v>11.547813293243888</v>
      </c>
    </row>
    <row r="1003" spans="2:8" s="115" customFormat="1">
      <c r="B1003" s="13">
        <v>400</v>
      </c>
      <c r="C1003" s="13">
        <v>340</v>
      </c>
      <c r="D1003" s="13">
        <v>1.7850000000000001E-2</v>
      </c>
      <c r="E1003" s="13">
        <v>310.39999999999998</v>
      </c>
      <c r="F1003" s="13">
        <v>311.8</v>
      </c>
      <c r="G1003" s="13">
        <v>0.48970000000000002</v>
      </c>
      <c r="H1003" s="13">
        <f t="shared" si="14"/>
        <v>12.373224002864069</v>
      </c>
    </row>
    <row r="1004" spans="2:8" s="115" customFormat="1">
      <c r="B1004" s="13">
        <v>400</v>
      </c>
      <c r="C1004" s="13">
        <v>360</v>
      </c>
      <c r="D1004" s="13">
        <v>1.8079999999999999E-2</v>
      </c>
      <c r="E1004" s="13">
        <v>331.4</v>
      </c>
      <c r="F1004" s="13">
        <v>332.7</v>
      </c>
      <c r="G1004" s="13">
        <v>0.51559999999999995</v>
      </c>
      <c r="H1004" s="13">
        <f t="shared" si="14"/>
        <v>13.202603033203578</v>
      </c>
    </row>
    <row r="1005" spans="2:8" s="115" customFormat="1">
      <c r="B1005" s="13">
        <v>400</v>
      </c>
      <c r="C1005" s="13">
        <v>380</v>
      </c>
      <c r="D1005" s="13">
        <v>1.8339999999999999E-2</v>
      </c>
      <c r="E1005" s="13">
        <v>352.5</v>
      </c>
      <c r="F1005" s="13">
        <v>353.9</v>
      </c>
      <c r="G1005" s="13">
        <v>0.54110000000000003</v>
      </c>
      <c r="H1005" s="13">
        <f t="shared" si="14"/>
        <v>14.043887025701071</v>
      </c>
    </row>
    <row r="1006" spans="2:8" s="115" customFormat="1">
      <c r="B1006" s="13">
        <v>400</v>
      </c>
      <c r="C1006" s="13">
        <v>400</v>
      </c>
      <c r="D1006" s="13">
        <v>1.8620000000000001E-2</v>
      </c>
      <c r="E1006" s="13">
        <v>373.9</v>
      </c>
      <c r="F1006" s="13">
        <v>375.3</v>
      </c>
      <c r="G1006" s="13">
        <v>0.56630000000000003</v>
      </c>
      <c r="H1006" s="13">
        <f t="shared" si="14"/>
        <v>14.89310765963722</v>
      </c>
    </row>
    <row r="1007" spans="2:8" s="115" customFormat="1">
      <c r="B1007" s="13">
        <v>400</v>
      </c>
      <c r="C1007" s="13">
        <v>420</v>
      </c>
      <c r="D1007" s="13">
        <v>1.8929999999999999E-2</v>
      </c>
      <c r="E1007" s="13">
        <v>395.6</v>
      </c>
      <c r="F1007" s="13">
        <v>397</v>
      </c>
      <c r="G1007" s="13">
        <v>0.59119999999999995</v>
      </c>
      <c r="H1007" s="13">
        <f t="shared" si="14"/>
        <v>15.754233255731352</v>
      </c>
    </row>
    <row r="1008" spans="2:8" s="115" customFormat="1">
      <c r="B1008" s="13">
        <v>400</v>
      </c>
      <c r="C1008" s="13">
        <v>440</v>
      </c>
      <c r="D1008" s="13">
        <v>1.9259999999999999E-2</v>
      </c>
      <c r="E1008" s="13">
        <v>417.6</v>
      </c>
      <c r="F1008" s="13">
        <v>419</v>
      </c>
      <c r="G1008" s="13">
        <v>0.61599999999999999</v>
      </c>
      <c r="H1008" s="13">
        <f t="shared" si="14"/>
        <v>16.627263813983468</v>
      </c>
    </row>
    <row r="1009" spans="2:8" s="115" customFormat="1">
      <c r="B1009" s="13">
        <v>400</v>
      </c>
      <c r="C1009" s="13">
        <v>460</v>
      </c>
      <c r="D1009" s="13">
        <v>1.198</v>
      </c>
      <c r="E1009" s="13">
        <v>1129</v>
      </c>
      <c r="F1009" s="13">
        <v>1217</v>
      </c>
      <c r="G1009" s="13">
        <v>1.4990000000000001</v>
      </c>
      <c r="H1009" s="13">
        <f t="shared" si="14"/>
        <v>48.294463154219279</v>
      </c>
    </row>
    <row r="1010" spans="2:8" s="115" customFormat="1">
      <c r="B1010" s="13">
        <v>400</v>
      </c>
      <c r="C1010" s="13">
        <v>480</v>
      </c>
      <c r="D1010" s="13">
        <v>1.2430000000000001</v>
      </c>
      <c r="E1010" s="13">
        <v>1140</v>
      </c>
      <c r="F1010" s="13">
        <v>1232</v>
      </c>
      <c r="G1010" s="13">
        <v>1.514</v>
      </c>
      <c r="H1010" s="13">
        <f t="shared" si="14"/>
        <v>48.889711262118453</v>
      </c>
    </row>
    <row r="1011" spans="2:8" s="115" customFormat="1">
      <c r="B1011" s="13">
        <v>400</v>
      </c>
      <c r="C1011" s="13">
        <v>500</v>
      </c>
      <c r="D1011" s="13">
        <v>1.2849999999999999</v>
      </c>
      <c r="E1011" s="13">
        <v>1150</v>
      </c>
      <c r="F1011" s="13">
        <v>1246</v>
      </c>
      <c r="G1011" s="13">
        <v>1.5289999999999999</v>
      </c>
      <c r="H1011" s="13">
        <f t="shared" si="14"/>
        <v>49.445276162824342</v>
      </c>
    </row>
    <row r="1012" spans="2:8" s="115" customFormat="1">
      <c r="B1012" s="13">
        <v>400</v>
      </c>
      <c r="C1012" s="13">
        <v>520</v>
      </c>
      <c r="D1012" s="13">
        <v>1.3260000000000001</v>
      </c>
      <c r="E1012" s="13">
        <v>1160</v>
      </c>
      <c r="F1012" s="13">
        <v>1259</v>
      </c>
      <c r="G1012" s="13">
        <v>1.542</v>
      </c>
      <c r="H1012" s="13">
        <f t="shared" si="14"/>
        <v>49.961157856336953</v>
      </c>
    </row>
    <row r="1013" spans="2:8" s="115" customFormat="1">
      <c r="B1013" s="13">
        <v>400</v>
      </c>
      <c r="C1013" s="13">
        <v>540</v>
      </c>
      <c r="D1013" s="13">
        <v>1.365</v>
      </c>
      <c r="E1013" s="13">
        <v>1170</v>
      </c>
      <c r="F1013" s="13">
        <v>1271</v>
      </c>
      <c r="G1013" s="13">
        <v>1.5549999999999999</v>
      </c>
      <c r="H1013" s="13">
        <f t="shared" si="14"/>
        <v>50.437356342656294</v>
      </c>
    </row>
    <row r="1014" spans="2:8" s="115" customFormat="1">
      <c r="B1014" s="13">
        <v>400</v>
      </c>
      <c r="C1014" s="13">
        <v>560</v>
      </c>
      <c r="D1014" s="13">
        <v>1.403</v>
      </c>
      <c r="E1014" s="13">
        <v>1180</v>
      </c>
      <c r="F1014" s="13">
        <v>1283</v>
      </c>
      <c r="G1014" s="13">
        <v>1.5669999999999999</v>
      </c>
      <c r="H1014" s="13">
        <f t="shared" si="14"/>
        <v>50.913554828975627</v>
      </c>
    </row>
    <row r="1015" spans="2:8" s="115" customFormat="1">
      <c r="B1015" s="13">
        <v>400</v>
      </c>
      <c r="C1015" s="13">
        <v>580</v>
      </c>
      <c r="D1015" s="13">
        <v>1.44</v>
      </c>
      <c r="E1015" s="13">
        <v>1189</v>
      </c>
      <c r="F1015" s="13">
        <v>1295</v>
      </c>
      <c r="G1015" s="13">
        <v>1.579</v>
      </c>
      <c r="H1015" s="13">
        <f t="shared" si="14"/>
        <v>51.389753315294961</v>
      </c>
    </row>
    <row r="1016" spans="2:8" s="115" customFormat="1">
      <c r="B1016" s="13">
        <v>400</v>
      </c>
      <c r="C1016" s="13">
        <v>600</v>
      </c>
      <c r="D1016" s="13">
        <v>1.476</v>
      </c>
      <c r="E1016" s="13">
        <v>1198</v>
      </c>
      <c r="F1016" s="13">
        <v>1307</v>
      </c>
      <c r="G1016" s="13">
        <v>1.59</v>
      </c>
      <c r="H1016" s="13">
        <f t="shared" si="14"/>
        <v>51.865951801614294</v>
      </c>
    </row>
    <row r="1017" spans="2:8" s="115" customFormat="1">
      <c r="B1017" s="13">
        <v>400</v>
      </c>
      <c r="C1017" s="13">
        <v>620</v>
      </c>
      <c r="D1017" s="13">
        <v>1.512</v>
      </c>
      <c r="E1017" s="13">
        <v>1206</v>
      </c>
      <c r="F1017" s="13">
        <v>1318</v>
      </c>
      <c r="G1017" s="13">
        <v>1.6</v>
      </c>
      <c r="H1017" s="13">
        <f t="shared" ref="H1017:H1080" si="15">F1017/$E$22*18</f>
        <v>52.30246708074035</v>
      </c>
    </row>
    <row r="1018" spans="2:8" s="115" customFormat="1">
      <c r="B1018" s="13">
        <v>400</v>
      </c>
      <c r="C1018" s="13">
        <v>640</v>
      </c>
      <c r="D1018" s="13">
        <v>1.548</v>
      </c>
      <c r="E1018" s="13">
        <v>1215</v>
      </c>
      <c r="F1018" s="13">
        <v>1330</v>
      </c>
      <c r="G1018" s="13">
        <v>1.611</v>
      </c>
      <c r="H1018" s="13">
        <f t="shared" si="15"/>
        <v>52.77866556705969</v>
      </c>
    </row>
    <row r="1019" spans="2:8" s="115" customFormat="1">
      <c r="B1019" s="13">
        <v>400</v>
      </c>
      <c r="C1019" s="13">
        <v>660</v>
      </c>
      <c r="D1019" s="13">
        <v>1.5820000000000001</v>
      </c>
      <c r="E1019" s="13">
        <v>1224</v>
      </c>
      <c r="F1019" s="13">
        <v>1341</v>
      </c>
      <c r="G1019" s="13">
        <v>1.621</v>
      </c>
      <c r="H1019" s="13">
        <f t="shared" si="15"/>
        <v>53.215180846185753</v>
      </c>
    </row>
    <row r="1020" spans="2:8" s="115" customFormat="1">
      <c r="B1020" s="13">
        <v>400</v>
      </c>
      <c r="C1020" s="13">
        <v>680</v>
      </c>
      <c r="D1020" s="13">
        <v>1.617</v>
      </c>
      <c r="E1020" s="13">
        <v>1232</v>
      </c>
      <c r="F1020" s="13">
        <v>1352</v>
      </c>
      <c r="G1020" s="13">
        <v>1.631</v>
      </c>
      <c r="H1020" s="13">
        <f t="shared" si="15"/>
        <v>53.651696125311801</v>
      </c>
    </row>
    <row r="1021" spans="2:8" s="115" customFormat="1">
      <c r="B1021" s="13">
        <v>400</v>
      </c>
      <c r="C1021" s="13">
        <v>700</v>
      </c>
      <c r="D1021" s="13">
        <v>1.651</v>
      </c>
      <c r="E1021" s="13">
        <v>1241</v>
      </c>
      <c r="F1021" s="13">
        <v>1363</v>
      </c>
      <c r="G1021" s="13">
        <v>1.64</v>
      </c>
      <c r="H1021" s="13">
        <f t="shared" si="15"/>
        <v>54.088211404437857</v>
      </c>
    </row>
    <row r="1022" spans="2:8" s="115" customFormat="1">
      <c r="B1022" s="13">
        <v>400</v>
      </c>
      <c r="C1022" s="13">
        <v>720</v>
      </c>
      <c r="D1022" s="13">
        <v>1.6839999999999999</v>
      </c>
      <c r="E1022" s="13">
        <v>1249</v>
      </c>
      <c r="F1022" s="13">
        <v>1374</v>
      </c>
      <c r="G1022" s="13">
        <v>1.649</v>
      </c>
      <c r="H1022" s="13">
        <f t="shared" si="15"/>
        <v>54.524726683563919</v>
      </c>
    </row>
    <row r="1023" spans="2:8" s="115" customFormat="1">
      <c r="B1023" s="13">
        <v>400</v>
      </c>
      <c r="C1023" s="13">
        <v>740</v>
      </c>
      <c r="D1023" s="13">
        <v>1.718</v>
      </c>
      <c r="E1023" s="13">
        <v>1257</v>
      </c>
      <c r="F1023" s="13">
        <v>1385</v>
      </c>
      <c r="G1023" s="13">
        <v>1.659</v>
      </c>
      <c r="H1023" s="13">
        <f t="shared" si="15"/>
        <v>54.961241962689975</v>
      </c>
    </row>
    <row r="1024" spans="2:8" s="115" customFormat="1">
      <c r="B1024" s="13">
        <v>400</v>
      </c>
      <c r="C1024" s="13">
        <v>760</v>
      </c>
      <c r="D1024" s="13">
        <v>1.7509999999999999</v>
      </c>
      <c r="E1024" s="13">
        <v>1266</v>
      </c>
      <c r="F1024" s="13">
        <v>1395</v>
      </c>
      <c r="G1024" s="13">
        <v>1.6679999999999999</v>
      </c>
      <c r="H1024" s="13">
        <f t="shared" si="15"/>
        <v>55.35807403462276</v>
      </c>
    </row>
    <row r="1025" spans="2:8" s="115" customFormat="1">
      <c r="B1025" s="13">
        <v>400</v>
      </c>
      <c r="C1025" s="13">
        <v>780</v>
      </c>
      <c r="D1025" s="13">
        <v>1.784</v>
      </c>
      <c r="E1025" s="13">
        <v>1274</v>
      </c>
      <c r="F1025" s="13">
        <v>1406</v>
      </c>
      <c r="G1025" s="13">
        <v>1.6759999999999999</v>
      </c>
      <c r="H1025" s="13">
        <f t="shared" si="15"/>
        <v>55.794589313748816</v>
      </c>
    </row>
    <row r="1026" spans="2:8" s="115" customFormat="1">
      <c r="B1026" s="13">
        <v>400</v>
      </c>
      <c r="C1026" s="13">
        <v>800</v>
      </c>
      <c r="D1026" s="13">
        <v>1.8169999999999999</v>
      </c>
      <c r="E1026" s="13">
        <v>1282</v>
      </c>
      <c r="F1026" s="13">
        <v>1417</v>
      </c>
      <c r="G1026" s="13">
        <v>1.6850000000000001</v>
      </c>
      <c r="H1026" s="13">
        <f t="shared" si="15"/>
        <v>56.231104592874878</v>
      </c>
    </row>
    <row r="1027" spans="2:8" s="115" customFormat="1">
      <c r="B1027" s="13">
        <v>400</v>
      </c>
      <c r="C1027" s="13">
        <v>820</v>
      </c>
      <c r="D1027" s="13">
        <v>1.849</v>
      </c>
      <c r="E1027" s="13">
        <v>1291</v>
      </c>
      <c r="F1027" s="13">
        <v>1428</v>
      </c>
      <c r="G1027" s="13">
        <v>1.6930000000000001</v>
      </c>
      <c r="H1027" s="13">
        <f t="shared" si="15"/>
        <v>56.667619872000934</v>
      </c>
    </row>
    <row r="1028" spans="2:8" s="115" customFormat="1">
      <c r="B1028" s="13">
        <v>400</v>
      </c>
      <c r="C1028" s="13">
        <v>840</v>
      </c>
      <c r="D1028" s="13">
        <v>1.881</v>
      </c>
      <c r="E1028" s="13">
        <v>1299</v>
      </c>
      <c r="F1028" s="13">
        <v>1438</v>
      </c>
      <c r="G1028" s="13">
        <v>1.702</v>
      </c>
      <c r="H1028" s="13">
        <f t="shared" si="15"/>
        <v>57.064451943933712</v>
      </c>
    </row>
    <row r="1029" spans="2:8" s="115" customFormat="1">
      <c r="B1029" s="13">
        <v>400</v>
      </c>
      <c r="C1029" s="13">
        <v>860</v>
      </c>
      <c r="D1029" s="13">
        <v>1.9139999999999999</v>
      </c>
      <c r="E1029" s="13">
        <v>1307</v>
      </c>
      <c r="F1029" s="13">
        <v>1449</v>
      </c>
      <c r="G1029" s="13">
        <v>1.71</v>
      </c>
      <c r="H1029" s="13">
        <f t="shared" si="15"/>
        <v>57.500967223059767</v>
      </c>
    </row>
    <row r="1030" spans="2:8" s="115" customFormat="1">
      <c r="B1030" s="13">
        <v>400</v>
      </c>
      <c r="C1030" s="13">
        <v>880</v>
      </c>
      <c r="D1030" s="13">
        <v>1.946</v>
      </c>
      <c r="E1030" s="13">
        <v>1316</v>
      </c>
      <c r="F1030" s="13">
        <v>1460</v>
      </c>
      <c r="G1030" s="13">
        <v>1.718</v>
      </c>
      <c r="H1030" s="13">
        <f t="shared" si="15"/>
        <v>57.93748250218583</v>
      </c>
    </row>
    <row r="1031" spans="2:8" s="115" customFormat="1">
      <c r="B1031" s="13">
        <v>400</v>
      </c>
      <c r="C1031" s="13">
        <v>900</v>
      </c>
      <c r="D1031" s="13">
        <v>1.978</v>
      </c>
      <c r="E1031" s="13">
        <v>1324</v>
      </c>
      <c r="F1031" s="13">
        <v>1470</v>
      </c>
      <c r="G1031" s="13">
        <v>1.726</v>
      </c>
      <c r="H1031" s="13">
        <f t="shared" si="15"/>
        <v>58.334314574118608</v>
      </c>
    </row>
    <row r="1032" spans="2:8" s="115" customFormat="1">
      <c r="B1032" s="13">
        <v>400</v>
      </c>
      <c r="C1032" s="13">
        <v>920</v>
      </c>
      <c r="D1032" s="13">
        <v>2.0099999999999998</v>
      </c>
      <c r="E1032" s="13">
        <v>1332</v>
      </c>
      <c r="F1032" s="13">
        <v>1481</v>
      </c>
      <c r="G1032" s="13">
        <v>1.7330000000000001</v>
      </c>
      <c r="H1032" s="13">
        <f t="shared" si="15"/>
        <v>58.770829853244663</v>
      </c>
    </row>
    <row r="1033" spans="2:8" s="115" customFormat="1">
      <c r="B1033" s="13">
        <v>400</v>
      </c>
      <c r="C1033" s="13">
        <v>940</v>
      </c>
      <c r="D1033" s="13">
        <v>2.0409999999999999</v>
      </c>
      <c r="E1033" s="13">
        <v>1341</v>
      </c>
      <c r="F1033" s="13">
        <v>1492</v>
      </c>
      <c r="G1033" s="13">
        <v>1.7410000000000001</v>
      </c>
      <c r="H1033" s="13">
        <f t="shared" si="15"/>
        <v>59.207345132370719</v>
      </c>
    </row>
    <row r="1034" spans="2:8" s="115" customFormat="1">
      <c r="B1034" s="13">
        <v>400</v>
      </c>
      <c r="C1034" s="13">
        <v>960</v>
      </c>
      <c r="D1034" s="13">
        <v>2.073</v>
      </c>
      <c r="E1034" s="13">
        <v>1349</v>
      </c>
      <c r="F1034" s="13">
        <v>1502</v>
      </c>
      <c r="G1034" s="13">
        <v>1.7490000000000001</v>
      </c>
      <c r="H1034" s="13">
        <f t="shared" si="15"/>
        <v>59.604177204303504</v>
      </c>
    </row>
    <row r="1035" spans="2:8" s="115" customFormat="1">
      <c r="B1035" s="13">
        <v>400</v>
      </c>
      <c r="C1035" s="13">
        <v>980</v>
      </c>
      <c r="D1035" s="13">
        <v>2.1040000000000001</v>
      </c>
      <c r="E1035" s="13">
        <v>1357</v>
      </c>
      <c r="F1035" s="13">
        <v>1513</v>
      </c>
      <c r="G1035" s="13">
        <v>1.756</v>
      </c>
      <c r="H1035" s="13">
        <f t="shared" si="15"/>
        <v>60.040692483429559</v>
      </c>
    </row>
    <row r="1036" spans="2:8" s="115" customFormat="1">
      <c r="B1036" s="13">
        <v>400</v>
      </c>
      <c r="C1036" s="13">
        <v>1000</v>
      </c>
      <c r="D1036" s="13">
        <v>2.1360000000000001</v>
      </c>
      <c r="E1036" s="13">
        <v>1366</v>
      </c>
      <c r="F1036" s="13">
        <v>1524</v>
      </c>
      <c r="G1036" s="13">
        <v>1.764</v>
      </c>
      <c r="H1036" s="13">
        <f t="shared" si="15"/>
        <v>60.477207762555615</v>
      </c>
    </row>
    <row r="1037" spans="2:8" s="115" customFormat="1">
      <c r="B1037" s="13">
        <v>400</v>
      </c>
      <c r="C1037" s="13">
        <v>1020</v>
      </c>
      <c r="D1037" s="13">
        <v>2.1669999999999998</v>
      </c>
      <c r="E1037" s="13">
        <v>1374</v>
      </c>
      <c r="F1037" s="13">
        <v>1535</v>
      </c>
      <c r="G1037" s="13">
        <v>1.7709999999999999</v>
      </c>
      <c r="H1037" s="13">
        <f t="shared" si="15"/>
        <v>60.913723041681678</v>
      </c>
    </row>
    <row r="1038" spans="2:8" s="115" customFormat="1">
      <c r="B1038" s="13">
        <v>400</v>
      </c>
      <c r="C1038" s="13">
        <v>1040</v>
      </c>
      <c r="D1038" s="13">
        <v>2.198</v>
      </c>
      <c r="E1038" s="13">
        <v>1383</v>
      </c>
      <c r="F1038" s="13">
        <v>1545</v>
      </c>
      <c r="G1038" s="13">
        <v>1.778</v>
      </c>
      <c r="H1038" s="13">
        <f t="shared" si="15"/>
        <v>61.310555113614448</v>
      </c>
    </row>
    <row r="1039" spans="2:8" s="115" customFormat="1">
      <c r="B1039" s="13">
        <v>400</v>
      </c>
      <c r="C1039" s="13">
        <v>1060</v>
      </c>
      <c r="D1039" s="13">
        <v>2.23</v>
      </c>
      <c r="E1039" s="13">
        <v>1391</v>
      </c>
      <c r="F1039" s="13">
        <v>1556</v>
      </c>
      <c r="G1039" s="13">
        <v>1.7849999999999999</v>
      </c>
      <c r="H1039" s="13">
        <f t="shared" si="15"/>
        <v>61.747070392740511</v>
      </c>
    </row>
    <row r="1040" spans="2:8" s="115" customFormat="1">
      <c r="B1040" s="13">
        <v>400</v>
      </c>
      <c r="C1040" s="13">
        <v>1080</v>
      </c>
      <c r="D1040" s="13">
        <v>2.2610000000000001</v>
      </c>
      <c r="E1040" s="13">
        <v>1400</v>
      </c>
      <c r="F1040" s="13">
        <v>1567</v>
      </c>
      <c r="G1040" s="13">
        <v>1.792</v>
      </c>
      <c r="H1040" s="13">
        <f t="shared" si="15"/>
        <v>62.183585671866567</v>
      </c>
    </row>
    <row r="1041" spans="2:8" s="115" customFormat="1">
      <c r="B1041" s="13">
        <v>400</v>
      </c>
      <c r="C1041" s="13">
        <v>1100</v>
      </c>
      <c r="D1041" s="13">
        <v>2.2919999999999998</v>
      </c>
      <c r="E1041" s="13">
        <v>1408</v>
      </c>
      <c r="F1041" s="13">
        <v>1578</v>
      </c>
      <c r="G1041" s="13">
        <v>1.7989999999999999</v>
      </c>
      <c r="H1041" s="13">
        <f t="shared" si="15"/>
        <v>62.620100950992622</v>
      </c>
    </row>
    <row r="1042" spans="2:8" s="115" customFormat="1">
      <c r="B1042" s="13">
        <v>400</v>
      </c>
      <c r="C1042" s="13">
        <v>1120</v>
      </c>
      <c r="D1042" s="13">
        <v>2.323</v>
      </c>
      <c r="E1042" s="13">
        <v>1417</v>
      </c>
      <c r="F1042" s="13">
        <v>1588</v>
      </c>
      <c r="G1042" s="13">
        <v>1.806</v>
      </c>
      <c r="H1042" s="13">
        <f t="shared" si="15"/>
        <v>63.016933022925407</v>
      </c>
    </row>
    <row r="1043" spans="2:8" s="115" customFormat="1">
      <c r="B1043" s="13">
        <v>400</v>
      </c>
      <c r="C1043" s="13">
        <v>1140</v>
      </c>
      <c r="D1043" s="13">
        <v>2.3540000000000001</v>
      </c>
      <c r="E1043" s="13">
        <v>1425</v>
      </c>
      <c r="F1043" s="13">
        <v>1599</v>
      </c>
      <c r="G1043" s="13">
        <v>1.8129999999999999</v>
      </c>
      <c r="H1043" s="13">
        <f t="shared" si="15"/>
        <v>63.453448302051456</v>
      </c>
    </row>
    <row r="1044" spans="2:8" s="115" customFormat="1">
      <c r="B1044" s="13">
        <v>400</v>
      </c>
      <c r="C1044" s="13">
        <v>1160</v>
      </c>
      <c r="D1044" s="13">
        <v>2.3849999999999998</v>
      </c>
      <c r="E1044" s="13">
        <v>1434</v>
      </c>
      <c r="F1044" s="13">
        <v>1610</v>
      </c>
      <c r="G1044" s="13">
        <v>1.82</v>
      </c>
      <c r="H1044" s="13">
        <f t="shared" si="15"/>
        <v>63.889963581177518</v>
      </c>
    </row>
    <row r="1045" spans="2:8" s="115" customFormat="1">
      <c r="B1045" s="13">
        <v>400</v>
      </c>
      <c r="C1045" s="13">
        <v>1180</v>
      </c>
      <c r="D1045" s="13">
        <v>2.4159999999999999</v>
      </c>
      <c r="E1045" s="13">
        <v>1442</v>
      </c>
      <c r="F1045" s="13">
        <v>1621</v>
      </c>
      <c r="G1045" s="13">
        <v>1.8260000000000001</v>
      </c>
      <c r="H1045" s="13">
        <f t="shared" si="15"/>
        <v>64.326478860303581</v>
      </c>
    </row>
    <row r="1046" spans="2:8" s="115" customFormat="1">
      <c r="B1046" s="13">
        <v>400</v>
      </c>
      <c r="C1046" s="13">
        <v>1200</v>
      </c>
      <c r="D1046" s="13">
        <v>2.4460000000000002</v>
      </c>
      <c r="E1046" s="13">
        <v>1451</v>
      </c>
      <c r="F1046" s="13">
        <v>1632</v>
      </c>
      <c r="G1046" s="13">
        <v>1.833</v>
      </c>
      <c r="H1046" s="13">
        <f t="shared" si="15"/>
        <v>64.762994139429637</v>
      </c>
    </row>
    <row r="1047" spans="2:8" s="115" customFormat="1">
      <c r="B1047" s="13">
        <v>400</v>
      </c>
      <c r="C1047" s="13">
        <v>1220</v>
      </c>
      <c r="D1047" s="13">
        <v>2.4769999999999999</v>
      </c>
      <c r="E1047" s="13">
        <v>1460</v>
      </c>
      <c r="F1047" s="13">
        <v>1643</v>
      </c>
      <c r="G1047" s="13">
        <v>1.84</v>
      </c>
      <c r="H1047" s="13">
        <f t="shared" si="15"/>
        <v>65.199509418555692</v>
      </c>
    </row>
    <row r="1048" spans="2:8" s="115" customFormat="1">
      <c r="B1048" s="13">
        <v>400</v>
      </c>
      <c r="C1048" s="13">
        <v>1240</v>
      </c>
      <c r="D1048" s="13">
        <v>2.508</v>
      </c>
      <c r="E1048" s="13">
        <v>1468</v>
      </c>
      <c r="F1048" s="13">
        <v>1654</v>
      </c>
      <c r="G1048" s="13">
        <v>1.8460000000000001</v>
      </c>
      <c r="H1048" s="13">
        <f t="shared" si="15"/>
        <v>65.636024697681748</v>
      </c>
    </row>
    <row r="1049" spans="2:8" s="115" customFormat="1">
      <c r="B1049" s="13">
        <v>400</v>
      </c>
      <c r="C1049" s="13">
        <v>1260</v>
      </c>
      <c r="D1049" s="13">
        <v>2.5390000000000001</v>
      </c>
      <c r="E1049" s="13">
        <v>1477</v>
      </c>
      <c r="F1049" s="13">
        <v>1665</v>
      </c>
      <c r="G1049" s="13">
        <v>1.853</v>
      </c>
      <c r="H1049" s="13">
        <f t="shared" si="15"/>
        <v>66.072539976807803</v>
      </c>
    </row>
    <row r="1050" spans="2:8" s="115" customFormat="1">
      <c r="B1050" s="13">
        <v>400</v>
      </c>
      <c r="C1050" s="13">
        <v>1280</v>
      </c>
      <c r="D1050" s="13">
        <v>2.569</v>
      </c>
      <c r="E1050" s="13">
        <v>1486</v>
      </c>
      <c r="F1050" s="13">
        <v>1676</v>
      </c>
      <c r="G1050" s="13">
        <v>1.859</v>
      </c>
      <c r="H1050" s="13">
        <f t="shared" si="15"/>
        <v>66.509055255933873</v>
      </c>
    </row>
    <row r="1051" spans="2:8" s="115" customFormat="1">
      <c r="B1051" s="13">
        <v>400</v>
      </c>
      <c r="C1051" s="13">
        <v>1300</v>
      </c>
      <c r="D1051" s="13">
        <v>2.6</v>
      </c>
      <c r="E1051" s="13">
        <v>1495</v>
      </c>
      <c r="F1051" s="13">
        <v>1687</v>
      </c>
      <c r="G1051" s="13">
        <v>1.865</v>
      </c>
      <c r="H1051" s="13">
        <f t="shared" si="15"/>
        <v>66.945570535059929</v>
      </c>
    </row>
    <row r="1052" spans="2:8" s="115" customFormat="1">
      <c r="B1052" s="13">
        <v>400</v>
      </c>
      <c r="C1052" s="13">
        <v>1320</v>
      </c>
      <c r="D1052" s="13">
        <v>2.6309999999999998</v>
      </c>
      <c r="E1052" s="13">
        <v>1503</v>
      </c>
      <c r="F1052" s="13">
        <v>1698</v>
      </c>
      <c r="G1052" s="13">
        <v>1.8720000000000001</v>
      </c>
      <c r="H1052" s="13">
        <f t="shared" si="15"/>
        <v>67.382085814185984</v>
      </c>
    </row>
    <row r="1053" spans="2:8" s="115" customFormat="1">
      <c r="B1053" s="13">
        <v>400</v>
      </c>
      <c r="C1053" s="13">
        <v>1340</v>
      </c>
      <c r="D1053" s="13">
        <v>2.661</v>
      </c>
      <c r="E1053" s="13">
        <v>1512</v>
      </c>
      <c r="F1053" s="13">
        <v>1709</v>
      </c>
      <c r="G1053" s="13">
        <v>1.8779999999999999</v>
      </c>
      <c r="H1053" s="13">
        <f t="shared" si="15"/>
        <v>67.81860109331204</v>
      </c>
    </row>
    <row r="1054" spans="2:8" s="115" customFormat="1">
      <c r="B1054" s="13">
        <v>400</v>
      </c>
      <c r="C1054" s="13">
        <v>1360</v>
      </c>
      <c r="D1054" s="13">
        <v>2.6920000000000002</v>
      </c>
      <c r="E1054" s="13">
        <v>1521</v>
      </c>
      <c r="F1054" s="13">
        <v>1720</v>
      </c>
      <c r="G1054" s="13">
        <v>1.8839999999999999</v>
      </c>
      <c r="H1054" s="13">
        <f t="shared" si="15"/>
        <v>68.255116372438096</v>
      </c>
    </row>
    <row r="1055" spans="2:8" s="115" customFormat="1">
      <c r="B1055" s="13">
        <v>400</v>
      </c>
      <c r="C1055" s="13">
        <v>1380</v>
      </c>
      <c r="D1055" s="13">
        <v>2.722</v>
      </c>
      <c r="E1055" s="13">
        <v>1530</v>
      </c>
      <c r="F1055" s="13">
        <v>1732</v>
      </c>
      <c r="G1055" s="13">
        <v>1.89</v>
      </c>
      <c r="H1055" s="13">
        <f t="shared" si="15"/>
        <v>68.731314858757429</v>
      </c>
    </row>
    <row r="1056" spans="2:8" s="115" customFormat="1">
      <c r="B1056" s="13">
        <v>400</v>
      </c>
      <c r="C1056" s="13">
        <v>1400</v>
      </c>
      <c r="D1056" s="13">
        <v>2.7530000000000001</v>
      </c>
      <c r="E1056" s="13">
        <v>1539</v>
      </c>
      <c r="F1056" s="13">
        <v>1743</v>
      </c>
      <c r="G1056" s="13">
        <v>1.8959999999999999</v>
      </c>
      <c r="H1056" s="13">
        <f t="shared" si="15"/>
        <v>69.167830137883499</v>
      </c>
    </row>
    <row r="1057" spans="2:8" s="115" customFormat="1">
      <c r="B1057" s="13">
        <v>400</v>
      </c>
      <c r="C1057" s="13">
        <v>1420</v>
      </c>
      <c r="D1057" s="13">
        <v>2.7829999999999999</v>
      </c>
      <c r="E1057" s="13">
        <v>1548</v>
      </c>
      <c r="F1057" s="13">
        <v>1754</v>
      </c>
      <c r="G1057" s="13">
        <v>1.9019999999999999</v>
      </c>
      <c r="H1057" s="13">
        <f t="shared" si="15"/>
        <v>69.604345417009554</v>
      </c>
    </row>
    <row r="1058" spans="2:8" s="115" customFormat="1">
      <c r="B1058" s="13">
        <v>400</v>
      </c>
      <c r="C1058" s="13">
        <v>1440</v>
      </c>
      <c r="D1058" s="13">
        <v>2.8140000000000001</v>
      </c>
      <c r="E1058" s="13">
        <v>1557</v>
      </c>
      <c r="F1058" s="13">
        <v>1765</v>
      </c>
      <c r="G1058" s="13">
        <v>1.9079999999999999</v>
      </c>
      <c r="H1058" s="13">
        <f t="shared" si="15"/>
        <v>70.04086069613561</v>
      </c>
    </row>
    <row r="1059" spans="2:8" s="115" customFormat="1">
      <c r="B1059" s="13">
        <v>400</v>
      </c>
      <c r="C1059" s="13">
        <v>1460</v>
      </c>
      <c r="D1059" s="13">
        <v>2.8439999999999999</v>
      </c>
      <c r="E1059" s="13">
        <v>1566</v>
      </c>
      <c r="F1059" s="13">
        <v>1777</v>
      </c>
      <c r="G1059" s="13">
        <v>1.9139999999999999</v>
      </c>
      <c r="H1059" s="13">
        <f t="shared" si="15"/>
        <v>70.517059182454943</v>
      </c>
    </row>
    <row r="1060" spans="2:8" s="115" customFormat="1">
      <c r="B1060" s="13">
        <v>400</v>
      </c>
      <c r="C1060" s="13">
        <v>1480</v>
      </c>
      <c r="D1060" s="13">
        <v>2.8740000000000001</v>
      </c>
      <c r="E1060" s="13">
        <v>1575</v>
      </c>
      <c r="F1060" s="13">
        <v>1788</v>
      </c>
      <c r="G1060" s="13">
        <v>1.92</v>
      </c>
      <c r="H1060" s="13">
        <f t="shared" si="15"/>
        <v>70.953574461580999</v>
      </c>
    </row>
    <row r="1061" spans="2:8" s="115" customFormat="1">
      <c r="B1061" s="13">
        <v>400</v>
      </c>
      <c r="C1061" s="13">
        <v>1500</v>
      </c>
      <c r="D1061" s="13">
        <v>2.9049999999999998</v>
      </c>
      <c r="E1061" s="13">
        <v>1584</v>
      </c>
      <c r="F1061" s="13">
        <v>1799</v>
      </c>
      <c r="G1061" s="13">
        <v>1.9259999999999999</v>
      </c>
      <c r="H1061" s="13">
        <f t="shared" si="15"/>
        <v>71.390089740707054</v>
      </c>
    </row>
    <row r="1062" spans="2:8" s="115" customFormat="1">
      <c r="B1062" s="13">
        <v>500</v>
      </c>
      <c r="C1062" s="13">
        <v>40</v>
      </c>
      <c r="D1062" s="13">
        <v>1.5990000000000001E-2</v>
      </c>
      <c r="E1062" s="13">
        <v>8.0280000000000005</v>
      </c>
      <c r="F1062" s="13">
        <v>9.5069999999999997</v>
      </c>
      <c r="G1062" s="13">
        <v>1.619E-2</v>
      </c>
      <c r="H1062" s="13">
        <f t="shared" si="15"/>
        <v>0.37726825078649356</v>
      </c>
    </row>
    <row r="1063" spans="2:8" s="115" customFormat="1">
      <c r="B1063" s="13">
        <v>500</v>
      </c>
      <c r="C1063" s="13">
        <v>60</v>
      </c>
      <c r="D1063" s="13">
        <v>1.601E-2</v>
      </c>
      <c r="E1063" s="13">
        <v>28.01</v>
      </c>
      <c r="F1063" s="13">
        <v>29.49</v>
      </c>
      <c r="G1063" s="13">
        <v>5.5410000000000001E-2</v>
      </c>
      <c r="H1063" s="13">
        <f t="shared" si="15"/>
        <v>1.1702577801297671</v>
      </c>
    </row>
    <row r="1064" spans="2:8" s="115" customFormat="1">
      <c r="B1064" s="13">
        <v>500</v>
      </c>
      <c r="C1064" s="13">
        <v>80</v>
      </c>
      <c r="D1064" s="13">
        <v>1.6049999999999998E-2</v>
      </c>
      <c r="E1064" s="13">
        <v>47.95</v>
      </c>
      <c r="F1064" s="13">
        <v>49.43</v>
      </c>
      <c r="G1064" s="13">
        <v>9.3060000000000004E-2</v>
      </c>
      <c r="H1064" s="13">
        <f t="shared" si="15"/>
        <v>1.9615409315637296</v>
      </c>
    </row>
    <row r="1065" spans="2:8" s="115" customFormat="1">
      <c r="B1065" s="13">
        <v>500</v>
      </c>
      <c r="C1065" s="13">
        <v>100</v>
      </c>
      <c r="D1065" s="13">
        <v>1.6109999999999999E-2</v>
      </c>
      <c r="E1065" s="13">
        <v>67.86</v>
      </c>
      <c r="F1065" s="13">
        <v>69.36</v>
      </c>
      <c r="G1065" s="13">
        <v>0.1293</v>
      </c>
      <c r="H1065" s="13">
        <f t="shared" si="15"/>
        <v>2.7524272509257592</v>
      </c>
    </row>
    <row r="1066" spans="2:8" s="115" customFormat="1">
      <c r="B1066" s="13">
        <v>500</v>
      </c>
      <c r="C1066" s="13">
        <v>120</v>
      </c>
      <c r="D1066" s="13">
        <v>1.618E-2</v>
      </c>
      <c r="E1066" s="13">
        <v>87.78</v>
      </c>
      <c r="F1066" s="13">
        <v>89.28</v>
      </c>
      <c r="G1066" s="13">
        <v>0.1643</v>
      </c>
      <c r="H1066" s="13">
        <f t="shared" si="15"/>
        <v>3.5429167382158568</v>
      </c>
    </row>
    <row r="1067" spans="2:8" s="115" customFormat="1">
      <c r="B1067" s="13">
        <v>500</v>
      </c>
      <c r="C1067" s="13">
        <v>140</v>
      </c>
      <c r="D1067" s="13">
        <v>1.627E-2</v>
      </c>
      <c r="E1067" s="13">
        <v>107.7</v>
      </c>
      <c r="F1067" s="13">
        <v>109.2</v>
      </c>
      <c r="G1067" s="13">
        <v>0.1981</v>
      </c>
      <c r="H1067" s="13">
        <f t="shared" si="15"/>
        <v>4.3334062255059536</v>
      </c>
    </row>
    <row r="1068" spans="2:8" s="115" customFormat="1">
      <c r="B1068" s="13">
        <v>500</v>
      </c>
      <c r="C1068" s="13">
        <v>160</v>
      </c>
      <c r="D1068" s="13">
        <v>1.6369999999999999E-2</v>
      </c>
      <c r="E1068" s="13">
        <v>127.7</v>
      </c>
      <c r="F1068" s="13">
        <v>129.19999999999999</v>
      </c>
      <c r="G1068" s="13">
        <v>0.23080000000000001</v>
      </c>
      <c r="H1068" s="13">
        <f t="shared" si="15"/>
        <v>5.1270703693715127</v>
      </c>
    </row>
    <row r="1069" spans="2:8" s="115" customFormat="1">
      <c r="B1069" s="13">
        <v>500</v>
      </c>
      <c r="C1069" s="13">
        <v>180</v>
      </c>
      <c r="D1069" s="13">
        <v>1.6480000000000002E-2</v>
      </c>
      <c r="E1069" s="13">
        <v>147.6</v>
      </c>
      <c r="F1069" s="13">
        <v>149.19999999999999</v>
      </c>
      <c r="G1069" s="13">
        <v>0.2626</v>
      </c>
      <c r="H1069" s="13">
        <f t="shared" si="15"/>
        <v>5.9207345132370719</v>
      </c>
    </row>
    <row r="1070" spans="2:8" s="115" customFormat="1">
      <c r="B1070" s="13">
        <v>500</v>
      </c>
      <c r="C1070" s="13">
        <v>200</v>
      </c>
      <c r="D1070" s="13">
        <v>1.661E-2</v>
      </c>
      <c r="E1070" s="13">
        <v>167.7</v>
      </c>
      <c r="F1070" s="13">
        <v>169.2</v>
      </c>
      <c r="G1070" s="13">
        <v>0.29339999999999999</v>
      </c>
      <c r="H1070" s="13">
        <f t="shared" si="15"/>
        <v>6.7143986571026311</v>
      </c>
    </row>
    <row r="1071" spans="2:8" s="115" customFormat="1">
      <c r="B1071" s="13">
        <v>500</v>
      </c>
      <c r="C1071" s="13">
        <v>220</v>
      </c>
      <c r="D1071" s="13">
        <v>1.6740000000000001E-2</v>
      </c>
      <c r="E1071" s="13">
        <v>187.8</v>
      </c>
      <c r="F1071" s="13">
        <v>189.3</v>
      </c>
      <c r="G1071" s="13">
        <v>0.32350000000000001</v>
      </c>
      <c r="H1071" s="13">
        <f t="shared" si="15"/>
        <v>7.5120311216875191</v>
      </c>
    </row>
    <row r="1072" spans="2:8" s="115" customFormat="1">
      <c r="B1072" s="13">
        <v>500</v>
      </c>
      <c r="C1072" s="13">
        <v>240</v>
      </c>
      <c r="D1072" s="13">
        <v>1.6889999999999999E-2</v>
      </c>
      <c r="E1072" s="13">
        <v>207.9</v>
      </c>
      <c r="F1072" s="13">
        <v>209.5</v>
      </c>
      <c r="G1072" s="13">
        <v>0.35270000000000001</v>
      </c>
      <c r="H1072" s="13">
        <f t="shared" si="15"/>
        <v>8.3136319069917342</v>
      </c>
    </row>
    <row r="1073" spans="2:8" s="115" customFormat="1">
      <c r="B1073" s="13">
        <v>500</v>
      </c>
      <c r="C1073" s="13">
        <v>260</v>
      </c>
      <c r="D1073" s="13">
        <v>1.7049999999999999E-2</v>
      </c>
      <c r="E1073" s="13">
        <v>228.2</v>
      </c>
      <c r="F1073" s="13">
        <v>229.7</v>
      </c>
      <c r="G1073" s="13">
        <v>0.38129999999999997</v>
      </c>
      <c r="H1073" s="13">
        <f t="shared" si="15"/>
        <v>9.1152326922959475</v>
      </c>
    </row>
    <row r="1074" spans="2:8" s="115" customFormat="1">
      <c r="B1074" s="13">
        <v>500</v>
      </c>
      <c r="C1074" s="13">
        <v>280</v>
      </c>
      <c r="D1074" s="13">
        <v>1.7229999999999999E-2</v>
      </c>
      <c r="E1074" s="13">
        <v>248.5</v>
      </c>
      <c r="F1074" s="13">
        <v>250.1</v>
      </c>
      <c r="G1074" s="13">
        <v>0.40910000000000002</v>
      </c>
      <c r="H1074" s="13">
        <f t="shared" si="15"/>
        <v>9.9247701190388185</v>
      </c>
    </row>
    <row r="1075" spans="2:8" s="115" customFormat="1">
      <c r="B1075" s="13">
        <v>500</v>
      </c>
      <c r="C1075" s="13">
        <v>300</v>
      </c>
      <c r="D1075" s="13">
        <v>1.7420000000000001E-2</v>
      </c>
      <c r="E1075" s="13">
        <v>268.89999999999998</v>
      </c>
      <c r="F1075" s="13">
        <v>270.60000000000002</v>
      </c>
      <c r="G1075" s="13">
        <v>0.4365</v>
      </c>
      <c r="H1075" s="13">
        <f t="shared" si="15"/>
        <v>10.738275866501018</v>
      </c>
    </row>
    <row r="1076" spans="2:8" s="115" customFormat="1">
      <c r="B1076" s="13">
        <v>500</v>
      </c>
      <c r="C1076" s="13">
        <v>320</v>
      </c>
      <c r="D1076" s="13">
        <v>1.762E-2</v>
      </c>
      <c r="E1076" s="13">
        <v>289.5</v>
      </c>
      <c r="F1076" s="13">
        <v>291.2</v>
      </c>
      <c r="G1076" s="13">
        <v>0.4632</v>
      </c>
      <c r="H1076" s="13">
        <f t="shared" si="15"/>
        <v>11.555749934682543</v>
      </c>
    </row>
    <row r="1077" spans="2:8" s="115" customFormat="1">
      <c r="B1077" s="13">
        <v>500</v>
      </c>
      <c r="C1077" s="13">
        <v>340</v>
      </c>
      <c r="D1077" s="13">
        <v>1.7840000000000002E-2</v>
      </c>
      <c r="E1077" s="13">
        <v>310.3</v>
      </c>
      <c r="F1077" s="13">
        <v>311.89999999999998</v>
      </c>
      <c r="G1077" s="13">
        <v>0.48949999999999999</v>
      </c>
      <c r="H1077" s="13">
        <f t="shared" si="15"/>
        <v>12.377192323583396</v>
      </c>
    </row>
    <row r="1078" spans="2:8" s="115" customFormat="1">
      <c r="B1078" s="13">
        <v>500</v>
      </c>
      <c r="C1078" s="13">
        <v>360</v>
      </c>
      <c r="D1078" s="13">
        <v>1.8069999999999999E-2</v>
      </c>
      <c r="E1078" s="13">
        <v>331.2</v>
      </c>
      <c r="F1078" s="13">
        <v>332.8</v>
      </c>
      <c r="G1078" s="13">
        <v>0.51539999999999997</v>
      </c>
      <c r="H1078" s="13">
        <f t="shared" si="15"/>
        <v>13.206571353922905</v>
      </c>
    </row>
    <row r="1079" spans="2:8" s="115" customFormat="1">
      <c r="B1079" s="13">
        <v>500</v>
      </c>
      <c r="C1079" s="13">
        <v>380</v>
      </c>
      <c r="D1079" s="13">
        <v>1.8329999999999999E-2</v>
      </c>
      <c r="E1079" s="13">
        <v>352.3</v>
      </c>
      <c r="F1079" s="13">
        <v>354</v>
      </c>
      <c r="G1079" s="13">
        <v>0.54079999999999995</v>
      </c>
      <c r="H1079" s="13">
        <f t="shared" si="15"/>
        <v>14.047855346420398</v>
      </c>
    </row>
    <row r="1080" spans="2:8" s="115" customFormat="1">
      <c r="B1080" s="13">
        <v>500</v>
      </c>
      <c r="C1080" s="13">
        <v>400</v>
      </c>
      <c r="D1080" s="13">
        <v>1.8610000000000002E-2</v>
      </c>
      <c r="E1080" s="13">
        <v>373.7</v>
      </c>
      <c r="F1080" s="13">
        <v>375.4</v>
      </c>
      <c r="G1080" s="13">
        <v>0.56599999999999995</v>
      </c>
      <c r="H1080" s="13">
        <f t="shared" si="15"/>
        <v>14.897075980356545</v>
      </c>
    </row>
    <row r="1081" spans="2:8" s="115" customFormat="1">
      <c r="B1081" s="13">
        <v>500</v>
      </c>
      <c r="C1081" s="13">
        <v>420</v>
      </c>
      <c r="D1081" s="13">
        <v>1.891E-2</v>
      </c>
      <c r="E1081" s="13">
        <v>395.3</v>
      </c>
      <c r="F1081" s="13">
        <v>397.1</v>
      </c>
      <c r="G1081" s="13">
        <v>0.59099999999999997</v>
      </c>
      <c r="H1081" s="13">
        <f t="shared" ref="H1081:H1144" si="16">F1081/$E$22*18</f>
        <v>15.758201576450681</v>
      </c>
    </row>
    <row r="1082" spans="2:8" s="115" customFormat="1">
      <c r="B1082" s="13">
        <v>500</v>
      </c>
      <c r="C1082" s="13">
        <v>440</v>
      </c>
      <c r="D1082" s="13">
        <v>1.925E-2</v>
      </c>
      <c r="E1082" s="13">
        <v>417.3</v>
      </c>
      <c r="F1082" s="13">
        <v>419.1</v>
      </c>
      <c r="G1082" s="13">
        <v>0.61570000000000003</v>
      </c>
      <c r="H1082" s="13">
        <f t="shared" si="16"/>
        <v>16.631232134702795</v>
      </c>
    </row>
    <row r="1083" spans="2:8" s="115" customFormat="1">
      <c r="B1083" s="13">
        <v>500</v>
      </c>
      <c r="C1083" s="13">
        <v>460</v>
      </c>
      <c r="D1083" s="13">
        <v>1.9609999999999999E-2</v>
      </c>
      <c r="E1083" s="13">
        <v>439.7</v>
      </c>
      <c r="F1083" s="13">
        <v>441.5</v>
      </c>
      <c r="G1083" s="13">
        <v>0.64039999999999997</v>
      </c>
      <c r="H1083" s="13">
        <f t="shared" si="16"/>
        <v>17.520135975832222</v>
      </c>
    </row>
    <row r="1084" spans="2:8" s="115" customFormat="1">
      <c r="B1084" s="13">
        <v>500</v>
      </c>
      <c r="C1084" s="13">
        <v>480</v>
      </c>
      <c r="D1084" s="13">
        <v>0.95479999999999998</v>
      </c>
      <c r="E1084" s="13">
        <v>1128</v>
      </c>
      <c r="F1084" s="13">
        <v>1216</v>
      </c>
      <c r="G1084" s="13">
        <v>1.476</v>
      </c>
      <c r="H1084" s="13">
        <f t="shared" si="16"/>
        <v>48.254779947026002</v>
      </c>
    </row>
    <row r="1085" spans="2:8" s="115" customFormat="1">
      <c r="B1085" s="13">
        <v>500</v>
      </c>
      <c r="C1085" s="13">
        <v>500</v>
      </c>
      <c r="D1085" s="13">
        <v>0.99299999999999999</v>
      </c>
      <c r="E1085" s="13">
        <v>1140</v>
      </c>
      <c r="F1085" s="13">
        <v>1232</v>
      </c>
      <c r="G1085" s="13">
        <v>1.4930000000000001</v>
      </c>
      <c r="H1085" s="13">
        <f t="shared" si="16"/>
        <v>48.889711262118453</v>
      </c>
    </row>
    <row r="1086" spans="2:8" s="115" customFormat="1">
      <c r="B1086" s="13">
        <v>500</v>
      </c>
      <c r="C1086" s="13">
        <v>520</v>
      </c>
      <c r="D1086" s="13">
        <v>1.0289999999999999</v>
      </c>
      <c r="E1086" s="13">
        <v>1151</v>
      </c>
      <c r="F1086" s="13">
        <v>1247</v>
      </c>
      <c r="G1086" s="13">
        <v>1.508</v>
      </c>
      <c r="H1086" s="13">
        <f t="shared" si="16"/>
        <v>49.48495937001762</v>
      </c>
    </row>
    <row r="1087" spans="2:8" s="115" customFormat="1">
      <c r="B1087" s="13">
        <v>500</v>
      </c>
      <c r="C1087" s="13">
        <v>540</v>
      </c>
      <c r="D1087" s="13">
        <v>1.0629999999999999</v>
      </c>
      <c r="E1087" s="13">
        <v>1162</v>
      </c>
      <c r="F1087" s="13">
        <v>1260</v>
      </c>
      <c r="G1087" s="13">
        <v>1.522</v>
      </c>
      <c r="H1087" s="13">
        <f t="shared" si="16"/>
        <v>50.000841063530238</v>
      </c>
    </row>
    <row r="1088" spans="2:8" s="115" customFormat="1">
      <c r="B1088" s="13">
        <v>500</v>
      </c>
      <c r="C1088" s="13">
        <v>560</v>
      </c>
      <c r="D1088" s="13">
        <v>1.0960000000000001</v>
      </c>
      <c r="E1088" s="13">
        <v>1172</v>
      </c>
      <c r="F1088" s="13">
        <v>1274</v>
      </c>
      <c r="G1088" s="13">
        <v>1.5349999999999999</v>
      </c>
      <c r="H1088" s="13">
        <f t="shared" si="16"/>
        <v>50.556405964236127</v>
      </c>
    </row>
    <row r="1089" spans="2:8" s="115" customFormat="1">
      <c r="B1089" s="13">
        <v>500</v>
      </c>
      <c r="C1089" s="13">
        <v>580</v>
      </c>
      <c r="D1089" s="13">
        <v>1.1279999999999999</v>
      </c>
      <c r="E1089" s="13">
        <v>1182</v>
      </c>
      <c r="F1089" s="13">
        <v>1286</v>
      </c>
      <c r="G1089" s="13">
        <v>1.5469999999999999</v>
      </c>
      <c r="H1089" s="13">
        <f t="shared" si="16"/>
        <v>51.032604450555461</v>
      </c>
    </row>
    <row r="1090" spans="2:8" s="115" customFormat="1">
      <c r="B1090" s="13">
        <v>500</v>
      </c>
      <c r="C1090" s="13">
        <v>600</v>
      </c>
      <c r="D1090" s="13">
        <v>1.159</v>
      </c>
      <c r="E1090" s="13">
        <v>1191</v>
      </c>
      <c r="F1090" s="13">
        <v>1299</v>
      </c>
      <c r="G1090" s="13">
        <v>1.5589999999999999</v>
      </c>
      <c r="H1090" s="13">
        <f t="shared" si="16"/>
        <v>51.548486144068079</v>
      </c>
    </row>
    <row r="1091" spans="2:8" s="115" customFormat="1">
      <c r="B1091" s="13">
        <v>500</v>
      </c>
      <c r="C1091" s="13">
        <v>620</v>
      </c>
      <c r="D1091" s="13">
        <v>1.1890000000000001</v>
      </c>
      <c r="E1091" s="13">
        <v>1201</v>
      </c>
      <c r="F1091" s="13">
        <v>1311</v>
      </c>
      <c r="G1091" s="13">
        <v>1.57</v>
      </c>
      <c r="H1091" s="13">
        <f t="shared" si="16"/>
        <v>52.024684630387412</v>
      </c>
    </row>
    <row r="1092" spans="2:8" s="115" customFormat="1">
      <c r="B1092" s="13">
        <v>500</v>
      </c>
      <c r="C1092" s="13">
        <v>640</v>
      </c>
      <c r="D1092" s="13">
        <v>1.2190000000000001</v>
      </c>
      <c r="E1092" s="13">
        <v>1210</v>
      </c>
      <c r="F1092" s="13">
        <v>1323</v>
      </c>
      <c r="G1092" s="13">
        <v>1.581</v>
      </c>
      <c r="H1092" s="13">
        <f t="shared" si="16"/>
        <v>52.500883116706746</v>
      </c>
    </row>
    <row r="1093" spans="2:8" s="115" customFormat="1">
      <c r="B1093" s="13">
        <v>500</v>
      </c>
      <c r="C1093" s="13">
        <v>660</v>
      </c>
      <c r="D1093" s="13">
        <v>1.248</v>
      </c>
      <c r="E1093" s="13">
        <v>1219</v>
      </c>
      <c r="F1093" s="13">
        <v>1334</v>
      </c>
      <c r="G1093" s="13">
        <v>1.5920000000000001</v>
      </c>
      <c r="H1093" s="13">
        <f t="shared" si="16"/>
        <v>52.937398395832801</v>
      </c>
    </row>
    <row r="1094" spans="2:8" s="115" customFormat="1">
      <c r="B1094" s="13">
        <v>500</v>
      </c>
      <c r="C1094" s="13">
        <v>680</v>
      </c>
      <c r="D1094" s="13">
        <v>1.276</v>
      </c>
      <c r="E1094" s="13">
        <v>1228</v>
      </c>
      <c r="F1094" s="13">
        <v>1346</v>
      </c>
      <c r="G1094" s="13">
        <v>1.6020000000000001</v>
      </c>
      <c r="H1094" s="13">
        <f t="shared" si="16"/>
        <v>53.413596882152135</v>
      </c>
    </row>
    <row r="1095" spans="2:8" s="115" customFormat="1">
      <c r="B1095" s="13">
        <v>500</v>
      </c>
      <c r="C1095" s="13">
        <v>700</v>
      </c>
      <c r="D1095" s="13">
        <v>1.304</v>
      </c>
      <c r="E1095" s="13">
        <v>1236</v>
      </c>
      <c r="F1095" s="13">
        <v>1357</v>
      </c>
      <c r="G1095" s="13">
        <v>1.6120000000000001</v>
      </c>
      <c r="H1095" s="13">
        <f t="shared" si="16"/>
        <v>53.85011216127819</v>
      </c>
    </row>
    <row r="1096" spans="2:8" s="115" customFormat="1">
      <c r="B1096" s="13">
        <v>500</v>
      </c>
      <c r="C1096" s="13">
        <v>720</v>
      </c>
      <c r="D1096" s="13">
        <v>1.3320000000000001</v>
      </c>
      <c r="E1096" s="13">
        <v>1245</v>
      </c>
      <c r="F1096" s="13">
        <v>1368</v>
      </c>
      <c r="G1096" s="13">
        <v>1.621</v>
      </c>
      <c r="H1096" s="13">
        <f t="shared" si="16"/>
        <v>54.286627440404253</v>
      </c>
    </row>
    <row r="1097" spans="2:8" s="115" customFormat="1">
      <c r="B1097" s="13">
        <v>500</v>
      </c>
      <c r="C1097" s="13">
        <v>740</v>
      </c>
      <c r="D1097" s="13">
        <v>1.36</v>
      </c>
      <c r="E1097" s="13">
        <v>1254</v>
      </c>
      <c r="F1097" s="13">
        <v>1379</v>
      </c>
      <c r="G1097" s="13">
        <v>1.631</v>
      </c>
      <c r="H1097" s="13">
        <f t="shared" si="16"/>
        <v>54.723142719530308</v>
      </c>
    </row>
    <row r="1098" spans="2:8" s="115" customFormat="1">
      <c r="B1098" s="13">
        <v>500</v>
      </c>
      <c r="C1098" s="13">
        <v>760</v>
      </c>
      <c r="D1098" s="13">
        <v>1.387</v>
      </c>
      <c r="E1098" s="13">
        <v>1262</v>
      </c>
      <c r="F1098" s="13">
        <v>1390</v>
      </c>
      <c r="G1098" s="13">
        <v>1.64</v>
      </c>
      <c r="H1098" s="13">
        <f t="shared" si="16"/>
        <v>55.159657998656371</v>
      </c>
    </row>
    <row r="1099" spans="2:8" s="115" customFormat="1">
      <c r="B1099" s="13">
        <v>500</v>
      </c>
      <c r="C1099" s="13">
        <v>780</v>
      </c>
      <c r="D1099" s="13">
        <v>1.4139999999999999</v>
      </c>
      <c r="E1099" s="13">
        <v>1271</v>
      </c>
      <c r="F1099" s="13">
        <v>1401</v>
      </c>
      <c r="G1099" s="13">
        <v>1.649</v>
      </c>
      <c r="H1099" s="13">
        <f t="shared" si="16"/>
        <v>55.596173277782427</v>
      </c>
    </row>
    <row r="1100" spans="2:8" s="115" customFormat="1">
      <c r="B1100" s="13">
        <v>500</v>
      </c>
      <c r="C1100" s="13">
        <v>800</v>
      </c>
      <c r="D1100" s="13">
        <v>1.4410000000000001</v>
      </c>
      <c r="E1100" s="13">
        <v>1279</v>
      </c>
      <c r="F1100" s="13">
        <v>1412</v>
      </c>
      <c r="G1100" s="13">
        <v>1.6579999999999999</v>
      </c>
      <c r="H1100" s="13">
        <f t="shared" si="16"/>
        <v>56.032688556908482</v>
      </c>
    </row>
    <row r="1101" spans="2:8" s="115" customFormat="1">
      <c r="B1101" s="13">
        <v>500</v>
      </c>
      <c r="C1101" s="13">
        <v>820</v>
      </c>
      <c r="D1101" s="13">
        <v>1.468</v>
      </c>
      <c r="E1101" s="13">
        <v>1288</v>
      </c>
      <c r="F1101" s="13">
        <v>1423</v>
      </c>
      <c r="G1101" s="13">
        <v>1.6659999999999999</v>
      </c>
      <c r="H1101" s="13">
        <f t="shared" si="16"/>
        <v>56.469203836034545</v>
      </c>
    </row>
    <row r="1102" spans="2:8" s="115" customFormat="1">
      <c r="B1102" s="13">
        <v>500</v>
      </c>
      <c r="C1102" s="13">
        <v>840</v>
      </c>
      <c r="D1102" s="13">
        <v>1.494</v>
      </c>
      <c r="E1102" s="13">
        <v>1296</v>
      </c>
      <c r="F1102" s="13">
        <v>1434</v>
      </c>
      <c r="G1102" s="13">
        <v>1.675</v>
      </c>
      <c r="H1102" s="13">
        <f t="shared" si="16"/>
        <v>56.905719115160601</v>
      </c>
    </row>
    <row r="1103" spans="2:8" s="115" customFormat="1">
      <c r="B1103" s="13">
        <v>500</v>
      </c>
      <c r="C1103" s="13">
        <v>860</v>
      </c>
      <c r="D1103" s="13">
        <v>1.52</v>
      </c>
      <c r="E1103" s="13">
        <v>1304</v>
      </c>
      <c r="F1103" s="13">
        <v>1445</v>
      </c>
      <c r="G1103" s="13">
        <v>1.6830000000000001</v>
      </c>
      <c r="H1103" s="13">
        <f t="shared" si="16"/>
        <v>57.342234394286663</v>
      </c>
    </row>
    <row r="1104" spans="2:8" s="115" customFormat="1">
      <c r="B1104" s="13">
        <v>500</v>
      </c>
      <c r="C1104" s="13">
        <v>880</v>
      </c>
      <c r="D1104" s="13">
        <v>1.546</v>
      </c>
      <c r="E1104" s="13">
        <v>1313</v>
      </c>
      <c r="F1104" s="13">
        <v>1456</v>
      </c>
      <c r="G1104" s="13">
        <v>1.6910000000000001</v>
      </c>
      <c r="H1104" s="13">
        <f t="shared" si="16"/>
        <v>57.778749673412719</v>
      </c>
    </row>
    <row r="1105" spans="2:8" s="115" customFormat="1">
      <c r="B1105" s="13">
        <v>500</v>
      </c>
      <c r="C1105" s="13">
        <v>900</v>
      </c>
      <c r="D1105" s="13">
        <v>1.5720000000000001</v>
      </c>
      <c r="E1105" s="13">
        <v>1321</v>
      </c>
      <c r="F1105" s="13">
        <v>1467</v>
      </c>
      <c r="G1105" s="13">
        <v>1.6990000000000001</v>
      </c>
      <c r="H1105" s="13">
        <f t="shared" si="16"/>
        <v>58.215264952538767</v>
      </c>
    </row>
    <row r="1106" spans="2:8" s="115" customFormat="1">
      <c r="B1106" s="13">
        <v>500</v>
      </c>
      <c r="C1106" s="13">
        <v>920</v>
      </c>
      <c r="D1106" s="13">
        <v>1.5980000000000001</v>
      </c>
      <c r="E1106" s="13">
        <v>1330</v>
      </c>
      <c r="F1106" s="13">
        <v>1478</v>
      </c>
      <c r="G1106" s="13">
        <v>1.7070000000000001</v>
      </c>
      <c r="H1106" s="13">
        <f t="shared" si="16"/>
        <v>58.65178023166483</v>
      </c>
    </row>
    <row r="1107" spans="2:8" s="115" customFormat="1">
      <c r="B1107" s="13">
        <v>500</v>
      </c>
      <c r="C1107" s="13">
        <v>940</v>
      </c>
      <c r="D1107" s="13">
        <v>1.6240000000000001</v>
      </c>
      <c r="E1107" s="13">
        <v>1338</v>
      </c>
      <c r="F1107" s="13">
        <v>1488</v>
      </c>
      <c r="G1107" s="13">
        <v>1.7150000000000001</v>
      </c>
      <c r="H1107" s="13">
        <f t="shared" si="16"/>
        <v>59.048612303597608</v>
      </c>
    </row>
    <row r="1108" spans="2:8" s="115" customFormat="1">
      <c r="B1108" s="13">
        <v>500</v>
      </c>
      <c r="C1108" s="13">
        <v>960</v>
      </c>
      <c r="D1108" s="13">
        <v>1.65</v>
      </c>
      <c r="E1108" s="13">
        <v>1347</v>
      </c>
      <c r="F1108" s="13">
        <v>1499</v>
      </c>
      <c r="G1108" s="13">
        <v>1.722</v>
      </c>
      <c r="H1108" s="13">
        <f t="shared" si="16"/>
        <v>59.485127582723671</v>
      </c>
    </row>
    <row r="1109" spans="2:8" s="115" customFormat="1">
      <c r="B1109" s="13">
        <v>500</v>
      </c>
      <c r="C1109" s="13">
        <v>980</v>
      </c>
      <c r="D1109" s="13">
        <v>1.675</v>
      </c>
      <c r="E1109" s="13">
        <v>1355</v>
      </c>
      <c r="F1109" s="13">
        <v>1510</v>
      </c>
      <c r="G1109" s="13">
        <v>1.73</v>
      </c>
      <c r="H1109" s="13">
        <f t="shared" si="16"/>
        <v>59.921642861849726</v>
      </c>
    </row>
    <row r="1110" spans="2:8" s="115" customFormat="1">
      <c r="B1110" s="13">
        <v>500</v>
      </c>
      <c r="C1110" s="13">
        <v>1000</v>
      </c>
      <c r="D1110" s="13">
        <v>1.7010000000000001</v>
      </c>
      <c r="E1110" s="13">
        <v>1364</v>
      </c>
      <c r="F1110" s="13">
        <v>1521</v>
      </c>
      <c r="G1110" s="13">
        <v>1.738</v>
      </c>
      <c r="H1110" s="13">
        <f t="shared" si="16"/>
        <v>60.358158140975782</v>
      </c>
    </row>
    <row r="1111" spans="2:8" s="115" customFormat="1">
      <c r="B1111" s="13">
        <v>500</v>
      </c>
      <c r="C1111" s="13">
        <v>1020</v>
      </c>
      <c r="D1111" s="13">
        <v>1.726</v>
      </c>
      <c r="E1111" s="13">
        <v>1372</v>
      </c>
      <c r="F1111" s="13">
        <v>1532</v>
      </c>
      <c r="G1111" s="13">
        <v>1.7450000000000001</v>
      </c>
      <c r="H1111" s="13">
        <f t="shared" si="16"/>
        <v>60.794673420101844</v>
      </c>
    </row>
    <row r="1112" spans="2:8" s="115" customFormat="1">
      <c r="B1112" s="13">
        <v>500</v>
      </c>
      <c r="C1112" s="13">
        <v>1040</v>
      </c>
      <c r="D1112" s="13">
        <v>1.752</v>
      </c>
      <c r="E1112" s="13">
        <v>1381</v>
      </c>
      <c r="F1112" s="13">
        <v>1543</v>
      </c>
      <c r="G1112" s="13">
        <v>1.752</v>
      </c>
      <c r="H1112" s="13">
        <f t="shared" si="16"/>
        <v>61.2311886992279</v>
      </c>
    </row>
    <row r="1113" spans="2:8" s="115" customFormat="1">
      <c r="B1113" s="13">
        <v>500</v>
      </c>
      <c r="C1113" s="13">
        <v>1060</v>
      </c>
      <c r="D1113" s="13">
        <v>1.7769999999999999</v>
      </c>
      <c r="E1113" s="13">
        <v>1389</v>
      </c>
      <c r="F1113" s="13">
        <v>1553</v>
      </c>
      <c r="G1113" s="13">
        <v>1.7589999999999999</v>
      </c>
      <c r="H1113" s="13">
        <f t="shared" si="16"/>
        <v>61.628020771160678</v>
      </c>
    </row>
    <row r="1114" spans="2:8" s="115" customFormat="1">
      <c r="B1114" s="13">
        <v>500</v>
      </c>
      <c r="C1114" s="13">
        <v>1080</v>
      </c>
      <c r="D1114" s="13">
        <v>1.802</v>
      </c>
      <c r="E1114" s="13">
        <v>1398</v>
      </c>
      <c r="F1114" s="13">
        <v>1564</v>
      </c>
      <c r="G1114" s="13">
        <v>1.766</v>
      </c>
      <c r="H1114" s="13">
        <f t="shared" si="16"/>
        <v>62.064536050286733</v>
      </c>
    </row>
    <row r="1115" spans="2:8" s="115" customFormat="1">
      <c r="B1115" s="13">
        <v>500</v>
      </c>
      <c r="C1115" s="13">
        <v>1100</v>
      </c>
      <c r="D1115" s="13">
        <v>1.827</v>
      </c>
      <c r="E1115" s="13">
        <v>1406</v>
      </c>
      <c r="F1115" s="13">
        <v>1575</v>
      </c>
      <c r="G1115" s="13">
        <v>1.774</v>
      </c>
      <c r="H1115" s="13">
        <f t="shared" si="16"/>
        <v>62.501051329412789</v>
      </c>
    </row>
    <row r="1116" spans="2:8" s="115" customFormat="1">
      <c r="B1116" s="13">
        <v>500</v>
      </c>
      <c r="C1116" s="13">
        <v>1120</v>
      </c>
      <c r="D1116" s="13">
        <v>1.8520000000000001</v>
      </c>
      <c r="E1116" s="13">
        <v>1415</v>
      </c>
      <c r="F1116" s="13">
        <v>1586</v>
      </c>
      <c r="G1116" s="13">
        <v>1.78</v>
      </c>
      <c r="H1116" s="13">
        <f t="shared" si="16"/>
        <v>62.937566608538852</v>
      </c>
    </row>
    <row r="1117" spans="2:8" s="115" customFormat="1">
      <c r="B1117" s="13">
        <v>500</v>
      </c>
      <c r="C1117" s="13">
        <v>1140</v>
      </c>
      <c r="D1117" s="13">
        <v>1.877</v>
      </c>
      <c r="E1117" s="13">
        <v>1423</v>
      </c>
      <c r="F1117" s="13">
        <v>1597</v>
      </c>
      <c r="G1117" s="13">
        <v>1.7869999999999999</v>
      </c>
      <c r="H1117" s="13">
        <f t="shared" si="16"/>
        <v>63.374081887664907</v>
      </c>
    </row>
    <row r="1118" spans="2:8" s="115" customFormat="1">
      <c r="B1118" s="13">
        <v>500</v>
      </c>
      <c r="C1118" s="13">
        <v>1160</v>
      </c>
      <c r="D1118" s="13">
        <v>1.9019999999999999</v>
      </c>
      <c r="E1118" s="13">
        <v>1432</v>
      </c>
      <c r="F1118" s="13">
        <v>1608</v>
      </c>
      <c r="G1118" s="13">
        <v>1.794</v>
      </c>
      <c r="H1118" s="13">
        <f t="shared" si="16"/>
        <v>63.81059716679097</v>
      </c>
    </row>
    <row r="1119" spans="2:8" s="115" customFormat="1">
      <c r="B1119" s="13">
        <v>500</v>
      </c>
      <c r="C1119" s="13">
        <v>1180</v>
      </c>
      <c r="D1119" s="13">
        <v>1.927</v>
      </c>
      <c r="E1119" s="13">
        <v>1441</v>
      </c>
      <c r="F1119" s="13">
        <v>1619</v>
      </c>
      <c r="G1119" s="13">
        <v>1.8009999999999999</v>
      </c>
      <c r="H1119" s="13">
        <f t="shared" si="16"/>
        <v>64.247112445917026</v>
      </c>
    </row>
    <row r="1120" spans="2:8" s="115" customFormat="1">
      <c r="B1120" s="13">
        <v>500</v>
      </c>
      <c r="C1120" s="13">
        <v>1200</v>
      </c>
      <c r="D1120" s="13">
        <v>1.952</v>
      </c>
      <c r="E1120" s="13">
        <v>1449</v>
      </c>
      <c r="F1120" s="13">
        <v>1630</v>
      </c>
      <c r="G1120" s="13">
        <v>1.8080000000000001</v>
      </c>
      <c r="H1120" s="13">
        <f t="shared" si="16"/>
        <v>64.683627725043081</v>
      </c>
    </row>
    <row r="1121" spans="2:8" s="115" customFormat="1">
      <c r="B1121" s="13">
        <v>500</v>
      </c>
      <c r="C1121" s="13">
        <v>1220</v>
      </c>
      <c r="D1121" s="13">
        <v>1.9770000000000001</v>
      </c>
      <c r="E1121" s="13">
        <v>1458</v>
      </c>
      <c r="F1121" s="13">
        <v>1641</v>
      </c>
      <c r="G1121" s="13">
        <v>1.8140000000000001</v>
      </c>
      <c r="H1121" s="13">
        <f t="shared" si="16"/>
        <v>65.120143004169137</v>
      </c>
    </row>
    <row r="1122" spans="2:8" s="115" customFormat="1">
      <c r="B1122" s="13">
        <v>500</v>
      </c>
      <c r="C1122" s="13">
        <v>1240</v>
      </c>
      <c r="D1122" s="13">
        <v>2.0019999999999998</v>
      </c>
      <c r="E1122" s="13">
        <v>1467</v>
      </c>
      <c r="F1122" s="13">
        <v>1652</v>
      </c>
      <c r="G1122" s="13">
        <v>1.821</v>
      </c>
      <c r="H1122" s="13">
        <f t="shared" si="16"/>
        <v>65.556658283295192</v>
      </c>
    </row>
    <row r="1123" spans="2:8" s="115" customFormat="1">
      <c r="B1123" s="13">
        <v>500</v>
      </c>
      <c r="C1123" s="13">
        <v>1260</v>
      </c>
      <c r="D1123" s="13">
        <v>2.0259999999999998</v>
      </c>
      <c r="E1123" s="13">
        <v>1476</v>
      </c>
      <c r="F1123" s="13">
        <v>1663</v>
      </c>
      <c r="G1123" s="13">
        <v>1.827</v>
      </c>
      <c r="H1123" s="13">
        <f t="shared" si="16"/>
        <v>65.993173562421248</v>
      </c>
    </row>
    <row r="1124" spans="2:8" s="115" customFormat="1">
      <c r="B1124" s="13">
        <v>500</v>
      </c>
      <c r="C1124" s="13">
        <v>1280</v>
      </c>
      <c r="D1124" s="13">
        <v>2.0510000000000002</v>
      </c>
      <c r="E1124" s="13">
        <v>1484</v>
      </c>
      <c r="F1124" s="13">
        <v>1674</v>
      </c>
      <c r="G1124" s="13">
        <v>1.8340000000000001</v>
      </c>
      <c r="H1124" s="13">
        <f t="shared" si="16"/>
        <v>66.429688841547303</v>
      </c>
    </row>
    <row r="1125" spans="2:8" s="115" customFormat="1">
      <c r="B1125" s="13">
        <v>500</v>
      </c>
      <c r="C1125" s="13">
        <v>1300</v>
      </c>
      <c r="D1125" s="13">
        <v>2.0760000000000001</v>
      </c>
      <c r="E1125" s="13">
        <v>1493</v>
      </c>
      <c r="F1125" s="13">
        <v>1685</v>
      </c>
      <c r="G1125" s="13">
        <v>1.84</v>
      </c>
      <c r="H1125" s="13">
        <f t="shared" si="16"/>
        <v>66.866204120673373</v>
      </c>
    </row>
    <row r="1126" spans="2:8" s="115" customFormat="1">
      <c r="B1126" s="13">
        <v>500</v>
      </c>
      <c r="C1126" s="13">
        <v>1320</v>
      </c>
      <c r="D1126" s="13">
        <v>2.1</v>
      </c>
      <c r="E1126" s="13">
        <v>1502</v>
      </c>
      <c r="F1126" s="13">
        <v>1696</v>
      </c>
      <c r="G1126" s="13">
        <v>1.8460000000000001</v>
      </c>
      <c r="H1126" s="13">
        <f t="shared" si="16"/>
        <v>67.302719399799429</v>
      </c>
    </row>
    <row r="1127" spans="2:8" s="115" customFormat="1">
      <c r="B1127" s="13">
        <v>500</v>
      </c>
      <c r="C1127" s="13">
        <v>1340</v>
      </c>
      <c r="D1127" s="13">
        <v>2.125</v>
      </c>
      <c r="E1127" s="13">
        <v>1511</v>
      </c>
      <c r="F1127" s="13">
        <v>1708</v>
      </c>
      <c r="G1127" s="13">
        <v>1.8520000000000001</v>
      </c>
      <c r="H1127" s="13">
        <f t="shared" si="16"/>
        <v>67.778917886118762</v>
      </c>
    </row>
    <row r="1128" spans="2:8" s="115" customFormat="1">
      <c r="B1128" s="13">
        <v>500</v>
      </c>
      <c r="C1128" s="13">
        <v>1360</v>
      </c>
      <c r="D1128" s="13">
        <v>2.15</v>
      </c>
      <c r="E1128" s="13">
        <v>1520</v>
      </c>
      <c r="F1128" s="13">
        <v>1719</v>
      </c>
      <c r="G1128" s="13">
        <v>1.859</v>
      </c>
      <c r="H1128" s="13">
        <f t="shared" si="16"/>
        <v>68.215433165244818</v>
      </c>
    </row>
    <row r="1129" spans="2:8" s="115" customFormat="1">
      <c r="B1129" s="13">
        <v>500</v>
      </c>
      <c r="C1129" s="13">
        <v>1380</v>
      </c>
      <c r="D1129" s="13">
        <v>2.1739999999999999</v>
      </c>
      <c r="E1129" s="13">
        <v>1529</v>
      </c>
      <c r="F1129" s="13">
        <v>1730</v>
      </c>
      <c r="G1129" s="13">
        <v>1.865</v>
      </c>
      <c r="H1129" s="13">
        <f t="shared" si="16"/>
        <v>68.651948444370873</v>
      </c>
    </row>
    <row r="1130" spans="2:8" s="115" customFormat="1">
      <c r="B1130" s="13">
        <v>500</v>
      </c>
      <c r="C1130" s="13">
        <v>1400</v>
      </c>
      <c r="D1130" s="13">
        <v>2.1989999999999998</v>
      </c>
      <c r="E1130" s="13">
        <v>1538</v>
      </c>
      <c r="F1130" s="13">
        <v>1741</v>
      </c>
      <c r="G1130" s="13">
        <v>1.871</v>
      </c>
      <c r="H1130" s="13">
        <f t="shared" si="16"/>
        <v>69.088463723496929</v>
      </c>
    </row>
    <row r="1131" spans="2:8" s="115" customFormat="1">
      <c r="B1131" s="13">
        <v>500</v>
      </c>
      <c r="C1131" s="13">
        <v>1420</v>
      </c>
      <c r="D1131" s="13">
        <v>2.2229999999999999</v>
      </c>
      <c r="E1131" s="13">
        <v>1547</v>
      </c>
      <c r="F1131" s="13">
        <v>1753</v>
      </c>
      <c r="G1131" s="13">
        <v>1.877</v>
      </c>
      <c r="H1131" s="13">
        <f t="shared" si="16"/>
        <v>69.564662209816262</v>
      </c>
    </row>
    <row r="1132" spans="2:8" s="115" customFormat="1">
      <c r="B1132" s="13">
        <v>500</v>
      </c>
      <c r="C1132" s="13">
        <v>1440</v>
      </c>
      <c r="D1132" s="13">
        <v>2.2480000000000002</v>
      </c>
      <c r="E1132" s="13">
        <v>1556</v>
      </c>
      <c r="F1132" s="13">
        <v>1764</v>
      </c>
      <c r="G1132" s="13">
        <v>1.883</v>
      </c>
      <c r="H1132" s="13">
        <f t="shared" si="16"/>
        <v>70.001177488942318</v>
      </c>
    </row>
    <row r="1133" spans="2:8" s="115" customFormat="1">
      <c r="B1133" s="13">
        <v>500</v>
      </c>
      <c r="C1133" s="13">
        <v>1460</v>
      </c>
      <c r="D1133" s="13">
        <v>2.2719999999999998</v>
      </c>
      <c r="E1133" s="13">
        <v>1565</v>
      </c>
      <c r="F1133" s="13">
        <v>1775</v>
      </c>
      <c r="G1133" s="13">
        <v>1.889</v>
      </c>
      <c r="H1133" s="13">
        <f t="shared" si="16"/>
        <v>70.437692768068388</v>
      </c>
    </row>
    <row r="1134" spans="2:8" s="115" customFormat="1">
      <c r="B1134" s="13">
        <v>500</v>
      </c>
      <c r="C1134" s="13">
        <v>1480</v>
      </c>
      <c r="D1134" s="13">
        <v>2.2970000000000002</v>
      </c>
      <c r="E1134" s="13">
        <v>1574</v>
      </c>
      <c r="F1134" s="13">
        <v>1787</v>
      </c>
      <c r="G1134" s="13">
        <v>1.895</v>
      </c>
      <c r="H1134" s="13">
        <f t="shared" si="16"/>
        <v>70.913891254387721</v>
      </c>
    </row>
    <row r="1135" spans="2:8" s="115" customFormat="1">
      <c r="B1135" s="13">
        <v>500</v>
      </c>
      <c r="C1135" s="13">
        <v>1500</v>
      </c>
      <c r="D1135" s="13">
        <v>2.3210000000000002</v>
      </c>
      <c r="E1135" s="13">
        <v>1583</v>
      </c>
      <c r="F1135" s="13">
        <v>1798</v>
      </c>
      <c r="G1135" s="13">
        <v>1.901</v>
      </c>
      <c r="H1135" s="13">
        <f t="shared" si="16"/>
        <v>71.350406533513777</v>
      </c>
    </row>
    <row r="1136" spans="2:8" s="115" customFormat="1">
      <c r="B1136" s="13">
        <v>600</v>
      </c>
      <c r="C1136" s="13">
        <v>40</v>
      </c>
      <c r="D1136" s="13">
        <v>1.5990000000000001E-2</v>
      </c>
      <c r="E1136" s="13">
        <v>8.0269999999999992</v>
      </c>
      <c r="F1136" s="13">
        <v>9.8019999999999996</v>
      </c>
      <c r="G1136" s="13">
        <v>1.619E-2</v>
      </c>
      <c r="H1136" s="13">
        <f t="shared" si="16"/>
        <v>0.38897479690851061</v>
      </c>
    </row>
    <row r="1137" spans="2:8" s="115" customFormat="1">
      <c r="B1137" s="13">
        <v>600</v>
      </c>
      <c r="C1137" s="13">
        <v>60</v>
      </c>
      <c r="D1137" s="13">
        <v>1.6E-2</v>
      </c>
      <c r="E1137" s="13">
        <v>28</v>
      </c>
      <c r="F1137" s="13">
        <v>29.77</v>
      </c>
      <c r="G1137" s="13">
        <v>5.5379999999999999E-2</v>
      </c>
      <c r="H1137" s="13">
        <f t="shared" si="16"/>
        <v>1.1813690781438848</v>
      </c>
    </row>
    <row r="1138" spans="2:8" s="115" customFormat="1">
      <c r="B1138" s="13">
        <v>600</v>
      </c>
      <c r="C1138" s="13">
        <v>80</v>
      </c>
      <c r="D1138" s="13">
        <v>1.6039999999999999E-2</v>
      </c>
      <c r="E1138" s="13">
        <v>47.92</v>
      </c>
      <c r="F1138" s="13">
        <v>49.7</v>
      </c>
      <c r="G1138" s="13">
        <v>9.3009999999999995E-2</v>
      </c>
      <c r="H1138" s="13">
        <f t="shared" si="16"/>
        <v>1.9722553975059149</v>
      </c>
    </row>
    <row r="1139" spans="2:8" s="115" customFormat="1">
      <c r="B1139" s="13">
        <v>600</v>
      </c>
      <c r="C1139" s="13">
        <v>100</v>
      </c>
      <c r="D1139" s="13">
        <v>1.61E-2</v>
      </c>
      <c r="E1139" s="13">
        <v>67.83</v>
      </c>
      <c r="F1139" s="13">
        <v>69.62</v>
      </c>
      <c r="G1139" s="13">
        <v>0.12920000000000001</v>
      </c>
      <c r="H1139" s="13">
        <f t="shared" si="16"/>
        <v>2.7627448847960121</v>
      </c>
    </row>
    <row r="1140" spans="2:8" s="115" customFormat="1">
      <c r="B1140" s="13">
        <v>600</v>
      </c>
      <c r="C1140" s="13">
        <v>120</v>
      </c>
      <c r="D1140" s="13">
        <v>1.618E-2</v>
      </c>
      <c r="E1140" s="13">
        <v>87.74</v>
      </c>
      <c r="F1140" s="13">
        <v>89.53</v>
      </c>
      <c r="G1140" s="13">
        <v>0.16420000000000001</v>
      </c>
      <c r="H1140" s="13">
        <f t="shared" si="16"/>
        <v>3.5528375400141758</v>
      </c>
    </row>
    <row r="1141" spans="2:8" s="115" customFormat="1">
      <c r="B1141" s="13">
        <v>600</v>
      </c>
      <c r="C1141" s="13">
        <v>140</v>
      </c>
      <c r="D1141" s="13">
        <v>1.626E-2</v>
      </c>
      <c r="E1141" s="13">
        <v>107.7</v>
      </c>
      <c r="F1141" s="13">
        <v>109.5</v>
      </c>
      <c r="G1141" s="13">
        <v>0.19800000000000001</v>
      </c>
      <c r="H1141" s="13">
        <f t="shared" si="16"/>
        <v>4.3453111876639365</v>
      </c>
    </row>
    <row r="1142" spans="2:8" s="115" customFormat="1">
      <c r="B1142" s="13">
        <v>600</v>
      </c>
      <c r="C1142" s="13">
        <v>160</v>
      </c>
      <c r="D1142" s="13">
        <v>1.636E-2</v>
      </c>
      <c r="E1142" s="13">
        <v>127.6</v>
      </c>
      <c r="F1142" s="13">
        <v>129.4</v>
      </c>
      <c r="G1142" s="13">
        <v>0.23069999999999999</v>
      </c>
      <c r="H1142" s="13">
        <f t="shared" si="16"/>
        <v>5.1350070108101686</v>
      </c>
    </row>
    <row r="1143" spans="2:8" s="115" customFormat="1">
      <c r="B1143" s="13">
        <v>600</v>
      </c>
      <c r="C1143" s="13">
        <v>180</v>
      </c>
      <c r="D1143" s="13">
        <v>1.6480000000000002E-2</v>
      </c>
      <c r="E1143" s="13">
        <v>147.6</v>
      </c>
      <c r="F1143" s="13">
        <v>149.4</v>
      </c>
      <c r="G1143" s="13">
        <v>0.26250000000000001</v>
      </c>
      <c r="H1143" s="13">
        <f t="shared" si="16"/>
        <v>5.9286711546757278</v>
      </c>
    </row>
    <row r="1144" spans="2:8" s="115" customFormat="1">
      <c r="B1144" s="13">
        <v>600</v>
      </c>
      <c r="C1144" s="13">
        <v>200</v>
      </c>
      <c r="D1144" s="13">
        <v>1.66E-2</v>
      </c>
      <c r="E1144" s="13">
        <v>167.6</v>
      </c>
      <c r="F1144" s="13">
        <v>169.4</v>
      </c>
      <c r="G1144" s="13">
        <v>0.29330000000000001</v>
      </c>
      <c r="H1144" s="13">
        <f t="shared" si="16"/>
        <v>6.722335298541287</v>
      </c>
    </row>
    <row r="1145" spans="2:8" s="115" customFormat="1">
      <c r="B1145" s="13">
        <v>600</v>
      </c>
      <c r="C1145" s="13">
        <v>220</v>
      </c>
      <c r="D1145" s="13">
        <v>1.6740000000000001E-2</v>
      </c>
      <c r="E1145" s="13">
        <v>187.7</v>
      </c>
      <c r="F1145" s="13">
        <v>189.5</v>
      </c>
      <c r="G1145" s="13">
        <v>0.32329999999999998</v>
      </c>
      <c r="H1145" s="13">
        <f t="shared" ref="H1145:H1208" si="17">F1145/$E$22*18</f>
        <v>7.5199677631261741</v>
      </c>
    </row>
    <row r="1146" spans="2:8" s="115" customFormat="1">
      <c r="B1146" s="13">
        <v>600</v>
      </c>
      <c r="C1146" s="13">
        <v>240</v>
      </c>
      <c r="D1146" s="13">
        <v>1.6889999999999999E-2</v>
      </c>
      <c r="E1146" s="13">
        <v>207.8</v>
      </c>
      <c r="F1146" s="13">
        <v>209.7</v>
      </c>
      <c r="G1146" s="13">
        <v>0.35260000000000002</v>
      </c>
      <c r="H1146" s="13">
        <f t="shared" si="17"/>
        <v>8.3215685484303883</v>
      </c>
    </row>
    <row r="1147" spans="2:8" s="115" customFormat="1">
      <c r="B1147" s="13">
        <v>600</v>
      </c>
      <c r="C1147" s="13">
        <v>260</v>
      </c>
      <c r="D1147" s="13">
        <v>1.7049999999999999E-2</v>
      </c>
      <c r="E1147" s="13">
        <v>228</v>
      </c>
      <c r="F1147" s="13">
        <v>229.9</v>
      </c>
      <c r="G1147" s="13">
        <v>0.38109999999999999</v>
      </c>
      <c r="H1147" s="13">
        <f t="shared" si="17"/>
        <v>9.1231693337346051</v>
      </c>
    </row>
    <row r="1148" spans="2:8" s="115" customFormat="1">
      <c r="B1148" s="13">
        <v>600</v>
      </c>
      <c r="C1148" s="13">
        <v>280</v>
      </c>
      <c r="D1148" s="13">
        <v>1.7219999999999999E-2</v>
      </c>
      <c r="E1148" s="13">
        <v>248.4</v>
      </c>
      <c r="F1148" s="13">
        <v>250.3</v>
      </c>
      <c r="G1148" s="13">
        <v>0.40899999999999997</v>
      </c>
      <c r="H1148" s="13">
        <f t="shared" si="17"/>
        <v>9.9327067604774744</v>
      </c>
    </row>
    <row r="1149" spans="2:8" s="115" customFormat="1">
      <c r="B1149" s="13">
        <v>600</v>
      </c>
      <c r="C1149" s="13">
        <v>300</v>
      </c>
      <c r="D1149" s="13">
        <v>1.7409999999999998E-2</v>
      </c>
      <c r="E1149" s="13">
        <v>268.8</v>
      </c>
      <c r="F1149" s="13">
        <v>270.7</v>
      </c>
      <c r="G1149" s="13">
        <v>0.43630000000000002</v>
      </c>
      <c r="H1149" s="13">
        <f t="shared" si="17"/>
        <v>10.742244187220344</v>
      </c>
    </row>
    <row r="1150" spans="2:8" s="115" customFormat="1">
      <c r="B1150" s="13">
        <v>600</v>
      </c>
      <c r="C1150" s="13">
        <v>320</v>
      </c>
      <c r="D1150" s="13">
        <v>1.7610000000000001E-2</v>
      </c>
      <c r="E1150" s="13">
        <v>289.39999999999998</v>
      </c>
      <c r="F1150" s="13">
        <v>291.3</v>
      </c>
      <c r="G1150" s="13">
        <v>0.46300000000000002</v>
      </c>
      <c r="H1150" s="13">
        <f t="shared" si="17"/>
        <v>11.55971825540187</v>
      </c>
    </row>
    <row r="1151" spans="2:8" s="115" customFormat="1">
      <c r="B1151" s="13">
        <v>600</v>
      </c>
      <c r="C1151" s="13">
        <v>340</v>
      </c>
      <c r="D1151" s="13">
        <v>1.7829999999999999E-2</v>
      </c>
      <c r="E1151" s="13">
        <v>310.10000000000002</v>
      </c>
      <c r="F1151" s="13">
        <v>312.10000000000002</v>
      </c>
      <c r="G1151" s="13">
        <v>0.48930000000000001</v>
      </c>
      <c r="H1151" s="13">
        <f t="shared" si="17"/>
        <v>12.385128965022053</v>
      </c>
    </row>
    <row r="1152" spans="2:8" s="115" customFormat="1">
      <c r="B1152" s="13">
        <v>600</v>
      </c>
      <c r="C1152" s="13">
        <v>360</v>
      </c>
      <c r="D1152" s="13">
        <v>1.8069999999999999E-2</v>
      </c>
      <c r="E1152" s="13">
        <v>331</v>
      </c>
      <c r="F1152" s="13">
        <v>333</v>
      </c>
      <c r="G1152" s="13">
        <v>0.5151</v>
      </c>
      <c r="H1152" s="13">
        <f t="shared" si="17"/>
        <v>13.214507995361561</v>
      </c>
    </row>
    <row r="1153" spans="2:8" s="115" customFormat="1">
      <c r="B1153" s="13">
        <v>600</v>
      </c>
      <c r="C1153" s="13">
        <v>380</v>
      </c>
      <c r="D1153" s="13">
        <v>1.8319999999999999E-2</v>
      </c>
      <c r="E1153" s="13">
        <v>352.1</v>
      </c>
      <c r="F1153" s="13">
        <v>354.1</v>
      </c>
      <c r="G1153" s="13">
        <v>0.54059999999999997</v>
      </c>
      <c r="H1153" s="13">
        <f t="shared" si="17"/>
        <v>14.051823667139727</v>
      </c>
    </row>
    <row r="1154" spans="2:8" s="115" customFormat="1">
      <c r="B1154" s="13">
        <v>600</v>
      </c>
      <c r="C1154" s="13">
        <v>400</v>
      </c>
      <c r="D1154" s="13">
        <v>1.8599999999999998E-2</v>
      </c>
      <c r="E1154" s="13">
        <v>373.4</v>
      </c>
      <c r="F1154" s="13">
        <v>375.5</v>
      </c>
      <c r="G1154" s="13">
        <v>0.56579999999999997</v>
      </c>
      <c r="H1154" s="13">
        <f t="shared" si="17"/>
        <v>14.901044301075876</v>
      </c>
    </row>
    <row r="1155" spans="2:8" s="115" customFormat="1">
      <c r="B1155" s="13">
        <v>600</v>
      </c>
      <c r="C1155" s="13">
        <v>420</v>
      </c>
      <c r="D1155" s="13">
        <v>1.89E-2</v>
      </c>
      <c r="E1155" s="13">
        <v>395.1</v>
      </c>
      <c r="F1155" s="13">
        <v>397.2</v>
      </c>
      <c r="G1155" s="13">
        <v>0.5907</v>
      </c>
      <c r="H1155" s="13">
        <f t="shared" si="17"/>
        <v>15.762169897170008</v>
      </c>
    </row>
    <row r="1156" spans="2:8" s="115" customFormat="1">
      <c r="B1156" s="13">
        <v>600</v>
      </c>
      <c r="C1156" s="13">
        <v>440</v>
      </c>
      <c r="D1156" s="13">
        <v>1.9230000000000001E-2</v>
      </c>
      <c r="E1156" s="13">
        <v>417</v>
      </c>
      <c r="F1156" s="13">
        <v>419.1</v>
      </c>
      <c r="G1156" s="13">
        <v>0.61539999999999995</v>
      </c>
      <c r="H1156" s="13">
        <f t="shared" si="17"/>
        <v>16.631232134702795</v>
      </c>
    </row>
    <row r="1157" spans="2:8" s="115" customFormat="1">
      <c r="B1157" s="13">
        <v>600</v>
      </c>
      <c r="C1157" s="13">
        <v>460</v>
      </c>
      <c r="D1157" s="13">
        <v>1.9599999999999999E-2</v>
      </c>
      <c r="E1157" s="13">
        <v>439.4</v>
      </c>
      <c r="F1157" s="13">
        <v>441.5</v>
      </c>
      <c r="G1157" s="13">
        <v>0.64</v>
      </c>
      <c r="H1157" s="13">
        <f t="shared" si="17"/>
        <v>17.520135975832222</v>
      </c>
    </row>
    <row r="1158" spans="2:8" s="115" customFormat="1">
      <c r="B1158" s="13">
        <v>600</v>
      </c>
      <c r="C1158" s="13">
        <v>480</v>
      </c>
      <c r="D1158" s="13">
        <v>0.02</v>
      </c>
      <c r="E1158" s="13">
        <v>462.2</v>
      </c>
      <c r="F1158" s="13">
        <v>464.4</v>
      </c>
      <c r="G1158" s="13">
        <v>0.66459999999999997</v>
      </c>
      <c r="H1158" s="13">
        <f t="shared" si="17"/>
        <v>18.428881420558287</v>
      </c>
    </row>
    <row r="1159" spans="2:8" s="115" customFormat="1">
      <c r="B1159" s="13">
        <v>600</v>
      </c>
      <c r="C1159" s="13">
        <v>500</v>
      </c>
      <c r="D1159" s="13">
        <v>0.79530000000000001</v>
      </c>
      <c r="E1159" s="13">
        <v>1128</v>
      </c>
      <c r="F1159" s="13">
        <v>1217</v>
      </c>
      <c r="G1159" s="13">
        <v>1.46</v>
      </c>
      <c r="H1159" s="13">
        <f t="shared" si="17"/>
        <v>48.294463154219279</v>
      </c>
    </row>
    <row r="1160" spans="2:8" s="115" customFormat="1">
      <c r="B1160" s="13">
        <v>600</v>
      </c>
      <c r="C1160" s="13">
        <v>520</v>
      </c>
      <c r="D1160" s="13">
        <v>0.82889999999999997</v>
      </c>
      <c r="E1160" s="13">
        <v>1141</v>
      </c>
      <c r="F1160" s="13">
        <v>1233</v>
      </c>
      <c r="G1160" s="13">
        <v>1.4770000000000001</v>
      </c>
      <c r="H1160" s="13">
        <f t="shared" si="17"/>
        <v>48.929394469311731</v>
      </c>
    </row>
    <row r="1161" spans="2:8" s="115" customFormat="1">
      <c r="B1161" s="13">
        <v>600</v>
      </c>
      <c r="C1161" s="13">
        <v>540</v>
      </c>
      <c r="D1161" s="13">
        <v>0.86029999999999995</v>
      </c>
      <c r="E1161" s="13">
        <v>1153</v>
      </c>
      <c r="F1161" s="13">
        <v>1249</v>
      </c>
      <c r="G1161" s="13">
        <v>1.492</v>
      </c>
      <c r="H1161" s="13">
        <f t="shared" si="17"/>
        <v>49.564325784404176</v>
      </c>
    </row>
    <row r="1162" spans="2:8" s="115" customFormat="1">
      <c r="B1162" s="13">
        <v>600</v>
      </c>
      <c r="C1162" s="13">
        <v>560</v>
      </c>
      <c r="D1162" s="13">
        <v>0.8901</v>
      </c>
      <c r="E1162" s="13">
        <v>1164</v>
      </c>
      <c r="F1162" s="13">
        <v>1263</v>
      </c>
      <c r="G1162" s="13">
        <v>1.5069999999999999</v>
      </c>
      <c r="H1162" s="13">
        <f t="shared" si="17"/>
        <v>50.119890685110072</v>
      </c>
    </row>
    <row r="1163" spans="2:8" s="115" customFormat="1">
      <c r="B1163" s="13">
        <v>600</v>
      </c>
      <c r="C1163" s="13">
        <v>580</v>
      </c>
      <c r="D1163" s="13">
        <v>0.91859999999999997</v>
      </c>
      <c r="E1163" s="13">
        <v>1175</v>
      </c>
      <c r="F1163" s="13">
        <v>1277</v>
      </c>
      <c r="G1163" s="13">
        <v>1.52</v>
      </c>
      <c r="H1163" s="13">
        <f t="shared" si="17"/>
        <v>50.675455585815961</v>
      </c>
    </row>
    <row r="1164" spans="2:8" s="115" customFormat="1">
      <c r="B1164" s="13">
        <v>600</v>
      </c>
      <c r="C1164" s="13">
        <v>600</v>
      </c>
      <c r="D1164" s="13">
        <v>0.94599999999999995</v>
      </c>
      <c r="E1164" s="13">
        <v>1185</v>
      </c>
      <c r="F1164" s="13">
        <v>1290</v>
      </c>
      <c r="G1164" s="13">
        <v>1.5329999999999999</v>
      </c>
      <c r="H1164" s="13">
        <f t="shared" si="17"/>
        <v>51.191337279328572</v>
      </c>
    </row>
    <row r="1165" spans="2:8" s="115" customFormat="1">
      <c r="B1165" s="13">
        <v>600</v>
      </c>
      <c r="C1165" s="13">
        <v>620</v>
      </c>
      <c r="D1165" s="13">
        <v>0.97270000000000001</v>
      </c>
      <c r="E1165" s="13">
        <v>1195</v>
      </c>
      <c r="F1165" s="13">
        <v>1303</v>
      </c>
      <c r="G1165" s="13">
        <v>1.5449999999999999</v>
      </c>
      <c r="H1165" s="13">
        <f t="shared" si="17"/>
        <v>51.707218972841183</v>
      </c>
    </row>
    <row r="1166" spans="2:8" s="115" customFormat="1">
      <c r="B1166" s="13">
        <v>600</v>
      </c>
      <c r="C1166" s="13">
        <v>640</v>
      </c>
      <c r="D1166" s="13">
        <v>0.99860000000000004</v>
      </c>
      <c r="E1166" s="13">
        <v>1204</v>
      </c>
      <c r="F1166" s="13">
        <v>1315</v>
      </c>
      <c r="G1166" s="13">
        <v>1.556</v>
      </c>
      <c r="H1166" s="13">
        <f t="shared" si="17"/>
        <v>52.183417459160516</v>
      </c>
    </row>
    <row r="1167" spans="2:8" s="115" customFormat="1">
      <c r="B1167" s="13">
        <v>600</v>
      </c>
      <c r="C1167" s="13">
        <v>660</v>
      </c>
      <c r="D1167" s="13">
        <v>1.024</v>
      </c>
      <c r="E1167" s="13">
        <v>1214</v>
      </c>
      <c r="F1167" s="13">
        <v>1327</v>
      </c>
      <c r="G1167" s="13">
        <v>1.5669999999999999</v>
      </c>
      <c r="H1167" s="13">
        <f t="shared" si="17"/>
        <v>52.659615945479857</v>
      </c>
    </row>
    <row r="1168" spans="2:8" s="115" customFormat="1">
      <c r="B1168" s="13">
        <v>600</v>
      </c>
      <c r="C1168" s="13">
        <v>680</v>
      </c>
      <c r="D1168" s="13">
        <v>1.0489999999999999</v>
      </c>
      <c r="E1168" s="13">
        <v>1223</v>
      </c>
      <c r="F1168" s="13">
        <v>1339</v>
      </c>
      <c r="G1168" s="13">
        <v>1.577</v>
      </c>
      <c r="H1168" s="13">
        <f t="shared" si="17"/>
        <v>53.13581443179919</v>
      </c>
    </row>
    <row r="1169" spans="2:8" s="115" customFormat="1">
      <c r="B1169" s="13">
        <v>600</v>
      </c>
      <c r="C1169" s="13">
        <v>700</v>
      </c>
      <c r="D1169" s="13">
        <v>1.073</v>
      </c>
      <c r="E1169" s="13">
        <v>1232</v>
      </c>
      <c r="F1169" s="13">
        <v>1351</v>
      </c>
      <c r="G1169" s="13">
        <v>1.5880000000000001</v>
      </c>
      <c r="H1169" s="13">
        <f t="shared" si="17"/>
        <v>53.612012918118523</v>
      </c>
    </row>
    <row r="1170" spans="2:8" s="115" customFormat="1">
      <c r="B1170" s="13">
        <v>600</v>
      </c>
      <c r="C1170" s="13">
        <v>720</v>
      </c>
      <c r="D1170" s="13">
        <v>1.097</v>
      </c>
      <c r="E1170" s="13">
        <v>1241</v>
      </c>
      <c r="F1170" s="13">
        <v>1363</v>
      </c>
      <c r="G1170" s="13">
        <v>1.5980000000000001</v>
      </c>
      <c r="H1170" s="13">
        <f t="shared" si="17"/>
        <v>54.088211404437857</v>
      </c>
    </row>
    <row r="1171" spans="2:8" s="115" customFormat="1">
      <c r="B1171" s="13">
        <v>600</v>
      </c>
      <c r="C1171" s="13">
        <v>740</v>
      </c>
      <c r="D1171" s="13">
        <v>1.121</v>
      </c>
      <c r="E1171" s="13">
        <v>1250</v>
      </c>
      <c r="F1171" s="13">
        <v>1374</v>
      </c>
      <c r="G1171" s="13">
        <v>1.607</v>
      </c>
      <c r="H1171" s="13">
        <f t="shared" si="17"/>
        <v>54.524726683563919</v>
      </c>
    </row>
    <row r="1172" spans="2:8" s="115" customFormat="1">
      <c r="B1172" s="13">
        <v>600</v>
      </c>
      <c r="C1172" s="13">
        <v>760</v>
      </c>
      <c r="D1172" s="13">
        <v>1.1439999999999999</v>
      </c>
      <c r="E1172" s="13">
        <v>1258</v>
      </c>
      <c r="F1172" s="13">
        <v>1385</v>
      </c>
      <c r="G1172" s="13">
        <v>1.617</v>
      </c>
      <c r="H1172" s="13">
        <f t="shared" si="17"/>
        <v>54.961241962689975</v>
      </c>
    </row>
    <row r="1173" spans="2:8" s="115" customFormat="1">
      <c r="B1173" s="13">
        <v>600</v>
      </c>
      <c r="C1173" s="13">
        <v>780</v>
      </c>
      <c r="D1173" s="13">
        <v>1.167</v>
      </c>
      <c r="E1173" s="13">
        <v>1267</v>
      </c>
      <c r="F1173" s="13">
        <v>1397</v>
      </c>
      <c r="G1173" s="13">
        <v>1.6259999999999999</v>
      </c>
      <c r="H1173" s="13">
        <f t="shared" si="17"/>
        <v>55.437440449009316</v>
      </c>
    </row>
    <row r="1174" spans="2:8" s="115" customFormat="1">
      <c r="B1174" s="13">
        <v>600</v>
      </c>
      <c r="C1174" s="13">
        <v>800</v>
      </c>
      <c r="D1174" s="13">
        <v>1.19</v>
      </c>
      <c r="E1174" s="13">
        <v>1276</v>
      </c>
      <c r="F1174" s="13">
        <v>1408</v>
      </c>
      <c r="G1174" s="13">
        <v>1.635</v>
      </c>
      <c r="H1174" s="13">
        <f t="shared" si="17"/>
        <v>55.873955728135371</v>
      </c>
    </row>
    <row r="1175" spans="2:8" s="115" customFormat="1">
      <c r="B1175" s="13">
        <v>600</v>
      </c>
      <c r="C1175" s="13">
        <v>820</v>
      </c>
      <c r="D1175" s="13">
        <v>1.2130000000000001</v>
      </c>
      <c r="E1175" s="13">
        <v>1284</v>
      </c>
      <c r="F1175" s="13">
        <v>1419</v>
      </c>
      <c r="G1175" s="13">
        <v>1.6439999999999999</v>
      </c>
      <c r="H1175" s="13">
        <f t="shared" si="17"/>
        <v>56.310471007261427</v>
      </c>
    </row>
    <row r="1176" spans="2:8" s="115" customFormat="1">
      <c r="B1176" s="13">
        <v>600</v>
      </c>
      <c r="C1176" s="13">
        <v>840</v>
      </c>
      <c r="D1176" s="13">
        <v>1.236</v>
      </c>
      <c r="E1176" s="13">
        <v>1293</v>
      </c>
      <c r="F1176" s="13">
        <v>1430</v>
      </c>
      <c r="G1176" s="13">
        <v>1.6519999999999999</v>
      </c>
      <c r="H1176" s="13">
        <f t="shared" si="17"/>
        <v>56.746986286387482</v>
      </c>
    </row>
    <row r="1177" spans="2:8" s="115" customFormat="1">
      <c r="B1177" s="13">
        <v>600</v>
      </c>
      <c r="C1177" s="13">
        <v>860</v>
      </c>
      <c r="D1177" s="13">
        <v>1.258</v>
      </c>
      <c r="E1177" s="13">
        <v>1302</v>
      </c>
      <c r="F1177" s="13">
        <v>1441</v>
      </c>
      <c r="G1177" s="13">
        <v>1.661</v>
      </c>
      <c r="H1177" s="13">
        <f t="shared" si="17"/>
        <v>57.183501565513545</v>
      </c>
    </row>
    <row r="1178" spans="2:8" s="115" customFormat="1">
      <c r="B1178" s="13">
        <v>600</v>
      </c>
      <c r="C1178" s="13">
        <v>880</v>
      </c>
      <c r="D1178" s="13">
        <v>1.28</v>
      </c>
      <c r="E1178" s="13">
        <v>1310</v>
      </c>
      <c r="F1178" s="13">
        <v>1452</v>
      </c>
      <c r="G1178" s="13">
        <v>1.669</v>
      </c>
      <c r="H1178" s="13">
        <f t="shared" si="17"/>
        <v>57.620016844639601</v>
      </c>
    </row>
    <row r="1179" spans="2:8" s="115" customFormat="1">
      <c r="B1179" s="13">
        <v>600</v>
      </c>
      <c r="C1179" s="13">
        <v>900</v>
      </c>
      <c r="D1179" s="13">
        <v>1.302</v>
      </c>
      <c r="E1179" s="13">
        <v>1319</v>
      </c>
      <c r="F1179" s="13">
        <v>1463</v>
      </c>
      <c r="G1179" s="13">
        <v>1.677</v>
      </c>
      <c r="H1179" s="13">
        <f t="shared" si="17"/>
        <v>58.056532123765663</v>
      </c>
    </row>
    <row r="1180" spans="2:8" s="115" customFormat="1">
      <c r="B1180" s="13">
        <v>600</v>
      </c>
      <c r="C1180" s="13">
        <v>920</v>
      </c>
      <c r="D1180" s="13">
        <v>1.3240000000000001</v>
      </c>
      <c r="E1180" s="13">
        <v>1327</v>
      </c>
      <c r="F1180" s="13">
        <v>1474</v>
      </c>
      <c r="G1180" s="13">
        <v>1.6850000000000001</v>
      </c>
      <c r="H1180" s="13">
        <f t="shared" si="17"/>
        <v>58.493047402891719</v>
      </c>
    </row>
    <row r="1181" spans="2:8" s="115" customFormat="1">
      <c r="B1181" s="13">
        <v>600</v>
      </c>
      <c r="C1181" s="13">
        <v>940</v>
      </c>
      <c r="D1181" s="13">
        <v>1.3460000000000001</v>
      </c>
      <c r="E1181" s="13">
        <v>1336</v>
      </c>
      <c r="F1181" s="13">
        <v>1485</v>
      </c>
      <c r="G1181" s="13">
        <v>1.6930000000000001</v>
      </c>
      <c r="H1181" s="13">
        <f t="shared" si="17"/>
        <v>58.929562682017774</v>
      </c>
    </row>
    <row r="1182" spans="2:8" s="115" customFormat="1">
      <c r="B1182" s="13">
        <v>600</v>
      </c>
      <c r="C1182" s="13">
        <v>960</v>
      </c>
      <c r="D1182" s="13">
        <v>1.3680000000000001</v>
      </c>
      <c r="E1182" s="13">
        <v>1344</v>
      </c>
      <c r="F1182" s="13">
        <v>1496</v>
      </c>
      <c r="G1182" s="13">
        <v>1.7010000000000001</v>
      </c>
      <c r="H1182" s="13">
        <f t="shared" si="17"/>
        <v>59.366077961143837</v>
      </c>
    </row>
    <row r="1183" spans="2:8" s="115" customFormat="1">
      <c r="B1183" s="13">
        <v>600</v>
      </c>
      <c r="C1183" s="13">
        <v>980</v>
      </c>
      <c r="D1183" s="13">
        <v>1.389</v>
      </c>
      <c r="E1183" s="13">
        <v>1353</v>
      </c>
      <c r="F1183" s="13">
        <v>1507</v>
      </c>
      <c r="G1183" s="13">
        <v>1.708</v>
      </c>
      <c r="H1183" s="13">
        <f t="shared" si="17"/>
        <v>59.802593240269893</v>
      </c>
    </row>
    <row r="1184" spans="2:8" s="115" customFormat="1">
      <c r="B1184" s="13">
        <v>600</v>
      </c>
      <c r="C1184" s="13">
        <v>1000</v>
      </c>
      <c r="D1184" s="13">
        <v>1.411</v>
      </c>
      <c r="E1184" s="13">
        <v>1361</v>
      </c>
      <c r="F1184" s="13">
        <v>1518</v>
      </c>
      <c r="G1184" s="13">
        <v>1.716</v>
      </c>
      <c r="H1184" s="13">
        <f t="shared" si="17"/>
        <v>60.239108519395948</v>
      </c>
    </row>
    <row r="1185" spans="2:8" s="115" customFormat="1">
      <c r="B1185" s="13">
        <v>600</v>
      </c>
      <c r="C1185" s="13">
        <v>1020</v>
      </c>
      <c r="D1185" s="13">
        <v>1.4319999999999999</v>
      </c>
      <c r="E1185" s="13">
        <v>1370</v>
      </c>
      <c r="F1185" s="13">
        <v>1529</v>
      </c>
      <c r="G1185" s="13">
        <v>1.7230000000000001</v>
      </c>
      <c r="H1185" s="13">
        <f t="shared" si="17"/>
        <v>60.675623798522011</v>
      </c>
    </row>
    <row r="1186" spans="2:8" s="115" customFormat="1">
      <c r="B1186" s="13">
        <v>600</v>
      </c>
      <c r="C1186" s="13">
        <v>1040</v>
      </c>
      <c r="D1186" s="13">
        <v>1.454</v>
      </c>
      <c r="E1186" s="13">
        <v>1379</v>
      </c>
      <c r="F1186" s="13">
        <v>1540</v>
      </c>
      <c r="G1186" s="13">
        <v>1.7310000000000001</v>
      </c>
      <c r="H1186" s="13">
        <f t="shared" si="17"/>
        <v>61.11213907764806</v>
      </c>
    </row>
    <row r="1187" spans="2:8" s="115" customFormat="1">
      <c r="B1187" s="13">
        <v>600</v>
      </c>
      <c r="C1187" s="13">
        <v>1060</v>
      </c>
      <c r="D1187" s="13">
        <v>1.4750000000000001</v>
      </c>
      <c r="E1187" s="13">
        <v>1387</v>
      </c>
      <c r="F1187" s="13">
        <v>1551</v>
      </c>
      <c r="G1187" s="13">
        <v>1.738</v>
      </c>
      <c r="H1187" s="13">
        <f t="shared" si="17"/>
        <v>61.548654356774115</v>
      </c>
    </row>
    <row r="1188" spans="2:8" s="115" customFormat="1">
      <c r="B1188" s="13">
        <v>600</v>
      </c>
      <c r="C1188" s="13">
        <v>1080</v>
      </c>
      <c r="D1188" s="13">
        <v>1.496</v>
      </c>
      <c r="E1188" s="13">
        <v>1396</v>
      </c>
      <c r="F1188" s="13">
        <v>1562</v>
      </c>
      <c r="G1188" s="13">
        <v>1.7450000000000001</v>
      </c>
      <c r="H1188" s="13">
        <f t="shared" si="17"/>
        <v>61.985169635900178</v>
      </c>
    </row>
    <row r="1189" spans="2:8" s="115" customFormat="1">
      <c r="B1189" s="13">
        <v>600</v>
      </c>
      <c r="C1189" s="13">
        <v>1100</v>
      </c>
      <c r="D1189" s="13">
        <v>1.5169999999999999</v>
      </c>
      <c r="E1189" s="13">
        <v>1404</v>
      </c>
      <c r="F1189" s="13">
        <v>1573</v>
      </c>
      <c r="G1189" s="13">
        <v>1.752</v>
      </c>
      <c r="H1189" s="13">
        <f t="shared" si="17"/>
        <v>62.421684915026233</v>
      </c>
    </row>
    <row r="1190" spans="2:8" s="115" customFormat="1">
      <c r="B1190" s="13">
        <v>600</v>
      </c>
      <c r="C1190" s="13">
        <v>1120</v>
      </c>
      <c r="D1190" s="13">
        <v>1.5389999999999999</v>
      </c>
      <c r="E1190" s="13">
        <v>1413</v>
      </c>
      <c r="F1190" s="13">
        <v>1584</v>
      </c>
      <c r="G1190" s="13">
        <v>1.7589999999999999</v>
      </c>
      <c r="H1190" s="13">
        <f t="shared" si="17"/>
        <v>62.858200194152289</v>
      </c>
    </row>
    <row r="1191" spans="2:8" s="115" customFormat="1">
      <c r="B1191" s="13">
        <v>600</v>
      </c>
      <c r="C1191" s="13">
        <v>1140</v>
      </c>
      <c r="D1191" s="13">
        <v>1.56</v>
      </c>
      <c r="E1191" s="13">
        <v>1422</v>
      </c>
      <c r="F1191" s="13">
        <v>1595</v>
      </c>
      <c r="G1191" s="13">
        <v>1.766</v>
      </c>
      <c r="H1191" s="13">
        <f t="shared" si="17"/>
        <v>63.294715473278352</v>
      </c>
    </row>
    <row r="1192" spans="2:8" s="115" customFormat="1">
      <c r="B1192" s="13">
        <v>600</v>
      </c>
      <c r="C1192" s="13">
        <v>1160</v>
      </c>
      <c r="D1192" s="13">
        <v>1.581</v>
      </c>
      <c r="E1192" s="13">
        <v>1430</v>
      </c>
      <c r="F1192" s="13">
        <v>1606</v>
      </c>
      <c r="G1192" s="13">
        <v>1.7729999999999999</v>
      </c>
      <c r="H1192" s="13">
        <f t="shared" si="17"/>
        <v>63.731230752404407</v>
      </c>
    </row>
    <row r="1193" spans="2:8" s="115" customFormat="1">
      <c r="B1193" s="13">
        <v>600</v>
      </c>
      <c r="C1193" s="13">
        <v>1180</v>
      </c>
      <c r="D1193" s="13">
        <v>1.6020000000000001</v>
      </c>
      <c r="E1193" s="13">
        <v>1439</v>
      </c>
      <c r="F1193" s="13">
        <v>1617</v>
      </c>
      <c r="G1193" s="13">
        <v>1.78</v>
      </c>
      <c r="H1193" s="13">
        <f t="shared" si="17"/>
        <v>64.16774603153047</v>
      </c>
    </row>
    <row r="1194" spans="2:8" s="115" customFormat="1">
      <c r="B1194" s="13">
        <v>600</v>
      </c>
      <c r="C1194" s="13">
        <v>1200</v>
      </c>
      <c r="D1194" s="13">
        <v>1.6220000000000001</v>
      </c>
      <c r="E1194" s="13">
        <v>1448</v>
      </c>
      <c r="F1194" s="13">
        <v>1628</v>
      </c>
      <c r="G1194" s="13">
        <v>1.7869999999999999</v>
      </c>
      <c r="H1194" s="13">
        <f t="shared" si="17"/>
        <v>64.604261310656526</v>
      </c>
    </row>
    <row r="1195" spans="2:8" s="115" customFormat="1">
      <c r="B1195" s="13">
        <v>600</v>
      </c>
      <c r="C1195" s="13">
        <v>1220</v>
      </c>
      <c r="D1195" s="13">
        <v>1.643</v>
      </c>
      <c r="E1195" s="13">
        <v>1457</v>
      </c>
      <c r="F1195" s="13">
        <v>1639</v>
      </c>
      <c r="G1195" s="13">
        <v>1.7929999999999999</v>
      </c>
      <c r="H1195" s="13">
        <f t="shared" si="17"/>
        <v>65.040776589782581</v>
      </c>
    </row>
    <row r="1196" spans="2:8" s="115" customFormat="1">
      <c r="B1196" s="13">
        <v>600</v>
      </c>
      <c r="C1196" s="13">
        <v>1240</v>
      </c>
      <c r="D1196" s="13">
        <v>1.6639999999999999</v>
      </c>
      <c r="E1196" s="13">
        <v>1465</v>
      </c>
      <c r="F1196" s="13">
        <v>1650</v>
      </c>
      <c r="G1196" s="13">
        <v>1.8</v>
      </c>
      <c r="H1196" s="13">
        <f t="shared" si="17"/>
        <v>65.477291868908637</v>
      </c>
    </row>
    <row r="1197" spans="2:8" s="115" customFormat="1">
      <c r="B1197" s="13">
        <v>600</v>
      </c>
      <c r="C1197" s="13">
        <v>1260</v>
      </c>
      <c r="D1197" s="13">
        <v>1.6850000000000001</v>
      </c>
      <c r="E1197" s="13">
        <v>1474</v>
      </c>
      <c r="F1197" s="13">
        <v>1661</v>
      </c>
      <c r="G1197" s="13">
        <v>1.806</v>
      </c>
      <c r="H1197" s="13">
        <f t="shared" si="17"/>
        <v>65.913807148034707</v>
      </c>
    </row>
    <row r="1198" spans="2:8" s="115" customFormat="1">
      <c r="B1198" s="13">
        <v>600</v>
      </c>
      <c r="C1198" s="13">
        <v>1280</v>
      </c>
      <c r="D1198" s="13">
        <v>1.706</v>
      </c>
      <c r="E1198" s="13">
        <v>1483</v>
      </c>
      <c r="F1198" s="13">
        <v>1672</v>
      </c>
      <c r="G1198" s="13">
        <v>1.8129999999999999</v>
      </c>
      <c r="H1198" s="13">
        <f t="shared" si="17"/>
        <v>66.350322427160748</v>
      </c>
    </row>
    <row r="1199" spans="2:8" s="115" customFormat="1">
      <c r="B1199" s="13">
        <v>600</v>
      </c>
      <c r="C1199" s="13">
        <v>1300</v>
      </c>
      <c r="D1199" s="13">
        <v>1.726</v>
      </c>
      <c r="E1199" s="13">
        <v>1492</v>
      </c>
      <c r="F1199" s="13">
        <v>1684</v>
      </c>
      <c r="G1199" s="13">
        <v>1.819</v>
      </c>
      <c r="H1199" s="13">
        <f t="shared" si="17"/>
        <v>66.826520913480095</v>
      </c>
    </row>
    <row r="1200" spans="2:8" s="115" customFormat="1">
      <c r="B1200" s="13">
        <v>600</v>
      </c>
      <c r="C1200" s="13">
        <v>1320</v>
      </c>
      <c r="D1200" s="13">
        <v>1.7470000000000001</v>
      </c>
      <c r="E1200" s="13">
        <v>1501</v>
      </c>
      <c r="F1200" s="13">
        <v>1695</v>
      </c>
      <c r="G1200" s="13">
        <v>1.825</v>
      </c>
      <c r="H1200" s="13">
        <f t="shared" si="17"/>
        <v>67.263036192606151</v>
      </c>
    </row>
    <row r="1201" spans="2:8" s="115" customFormat="1">
      <c r="B1201" s="13">
        <v>600</v>
      </c>
      <c r="C1201" s="13">
        <v>1340</v>
      </c>
      <c r="D1201" s="13">
        <v>1.768</v>
      </c>
      <c r="E1201" s="13">
        <v>1510</v>
      </c>
      <c r="F1201" s="13">
        <v>1706</v>
      </c>
      <c r="G1201" s="13">
        <v>1.8320000000000001</v>
      </c>
      <c r="H1201" s="13">
        <f t="shared" si="17"/>
        <v>67.699551471732207</v>
      </c>
    </row>
    <row r="1202" spans="2:8" s="115" customFormat="1">
      <c r="B1202" s="13">
        <v>600</v>
      </c>
      <c r="C1202" s="13">
        <v>1360</v>
      </c>
      <c r="D1202" s="13">
        <v>1.788</v>
      </c>
      <c r="E1202" s="13">
        <v>1519</v>
      </c>
      <c r="F1202" s="13">
        <v>1717</v>
      </c>
      <c r="G1202" s="13">
        <v>1.8380000000000001</v>
      </c>
      <c r="H1202" s="13">
        <f t="shared" si="17"/>
        <v>68.136066750858262</v>
      </c>
    </row>
    <row r="1203" spans="2:8" s="115" customFormat="1">
      <c r="B1203" s="13">
        <v>600</v>
      </c>
      <c r="C1203" s="13">
        <v>1380</v>
      </c>
      <c r="D1203" s="13">
        <v>1.8089999999999999</v>
      </c>
      <c r="E1203" s="13">
        <v>1528</v>
      </c>
      <c r="F1203" s="13">
        <v>1728</v>
      </c>
      <c r="G1203" s="13">
        <v>1.8440000000000001</v>
      </c>
      <c r="H1203" s="13">
        <f t="shared" si="17"/>
        <v>68.572582029984318</v>
      </c>
    </row>
    <row r="1204" spans="2:8" s="115" customFormat="1">
      <c r="B1204" s="13">
        <v>600</v>
      </c>
      <c r="C1204" s="13">
        <v>1400</v>
      </c>
      <c r="D1204" s="13">
        <v>1.829</v>
      </c>
      <c r="E1204" s="13">
        <v>1537</v>
      </c>
      <c r="F1204" s="13">
        <v>1740</v>
      </c>
      <c r="G1204" s="13">
        <v>1.85</v>
      </c>
      <c r="H1204" s="13">
        <f t="shared" si="17"/>
        <v>69.048780516303651</v>
      </c>
    </row>
    <row r="1205" spans="2:8" s="115" customFormat="1">
      <c r="B1205" s="13">
        <v>600</v>
      </c>
      <c r="C1205" s="13">
        <v>1420</v>
      </c>
      <c r="D1205" s="13">
        <v>1.85</v>
      </c>
      <c r="E1205" s="13">
        <v>1546</v>
      </c>
      <c r="F1205" s="13">
        <v>1751</v>
      </c>
      <c r="G1205" s="13">
        <v>1.8560000000000001</v>
      </c>
      <c r="H1205" s="13">
        <f t="shared" si="17"/>
        <v>69.485295795429721</v>
      </c>
    </row>
    <row r="1206" spans="2:8" s="115" customFormat="1">
      <c r="B1206" s="13">
        <v>600</v>
      </c>
      <c r="C1206" s="13">
        <v>1440</v>
      </c>
      <c r="D1206" s="13">
        <v>1.871</v>
      </c>
      <c r="E1206" s="13">
        <v>1555</v>
      </c>
      <c r="F1206" s="13">
        <v>1762</v>
      </c>
      <c r="G1206" s="13">
        <v>1.8620000000000001</v>
      </c>
      <c r="H1206" s="13">
        <f t="shared" si="17"/>
        <v>69.921811074555777</v>
      </c>
    </row>
    <row r="1207" spans="2:8" s="115" customFormat="1">
      <c r="B1207" s="13">
        <v>600</v>
      </c>
      <c r="C1207" s="13">
        <v>1460</v>
      </c>
      <c r="D1207" s="13">
        <v>1.891</v>
      </c>
      <c r="E1207" s="13">
        <v>1564</v>
      </c>
      <c r="F1207" s="13">
        <v>1774</v>
      </c>
      <c r="G1207" s="13">
        <v>1.8680000000000001</v>
      </c>
      <c r="H1207" s="13">
        <f t="shared" si="17"/>
        <v>70.39800956087511</v>
      </c>
    </row>
    <row r="1208" spans="2:8" s="115" customFormat="1">
      <c r="B1208" s="13">
        <v>600</v>
      </c>
      <c r="C1208" s="13">
        <v>1480</v>
      </c>
      <c r="D1208" s="13">
        <v>1.911</v>
      </c>
      <c r="E1208" s="13">
        <v>1573</v>
      </c>
      <c r="F1208" s="13">
        <v>1785</v>
      </c>
      <c r="G1208" s="13">
        <v>1.8740000000000001</v>
      </c>
      <c r="H1208" s="13">
        <f t="shared" si="17"/>
        <v>70.834524840001166</v>
      </c>
    </row>
    <row r="1209" spans="2:8" s="115" customFormat="1">
      <c r="B1209" s="13">
        <v>600</v>
      </c>
      <c r="C1209" s="13">
        <v>1500</v>
      </c>
      <c r="D1209" s="13">
        <v>1.9319999999999999</v>
      </c>
      <c r="E1209" s="13">
        <v>1582</v>
      </c>
      <c r="F1209" s="13">
        <v>1797</v>
      </c>
      <c r="G1209" s="13">
        <v>1.88</v>
      </c>
      <c r="H1209" s="13">
        <f t="shared" ref="H1209:H1272" si="18">F1209/$E$22*18</f>
        <v>71.310723326320499</v>
      </c>
    </row>
    <row r="1210" spans="2:8" s="115" customFormat="1">
      <c r="B1210" s="13">
        <v>700</v>
      </c>
      <c r="C1210" s="13">
        <v>40</v>
      </c>
      <c r="D1210" s="13">
        <v>1.5980000000000001E-2</v>
      </c>
      <c r="E1210" s="13">
        <v>8.0259999999999998</v>
      </c>
      <c r="F1210" s="13">
        <v>10.1</v>
      </c>
      <c r="G1210" s="13">
        <v>1.619E-2</v>
      </c>
      <c r="H1210" s="13">
        <f t="shared" si="18"/>
        <v>0.40080039265210743</v>
      </c>
    </row>
    <row r="1211" spans="2:8" s="115" customFormat="1">
      <c r="B1211" s="13">
        <v>700</v>
      </c>
      <c r="C1211" s="13">
        <v>60</v>
      </c>
      <c r="D1211" s="13">
        <v>1.6E-2</v>
      </c>
      <c r="E1211" s="13">
        <v>27.98</v>
      </c>
      <c r="F1211" s="13">
        <v>30.06</v>
      </c>
      <c r="G1211" s="13">
        <v>5.5350000000000003E-2</v>
      </c>
      <c r="H1211" s="13">
        <f t="shared" si="18"/>
        <v>1.1928772082299355</v>
      </c>
    </row>
    <row r="1212" spans="2:8" s="115" customFormat="1">
      <c r="B1212" s="13">
        <v>700</v>
      </c>
      <c r="C1212" s="13">
        <v>80</v>
      </c>
      <c r="D1212" s="13">
        <v>1.6039999999999999E-2</v>
      </c>
      <c r="E1212" s="13">
        <v>47.9</v>
      </c>
      <c r="F1212" s="13">
        <v>49.98</v>
      </c>
      <c r="G1212" s="13">
        <v>9.2969999999999997E-2</v>
      </c>
      <c r="H1212" s="13">
        <f t="shared" si="18"/>
        <v>1.9833666955200324</v>
      </c>
    </row>
    <row r="1213" spans="2:8" s="115" customFormat="1">
      <c r="B1213" s="13">
        <v>700</v>
      </c>
      <c r="C1213" s="13">
        <v>100</v>
      </c>
      <c r="D1213" s="13">
        <v>1.61E-2</v>
      </c>
      <c r="E1213" s="13">
        <v>67.8</v>
      </c>
      <c r="F1213" s="13">
        <v>69.88</v>
      </c>
      <c r="G1213" s="13">
        <v>0.12920000000000001</v>
      </c>
      <c r="H1213" s="13">
        <f t="shared" si="18"/>
        <v>2.7730625186662641</v>
      </c>
    </row>
    <row r="1214" spans="2:8" s="115" customFormat="1">
      <c r="B1214" s="13">
        <v>700</v>
      </c>
      <c r="C1214" s="13">
        <v>120</v>
      </c>
      <c r="D1214" s="13">
        <v>1.617E-2</v>
      </c>
      <c r="E1214" s="13">
        <v>87.7</v>
      </c>
      <c r="F1214" s="13">
        <v>89.79</v>
      </c>
      <c r="G1214" s="13">
        <v>0.1641</v>
      </c>
      <c r="H1214" s="13">
        <f t="shared" si="18"/>
        <v>3.5631551738844287</v>
      </c>
    </row>
    <row r="1215" spans="2:8" s="115" customFormat="1">
      <c r="B1215" s="13">
        <v>700</v>
      </c>
      <c r="C1215" s="13">
        <v>140</v>
      </c>
      <c r="D1215" s="13">
        <v>1.626E-2</v>
      </c>
      <c r="E1215" s="13">
        <v>107.6</v>
      </c>
      <c r="F1215" s="13">
        <v>109.7</v>
      </c>
      <c r="G1215" s="13">
        <v>0.19789999999999999</v>
      </c>
      <c r="H1215" s="13">
        <f t="shared" si="18"/>
        <v>4.3532478291025924</v>
      </c>
    </row>
    <row r="1216" spans="2:8" s="115" customFormat="1">
      <c r="B1216" s="13">
        <v>700</v>
      </c>
      <c r="C1216" s="13">
        <v>160</v>
      </c>
      <c r="D1216" s="13">
        <v>1.636E-2</v>
      </c>
      <c r="E1216" s="13">
        <v>127.5</v>
      </c>
      <c r="F1216" s="13">
        <v>129.69999999999999</v>
      </c>
      <c r="G1216" s="13">
        <v>0.2306</v>
      </c>
      <c r="H1216" s="13">
        <f t="shared" si="18"/>
        <v>5.1469119729681516</v>
      </c>
    </row>
    <row r="1217" spans="2:8" s="115" customFormat="1">
      <c r="B1217" s="13">
        <v>700</v>
      </c>
      <c r="C1217" s="13">
        <v>180</v>
      </c>
      <c r="D1217" s="13">
        <v>1.6469999999999999E-2</v>
      </c>
      <c r="E1217" s="13">
        <v>147.5</v>
      </c>
      <c r="F1217" s="13">
        <v>149.6</v>
      </c>
      <c r="G1217" s="13">
        <v>0.26240000000000002</v>
      </c>
      <c r="H1217" s="13">
        <f t="shared" si="18"/>
        <v>5.9366077961143828</v>
      </c>
    </row>
    <row r="1218" spans="2:8" s="115" customFormat="1">
      <c r="B1218" s="13">
        <v>700</v>
      </c>
      <c r="C1218" s="13">
        <v>200</v>
      </c>
      <c r="D1218" s="13">
        <v>1.66E-2</v>
      </c>
      <c r="E1218" s="13">
        <v>167.5</v>
      </c>
      <c r="F1218" s="13">
        <v>169.7</v>
      </c>
      <c r="G1218" s="13">
        <v>0.29320000000000002</v>
      </c>
      <c r="H1218" s="13">
        <f t="shared" si="18"/>
        <v>6.73424026069927</v>
      </c>
    </row>
    <row r="1219" spans="2:8" s="115" customFormat="1">
      <c r="B1219" s="13">
        <v>700</v>
      </c>
      <c r="C1219" s="13">
        <v>220</v>
      </c>
      <c r="D1219" s="13">
        <v>1.6729999999999998E-2</v>
      </c>
      <c r="E1219" s="13">
        <v>187.6</v>
      </c>
      <c r="F1219" s="13">
        <v>189.7</v>
      </c>
      <c r="G1219" s="13">
        <v>0.32319999999999999</v>
      </c>
      <c r="H1219" s="13">
        <f t="shared" si="18"/>
        <v>7.5279044045648291</v>
      </c>
    </row>
    <row r="1220" spans="2:8" s="115" customFormat="1">
      <c r="B1220" s="13">
        <v>700</v>
      </c>
      <c r="C1220" s="13">
        <v>240</v>
      </c>
      <c r="D1220" s="13">
        <v>1.6879999999999999E-2</v>
      </c>
      <c r="E1220" s="13">
        <v>207.7</v>
      </c>
      <c r="F1220" s="13">
        <v>209.9</v>
      </c>
      <c r="G1220" s="13">
        <v>0.35239999999999999</v>
      </c>
      <c r="H1220" s="13">
        <f t="shared" si="18"/>
        <v>8.3295051898690442</v>
      </c>
    </row>
    <row r="1221" spans="2:8" s="115" customFormat="1">
      <c r="B1221" s="13">
        <v>700</v>
      </c>
      <c r="C1221" s="13">
        <v>260</v>
      </c>
      <c r="D1221" s="13">
        <v>1.704E-2</v>
      </c>
      <c r="E1221" s="13">
        <v>227.9</v>
      </c>
      <c r="F1221" s="13">
        <v>230.1</v>
      </c>
      <c r="G1221" s="13">
        <v>0.38090000000000002</v>
      </c>
      <c r="H1221" s="13">
        <f t="shared" si="18"/>
        <v>9.1311059751732593</v>
      </c>
    </row>
    <row r="1222" spans="2:8" s="115" customFormat="1">
      <c r="B1222" s="13">
        <v>700</v>
      </c>
      <c r="C1222" s="13">
        <v>280</v>
      </c>
      <c r="D1222" s="13">
        <v>1.7219999999999999E-2</v>
      </c>
      <c r="E1222" s="13">
        <v>248.2</v>
      </c>
      <c r="F1222" s="13">
        <v>250.5</v>
      </c>
      <c r="G1222" s="13">
        <v>0.4088</v>
      </c>
      <c r="H1222" s="13">
        <f t="shared" si="18"/>
        <v>9.9406434019161303</v>
      </c>
    </row>
    <row r="1223" spans="2:8" s="115" customFormat="1">
      <c r="B1223" s="13">
        <v>700</v>
      </c>
      <c r="C1223" s="13">
        <v>300</v>
      </c>
      <c r="D1223" s="13">
        <v>1.7399999999999999E-2</v>
      </c>
      <c r="E1223" s="13">
        <v>268.7</v>
      </c>
      <c r="F1223" s="13">
        <v>270.89999999999998</v>
      </c>
      <c r="G1223" s="13">
        <v>0.43609999999999999</v>
      </c>
      <c r="H1223" s="13">
        <f t="shared" si="18"/>
        <v>10.750180828658998</v>
      </c>
    </row>
    <row r="1224" spans="2:8" s="115" customFormat="1">
      <c r="B1224" s="13">
        <v>700</v>
      </c>
      <c r="C1224" s="13">
        <v>320</v>
      </c>
      <c r="D1224" s="13">
        <v>1.7600000000000001E-2</v>
      </c>
      <c r="E1224" s="13">
        <v>289.2</v>
      </c>
      <c r="F1224" s="13">
        <v>291.5</v>
      </c>
      <c r="G1224" s="13">
        <v>0.46279999999999999</v>
      </c>
      <c r="H1224" s="13">
        <f t="shared" si="18"/>
        <v>11.567654896840526</v>
      </c>
    </row>
    <row r="1225" spans="2:8" s="115" customFormat="1">
      <c r="B1225" s="13">
        <v>700</v>
      </c>
      <c r="C1225" s="13">
        <v>340</v>
      </c>
      <c r="D1225" s="13">
        <v>1.7819999999999999E-2</v>
      </c>
      <c r="E1225" s="13">
        <v>309.89999999999998</v>
      </c>
      <c r="F1225" s="13">
        <v>312.2</v>
      </c>
      <c r="G1225" s="13">
        <v>0.48909999999999998</v>
      </c>
      <c r="H1225" s="13">
        <f t="shared" si="18"/>
        <v>12.38909728574138</v>
      </c>
    </row>
    <row r="1226" spans="2:8" s="115" customFormat="1">
      <c r="B1226" s="13">
        <v>700</v>
      </c>
      <c r="C1226" s="13">
        <v>360</v>
      </c>
      <c r="D1226" s="13">
        <v>1.806E-2</v>
      </c>
      <c r="E1226" s="13">
        <v>330.8</v>
      </c>
      <c r="F1226" s="13">
        <v>333.1</v>
      </c>
      <c r="G1226" s="13">
        <v>0.51490000000000002</v>
      </c>
      <c r="H1226" s="13">
        <f t="shared" si="18"/>
        <v>13.21847631608089</v>
      </c>
    </row>
    <row r="1227" spans="2:8" s="115" customFormat="1">
      <c r="B1227" s="13">
        <v>700</v>
      </c>
      <c r="C1227" s="13">
        <v>380</v>
      </c>
      <c r="D1227" s="13">
        <v>1.831E-2</v>
      </c>
      <c r="E1227" s="13">
        <v>351.9</v>
      </c>
      <c r="F1227" s="13">
        <v>354.3</v>
      </c>
      <c r="G1227" s="13">
        <v>0.54039999999999999</v>
      </c>
      <c r="H1227" s="13">
        <f t="shared" si="18"/>
        <v>14.059760308578383</v>
      </c>
    </row>
    <row r="1228" spans="2:8" s="115" customFormat="1">
      <c r="B1228" s="13">
        <v>700</v>
      </c>
      <c r="C1228" s="13">
        <v>400</v>
      </c>
      <c r="D1228" s="13">
        <v>1.8589999999999999E-2</v>
      </c>
      <c r="E1228" s="13">
        <v>373.2</v>
      </c>
      <c r="F1228" s="13">
        <v>375.6</v>
      </c>
      <c r="G1228" s="13">
        <v>0.5655</v>
      </c>
      <c r="H1228" s="13">
        <f t="shared" si="18"/>
        <v>14.905012621795205</v>
      </c>
    </row>
    <row r="1229" spans="2:8" s="115" customFormat="1">
      <c r="B1229" s="13">
        <v>700</v>
      </c>
      <c r="C1229" s="13">
        <v>420</v>
      </c>
      <c r="D1229" s="13">
        <v>1.8890000000000001E-2</v>
      </c>
      <c r="E1229" s="13">
        <v>394.8</v>
      </c>
      <c r="F1229" s="13">
        <v>397.2</v>
      </c>
      <c r="G1229" s="13">
        <v>0.59040000000000004</v>
      </c>
      <c r="H1229" s="13">
        <f t="shared" si="18"/>
        <v>15.762169897170008</v>
      </c>
    </row>
    <row r="1230" spans="2:8" s="115" customFormat="1">
      <c r="B1230" s="13">
        <v>700</v>
      </c>
      <c r="C1230" s="13">
        <v>440</v>
      </c>
      <c r="D1230" s="13">
        <v>1.9220000000000001E-2</v>
      </c>
      <c r="E1230" s="13">
        <v>416.7</v>
      </c>
      <c r="F1230" s="13">
        <v>419.2</v>
      </c>
      <c r="G1230" s="13">
        <v>0.61509999999999998</v>
      </c>
      <c r="H1230" s="13">
        <f t="shared" si="18"/>
        <v>16.635200455422122</v>
      </c>
    </row>
    <row r="1231" spans="2:8" s="115" customFormat="1">
      <c r="B1231" s="13">
        <v>700</v>
      </c>
      <c r="C1231" s="13">
        <v>460</v>
      </c>
      <c r="D1231" s="13">
        <v>1.958E-2</v>
      </c>
      <c r="E1231" s="13">
        <v>439</v>
      </c>
      <c r="F1231" s="13">
        <v>441.6</v>
      </c>
      <c r="G1231" s="13">
        <v>0.63970000000000005</v>
      </c>
      <c r="H1231" s="13">
        <f t="shared" si="18"/>
        <v>17.524104296551549</v>
      </c>
    </row>
    <row r="1232" spans="2:8" s="115" customFormat="1">
      <c r="B1232" s="13">
        <v>700</v>
      </c>
      <c r="C1232" s="13">
        <v>480</v>
      </c>
      <c r="D1232" s="13">
        <v>1.9980000000000001E-2</v>
      </c>
      <c r="E1232" s="13">
        <v>461.8</v>
      </c>
      <c r="F1232" s="13">
        <v>464.4</v>
      </c>
      <c r="G1232" s="13">
        <v>0.66420000000000001</v>
      </c>
      <c r="H1232" s="13">
        <f t="shared" si="18"/>
        <v>18.428881420558287</v>
      </c>
    </row>
    <row r="1233" spans="2:8" s="115" customFormat="1">
      <c r="B1233" s="13">
        <v>700</v>
      </c>
      <c r="C1233" s="13">
        <v>500</v>
      </c>
      <c r="D1233" s="13">
        <v>2.044E-2</v>
      </c>
      <c r="E1233" s="13">
        <v>485.2</v>
      </c>
      <c r="F1233" s="13">
        <v>487.9</v>
      </c>
      <c r="G1233" s="13">
        <v>0.68889999999999996</v>
      </c>
      <c r="H1233" s="13">
        <f t="shared" si="18"/>
        <v>19.361436789600315</v>
      </c>
    </row>
    <row r="1234" spans="2:8" s="115" customFormat="1">
      <c r="B1234" s="13">
        <v>700</v>
      </c>
      <c r="C1234" s="13">
        <v>520</v>
      </c>
      <c r="D1234" s="13">
        <v>0.68369999999999997</v>
      </c>
      <c r="E1234" s="13">
        <v>1130</v>
      </c>
      <c r="F1234" s="13">
        <v>1218</v>
      </c>
      <c r="G1234" s="13">
        <v>1.4470000000000001</v>
      </c>
      <c r="H1234" s="13">
        <f t="shared" si="18"/>
        <v>48.334146361412564</v>
      </c>
    </row>
    <row r="1235" spans="2:8" s="115" customFormat="1">
      <c r="B1235" s="13">
        <v>700</v>
      </c>
      <c r="C1235" s="13">
        <v>540</v>
      </c>
      <c r="D1235" s="13">
        <v>0.71379999999999999</v>
      </c>
      <c r="E1235" s="13">
        <v>1143</v>
      </c>
      <c r="F1235" s="13">
        <v>1236</v>
      </c>
      <c r="G1235" s="13">
        <v>1.4650000000000001</v>
      </c>
      <c r="H1235" s="13">
        <f t="shared" si="18"/>
        <v>49.048444090891564</v>
      </c>
    </row>
    <row r="1236" spans="2:8" s="115" customFormat="1">
      <c r="B1236" s="13">
        <v>700</v>
      </c>
      <c r="C1236" s="13">
        <v>560</v>
      </c>
      <c r="D1236" s="13">
        <v>0.74170000000000003</v>
      </c>
      <c r="E1236" s="13">
        <v>1155</v>
      </c>
      <c r="F1236" s="13">
        <v>1252</v>
      </c>
      <c r="G1236" s="13">
        <v>1.4810000000000001</v>
      </c>
      <c r="H1236" s="13">
        <f t="shared" si="18"/>
        <v>49.683375405984009</v>
      </c>
    </row>
    <row r="1237" spans="2:8" s="115" customFormat="1">
      <c r="B1237" s="13">
        <v>700</v>
      </c>
      <c r="C1237" s="13">
        <v>580</v>
      </c>
      <c r="D1237" s="13">
        <v>0.7681</v>
      </c>
      <c r="E1237" s="13">
        <v>1167</v>
      </c>
      <c r="F1237" s="13">
        <v>1266</v>
      </c>
      <c r="G1237" s="13">
        <v>1.4950000000000001</v>
      </c>
      <c r="H1237" s="13">
        <f t="shared" si="18"/>
        <v>50.238940306689905</v>
      </c>
    </row>
    <row r="1238" spans="2:8" s="115" customFormat="1">
      <c r="B1238" s="13">
        <v>700</v>
      </c>
      <c r="C1238" s="13">
        <v>600</v>
      </c>
      <c r="D1238" s="13">
        <v>0.79330000000000001</v>
      </c>
      <c r="E1238" s="13">
        <v>1178</v>
      </c>
      <c r="F1238" s="13">
        <v>1281</v>
      </c>
      <c r="G1238" s="13">
        <v>1.5089999999999999</v>
      </c>
      <c r="H1238" s="13">
        <f t="shared" si="18"/>
        <v>50.834188414589072</v>
      </c>
    </row>
    <row r="1239" spans="2:8" s="115" customFormat="1">
      <c r="B1239" s="13">
        <v>700</v>
      </c>
      <c r="C1239" s="13">
        <v>620</v>
      </c>
      <c r="D1239" s="13">
        <v>0.81759999999999999</v>
      </c>
      <c r="E1239" s="13">
        <v>1188</v>
      </c>
      <c r="F1239" s="13">
        <v>1294</v>
      </c>
      <c r="G1239" s="13">
        <v>1.5209999999999999</v>
      </c>
      <c r="H1239" s="13">
        <f t="shared" si="18"/>
        <v>51.350070108101683</v>
      </c>
    </row>
    <row r="1240" spans="2:8" s="115" customFormat="1">
      <c r="B1240" s="13">
        <v>700</v>
      </c>
      <c r="C1240" s="13">
        <v>640</v>
      </c>
      <c r="D1240" s="13">
        <v>0.84099999999999997</v>
      </c>
      <c r="E1240" s="13">
        <v>1198</v>
      </c>
      <c r="F1240" s="13">
        <v>1307</v>
      </c>
      <c r="G1240" s="13">
        <v>1.5329999999999999</v>
      </c>
      <c r="H1240" s="13">
        <f t="shared" si="18"/>
        <v>51.865951801614294</v>
      </c>
    </row>
    <row r="1241" spans="2:8" s="115" customFormat="1">
      <c r="B1241" s="13">
        <v>700</v>
      </c>
      <c r="C1241" s="13">
        <v>660</v>
      </c>
      <c r="D1241" s="13">
        <v>0.86380000000000001</v>
      </c>
      <c r="E1241" s="13">
        <v>1208</v>
      </c>
      <c r="F1241" s="13">
        <v>1320</v>
      </c>
      <c r="G1241" s="13">
        <v>1.5449999999999999</v>
      </c>
      <c r="H1241" s="13">
        <f t="shared" si="18"/>
        <v>52.381833495126912</v>
      </c>
    </row>
    <row r="1242" spans="2:8" s="115" customFormat="1">
      <c r="B1242" s="13">
        <v>700</v>
      </c>
      <c r="C1242" s="13">
        <v>680</v>
      </c>
      <c r="D1242" s="13">
        <v>0.88600000000000001</v>
      </c>
      <c r="E1242" s="13">
        <v>1218</v>
      </c>
      <c r="F1242" s="13">
        <v>1333</v>
      </c>
      <c r="G1242" s="13">
        <v>1.556</v>
      </c>
      <c r="H1242" s="13">
        <f t="shared" si="18"/>
        <v>52.897715188639523</v>
      </c>
    </row>
    <row r="1243" spans="2:8" s="115" customFormat="1">
      <c r="B1243" s="13">
        <v>700</v>
      </c>
      <c r="C1243" s="13">
        <v>700</v>
      </c>
      <c r="D1243" s="13">
        <v>0.90769999999999995</v>
      </c>
      <c r="E1243" s="13">
        <v>1227</v>
      </c>
      <c r="F1243" s="13">
        <v>1345</v>
      </c>
      <c r="G1243" s="13">
        <v>1.5669999999999999</v>
      </c>
      <c r="H1243" s="13">
        <f t="shared" si="18"/>
        <v>53.373913674958857</v>
      </c>
    </row>
    <row r="1244" spans="2:8" s="115" customFormat="1">
      <c r="B1244" s="13">
        <v>700</v>
      </c>
      <c r="C1244" s="13">
        <v>720</v>
      </c>
      <c r="D1244" s="13">
        <v>0.92910000000000004</v>
      </c>
      <c r="E1244" s="13">
        <v>1236</v>
      </c>
      <c r="F1244" s="13">
        <v>1357</v>
      </c>
      <c r="G1244" s="13">
        <v>1.577</v>
      </c>
      <c r="H1244" s="13">
        <f t="shared" si="18"/>
        <v>53.85011216127819</v>
      </c>
    </row>
    <row r="1245" spans="2:8" s="115" customFormat="1">
      <c r="B1245" s="13">
        <v>700</v>
      </c>
      <c r="C1245" s="13">
        <v>740</v>
      </c>
      <c r="D1245" s="13">
        <v>0.95</v>
      </c>
      <c r="E1245" s="13">
        <v>1246</v>
      </c>
      <c r="F1245" s="13">
        <v>1369</v>
      </c>
      <c r="G1245" s="13">
        <v>1.587</v>
      </c>
      <c r="H1245" s="13">
        <f t="shared" si="18"/>
        <v>54.326310647597538</v>
      </c>
    </row>
    <row r="1246" spans="2:8" s="115" customFormat="1">
      <c r="B1246" s="13">
        <v>700</v>
      </c>
      <c r="C1246" s="13">
        <v>760</v>
      </c>
      <c r="D1246" s="13">
        <v>0.97070000000000001</v>
      </c>
      <c r="E1246" s="13">
        <v>1255</v>
      </c>
      <c r="F1246" s="13">
        <v>1380</v>
      </c>
      <c r="G1246" s="13">
        <v>1.5960000000000001</v>
      </c>
      <c r="H1246" s="13">
        <f t="shared" si="18"/>
        <v>54.762825926723586</v>
      </c>
    </row>
    <row r="1247" spans="2:8" s="115" customFormat="1">
      <c r="B1247" s="13">
        <v>700</v>
      </c>
      <c r="C1247" s="13">
        <v>780</v>
      </c>
      <c r="D1247" s="13">
        <v>0.99109999999999998</v>
      </c>
      <c r="E1247" s="13">
        <v>1263</v>
      </c>
      <c r="F1247" s="13">
        <v>1392</v>
      </c>
      <c r="G1247" s="13">
        <v>1.6060000000000001</v>
      </c>
      <c r="H1247" s="13">
        <f t="shared" si="18"/>
        <v>55.239024413042927</v>
      </c>
    </row>
    <row r="1248" spans="2:8" s="115" customFormat="1">
      <c r="B1248" s="13">
        <v>700</v>
      </c>
      <c r="C1248" s="13">
        <v>800</v>
      </c>
      <c r="D1248" s="13">
        <v>1.0109999999999999</v>
      </c>
      <c r="E1248" s="13">
        <v>1272</v>
      </c>
      <c r="F1248" s="13">
        <v>1403</v>
      </c>
      <c r="G1248" s="13">
        <v>1.615</v>
      </c>
      <c r="H1248" s="13">
        <f t="shared" si="18"/>
        <v>55.675539692168982</v>
      </c>
    </row>
    <row r="1249" spans="2:8" s="115" customFormat="1">
      <c r="B1249" s="13">
        <v>700</v>
      </c>
      <c r="C1249" s="13">
        <v>820</v>
      </c>
      <c r="D1249" s="13">
        <v>1.0309999999999999</v>
      </c>
      <c r="E1249" s="13">
        <v>1281</v>
      </c>
      <c r="F1249" s="13">
        <v>1415</v>
      </c>
      <c r="G1249" s="13">
        <v>1.6240000000000001</v>
      </c>
      <c r="H1249" s="13">
        <f t="shared" si="18"/>
        <v>56.151738178488316</v>
      </c>
    </row>
    <row r="1250" spans="2:8" s="115" customFormat="1">
      <c r="B1250" s="13">
        <v>700</v>
      </c>
      <c r="C1250" s="13">
        <v>840</v>
      </c>
      <c r="D1250" s="13">
        <v>1.0509999999999999</v>
      </c>
      <c r="E1250" s="13">
        <v>1290</v>
      </c>
      <c r="F1250" s="13">
        <v>1426</v>
      </c>
      <c r="G1250" s="13">
        <v>1.633</v>
      </c>
      <c r="H1250" s="13">
        <f t="shared" si="18"/>
        <v>56.588253457614378</v>
      </c>
    </row>
    <row r="1251" spans="2:8" s="115" customFormat="1">
      <c r="B1251" s="13">
        <v>700</v>
      </c>
      <c r="C1251" s="13">
        <v>860</v>
      </c>
      <c r="D1251" s="13">
        <v>1.071</v>
      </c>
      <c r="E1251" s="13">
        <v>1299</v>
      </c>
      <c r="F1251" s="13">
        <v>1437</v>
      </c>
      <c r="G1251" s="13">
        <v>1.641</v>
      </c>
      <c r="H1251" s="13">
        <f t="shared" si="18"/>
        <v>57.024768736740434</v>
      </c>
    </row>
    <row r="1252" spans="2:8" s="115" customFormat="1">
      <c r="B1252" s="13">
        <v>700</v>
      </c>
      <c r="C1252" s="13">
        <v>880</v>
      </c>
      <c r="D1252" s="13">
        <v>1.0900000000000001</v>
      </c>
      <c r="E1252" s="13">
        <v>1307</v>
      </c>
      <c r="F1252" s="13">
        <v>1448</v>
      </c>
      <c r="G1252" s="13">
        <v>1.65</v>
      </c>
      <c r="H1252" s="13">
        <f t="shared" si="18"/>
        <v>57.461284015866497</v>
      </c>
    </row>
    <row r="1253" spans="2:8" s="115" customFormat="1">
      <c r="B1253" s="13">
        <v>700</v>
      </c>
      <c r="C1253" s="13">
        <v>900</v>
      </c>
      <c r="D1253" s="13">
        <v>1.109</v>
      </c>
      <c r="E1253" s="13">
        <v>1316</v>
      </c>
      <c r="F1253" s="13">
        <v>1460</v>
      </c>
      <c r="G1253" s="13">
        <v>1.6579999999999999</v>
      </c>
      <c r="H1253" s="13">
        <f t="shared" si="18"/>
        <v>57.93748250218583</v>
      </c>
    </row>
    <row r="1254" spans="2:8" s="115" customFormat="1">
      <c r="B1254" s="13">
        <v>700</v>
      </c>
      <c r="C1254" s="13">
        <v>920</v>
      </c>
      <c r="D1254" s="13">
        <v>1.1279999999999999</v>
      </c>
      <c r="E1254" s="13">
        <v>1325</v>
      </c>
      <c r="F1254" s="13">
        <v>1471</v>
      </c>
      <c r="G1254" s="13">
        <v>1.6659999999999999</v>
      </c>
      <c r="H1254" s="13">
        <f t="shared" si="18"/>
        <v>58.373997781311886</v>
      </c>
    </row>
    <row r="1255" spans="2:8" s="115" customFormat="1">
      <c r="B1255" s="13">
        <v>700</v>
      </c>
      <c r="C1255" s="13">
        <v>940</v>
      </c>
      <c r="D1255" s="13">
        <v>1.147</v>
      </c>
      <c r="E1255" s="13">
        <v>1333</v>
      </c>
      <c r="F1255" s="13">
        <v>1482</v>
      </c>
      <c r="G1255" s="13">
        <v>1.6739999999999999</v>
      </c>
      <c r="H1255" s="13">
        <f t="shared" si="18"/>
        <v>58.810513060437941</v>
      </c>
    </row>
    <row r="1256" spans="2:8" s="115" customFormat="1">
      <c r="B1256" s="13">
        <v>700</v>
      </c>
      <c r="C1256" s="13">
        <v>960</v>
      </c>
      <c r="D1256" s="13">
        <v>1.1659999999999999</v>
      </c>
      <c r="E1256" s="13">
        <v>1342</v>
      </c>
      <c r="F1256" s="13">
        <v>1493</v>
      </c>
      <c r="G1256" s="13">
        <v>1.6819999999999999</v>
      </c>
      <c r="H1256" s="13">
        <f t="shared" si="18"/>
        <v>59.247028339564004</v>
      </c>
    </row>
    <row r="1257" spans="2:8" s="115" customFormat="1">
      <c r="B1257" s="13">
        <v>700</v>
      </c>
      <c r="C1257" s="13">
        <v>980</v>
      </c>
      <c r="D1257" s="13">
        <v>1.1850000000000001</v>
      </c>
      <c r="E1257" s="13">
        <v>1351</v>
      </c>
      <c r="F1257" s="13">
        <v>1504</v>
      </c>
      <c r="G1257" s="13">
        <v>1.69</v>
      </c>
      <c r="H1257" s="13">
        <f t="shared" si="18"/>
        <v>59.683543618690059</v>
      </c>
    </row>
    <row r="1258" spans="2:8" s="115" customFormat="1">
      <c r="B1258" s="13">
        <v>700</v>
      </c>
      <c r="C1258" s="13">
        <v>1000</v>
      </c>
      <c r="D1258" s="13">
        <v>1.204</v>
      </c>
      <c r="E1258" s="13">
        <v>1359</v>
      </c>
      <c r="F1258" s="13">
        <v>1515</v>
      </c>
      <c r="G1258" s="13">
        <v>1.6970000000000001</v>
      </c>
      <c r="H1258" s="13">
        <f t="shared" si="18"/>
        <v>60.120058897816115</v>
      </c>
    </row>
    <row r="1259" spans="2:8" s="115" customFormat="1">
      <c r="B1259" s="13">
        <v>700</v>
      </c>
      <c r="C1259" s="13">
        <v>1020</v>
      </c>
      <c r="D1259" s="13">
        <v>1.222</v>
      </c>
      <c r="E1259" s="13">
        <v>1368</v>
      </c>
      <c r="F1259" s="13">
        <v>1526</v>
      </c>
      <c r="G1259" s="13">
        <v>1.7050000000000001</v>
      </c>
      <c r="H1259" s="13">
        <f t="shared" si="18"/>
        <v>60.556574176942171</v>
      </c>
    </row>
    <row r="1260" spans="2:8" s="115" customFormat="1">
      <c r="B1260" s="13">
        <v>700</v>
      </c>
      <c r="C1260" s="13">
        <v>1040</v>
      </c>
      <c r="D1260" s="13">
        <v>1.2410000000000001</v>
      </c>
      <c r="E1260" s="13">
        <v>1376</v>
      </c>
      <c r="F1260" s="13">
        <v>1537</v>
      </c>
      <c r="G1260" s="13">
        <v>1.712</v>
      </c>
      <c r="H1260" s="13">
        <f t="shared" si="18"/>
        <v>60.993089456068226</v>
      </c>
    </row>
    <row r="1261" spans="2:8" s="115" customFormat="1">
      <c r="B1261" s="13">
        <v>700</v>
      </c>
      <c r="C1261" s="13">
        <v>1060</v>
      </c>
      <c r="D1261" s="13">
        <v>1.2589999999999999</v>
      </c>
      <c r="E1261" s="13">
        <v>1385</v>
      </c>
      <c r="F1261" s="13">
        <v>1548</v>
      </c>
      <c r="G1261" s="13">
        <v>1.72</v>
      </c>
      <c r="H1261" s="13">
        <f t="shared" si="18"/>
        <v>61.429604735194282</v>
      </c>
    </row>
    <row r="1262" spans="2:8" s="115" customFormat="1">
      <c r="B1262" s="13">
        <v>700</v>
      </c>
      <c r="C1262" s="13">
        <v>1080</v>
      </c>
      <c r="D1262" s="13">
        <v>1.278</v>
      </c>
      <c r="E1262" s="13">
        <v>1394</v>
      </c>
      <c r="F1262" s="13">
        <v>1559</v>
      </c>
      <c r="G1262" s="13">
        <v>1.7270000000000001</v>
      </c>
      <c r="H1262" s="13">
        <f t="shared" si="18"/>
        <v>61.866120014320344</v>
      </c>
    </row>
    <row r="1263" spans="2:8" s="115" customFormat="1">
      <c r="B1263" s="13">
        <v>700</v>
      </c>
      <c r="C1263" s="13">
        <v>1100</v>
      </c>
      <c r="D1263" s="13">
        <v>1.296</v>
      </c>
      <c r="E1263" s="13">
        <v>1403</v>
      </c>
      <c r="F1263" s="13">
        <v>1570</v>
      </c>
      <c r="G1263" s="13">
        <v>1.734</v>
      </c>
      <c r="H1263" s="13">
        <f t="shared" si="18"/>
        <v>62.3026352934464</v>
      </c>
    </row>
    <row r="1264" spans="2:8" s="115" customFormat="1">
      <c r="B1264" s="13">
        <v>700</v>
      </c>
      <c r="C1264" s="13">
        <v>1120</v>
      </c>
      <c r="D1264" s="13">
        <v>1.3140000000000001</v>
      </c>
      <c r="E1264" s="13">
        <v>1411</v>
      </c>
      <c r="F1264" s="13">
        <v>1581</v>
      </c>
      <c r="G1264" s="13">
        <v>1.7410000000000001</v>
      </c>
      <c r="H1264" s="13">
        <f t="shared" si="18"/>
        <v>62.739150572572456</v>
      </c>
    </row>
    <row r="1265" spans="2:8" s="115" customFormat="1">
      <c r="B1265" s="13">
        <v>700</v>
      </c>
      <c r="C1265" s="13">
        <v>1140</v>
      </c>
      <c r="D1265" s="13">
        <v>1.333</v>
      </c>
      <c r="E1265" s="13">
        <v>1420</v>
      </c>
      <c r="F1265" s="13">
        <v>1593</v>
      </c>
      <c r="G1265" s="13">
        <v>1.748</v>
      </c>
      <c r="H1265" s="13">
        <f t="shared" si="18"/>
        <v>63.215349058891789</v>
      </c>
    </row>
    <row r="1266" spans="2:8" s="115" customFormat="1">
      <c r="B1266" s="13">
        <v>700</v>
      </c>
      <c r="C1266" s="13">
        <v>1160</v>
      </c>
      <c r="D1266" s="13">
        <v>1.351</v>
      </c>
      <c r="E1266" s="13">
        <v>1429</v>
      </c>
      <c r="F1266" s="13">
        <v>1604</v>
      </c>
      <c r="G1266" s="13">
        <v>1.7549999999999999</v>
      </c>
      <c r="H1266" s="13">
        <f t="shared" si="18"/>
        <v>63.651864338017852</v>
      </c>
    </row>
    <row r="1267" spans="2:8" s="115" customFormat="1">
      <c r="B1267" s="13">
        <v>700</v>
      </c>
      <c r="C1267" s="13">
        <v>1180</v>
      </c>
      <c r="D1267" s="13">
        <v>1.369</v>
      </c>
      <c r="E1267" s="13">
        <v>1437</v>
      </c>
      <c r="F1267" s="13">
        <v>1615</v>
      </c>
      <c r="G1267" s="13">
        <v>1.762</v>
      </c>
      <c r="H1267" s="13">
        <f t="shared" si="18"/>
        <v>64.088379617143914</v>
      </c>
    </row>
    <row r="1268" spans="2:8" s="115" customFormat="1">
      <c r="B1268" s="13">
        <v>700</v>
      </c>
      <c r="C1268" s="13">
        <v>1200</v>
      </c>
      <c r="D1268" s="13">
        <v>1.387</v>
      </c>
      <c r="E1268" s="13">
        <v>1446</v>
      </c>
      <c r="F1268" s="13">
        <v>1626</v>
      </c>
      <c r="G1268" s="13">
        <v>1.7689999999999999</v>
      </c>
      <c r="H1268" s="13">
        <f t="shared" si="18"/>
        <v>64.52489489626997</v>
      </c>
    </row>
    <row r="1269" spans="2:8" s="115" customFormat="1">
      <c r="B1269" s="13">
        <v>700</v>
      </c>
      <c r="C1269" s="13">
        <v>1220</v>
      </c>
      <c r="D1269" s="13">
        <v>1.405</v>
      </c>
      <c r="E1269" s="13">
        <v>1455</v>
      </c>
      <c r="F1269" s="13">
        <v>1637</v>
      </c>
      <c r="G1269" s="13">
        <v>1.7749999999999999</v>
      </c>
      <c r="H1269" s="13">
        <f t="shared" si="18"/>
        <v>64.961410175396026</v>
      </c>
    </row>
    <row r="1270" spans="2:8" s="115" customFormat="1">
      <c r="B1270" s="13">
        <v>700</v>
      </c>
      <c r="C1270" s="13">
        <v>1240</v>
      </c>
      <c r="D1270" s="13">
        <v>1.423</v>
      </c>
      <c r="E1270" s="13">
        <v>1464</v>
      </c>
      <c r="F1270" s="13">
        <v>1648</v>
      </c>
      <c r="G1270" s="13">
        <v>1.782</v>
      </c>
      <c r="H1270" s="13">
        <f t="shared" si="18"/>
        <v>65.397925454522081</v>
      </c>
    </row>
    <row r="1271" spans="2:8" s="115" customFormat="1">
      <c r="B1271" s="13">
        <v>700</v>
      </c>
      <c r="C1271" s="13">
        <v>1260</v>
      </c>
      <c r="D1271" s="13">
        <v>1.4410000000000001</v>
      </c>
      <c r="E1271" s="13">
        <v>1473</v>
      </c>
      <c r="F1271" s="13">
        <v>1659</v>
      </c>
      <c r="G1271" s="13">
        <v>1.788</v>
      </c>
      <c r="H1271" s="13">
        <f t="shared" si="18"/>
        <v>65.834440733648137</v>
      </c>
    </row>
    <row r="1272" spans="2:8" s="115" customFormat="1">
      <c r="B1272" s="13">
        <v>700</v>
      </c>
      <c r="C1272" s="13">
        <v>1280</v>
      </c>
      <c r="D1272" s="13">
        <v>1.4590000000000001</v>
      </c>
      <c r="E1272" s="13">
        <v>1482</v>
      </c>
      <c r="F1272" s="13">
        <v>1671</v>
      </c>
      <c r="G1272" s="13">
        <v>1.7949999999999999</v>
      </c>
      <c r="H1272" s="13">
        <f t="shared" si="18"/>
        <v>66.31063921996747</v>
      </c>
    </row>
    <row r="1273" spans="2:8" s="115" customFormat="1">
      <c r="B1273" s="13">
        <v>700</v>
      </c>
      <c r="C1273" s="13">
        <v>1300</v>
      </c>
      <c r="D1273" s="13">
        <v>1.4770000000000001</v>
      </c>
      <c r="E1273" s="13">
        <v>1491</v>
      </c>
      <c r="F1273" s="13">
        <v>1682</v>
      </c>
      <c r="G1273" s="13">
        <v>1.8009999999999999</v>
      </c>
      <c r="H1273" s="13">
        <f t="shared" ref="H1273:H1336" si="19">F1273/$E$22*18</f>
        <v>66.74715449909354</v>
      </c>
    </row>
    <row r="1274" spans="2:8" s="115" customFormat="1">
      <c r="B1274" s="13">
        <v>700</v>
      </c>
      <c r="C1274" s="13">
        <v>1320</v>
      </c>
      <c r="D1274" s="13">
        <v>1.4950000000000001</v>
      </c>
      <c r="E1274" s="13">
        <v>1499</v>
      </c>
      <c r="F1274" s="13">
        <v>1693</v>
      </c>
      <c r="G1274" s="13">
        <v>1.8080000000000001</v>
      </c>
      <c r="H1274" s="13">
        <f t="shared" si="19"/>
        <v>67.183669778219596</v>
      </c>
    </row>
    <row r="1275" spans="2:8" s="115" customFormat="1">
      <c r="B1275" s="13">
        <v>700</v>
      </c>
      <c r="C1275" s="13">
        <v>1340</v>
      </c>
      <c r="D1275" s="13">
        <v>1.512</v>
      </c>
      <c r="E1275" s="13">
        <v>1508</v>
      </c>
      <c r="F1275" s="13">
        <v>1704</v>
      </c>
      <c r="G1275" s="13">
        <v>1.8140000000000001</v>
      </c>
      <c r="H1275" s="13">
        <f t="shared" si="19"/>
        <v>67.620185057345651</v>
      </c>
    </row>
    <row r="1276" spans="2:8" s="115" customFormat="1">
      <c r="B1276" s="13">
        <v>700</v>
      </c>
      <c r="C1276" s="13">
        <v>1360</v>
      </c>
      <c r="D1276" s="13">
        <v>1.53</v>
      </c>
      <c r="E1276" s="13">
        <v>1517</v>
      </c>
      <c r="F1276" s="13">
        <v>1716</v>
      </c>
      <c r="G1276" s="13">
        <v>1.82</v>
      </c>
      <c r="H1276" s="13">
        <f t="shared" si="19"/>
        <v>68.096383543664984</v>
      </c>
    </row>
    <row r="1277" spans="2:8" s="115" customFormat="1">
      <c r="B1277" s="13">
        <v>700</v>
      </c>
      <c r="C1277" s="13">
        <v>1380</v>
      </c>
      <c r="D1277" s="13">
        <v>1.548</v>
      </c>
      <c r="E1277" s="13">
        <v>1526</v>
      </c>
      <c r="F1277" s="13">
        <v>1727</v>
      </c>
      <c r="G1277" s="13">
        <v>1.8260000000000001</v>
      </c>
      <c r="H1277" s="13">
        <f t="shared" si="19"/>
        <v>68.53289882279104</v>
      </c>
    </row>
    <row r="1278" spans="2:8" s="115" customFormat="1">
      <c r="B1278" s="13">
        <v>700</v>
      </c>
      <c r="C1278" s="13">
        <v>1400</v>
      </c>
      <c r="D1278" s="13">
        <v>1.5660000000000001</v>
      </c>
      <c r="E1278" s="13">
        <v>1535</v>
      </c>
      <c r="F1278" s="13">
        <v>1738</v>
      </c>
      <c r="G1278" s="13">
        <v>1.8320000000000001</v>
      </c>
      <c r="H1278" s="13">
        <f t="shared" si="19"/>
        <v>68.969414101917096</v>
      </c>
    </row>
    <row r="1279" spans="2:8" s="115" customFormat="1">
      <c r="B1279" s="13">
        <v>700</v>
      </c>
      <c r="C1279" s="13">
        <v>1420</v>
      </c>
      <c r="D1279" s="13">
        <v>1.583</v>
      </c>
      <c r="E1279" s="13">
        <v>1545</v>
      </c>
      <c r="F1279" s="13">
        <v>1750</v>
      </c>
      <c r="G1279" s="13">
        <v>1.839</v>
      </c>
      <c r="H1279" s="13">
        <f t="shared" si="19"/>
        <v>69.445612588236429</v>
      </c>
    </row>
    <row r="1280" spans="2:8" s="115" customFormat="1">
      <c r="B1280" s="13">
        <v>700</v>
      </c>
      <c r="C1280" s="13">
        <v>1440</v>
      </c>
      <c r="D1280" s="13">
        <v>1.601</v>
      </c>
      <c r="E1280" s="13">
        <v>1554</v>
      </c>
      <c r="F1280" s="13">
        <v>1761</v>
      </c>
      <c r="G1280" s="13">
        <v>1.845</v>
      </c>
      <c r="H1280" s="13">
        <f t="shared" si="19"/>
        <v>69.882127867362499</v>
      </c>
    </row>
    <row r="1281" spans="2:8" s="115" customFormat="1">
      <c r="B1281" s="13">
        <v>700</v>
      </c>
      <c r="C1281" s="13">
        <v>1460</v>
      </c>
      <c r="D1281" s="13">
        <v>1.619</v>
      </c>
      <c r="E1281" s="13">
        <v>1563</v>
      </c>
      <c r="F1281" s="13">
        <v>1772</v>
      </c>
      <c r="G1281" s="13">
        <v>1.851</v>
      </c>
      <c r="H1281" s="13">
        <f t="shared" si="19"/>
        <v>70.318643146488554</v>
      </c>
    </row>
    <row r="1282" spans="2:8" s="115" customFormat="1">
      <c r="B1282" s="13">
        <v>700</v>
      </c>
      <c r="C1282" s="13">
        <v>1480</v>
      </c>
      <c r="D1282" s="13">
        <v>1.6359999999999999</v>
      </c>
      <c r="E1282" s="13">
        <v>1572</v>
      </c>
      <c r="F1282" s="13">
        <v>1784</v>
      </c>
      <c r="G1282" s="13">
        <v>1.8560000000000001</v>
      </c>
      <c r="H1282" s="13">
        <f t="shared" si="19"/>
        <v>70.794841632807888</v>
      </c>
    </row>
    <row r="1283" spans="2:8" s="115" customFormat="1">
      <c r="B1283" s="13">
        <v>700</v>
      </c>
      <c r="C1283" s="13">
        <v>1500</v>
      </c>
      <c r="D1283" s="13">
        <v>1.6539999999999999</v>
      </c>
      <c r="E1283" s="13">
        <v>1581</v>
      </c>
      <c r="F1283" s="13">
        <v>1795</v>
      </c>
      <c r="G1283" s="13">
        <v>1.8620000000000001</v>
      </c>
      <c r="H1283" s="13">
        <f t="shared" si="19"/>
        <v>71.231356911933943</v>
      </c>
    </row>
    <row r="1284" spans="2:8" s="115" customFormat="1">
      <c r="B1284" s="13">
        <v>800</v>
      </c>
      <c r="C1284" s="13">
        <v>40</v>
      </c>
      <c r="D1284" s="13">
        <v>1.5980000000000001E-2</v>
      </c>
      <c r="E1284" s="13">
        <v>8.0239999999999991</v>
      </c>
      <c r="F1284" s="13">
        <v>10.39</v>
      </c>
      <c r="G1284" s="13">
        <v>1.618E-2</v>
      </c>
      <c r="H1284" s="13">
        <f t="shared" si="19"/>
        <v>0.41230852273815805</v>
      </c>
    </row>
    <row r="1285" spans="2:8" s="115" customFormat="1">
      <c r="B1285" s="13">
        <v>800</v>
      </c>
      <c r="C1285" s="13">
        <v>60</v>
      </c>
      <c r="D1285" s="13">
        <v>1.5990000000000001E-2</v>
      </c>
      <c r="E1285" s="13">
        <v>27.97</v>
      </c>
      <c r="F1285" s="13">
        <v>30.34</v>
      </c>
      <c r="G1285" s="13">
        <v>5.5329999999999997E-2</v>
      </c>
      <c r="H1285" s="13">
        <f t="shared" si="19"/>
        <v>1.2039885062440534</v>
      </c>
    </row>
    <row r="1286" spans="2:8" s="115" customFormat="1">
      <c r="B1286" s="13">
        <v>800</v>
      </c>
      <c r="C1286" s="13">
        <v>80</v>
      </c>
      <c r="D1286" s="13">
        <v>1.6029999999999999E-2</v>
      </c>
      <c r="E1286" s="13">
        <v>47.87</v>
      </c>
      <c r="F1286" s="13">
        <v>50.25</v>
      </c>
      <c r="G1286" s="13">
        <v>9.2920000000000003E-2</v>
      </c>
      <c r="H1286" s="13">
        <f t="shared" si="19"/>
        <v>1.9940811614622178</v>
      </c>
    </row>
    <row r="1287" spans="2:8" s="115" customFormat="1">
      <c r="B1287" s="13">
        <v>800</v>
      </c>
      <c r="C1287" s="13">
        <v>100</v>
      </c>
      <c r="D1287" s="13">
        <v>1.609E-2</v>
      </c>
      <c r="E1287" s="13">
        <v>67.760000000000005</v>
      </c>
      <c r="F1287" s="13">
        <v>70.150000000000006</v>
      </c>
      <c r="G1287" s="13">
        <v>0.12909999999999999</v>
      </c>
      <c r="H1287" s="13">
        <f t="shared" si="19"/>
        <v>2.7837769846084495</v>
      </c>
    </row>
    <row r="1288" spans="2:8" s="115" customFormat="1">
      <c r="B1288" s="13">
        <v>800</v>
      </c>
      <c r="C1288" s="13">
        <v>120</v>
      </c>
      <c r="D1288" s="13">
        <v>1.617E-2</v>
      </c>
      <c r="E1288" s="13">
        <v>87.65</v>
      </c>
      <c r="F1288" s="13">
        <v>90.05</v>
      </c>
      <c r="G1288" s="13">
        <v>0.1641</v>
      </c>
      <c r="H1288" s="13">
        <f t="shared" si="19"/>
        <v>3.5734728077546807</v>
      </c>
    </row>
    <row r="1289" spans="2:8" s="115" customFormat="1">
      <c r="B1289" s="13">
        <v>800</v>
      </c>
      <c r="C1289" s="13">
        <v>140</v>
      </c>
      <c r="D1289" s="13">
        <v>1.6250000000000001E-2</v>
      </c>
      <c r="E1289" s="13">
        <v>107.6</v>
      </c>
      <c r="F1289" s="13">
        <v>110</v>
      </c>
      <c r="G1289" s="13">
        <v>0.1978</v>
      </c>
      <c r="H1289" s="13">
        <f t="shared" si="19"/>
        <v>4.3651527912605763</v>
      </c>
    </row>
    <row r="1290" spans="2:8" s="115" customFormat="1">
      <c r="B1290" s="13">
        <v>800</v>
      </c>
      <c r="C1290" s="13">
        <v>160</v>
      </c>
      <c r="D1290" s="13">
        <v>1.635E-2</v>
      </c>
      <c r="E1290" s="13">
        <v>127.5</v>
      </c>
      <c r="F1290" s="13">
        <v>129.9</v>
      </c>
      <c r="G1290" s="13">
        <v>0.23050000000000001</v>
      </c>
      <c r="H1290" s="13">
        <f t="shared" si="19"/>
        <v>5.1548486144068075</v>
      </c>
    </row>
    <row r="1291" spans="2:8" s="115" customFormat="1">
      <c r="B1291" s="13">
        <v>800</v>
      </c>
      <c r="C1291" s="13">
        <v>180</v>
      </c>
      <c r="D1291" s="13">
        <v>1.6469999999999999E-2</v>
      </c>
      <c r="E1291" s="13">
        <v>147.4</v>
      </c>
      <c r="F1291" s="13">
        <v>149.9</v>
      </c>
      <c r="G1291" s="13">
        <v>0.26229999999999998</v>
      </c>
      <c r="H1291" s="13">
        <f t="shared" si="19"/>
        <v>5.9485127582723667</v>
      </c>
    </row>
    <row r="1292" spans="2:8" s="115" customFormat="1">
      <c r="B1292" s="13">
        <v>800</v>
      </c>
      <c r="C1292" s="13">
        <v>200</v>
      </c>
      <c r="D1292" s="13">
        <v>1.6590000000000001E-2</v>
      </c>
      <c r="E1292" s="13">
        <v>167.4</v>
      </c>
      <c r="F1292" s="13">
        <v>169.9</v>
      </c>
      <c r="G1292" s="13">
        <v>0.29310000000000003</v>
      </c>
      <c r="H1292" s="13">
        <f t="shared" si="19"/>
        <v>6.7421769021379259</v>
      </c>
    </row>
    <row r="1293" spans="2:8" s="115" customFormat="1">
      <c r="B1293" s="13">
        <v>800</v>
      </c>
      <c r="C1293" s="13">
        <v>220</v>
      </c>
      <c r="D1293" s="13">
        <v>1.6729999999999998E-2</v>
      </c>
      <c r="E1293" s="13">
        <v>187.5</v>
      </c>
      <c r="F1293" s="13">
        <v>190</v>
      </c>
      <c r="G1293" s="13">
        <v>0.3231</v>
      </c>
      <c r="H1293" s="13">
        <f t="shared" si="19"/>
        <v>7.539809366722813</v>
      </c>
    </row>
    <row r="1294" spans="2:8" s="115" customFormat="1">
      <c r="B1294" s="13">
        <v>800</v>
      </c>
      <c r="C1294" s="13">
        <v>240</v>
      </c>
      <c r="D1294" s="13">
        <v>1.687E-2</v>
      </c>
      <c r="E1294" s="13">
        <v>207.6</v>
      </c>
      <c r="F1294" s="13">
        <v>210.1</v>
      </c>
      <c r="G1294" s="13">
        <v>0.3523</v>
      </c>
      <c r="H1294" s="13">
        <f t="shared" si="19"/>
        <v>8.3374418313077001</v>
      </c>
    </row>
    <row r="1295" spans="2:8" s="115" customFormat="1">
      <c r="B1295" s="13">
        <v>800</v>
      </c>
      <c r="C1295" s="13">
        <v>260</v>
      </c>
      <c r="D1295" s="13">
        <v>1.704E-2</v>
      </c>
      <c r="E1295" s="13">
        <v>227.8</v>
      </c>
      <c r="F1295" s="13">
        <v>230.3</v>
      </c>
      <c r="G1295" s="13">
        <v>0.38080000000000003</v>
      </c>
      <c r="H1295" s="13">
        <f t="shared" si="19"/>
        <v>9.1390426166119152</v>
      </c>
    </row>
    <row r="1296" spans="2:8" s="115" customFormat="1">
      <c r="B1296" s="13">
        <v>800</v>
      </c>
      <c r="C1296" s="13">
        <v>280</v>
      </c>
      <c r="D1296" s="13">
        <v>1.721E-2</v>
      </c>
      <c r="E1296" s="13">
        <v>248.1</v>
      </c>
      <c r="F1296" s="13">
        <v>250.7</v>
      </c>
      <c r="G1296" s="13">
        <v>0.40860000000000002</v>
      </c>
      <c r="H1296" s="13">
        <f t="shared" si="19"/>
        <v>9.9485800433547844</v>
      </c>
    </row>
    <row r="1297" spans="2:8" s="115" customFormat="1">
      <c r="B1297" s="13">
        <v>800</v>
      </c>
      <c r="C1297" s="13">
        <v>300</v>
      </c>
      <c r="D1297" s="13">
        <v>1.7389999999999999E-2</v>
      </c>
      <c r="E1297" s="13">
        <v>268.5</v>
      </c>
      <c r="F1297" s="13">
        <v>271.10000000000002</v>
      </c>
      <c r="G1297" s="13">
        <v>0.43590000000000001</v>
      </c>
      <c r="H1297" s="13">
        <f t="shared" si="19"/>
        <v>10.758117470097657</v>
      </c>
    </row>
    <row r="1298" spans="2:8" s="115" customFormat="1">
      <c r="B1298" s="13">
        <v>800</v>
      </c>
      <c r="C1298" s="13">
        <v>320</v>
      </c>
      <c r="D1298" s="13">
        <v>1.7600000000000001E-2</v>
      </c>
      <c r="E1298" s="13">
        <v>289.10000000000002</v>
      </c>
      <c r="F1298" s="13">
        <v>291.7</v>
      </c>
      <c r="G1298" s="13">
        <v>0.46260000000000001</v>
      </c>
      <c r="H1298" s="13">
        <f t="shared" si="19"/>
        <v>11.575591538279181</v>
      </c>
    </row>
    <row r="1299" spans="2:8" s="115" customFormat="1">
      <c r="B1299" s="13">
        <v>800</v>
      </c>
      <c r="C1299" s="13">
        <v>340</v>
      </c>
      <c r="D1299" s="13">
        <v>1.7809999999999999E-2</v>
      </c>
      <c r="E1299" s="13">
        <v>309.8</v>
      </c>
      <c r="F1299" s="13">
        <v>312.39999999999998</v>
      </c>
      <c r="G1299" s="13">
        <v>0.4889</v>
      </c>
      <c r="H1299" s="13">
        <f t="shared" si="19"/>
        <v>12.397033927180036</v>
      </c>
    </row>
    <row r="1300" spans="2:8" s="115" customFormat="1">
      <c r="B1300" s="13">
        <v>800</v>
      </c>
      <c r="C1300" s="13">
        <v>360</v>
      </c>
      <c r="D1300" s="13">
        <v>1.805E-2</v>
      </c>
      <c r="E1300" s="13">
        <v>330.6</v>
      </c>
      <c r="F1300" s="13">
        <v>333.3</v>
      </c>
      <c r="G1300" s="13">
        <v>0.51470000000000005</v>
      </c>
      <c r="H1300" s="13">
        <f t="shared" si="19"/>
        <v>13.226412957519546</v>
      </c>
    </row>
    <row r="1301" spans="2:8" s="115" customFormat="1">
      <c r="B1301" s="13">
        <v>800</v>
      </c>
      <c r="C1301" s="13">
        <v>380</v>
      </c>
      <c r="D1301" s="13">
        <v>1.83E-2</v>
      </c>
      <c r="E1301" s="13">
        <v>351.7</v>
      </c>
      <c r="F1301" s="13">
        <v>354.4</v>
      </c>
      <c r="G1301" s="13">
        <v>0.54010000000000002</v>
      </c>
      <c r="H1301" s="13">
        <f t="shared" si="19"/>
        <v>14.063728629297708</v>
      </c>
    </row>
    <row r="1302" spans="2:8" s="115" customFormat="1">
      <c r="B1302" s="13">
        <v>800</v>
      </c>
      <c r="C1302" s="13">
        <v>400</v>
      </c>
      <c r="D1302" s="13">
        <v>1.857E-2</v>
      </c>
      <c r="E1302" s="13">
        <v>373</v>
      </c>
      <c r="F1302" s="13">
        <v>375.7</v>
      </c>
      <c r="G1302" s="13">
        <v>0.56520000000000004</v>
      </c>
      <c r="H1302" s="13">
        <f t="shared" si="19"/>
        <v>14.90898094251453</v>
      </c>
    </row>
    <row r="1303" spans="2:8" s="115" customFormat="1">
      <c r="B1303" s="13">
        <v>800</v>
      </c>
      <c r="C1303" s="13">
        <v>420</v>
      </c>
      <c r="D1303" s="13">
        <v>1.8870000000000001E-2</v>
      </c>
      <c r="E1303" s="13">
        <v>394.5</v>
      </c>
      <c r="F1303" s="13">
        <v>397.3</v>
      </c>
      <c r="G1303" s="13">
        <v>0.59009999999999996</v>
      </c>
      <c r="H1303" s="13">
        <f t="shared" si="19"/>
        <v>15.766138217889335</v>
      </c>
    </row>
    <row r="1304" spans="2:8" s="115" customFormat="1">
      <c r="B1304" s="13">
        <v>800</v>
      </c>
      <c r="C1304" s="13">
        <v>440</v>
      </c>
      <c r="D1304" s="13">
        <v>1.9199999999999998E-2</v>
      </c>
      <c r="E1304" s="13">
        <v>416.4</v>
      </c>
      <c r="F1304" s="13">
        <v>419.3</v>
      </c>
      <c r="G1304" s="13">
        <v>0.61470000000000002</v>
      </c>
      <c r="H1304" s="13">
        <f t="shared" si="19"/>
        <v>16.639168776141453</v>
      </c>
    </row>
    <row r="1305" spans="2:8" s="115" customFormat="1">
      <c r="B1305" s="13">
        <v>800</v>
      </c>
      <c r="C1305" s="13">
        <v>460</v>
      </c>
      <c r="D1305" s="13">
        <v>1.9560000000000001E-2</v>
      </c>
      <c r="E1305" s="13">
        <v>438.7</v>
      </c>
      <c r="F1305" s="13">
        <v>441.6</v>
      </c>
      <c r="G1305" s="13">
        <v>0.63929999999999998</v>
      </c>
      <c r="H1305" s="13">
        <f t="shared" si="19"/>
        <v>17.524104296551549</v>
      </c>
    </row>
    <row r="1306" spans="2:8" s="115" customFormat="1">
      <c r="B1306" s="13">
        <v>800</v>
      </c>
      <c r="C1306" s="13">
        <v>480</v>
      </c>
      <c r="D1306" s="13">
        <v>1.9959999999999999E-2</v>
      </c>
      <c r="E1306" s="13">
        <v>461.5</v>
      </c>
      <c r="F1306" s="13">
        <v>464.4</v>
      </c>
      <c r="G1306" s="13">
        <v>0.66379999999999995</v>
      </c>
      <c r="H1306" s="13">
        <f t="shared" si="19"/>
        <v>18.428881420558287</v>
      </c>
    </row>
    <row r="1307" spans="2:8" s="115" customFormat="1">
      <c r="B1307" s="13">
        <v>800</v>
      </c>
      <c r="C1307" s="13">
        <v>500</v>
      </c>
      <c r="D1307" s="13">
        <v>2.0410000000000001E-2</v>
      </c>
      <c r="E1307" s="13">
        <v>484.8</v>
      </c>
      <c r="F1307" s="13">
        <v>487.8</v>
      </c>
      <c r="G1307" s="13">
        <v>0.6885</v>
      </c>
      <c r="H1307" s="13">
        <f t="shared" si="19"/>
        <v>19.357468468880992</v>
      </c>
    </row>
    <row r="1308" spans="2:8" s="115" customFormat="1">
      <c r="B1308" s="13">
        <v>800</v>
      </c>
      <c r="C1308" s="13">
        <v>520</v>
      </c>
      <c r="D1308" s="13">
        <v>0.57199999999999995</v>
      </c>
      <c r="E1308" s="13">
        <v>1117</v>
      </c>
      <c r="F1308" s="13">
        <v>1201</v>
      </c>
      <c r="G1308" s="13">
        <v>1.4179999999999999</v>
      </c>
      <c r="H1308" s="13">
        <f t="shared" si="19"/>
        <v>47.659531839126835</v>
      </c>
    </row>
    <row r="1309" spans="2:8" s="115" customFormat="1">
      <c r="B1309" s="13">
        <v>800</v>
      </c>
      <c r="C1309" s="13">
        <v>540</v>
      </c>
      <c r="D1309" s="13">
        <v>0.60199999999999998</v>
      </c>
      <c r="E1309" s="13">
        <v>1132</v>
      </c>
      <c r="F1309" s="13">
        <v>1221</v>
      </c>
      <c r="G1309" s="13">
        <v>1.4390000000000001</v>
      </c>
      <c r="H1309" s="13">
        <f t="shared" si="19"/>
        <v>48.453195982992398</v>
      </c>
    </row>
    <row r="1310" spans="2:8" s="115" customFormat="1">
      <c r="B1310" s="13">
        <v>800</v>
      </c>
      <c r="C1310" s="13">
        <v>560</v>
      </c>
      <c r="D1310" s="13">
        <v>0.62919999999999998</v>
      </c>
      <c r="E1310" s="13">
        <v>1146</v>
      </c>
      <c r="F1310" s="13">
        <v>1239</v>
      </c>
      <c r="G1310" s="13">
        <v>1.456</v>
      </c>
      <c r="H1310" s="13">
        <f t="shared" si="19"/>
        <v>49.167493712471398</v>
      </c>
    </row>
    <row r="1311" spans="2:8" s="115" customFormat="1">
      <c r="B1311" s="13">
        <v>800</v>
      </c>
      <c r="C1311" s="13">
        <v>580</v>
      </c>
      <c r="D1311" s="13">
        <v>0.65429999999999999</v>
      </c>
      <c r="E1311" s="13">
        <v>1159</v>
      </c>
      <c r="F1311" s="13">
        <v>1256</v>
      </c>
      <c r="G1311" s="13">
        <v>1.472</v>
      </c>
      <c r="H1311" s="13">
        <f t="shared" si="19"/>
        <v>49.84210823475712</v>
      </c>
    </row>
    <row r="1312" spans="2:8" s="115" customFormat="1">
      <c r="B1312" s="13">
        <v>800</v>
      </c>
      <c r="C1312" s="13">
        <v>600</v>
      </c>
      <c r="D1312" s="13">
        <v>0.67800000000000005</v>
      </c>
      <c r="E1312" s="13">
        <v>1170</v>
      </c>
      <c r="F1312" s="13">
        <v>1271</v>
      </c>
      <c r="G1312" s="13">
        <v>1.4870000000000001</v>
      </c>
      <c r="H1312" s="13">
        <f t="shared" si="19"/>
        <v>50.437356342656294</v>
      </c>
    </row>
    <row r="1313" spans="2:8" s="115" customFormat="1">
      <c r="B1313" s="13">
        <v>800</v>
      </c>
      <c r="C1313" s="13">
        <v>620</v>
      </c>
      <c r="D1313" s="13">
        <v>0.7006</v>
      </c>
      <c r="E1313" s="13">
        <v>1182</v>
      </c>
      <c r="F1313" s="13">
        <v>1285</v>
      </c>
      <c r="G1313" s="13">
        <v>1.5</v>
      </c>
      <c r="H1313" s="13">
        <f t="shared" si="19"/>
        <v>50.992921243362183</v>
      </c>
    </row>
    <row r="1314" spans="2:8" s="115" customFormat="1">
      <c r="B1314" s="13">
        <v>800</v>
      </c>
      <c r="C1314" s="13">
        <v>640</v>
      </c>
      <c r="D1314" s="13">
        <v>0.72230000000000005</v>
      </c>
      <c r="E1314" s="13">
        <v>1192</v>
      </c>
      <c r="F1314" s="13">
        <v>1299</v>
      </c>
      <c r="G1314" s="13">
        <v>1.5129999999999999</v>
      </c>
      <c r="H1314" s="13">
        <f t="shared" si="19"/>
        <v>51.548486144068079</v>
      </c>
    </row>
    <row r="1315" spans="2:8" s="115" customFormat="1">
      <c r="B1315" s="13">
        <v>800</v>
      </c>
      <c r="C1315" s="13">
        <v>660</v>
      </c>
      <c r="D1315" s="13">
        <v>0.74319999999999997</v>
      </c>
      <c r="E1315" s="13">
        <v>1203</v>
      </c>
      <c r="F1315" s="13">
        <v>1313</v>
      </c>
      <c r="G1315" s="13">
        <v>1.5249999999999999</v>
      </c>
      <c r="H1315" s="13">
        <f t="shared" si="19"/>
        <v>52.104051044773968</v>
      </c>
    </row>
    <row r="1316" spans="2:8" s="115" customFormat="1">
      <c r="B1316" s="13">
        <v>800</v>
      </c>
      <c r="C1316" s="13">
        <v>680</v>
      </c>
      <c r="D1316" s="13">
        <v>0.76349999999999996</v>
      </c>
      <c r="E1316" s="13">
        <v>1213</v>
      </c>
      <c r="F1316" s="13">
        <v>1326</v>
      </c>
      <c r="G1316" s="13">
        <v>1.5369999999999999</v>
      </c>
      <c r="H1316" s="13">
        <f t="shared" si="19"/>
        <v>52.619932738286579</v>
      </c>
    </row>
    <row r="1317" spans="2:8" s="115" customFormat="1">
      <c r="B1317" s="13">
        <v>800</v>
      </c>
      <c r="C1317" s="13">
        <v>700</v>
      </c>
      <c r="D1317" s="13">
        <v>0.78339999999999999</v>
      </c>
      <c r="E1317" s="13">
        <v>1222</v>
      </c>
      <c r="F1317" s="13">
        <v>1338</v>
      </c>
      <c r="G1317" s="13">
        <v>1.548</v>
      </c>
      <c r="H1317" s="13">
        <f t="shared" si="19"/>
        <v>53.096131224605919</v>
      </c>
    </row>
    <row r="1318" spans="2:8" s="115" customFormat="1">
      <c r="B1318" s="13">
        <v>800</v>
      </c>
      <c r="C1318" s="13">
        <v>720</v>
      </c>
      <c r="D1318" s="13">
        <v>0.80269999999999997</v>
      </c>
      <c r="E1318" s="13">
        <v>1232</v>
      </c>
      <c r="F1318" s="13">
        <v>1351</v>
      </c>
      <c r="G1318" s="13">
        <v>1.5580000000000001</v>
      </c>
      <c r="H1318" s="13">
        <f t="shared" si="19"/>
        <v>53.612012918118523</v>
      </c>
    </row>
    <row r="1319" spans="2:8" s="115" customFormat="1">
      <c r="B1319" s="13">
        <v>800</v>
      </c>
      <c r="C1319" s="13">
        <v>740</v>
      </c>
      <c r="D1319" s="13">
        <v>0.82169999999999999</v>
      </c>
      <c r="E1319" s="13">
        <v>1241</v>
      </c>
      <c r="F1319" s="13">
        <v>1363</v>
      </c>
      <c r="G1319" s="13">
        <v>1.569</v>
      </c>
      <c r="H1319" s="13">
        <f t="shared" si="19"/>
        <v>54.088211404437857</v>
      </c>
    </row>
    <row r="1320" spans="2:8" s="115" customFormat="1">
      <c r="B1320" s="13">
        <v>800</v>
      </c>
      <c r="C1320" s="13">
        <v>760</v>
      </c>
      <c r="D1320" s="13">
        <v>0.84040000000000004</v>
      </c>
      <c r="E1320" s="13">
        <v>1251</v>
      </c>
      <c r="F1320" s="13">
        <v>1375</v>
      </c>
      <c r="G1320" s="13">
        <v>1.5780000000000001</v>
      </c>
      <c r="H1320" s="13">
        <f t="shared" si="19"/>
        <v>54.564409890757204</v>
      </c>
    </row>
    <row r="1321" spans="2:8" s="115" customFormat="1">
      <c r="B1321" s="13">
        <v>800</v>
      </c>
      <c r="C1321" s="13">
        <v>780</v>
      </c>
      <c r="D1321" s="13">
        <v>0.85870000000000002</v>
      </c>
      <c r="E1321" s="13">
        <v>1260</v>
      </c>
      <c r="F1321" s="13">
        <v>1387</v>
      </c>
      <c r="G1321" s="13">
        <v>1.5880000000000001</v>
      </c>
      <c r="H1321" s="13">
        <f t="shared" si="19"/>
        <v>55.040608377076538</v>
      </c>
    </row>
    <row r="1322" spans="2:8" s="115" customFormat="1">
      <c r="B1322" s="13">
        <v>800</v>
      </c>
      <c r="C1322" s="13">
        <v>800</v>
      </c>
      <c r="D1322" s="13">
        <v>0.87680000000000002</v>
      </c>
      <c r="E1322" s="13">
        <v>1269</v>
      </c>
      <c r="F1322" s="13">
        <v>1399</v>
      </c>
      <c r="G1322" s="13">
        <v>1.597</v>
      </c>
      <c r="H1322" s="13">
        <f t="shared" si="19"/>
        <v>55.516806863395871</v>
      </c>
    </row>
    <row r="1323" spans="2:8" s="115" customFormat="1">
      <c r="B1323" s="13">
        <v>800</v>
      </c>
      <c r="C1323" s="13">
        <v>820</v>
      </c>
      <c r="D1323" s="13">
        <v>0.89470000000000005</v>
      </c>
      <c r="E1323" s="13">
        <v>1278</v>
      </c>
      <c r="F1323" s="13">
        <v>1410</v>
      </c>
      <c r="G1323" s="13">
        <v>1.607</v>
      </c>
      <c r="H1323" s="13">
        <f t="shared" si="19"/>
        <v>55.953322142521927</v>
      </c>
    </row>
    <row r="1324" spans="2:8" s="115" customFormat="1">
      <c r="B1324" s="13">
        <v>800</v>
      </c>
      <c r="C1324" s="13">
        <v>840</v>
      </c>
      <c r="D1324" s="13">
        <v>0.91239999999999999</v>
      </c>
      <c r="E1324" s="13">
        <v>1287</v>
      </c>
      <c r="F1324" s="13">
        <v>1422</v>
      </c>
      <c r="G1324" s="13">
        <v>1.6160000000000001</v>
      </c>
      <c r="H1324" s="13">
        <f t="shared" si="19"/>
        <v>56.42952062884126</v>
      </c>
    </row>
    <row r="1325" spans="2:8" s="115" customFormat="1">
      <c r="B1325" s="13">
        <v>800</v>
      </c>
      <c r="C1325" s="13">
        <v>860</v>
      </c>
      <c r="D1325" s="13">
        <v>0.92979999999999996</v>
      </c>
      <c r="E1325" s="13">
        <v>1296</v>
      </c>
      <c r="F1325" s="13">
        <v>1433</v>
      </c>
      <c r="G1325" s="13">
        <v>1.6240000000000001</v>
      </c>
      <c r="H1325" s="13">
        <f t="shared" si="19"/>
        <v>56.866035907967316</v>
      </c>
    </row>
    <row r="1326" spans="2:8" s="115" customFormat="1">
      <c r="B1326" s="13">
        <v>800</v>
      </c>
      <c r="C1326" s="13">
        <v>880</v>
      </c>
      <c r="D1326" s="13">
        <v>0.94720000000000004</v>
      </c>
      <c r="E1326" s="13">
        <v>1304</v>
      </c>
      <c r="F1326" s="13">
        <v>1445</v>
      </c>
      <c r="G1326" s="13">
        <v>1.633</v>
      </c>
      <c r="H1326" s="13">
        <f t="shared" si="19"/>
        <v>57.342234394286663</v>
      </c>
    </row>
    <row r="1327" spans="2:8" s="115" customFormat="1">
      <c r="B1327" s="13">
        <v>800</v>
      </c>
      <c r="C1327" s="13">
        <v>900</v>
      </c>
      <c r="D1327" s="13">
        <v>0.96430000000000005</v>
      </c>
      <c r="E1327" s="13">
        <v>1313</v>
      </c>
      <c r="F1327" s="13">
        <v>1456</v>
      </c>
      <c r="G1327" s="13">
        <v>1.641</v>
      </c>
      <c r="H1327" s="13">
        <f t="shared" si="19"/>
        <v>57.778749673412719</v>
      </c>
    </row>
    <row r="1328" spans="2:8" s="115" customFormat="1">
      <c r="B1328" s="13">
        <v>800</v>
      </c>
      <c r="C1328" s="13">
        <v>920</v>
      </c>
      <c r="D1328" s="13">
        <v>0.98140000000000005</v>
      </c>
      <c r="E1328" s="13">
        <v>1322</v>
      </c>
      <c r="F1328" s="13">
        <v>1467</v>
      </c>
      <c r="G1328" s="13">
        <v>1.65</v>
      </c>
      <c r="H1328" s="13">
        <f t="shared" si="19"/>
        <v>58.215264952538767</v>
      </c>
    </row>
    <row r="1329" spans="2:8" s="115" customFormat="1">
      <c r="B1329" s="13">
        <v>800</v>
      </c>
      <c r="C1329" s="13">
        <v>940</v>
      </c>
      <c r="D1329" s="13">
        <v>0.99829999999999997</v>
      </c>
      <c r="E1329" s="13">
        <v>1331</v>
      </c>
      <c r="F1329" s="13">
        <v>1479</v>
      </c>
      <c r="G1329" s="13">
        <v>1.6579999999999999</v>
      </c>
      <c r="H1329" s="13">
        <f t="shared" si="19"/>
        <v>58.691463438858108</v>
      </c>
    </row>
    <row r="1330" spans="2:8" s="115" customFormat="1">
      <c r="B1330" s="13">
        <v>800</v>
      </c>
      <c r="C1330" s="13">
        <v>960</v>
      </c>
      <c r="D1330" s="13">
        <v>1.0149999999999999</v>
      </c>
      <c r="E1330" s="13">
        <v>1339</v>
      </c>
      <c r="F1330" s="13">
        <v>1490</v>
      </c>
      <c r="G1330" s="13">
        <v>1.6659999999999999</v>
      </c>
      <c r="H1330" s="13">
        <f t="shared" si="19"/>
        <v>59.12797871798417</v>
      </c>
    </row>
    <row r="1331" spans="2:8" s="115" customFormat="1">
      <c r="B1331" s="13">
        <v>800</v>
      </c>
      <c r="C1331" s="13">
        <v>980</v>
      </c>
      <c r="D1331" s="13">
        <v>1.032</v>
      </c>
      <c r="E1331" s="13">
        <v>1348</v>
      </c>
      <c r="F1331" s="13">
        <v>1501</v>
      </c>
      <c r="G1331" s="13">
        <v>1.673</v>
      </c>
      <c r="H1331" s="13">
        <f t="shared" si="19"/>
        <v>59.564493997110226</v>
      </c>
    </row>
    <row r="1332" spans="2:8" s="115" customFormat="1">
      <c r="B1332" s="13">
        <v>800</v>
      </c>
      <c r="C1332" s="13">
        <v>1000</v>
      </c>
      <c r="D1332" s="13">
        <v>1.048</v>
      </c>
      <c r="E1332" s="13">
        <v>1357</v>
      </c>
      <c r="F1332" s="13">
        <v>1512</v>
      </c>
      <c r="G1332" s="13">
        <v>1.681</v>
      </c>
      <c r="H1332" s="13">
        <f t="shared" si="19"/>
        <v>60.001009276236275</v>
      </c>
    </row>
    <row r="1333" spans="2:8" s="115" customFormat="1">
      <c r="B1333" s="13">
        <v>800</v>
      </c>
      <c r="C1333" s="13">
        <v>1020</v>
      </c>
      <c r="D1333" s="13">
        <v>1.0649999999999999</v>
      </c>
      <c r="E1333" s="13">
        <v>1366</v>
      </c>
      <c r="F1333" s="13">
        <v>1523</v>
      </c>
      <c r="G1333" s="13">
        <v>1.6890000000000001</v>
      </c>
      <c r="H1333" s="13">
        <f t="shared" si="19"/>
        <v>60.437524555362337</v>
      </c>
    </row>
    <row r="1334" spans="2:8" s="115" customFormat="1">
      <c r="B1334" s="13">
        <v>800</v>
      </c>
      <c r="C1334" s="13">
        <v>1040</v>
      </c>
      <c r="D1334" s="13">
        <v>1.081</v>
      </c>
      <c r="E1334" s="13">
        <v>1374</v>
      </c>
      <c r="F1334" s="13">
        <v>1534</v>
      </c>
      <c r="G1334" s="13">
        <v>1.696</v>
      </c>
      <c r="H1334" s="13">
        <f t="shared" si="19"/>
        <v>60.874039834488393</v>
      </c>
    </row>
    <row r="1335" spans="2:8" s="115" customFormat="1">
      <c r="B1335" s="13">
        <v>800</v>
      </c>
      <c r="C1335" s="13">
        <v>1060</v>
      </c>
      <c r="D1335" s="13">
        <v>1.0980000000000001</v>
      </c>
      <c r="E1335" s="13">
        <v>1383</v>
      </c>
      <c r="F1335" s="13">
        <v>1546</v>
      </c>
      <c r="G1335" s="13">
        <v>1.704</v>
      </c>
      <c r="H1335" s="13">
        <f t="shared" si="19"/>
        <v>61.350238320807733</v>
      </c>
    </row>
    <row r="1336" spans="2:8" s="115" customFormat="1">
      <c r="B1336" s="13">
        <v>800</v>
      </c>
      <c r="C1336" s="13">
        <v>1080</v>
      </c>
      <c r="D1336" s="13">
        <v>1.1140000000000001</v>
      </c>
      <c r="E1336" s="13">
        <v>1392</v>
      </c>
      <c r="F1336" s="13">
        <v>1557</v>
      </c>
      <c r="G1336" s="13">
        <v>1.7110000000000001</v>
      </c>
      <c r="H1336" s="13">
        <f t="shared" si="19"/>
        <v>61.786753599933789</v>
      </c>
    </row>
    <row r="1337" spans="2:8" s="115" customFormat="1">
      <c r="B1337" s="13">
        <v>800</v>
      </c>
      <c r="C1337" s="13">
        <v>1100</v>
      </c>
      <c r="D1337" s="13">
        <v>1.1299999999999999</v>
      </c>
      <c r="E1337" s="13">
        <v>1401</v>
      </c>
      <c r="F1337" s="13">
        <v>1568</v>
      </c>
      <c r="G1337" s="13">
        <v>1.718</v>
      </c>
      <c r="H1337" s="13">
        <f t="shared" ref="H1337:H1400" si="20">F1337/$E$22*18</f>
        <v>62.223268879059844</v>
      </c>
    </row>
    <row r="1338" spans="2:8" s="115" customFormat="1">
      <c r="B1338" s="13">
        <v>800</v>
      </c>
      <c r="C1338" s="13">
        <v>1120</v>
      </c>
      <c r="D1338" s="13">
        <v>1.1459999999999999</v>
      </c>
      <c r="E1338" s="13">
        <v>1409</v>
      </c>
      <c r="F1338" s="13">
        <v>1579</v>
      </c>
      <c r="G1338" s="13">
        <v>1.7250000000000001</v>
      </c>
      <c r="H1338" s="13">
        <f t="shared" si="20"/>
        <v>62.6597841581859</v>
      </c>
    </row>
    <row r="1339" spans="2:8" s="115" customFormat="1">
      <c r="B1339" s="13">
        <v>800</v>
      </c>
      <c r="C1339" s="13">
        <v>1140</v>
      </c>
      <c r="D1339" s="13">
        <v>1.1619999999999999</v>
      </c>
      <c r="E1339" s="13">
        <v>1418</v>
      </c>
      <c r="F1339" s="13">
        <v>1590</v>
      </c>
      <c r="G1339" s="13">
        <v>1.732</v>
      </c>
      <c r="H1339" s="13">
        <f t="shared" si="20"/>
        <v>63.096299437311956</v>
      </c>
    </row>
    <row r="1340" spans="2:8" s="115" customFormat="1">
      <c r="B1340" s="13">
        <v>800</v>
      </c>
      <c r="C1340" s="13">
        <v>1160</v>
      </c>
      <c r="D1340" s="13">
        <v>1.179</v>
      </c>
      <c r="E1340" s="13">
        <v>1427</v>
      </c>
      <c r="F1340" s="13">
        <v>1601</v>
      </c>
      <c r="G1340" s="13">
        <v>1.7390000000000001</v>
      </c>
      <c r="H1340" s="13">
        <f t="shared" si="20"/>
        <v>63.532814716438018</v>
      </c>
    </row>
    <row r="1341" spans="2:8" s="115" customFormat="1">
      <c r="B1341" s="13">
        <v>800</v>
      </c>
      <c r="C1341" s="13">
        <v>1180</v>
      </c>
      <c r="D1341" s="13">
        <v>1.1950000000000001</v>
      </c>
      <c r="E1341" s="13">
        <v>1436</v>
      </c>
      <c r="F1341" s="13">
        <v>1613</v>
      </c>
      <c r="G1341" s="13">
        <v>1.746</v>
      </c>
      <c r="H1341" s="13">
        <f t="shared" si="20"/>
        <v>64.009013202757345</v>
      </c>
    </row>
    <row r="1342" spans="2:8" s="115" customFormat="1">
      <c r="B1342" s="13">
        <v>800</v>
      </c>
      <c r="C1342" s="13">
        <v>1200</v>
      </c>
      <c r="D1342" s="13">
        <v>1.21</v>
      </c>
      <c r="E1342" s="13">
        <v>1445</v>
      </c>
      <c r="F1342" s="13">
        <v>1624</v>
      </c>
      <c r="G1342" s="13">
        <v>1.7529999999999999</v>
      </c>
      <c r="H1342" s="13">
        <f t="shared" si="20"/>
        <v>64.445528481883414</v>
      </c>
    </row>
    <row r="1343" spans="2:8" s="115" customFormat="1">
      <c r="B1343" s="13">
        <v>800</v>
      </c>
      <c r="C1343" s="13">
        <v>1220</v>
      </c>
      <c r="D1343" s="13">
        <v>1.226</v>
      </c>
      <c r="E1343" s="13">
        <v>1454</v>
      </c>
      <c r="F1343" s="13">
        <v>1635</v>
      </c>
      <c r="G1343" s="13">
        <v>1.76</v>
      </c>
      <c r="H1343" s="13">
        <f t="shared" si="20"/>
        <v>64.88204376100947</v>
      </c>
    </row>
    <row r="1344" spans="2:8" s="115" customFormat="1">
      <c r="B1344" s="13">
        <v>800</v>
      </c>
      <c r="C1344" s="13">
        <v>1240</v>
      </c>
      <c r="D1344" s="13">
        <v>1.242</v>
      </c>
      <c r="E1344" s="13">
        <v>1462</v>
      </c>
      <c r="F1344" s="13">
        <v>1646</v>
      </c>
      <c r="G1344" s="13">
        <v>1.766</v>
      </c>
      <c r="H1344" s="13">
        <f t="shared" si="20"/>
        <v>65.318559040135526</v>
      </c>
    </row>
    <row r="1345" spans="2:8" s="115" customFormat="1">
      <c r="B1345" s="13">
        <v>800</v>
      </c>
      <c r="C1345" s="13">
        <v>1260</v>
      </c>
      <c r="D1345" s="13">
        <v>1.258</v>
      </c>
      <c r="E1345" s="13">
        <v>1471</v>
      </c>
      <c r="F1345" s="13">
        <v>1658</v>
      </c>
      <c r="G1345" s="13">
        <v>1.7729999999999999</v>
      </c>
      <c r="H1345" s="13">
        <f t="shared" si="20"/>
        <v>65.794757526454859</v>
      </c>
    </row>
    <row r="1346" spans="2:8" s="115" customFormat="1">
      <c r="B1346" s="13">
        <v>800</v>
      </c>
      <c r="C1346" s="13">
        <v>1280</v>
      </c>
      <c r="D1346" s="13">
        <v>1.274</v>
      </c>
      <c r="E1346" s="13">
        <v>1480</v>
      </c>
      <c r="F1346" s="13">
        <v>1669</v>
      </c>
      <c r="G1346" s="13">
        <v>1.7789999999999999</v>
      </c>
      <c r="H1346" s="13">
        <f t="shared" si="20"/>
        <v>66.231272805580915</v>
      </c>
    </row>
    <row r="1347" spans="2:8" s="115" customFormat="1">
      <c r="B1347" s="13">
        <v>800</v>
      </c>
      <c r="C1347" s="13">
        <v>1300</v>
      </c>
      <c r="D1347" s="13">
        <v>1.29</v>
      </c>
      <c r="E1347" s="13">
        <v>1489</v>
      </c>
      <c r="F1347" s="13">
        <v>1680</v>
      </c>
      <c r="G1347" s="13">
        <v>1.786</v>
      </c>
      <c r="H1347" s="13">
        <f t="shared" si="20"/>
        <v>66.66778808470697</v>
      </c>
    </row>
    <row r="1348" spans="2:8" s="115" customFormat="1">
      <c r="B1348" s="13">
        <v>800</v>
      </c>
      <c r="C1348" s="13">
        <v>1320</v>
      </c>
      <c r="D1348" s="13">
        <v>1.3049999999999999</v>
      </c>
      <c r="E1348" s="13">
        <v>1498</v>
      </c>
      <c r="F1348" s="13">
        <v>1691</v>
      </c>
      <c r="G1348" s="13">
        <v>1.792</v>
      </c>
      <c r="H1348" s="13">
        <f t="shared" si="20"/>
        <v>67.10430336383304</v>
      </c>
    </row>
    <row r="1349" spans="2:8" s="115" customFormat="1">
      <c r="B1349" s="13">
        <v>800</v>
      </c>
      <c r="C1349" s="13">
        <v>1340</v>
      </c>
      <c r="D1349" s="13">
        <v>1.321</v>
      </c>
      <c r="E1349" s="13">
        <v>1507</v>
      </c>
      <c r="F1349" s="13">
        <v>1703</v>
      </c>
      <c r="G1349" s="13">
        <v>1.798</v>
      </c>
      <c r="H1349" s="13">
        <f t="shared" si="20"/>
        <v>67.580501850152373</v>
      </c>
    </row>
    <row r="1350" spans="2:8" s="115" customFormat="1">
      <c r="B1350" s="13">
        <v>800</v>
      </c>
      <c r="C1350" s="13">
        <v>1360</v>
      </c>
      <c r="D1350" s="13">
        <v>1.337</v>
      </c>
      <c r="E1350" s="13">
        <v>1516</v>
      </c>
      <c r="F1350" s="13">
        <v>1714</v>
      </c>
      <c r="G1350" s="13">
        <v>1.8049999999999999</v>
      </c>
      <c r="H1350" s="13">
        <f t="shared" si="20"/>
        <v>68.017017129278429</v>
      </c>
    </row>
    <row r="1351" spans="2:8" s="115" customFormat="1">
      <c r="B1351" s="13">
        <v>800</v>
      </c>
      <c r="C1351" s="13">
        <v>1380</v>
      </c>
      <c r="D1351" s="13">
        <v>1.3520000000000001</v>
      </c>
      <c r="E1351" s="13">
        <v>1525</v>
      </c>
      <c r="F1351" s="13">
        <v>1725</v>
      </c>
      <c r="G1351" s="13">
        <v>1.8109999999999999</v>
      </c>
      <c r="H1351" s="13">
        <f t="shared" si="20"/>
        <v>68.453532408404484</v>
      </c>
    </row>
    <row r="1352" spans="2:8" s="115" customFormat="1">
      <c r="B1352" s="13">
        <v>800</v>
      </c>
      <c r="C1352" s="13">
        <v>1400</v>
      </c>
      <c r="D1352" s="13">
        <v>1.3680000000000001</v>
      </c>
      <c r="E1352" s="13">
        <v>1534</v>
      </c>
      <c r="F1352" s="13">
        <v>1737</v>
      </c>
      <c r="G1352" s="13">
        <v>1.8169999999999999</v>
      </c>
      <c r="H1352" s="13">
        <f t="shared" si="20"/>
        <v>68.929730894723832</v>
      </c>
    </row>
    <row r="1353" spans="2:8" s="115" customFormat="1">
      <c r="B1353" s="13">
        <v>800</v>
      </c>
      <c r="C1353" s="13">
        <v>1420</v>
      </c>
      <c r="D1353" s="13">
        <v>1.383</v>
      </c>
      <c r="E1353" s="13">
        <v>1543</v>
      </c>
      <c r="F1353" s="13">
        <v>1748</v>
      </c>
      <c r="G1353" s="13">
        <v>1.823</v>
      </c>
      <c r="H1353" s="13">
        <f t="shared" si="20"/>
        <v>69.366246173849888</v>
      </c>
    </row>
    <row r="1354" spans="2:8" s="115" customFormat="1">
      <c r="B1354" s="13">
        <v>800</v>
      </c>
      <c r="C1354" s="13">
        <v>1440</v>
      </c>
      <c r="D1354" s="13">
        <v>1.399</v>
      </c>
      <c r="E1354" s="13">
        <v>1552</v>
      </c>
      <c r="F1354" s="13">
        <v>1760</v>
      </c>
      <c r="G1354" s="13">
        <v>1.829</v>
      </c>
      <c r="H1354" s="13">
        <f t="shared" si="20"/>
        <v>69.842444660169221</v>
      </c>
    </row>
    <row r="1355" spans="2:8" s="115" customFormat="1">
      <c r="B1355" s="13">
        <v>800</v>
      </c>
      <c r="C1355" s="13">
        <v>1460</v>
      </c>
      <c r="D1355" s="13">
        <v>1.415</v>
      </c>
      <c r="E1355" s="13">
        <v>1562</v>
      </c>
      <c r="F1355" s="13">
        <v>1771</v>
      </c>
      <c r="G1355" s="13">
        <v>1.835</v>
      </c>
      <c r="H1355" s="13">
        <f t="shared" si="20"/>
        <v>70.278959939295277</v>
      </c>
    </row>
    <row r="1356" spans="2:8" s="115" customFormat="1">
      <c r="B1356" s="13">
        <v>800</v>
      </c>
      <c r="C1356" s="13">
        <v>1480</v>
      </c>
      <c r="D1356" s="13">
        <v>1.43</v>
      </c>
      <c r="E1356" s="13">
        <v>1571</v>
      </c>
      <c r="F1356" s="13">
        <v>1783</v>
      </c>
      <c r="G1356" s="13">
        <v>1.841</v>
      </c>
      <c r="H1356" s="13">
        <f t="shared" si="20"/>
        <v>70.75515842561461</v>
      </c>
    </row>
    <row r="1357" spans="2:8" s="115" customFormat="1">
      <c r="B1357" s="13">
        <v>800</v>
      </c>
      <c r="C1357" s="13">
        <v>1500</v>
      </c>
      <c r="D1357" s="13">
        <v>1.446</v>
      </c>
      <c r="E1357" s="13">
        <v>1580</v>
      </c>
      <c r="F1357" s="13">
        <v>1794</v>
      </c>
      <c r="G1357" s="13">
        <v>1.847</v>
      </c>
      <c r="H1357" s="13">
        <f t="shared" si="20"/>
        <v>71.191673704740666</v>
      </c>
    </row>
    <row r="1358" spans="2:8" s="115" customFormat="1">
      <c r="B1358" s="13">
        <v>900</v>
      </c>
      <c r="C1358" s="13">
        <v>40</v>
      </c>
      <c r="D1358" s="13">
        <v>1.5970000000000002E-2</v>
      </c>
      <c r="E1358" s="13">
        <v>8.0229999999999997</v>
      </c>
      <c r="F1358" s="13">
        <v>10.68</v>
      </c>
      <c r="G1358" s="13">
        <v>1.618E-2</v>
      </c>
      <c r="H1358" s="13">
        <f t="shared" si="20"/>
        <v>0.42381665282420866</v>
      </c>
    </row>
    <row r="1359" spans="2:8" s="115" customFormat="1">
      <c r="B1359" s="13">
        <v>900</v>
      </c>
      <c r="C1359" s="13">
        <v>60</v>
      </c>
      <c r="D1359" s="13">
        <v>1.5990000000000001E-2</v>
      </c>
      <c r="E1359" s="13">
        <v>27.96</v>
      </c>
      <c r="F1359" s="13">
        <v>30.62</v>
      </c>
      <c r="G1359" s="13">
        <v>5.5300000000000002E-2</v>
      </c>
      <c r="H1359" s="13">
        <f t="shared" si="20"/>
        <v>1.2150998042581713</v>
      </c>
    </row>
    <row r="1360" spans="2:8" s="115" customFormat="1">
      <c r="B1360" s="13">
        <v>900</v>
      </c>
      <c r="C1360" s="13">
        <v>80</v>
      </c>
      <c r="D1360" s="13">
        <v>1.6029999999999999E-2</v>
      </c>
      <c r="E1360" s="13">
        <v>47.85</v>
      </c>
      <c r="F1360" s="13">
        <v>50.52</v>
      </c>
      <c r="G1360" s="13">
        <v>9.2880000000000004E-2</v>
      </c>
      <c r="H1360" s="13">
        <f t="shared" si="20"/>
        <v>2.0047956274044028</v>
      </c>
    </row>
    <row r="1361" spans="2:8" s="115" customFormat="1">
      <c r="B1361" s="13">
        <v>900</v>
      </c>
      <c r="C1361" s="13">
        <v>100</v>
      </c>
      <c r="D1361" s="13">
        <v>1.609E-2</v>
      </c>
      <c r="E1361" s="13">
        <v>67.73</v>
      </c>
      <c r="F1361" s="13">
        <v>70.41</v>
      </c>
      <c r="G1361" s="13">
        <v>0.12909999999999999</v>
      </c>
      <c r="H1361" s="13">
        <f t="shared" si="20"/>
        <v>2.7940946184787014</v>
      </c>
    </row>
    <row r="1362" spans="2:8" s="115" customFormat="1">
      <c r="B1362" s="13">
        <v>900</v>
      </c>
      <c r="C1362" s="13">
        <v>120</v>
      </c>
      <c r="D1362" s="13">
        <v>1.6160000000000001E-2</v>
      </c>
      <c r="E1362" s="13">
        <v>87.61</v>
      </c>
      <c r="F1362" s="13">
        <v>90.3</v>
      </c>
      <c r="G1362" s="13">
        <v>0.16400000000000001</v>
      </c>
      <c r="H1362" s="13">
        <f t="shared" si="20"/>
        <v>3.5833936095529997</v>
      </c>
    </row>
    <row r="1363" spans="2:8" s="115" customFormat="1">
      <c r="B1363" s="13">
        <v>900</v>
      </c>
      <c r="C1363" s="13">
        <v>140</v>
      </c>
      <c r="D1363" s="13">
        <v>1.6250000000000001E-2</v>
      </c>
      <c r="E1363" s="13">
        <v>107.5</v>
      </c>
      <c r="F1363" s="13">
        <v>110.2</v>
      </c>
      <c r="G1363" s="13">
        <v>0.19769999999999999</v>
      </c>
      <c r="H1363" s="13">
        <f t="shared" si="20"/>
        <v>4.3730894326992313</v>
      </c>
    </row>
    <row r="1364" spans="2:8" s="115" customFormat="1">
      <c r="B1364" s="13">
        <v>900</v>
      </c>
      <c r="C1364" s="13">
        <v>160</v>
      </c>
      <c r="D1364" s="13">
        <v>1.635E-2</v>
      </c>
      <c r="E1364" s="13">
        <v>127.4</v>
      </c>
      <c r="F1364" s="13">
        <v>130.1</v>
      </c>
      <c r="G1364" s="13">
        <v>0.23039999999999999</v>
      </c>
      <c r="H1364" s="13">
        <f t="shared" si="20"/>
        <v>5.1627852558454626</v>
      </c>
    </row>
    <row r="1365" spans="2:8" s="115" customFormat="1">
      <c r="B1365" s="13">
        <v>900</v>
      </c>
      <c r="C1365" s="13">
        <v>180</v>
      </c>
      <c r="D1365" s="13">
        <v>1.6459999999999999E-2</v>
      </c>
      <c r="E1365" s="13">
        <v>147.4</v>
      </c>
      <c r="F1365" s="13">
        <v>150.1</v>
      </c>
      <c r="G1365" s="13">
        <v>0.26219999999999999</v>
      </c>
      <c r="H1365" s="13">
        <f t="shared" si="20"/>
        <v>5.9564493997110217</v>
      </c>
    </row>
    <row r="1366" spans="2:8" s="115" customFormat="1">
      <c r="B1366" s="13">
        <v>900</v>
      </c>
      <c r="C1366" s="13">
        <v>200</v>
      </c>
      <c r="D1366" s="13">
        <v>1.6590000000000001E-2</v>
      </c>
      <c r="E1366" s="13">
        <v>167.4</v>
      </c>
      <c r="F1366" s="13">
        <v>170.1</v>
      </c>
      <c r="G1366" s="13">
        <v>0.29299999999999998</v>
      </c>
      <c r="H1366" s="13">
        <f t="shared" si="20"/>
        <v>6.7501135435765809</v>
      </c>
    </row>
    <row r="1367" spans="2:8" s="115" customFormat="1">
      <c r="B1367" s="13">
        <v>900</v>
      </c>
      <c r="C1367" s="13">
        <v>220</v>
      </c>
      <c r="D1367" s="13">
        <v>1.6719999999999999E-2</v>
      </c>
      <c r="E1367" s="13">
        <v>187.4</v>
      </c>
      <c r="F1367" s="13">
        <v>190.2</v>
      </c>
      <c r="G1367" s="13">
        <v>0.32290000000000002</v>
      </c>
      <c r="H1367" s="13">
        <f t="shared" si="20"/>
        <v>7.547746008161468</v>
      </c>
    </row>
    <row r="1368" spans="2:8" s="115" customFormat="1">
      <c r="B1368" s="13">
        <v>900</v>
      </c>
      <c r="C1368" s="13">
        <v>240</v>
      </c>
      <c r="D1368" s="13">
        <v>1.687E-2</v>
      </c>
      <c r="E1368" s="13">
        <v>207.5</v>
      </c>
      <c r="F1368" s="13">
        <v>210.3</v>
      </c>
      <c r="G1368" s="13">
        <v>0.35210000000000002</v>
      </c>
      <c r="H1368" s="13">
        <f t="shared" si="20"/>
        <v>8.345378472746356</v>
      </c>
    </row>
    <row r="1369" spans="2:8" s="115" customFormat="1">
      <c r="B1369" s="13">
        <v>900</v>
      </c>
      <c r="C1369" s="13">
        <v>260</v>
      </c>
      <c r="D1369" s="13">
        <v>1.703E-2</v>
      </c>
      <c r="E1369" s="13">
        <v>227.7</v>
      </c>
      <c r="F1369" s="13">
        <v>230.6</v>
      </c>
      <c r="G1369" s="13">
        <v>0.38059999999999999</v>
      </c>
      <c r="H1369" s="13">
        <f t="shared" si="20"/>
        <v>9.1509475787698982</v>
      </c>
    </row>
    <row r="1370" spans="2:8" s="115" customFormat="1">
      <c r="B1370" s="13">
        <v>900</v>
      </c>
      <c r="C1370" s="13">
        <v>280</v>
      </c>
      <c r="D1370" s="13">
        <v>1.72E-2</v>
      </c>
      <c r="E1370" s="13">
        <v>248</v>
      </c>
      <c r="F1370" s="13">
        <v>250.9</v>
      </c>
      <c r="G1370" s="13">
        <v>0.40849999999999997</v>
      </c>
      <c r="H1370" s="13">
        <f t="shared" si="20"/>
        <v>9.9565166847934421</v>
      </c>
    </row>
    <row r="1371" spans="2:8" s="115" customFormat="1">
      <c r="B1371" s="13">
        <v>900</v>
      </c>
      <c r="C1371" s="13">
        <v>300</v>
      </c>
      <c r="D1371" s="13">
        <v>1.7389999999999999E-2</v>
      </c>
      <c r="E1371" s="13">
        <v>268.39999999999998</v>
      </c>
      <c r="F1371" s="13">
        <v>271.3</v>
      </c>
      <c r="G1371" s="13">
        <v>0.43569999999999998</v>
      </c>
      <c r="H1371" s="13">
        <f t="shared" si="20"/>
        <v>10.766054111536313</v>
      </c>
    </row>
    <row r="1372" spans="2:8" s="115" customFormat="1">
      <c r="B1372" s="13">
        <v>900</v>
      </c>
      <c r="C1372" s="13">
        <v>320</v>
      </c>
      <c r="D1372" s="13">
        <v>1.7590000000000001E-2</v>
      </c>
      <c r="E1372" s="13">
        <v>288.89999999999998</v>
      </c>
      <c r="F1372" s="13">
        <v>291.89999999999998</v>
      </c>
      <c r="G1372" s="13">
        <v>0.46239999999999998</v>
      </c>
      <c r="H1372" s="13">
        <f t="shared" si="20"/>
        <v>11.583528179717836</v>
      </c>
    </row>
    <row r="1373" spans="2:8" s="115" customFormat="1">
      <c r="B1373" s="13">
        <v>900</v>
      </c>
      <c r="C1373" s="13">
        <v>340</v>
      </c>
      <c r="D1373" s="13">
        <v>1.78E-2</v>
      </c>
      <c r="E1373" s="13">
        <v>309.60000000000002</v>
      </c>
      <c r="F1373" s="13">
        <v>312.60000000000002</v>
      </c>
      <c r="G1373" s="13">
        <v>0.48870000000000002</v>
      </c>
      <c r="H1373" s="13">
        <f t="shared" si="20"/>
        <v>12.404970568618692</v>
      </c>
    </row>
    <row r="1374" spans="2:8" s="115" customFormat="1">
      <c r="B1374" s="13">
        <v>900</v>
      </c>
      <c r="C1374" s="13">
        <v>360</v>
      </c>
      <c r="D1374" s="13">
        <v>1.804E-2</v>
      </c>
      <c r="E1374" s="13">
        <v>330.4</v>
      </c>
      <c r="F1374" s="13">
        <v>333.4</v>
      </c>
      <c r="G1374" s="13">
        <v>0.51449999999999996</v>
      </c>
      <c r="H1374" s="13">
        <f t="shared" si="20"/>
        <v>13.230381278238871</v>
      </c>
    </row>
    <row r="1375" spans="2:8" s="115" customFormat="1">
      <c r="B1375" s="13">
        <v>900</v>
      </c>
      <c r="C1375" s="13">
        <v>380</v>
      </c>
      <c r="D1375" s="13">
        <v>1.8290000000000001E-2</v>
      </c>
      <c r="E1375" s="13">
        <v>351.5</v>
      </c>
      <c r="F1375" s="13">
        <v>354.5</v>
      </c>
      <c r="G1375" s="13">
        <v>0.53990000000000005</v>
      </c>
      <c r="H1375" s="13">
        <f t="shared" si="20"/>
        <v>14.067696950017037</v>
      </c>
    </row>
    <row r="1376" spans="2:8" s="115" customFormat="1">
      <c r="B1376" s="13">
        <v>900</v>
      </c>
      <c r="C1376" s="13">
        <v>400</v>
      </c>
      <c r="D1376" s="13">
        <v>1.856E-2</v>
      </c>
      <c r="E1376" s="13">
        <v>372.8</v>
      </c>
      <c r="F1376" s="13">
        <v>375.8</v>
      </c>
      <c r="G1376" s="13">
        <v>0.56499999999999995</v>
      </c>
      <c r="H1376" s="13">
        <f t="shared" si="20"/>
        <v>14.912949263233859</v>
      </c>
    </row>
    <row r="1377" spans="2:8" s="115" customFormat="1">
      <c r="B1377" s="13">
        <v>900</v>
      </c>
      <c r="C1377" s="13">
        <v>420</v>
      </c>
      <c r="D1377" s="13">
        <v>1.8859999999999998E-2</v>
      </c>
      <c r="E1377" s="13">
        <v>394.3</v>
      </c>
      <c r="F1377" s="13">
        <v>397.4</v>
      </c>
      <c r="G1377" s="13">
        <v>0.58979999999999999</v>
      </c>
      <c r="H1377" s="13">
        <f t="shared" si="20"/>
        <v>15.770106538608662</v>
      </c>
    </row>
    <row r="1378" spans="2:8" s="115" customFormat="1">
      <c r="B1378" s="13">
        <v>900</v>
      </c>
      <c r="C1378" s="13">
        <v>440</v>
      </c>
      <c r="D1378" s="13">
        <v>1.9189999999999999E-2</v>
      </c>
      <c r="E1378" s="13">
        <v>416.2</v>
      </c>
      <c r="F1378" s="13">
        <v>419.4</v>
      </c>
      <c r="G1378" s="13">
        <v>0.61439999999999995</v>
      </c>
      <c r="H1378" s="13">
        <f t="shared" si="20"/>
        <v>16.643137096860777</v>
      </c>
    </row>
    <row r="1379" spans="2:8" s="115" customFormat="1">
      <c r="B1379" s="13">
        <v>900</v>
      </c>
      <c r="C1379" s="13">
        <v>460</v>
      </c>
      <c r="D1379" s="13">
        <v>1.9550000000000001E-2</v>
      </c>
      <c r="E1379" s="13">
        <v>438.4</v>
      </c>
      <c r="F1379" s="13">
        <v>441.7</v>
      </c>
      <c r="G1379" s="13">
        <v>0.63890000000000002</v>
      </c>
      <c r="H1379" s="13">
        <f t="shared" si="20"/>
        <v>17.528072617270876</v>
      </c>
    </row>
    <row r="1380" spans="2:8" s="115" customFormat="1">
      <c r="B1380" s="13">
        <v>900</v>
      </c>
      <c r="C1380" s="13">
        <v>480</v>
      </c>
      <c r="D1380" s="13">
        <v>1.9939999999999999E-2</v>
      </c>
      <c r="E1380" s="13">
        <v>461.1</v>
      </c>
      <c r="F1380" s="13">
        <v>464.4</v>
      </c>
      <c r="G1380" s="13">
        <v>0.66339999999999999</v>
      </c>
      <c r="H1380" s="13">
        <f t="shared" si="20"/>
        <v>18.428881420558287</v>
      </c>
    </row>
    <row r="1381" spans="2:8" s="115" customFormat="1">
      <c r="B1381" s="13">
        <v>900</v>
      </c>
      <c r="C1381" s="13">
        <v>500</v>
      </c>
      <c r="D1381" s="13">
        <v>2.0389999999999998E-2</v>
      </c>
      <c r="E1381" s="13">
        <v>484.4</v>
      </c>
      <c r="F1381" s="13">
        <v>487.8</v>
      </c>
      <c r="G1381" s="13">
        <v>0.68799999999999994</v>
      </c>
      <c r="H1381" s="13">
        <f t="shared" si="20"/>
        <v>19.357468468880992</v>
      </c>
    </row>
    <row r="1382" spans="2:8" s="115" customFormat="1">
      <c r="B1382" s="13">
        <v>900</v>
      </c>
      <c r="C1382" s="13">
        <v>520</v>
      </c>
      <c r="D1382" s="13">
        <v>2.0899999999999998E-2</v>
      </c>
      <c r="E1382" s="13">
        <v>508.4</v>
      </c>
      <c r="F1382" s="13">
        <v>511.8</v>
      </c>
      <c r="G1382" s="13">
        <v>0.71279999999999999</v>
      </c>
      <c r="H1382" s="13">
        <f t="shared" si="20"/>
        <v>20.309865441519662</v>
      </c>
    </row>
    <row r="1383" spans="2:8" s="115" customFormat="1">
      <c r="B1383" s="13">
        <v>900</v>
      </c>
      <c r="C1383" s="13">
        <v>540</v>
      </c>
      <c r="D1383" s="13">
        <v>0.51300000000000001</v>
      </c>
      <c r="E1383" s="13">
        <v>1120</v>
      </c>
      <c r="F1383" s="13">
        <v>1205</v>
      </c>
      <c r="G1383" s="13">
        <v>1.4119999999999999</v>
      </c>
      <c r="H1383" s="13">
        <f t="shared" si="20"/>
        <v>47.818264667899946</v>
      </c>
    </row>
    <row r="1384" spans="2:8" s="115" customFormat="1">
      <c r="B1384" s="13">
        <v>900</v>
      </c>
      <c r="C1384" s="13">
        <v>560</v>
      </c>
      <c r="D1384" s="13">
        <v>0.54010000000000002</v>
      </c>
      <c r="E1384" s="13">
        <v>1136</v>
      </c>
      <c r="F1384" s="13">
        <v>1226</v>
      </c>
      <c r="G1384" s="13">
        <v>1.4319999999999999</v>
      </c>
      <c r="H1384" s="13">
        <f t="shared" si="20"/>
        <v>48.651612018958787</v>
      </c>
    </row>
    <row r="1385" spans="2:8" s="115" customFormat="1">
      <c r="B1385" s="13">
        <v>900</v>
      </c>
      <c r="C1385" s="13">
        <v>580</v>
      </c>
      <c r="D1385" s="13">
        <v>0.56469999999999998</v>
      </c>
      <c r="E1385" s="13">
        <v>1150</v>
      </c>
      <c r="F1385" s="13">
        <v>1244</v>
      </c>
      <c r="G1385" s="13">
        <v>1.45</v>
      </c>
      <c r="H1385" s="13">
        <f t="shared" si="20"/>
        <v>49.365909748437787</v>
      </c>
    </row>
    <row r="1386" spans="2:8" s="115" customFormat="1">
      <c r="B1386" s="13">
        <v>900</v>
      </c>
      <c r="C1386" s="13">
        <v>600</v>
      </c>
      <c r="D1386" s="13">
        <v>0.58750000000000002</v>
      </c>
      <c r="E1386" s="13">
        <v>1163</v>
      </c>
      <c r="F1386" s="13">
        <v>1260</v>
      </c>
      <c r="G1386" s="13">
        <v>1.466</v>
      </c>
      <c r="H1386" s="13">
        <f t="shared" si="20"/>
        <v>50.000841063530238</v>
      </c>
    </row>
    <row r="1387" spans="2:8" s="115" customFormat="1">
      <c r="B1387" s="13">
        <v>900</v>
      </c>
      <c r="C1387" s="13">
        <v>620</v>
      </c>
      <c r="D1387" s="13">
        <v>0.60899999999999999</v>
      </c>
      <c r="E1387" s="13">
        <v>1175</v>
      </c>
      <c r="F1387" s="13">
        <v>1276</v>
      </c>
      <c r="G1387" s="13">
        <v>1.48</v>
      </c>
      <c r="H1387" s="13">
        <f t="shared" si="20"/>
        <v>50.635772378622676</v>
      </c>
    </row>
    <row r="1388" spans="2:8" s="115" customFormat="1">
      <c r="B1388" s="13">
        <v>900</v>
      </c>
      <c r="C1388" s="13">
        <v>640</v>
      </c>
      <c r="D1388" s="13">
        <v>0.62949999999999995</v>
      </c>
      <c r="E1388" s="13">
        <v>1186</v>
      </c>
      <c r="F1388" s="13">
        <v>1291</v>
      </c>
      <c r="G1388" s="13">
        <v>1.494</v>
      </c>
      <c r="H1388" s="13">
        <f t="shared" si="20"/>
        <v>51.231020486521849</v>
      </c>
    </row>
    <row r="1389" spans="2:8" s="115" customFormat="1">
      <c r="B1389" s="13">
        <v>900</v>
      </c>
      <c r="C1389" s="13">
        <v>660</v>
      </c>
      <c r="D1389" s="13">
        <v>0.64910000000000001</v>
      </c>
      <c r="E1389" s="13">
        <v>1197</v>
      </c>
      <c r="F1389" s="13">
        <v>1305</v>
      </c>
      <c r="G1389" s="13">
        <v>1.5069999999999999</v>
      </c>
      <c r="H1389" s="13">
        <f t="shared" si="20"/>
        <v>51.786585387227746</v>
      </c>
    </row>
    <row r="1390" spans="2:8" s="115" customFormat="1">
      <c r="B1390" s="13">
        <v>900</v>
      </c>
      <c r="C1390" s="13">
        <v>680</v>
      </c>
      <c r="D1390" s="13">
        <v>0.66800000000000004</v>
      </c>
      <c r="E1390" s="13">
        <v>1207</v>
      </c>
      <c r="F1390" s="13">
        <v>1319</v>
      </c>
      <c r="G1390" s="13">
        <v>1.5189999999999999</v>
      </c>
      <c r="H1390" s="13">
        <f t="shared" si="20"/>
        <v>52.342150287933634</v>
      </c>
    </row>
    <row r="1391" spans="2:8" s="115" customFormat="1">
      <c r="B1391" s="13">
        <v>900</v>
      </c>
      <c r="C1391" s="13">
        <v>700</v>
      </c>
      <c r="D1391" s="13">
        <v>0.68640000000000001</v>
      </c>
      <c r="E1391" s="13">
        <v>1217</v>
      </c>
      <c r="F1391" s="13">
        <v>1332</v>
      </c>
      <c r="G1391" s="13">
        <v>1.53</v>
      </c>
      <c r="H1391" s="13">
        <f t="shared" si="20"/>
        <v>52.858031981446246</v>
      </c>
    </row>
    <row r="1392" spans="2:8" s="115" customFormat="1">
      <c r="B1392" s="13">
        <v>900</v>
      </c>
      <c r="C1392" s="13">
        <v>720</v>
      </c>
      <c r="D1392" s="13">
        <v>0.70420000000000005</v>
      </c>
      <c r="E1392" s="13">
        <v>1227</v>
      </c>
      <c r="F1392" s="13">
        <v>1345</v>
      </c>
      <c r="G1392" s="13">
        <v>1.5409999999999999</v>
      </c>
      <c r="H1392" s="13">
        <f t="shared" si="20"/>
        <v>53.373913674958857</v>
      </c>
    </row>
    <row r="1393" spans="2:8" s="115" customFormat="1">
      <c r="B1393" s="13">
        <v>900</v>
      </c>
      <c r="C1393" s="13">
        <v>740</v>
      </c>
      <c r="D1393" s="13">
        <v>0.72170000000000001</v>
      </c>
      <c r="E1393" s="13">
        <v>1237</v>
      </c>
      <c r="F1393" s="13">
        <v>1357</v>
      </c>
      <c r="G1393" s="13">
        <v>1.552</v>
      </c>
      <c r="H1393" s="13">
        <f t="shared" si="20"/>
        <v>53.85011216127819</v>
      </c>
    </row>
    <row r="1394" spans="2:8" s="115" customFormat="1">
      <c r="B1394" s="13">
        <v>900</v>
      </c>
      <c r="C1394" s="13">
        <v>760</v>
      </c>
      <c r="D1394" s="13">
        <v>0.73880000000000001</v>
      </c>
      <c r="E1394" s="13">
        <v>1247</v>
      </c>
      <c r="F1394" s="13">
        <v>1370</v>
      </c>
      <c r="G1394" s="13">
        <v>1.5620000000000001</v>
      </c>
      <c r="H1394" s="13">
        <f t="shared" si="20"/>
        <v>54.365993854790808</v>
      </c>
    </row>
    <row r="1395" spans="2:8" s="115" customFormat="1">
      <c r="B1395" s="13">
        <v>900</v>
      </c>
      <c r="C1395" s="13">
        <v>780</v>
      </c>
      <c r="D1395" s="13">
        <v>0.75560000000000005</v>
      </c>
      <c r="E1395" s="13">
        <v>1256</v>
      </c>
      <c r="F1395" s="13">
        <v>1382</v>
      </c>
      <c r="G1395" s="13">
        <v>1.5720000000000001</v>
      </c>
      <c r="H1395" s="13">
        <f t="shared" si="20"/>
        <v>54.842192341110142</v>
      </c>
    </row>
    <row r="1396" spans="2:8" s="115" customFormat="1">
      <c r="B1396" s="13">
        <v>900</v>
      </c>
      <c r="C1396" s="13">
        <v>800</v>
      </c>
      <c r="D1396" s="13">
        <v>0.77210000000000001</v>
      </c>
      <c r="E1396" s="13">
        <v>1265</v>
      </c>
      <c r="F1396" s="13">
        <v>1394</v>
      </c>
      <c r="G1396" s="13">
        <v>1.5820000000000001</v>
      </c>
      <c r="H1396" s="13">
        <f t="shared" si="20"/>
        <v>55.318390827429475</v>
      </c>
    </row>
    <row r="1397" spans="2:8" s="115" customFormat="1">
      <c r="B1397" s="13">
        <v>900</v>
      </c>
      <c r="C1397" s="13">
        <v>820</v>
      </c>
      <c r="D1397" s="13">
        <v>0.78839999999999999</v>
      </c>
      <c r="E1397" s="13">
        <v>1274</v>
      </c>
      <c r="F1397" s="13">
        <v>1406</v>
      </c>
      <c r="G1397" s="13">
        <v>1.591</v>
      </c>
      <c r="H1397" s="13">
        <f t="shared" si="20"/>
        <v>55.794589313748816</v>
      </c>
    </row>
    <row r="1398" spans="2:8" s="115" customFormat="1">
      <c r="B1398" s="13">
        <v>900</v>
      </c>
      <c r="C1398" s="13">
        <v>840</v>
      </c>
      <c r="D1398" s="13">
        <v>0.80449999999999999</v>
      </c>
      <c r="E1398" s="13">
        <v>1284</v>
      </c>
      <c r="F1398" s="13">
        <v>1417</v>
      </c>
      <c r="G1398" s="13">
        <v>1.6</v>
      </c>
      <c r="H1398" s="13">
        <f t="shared" si="20"/>
        <v>56.231104592874878</v>
      </c>
    </row>
    <row r="1399" spans="2:8" s="115" customFormat="1">
      <c r="B1399" s="13">
        <v>900</v>
      </c>
      <c r="C1399" s="13">
        <v>860</v>
      </c>
      <c r="D1399" s="13">
        <v>0.82040000000000002</v>
      </c>
      <c r="E1399" s="13">
        <v>1293</v>
      </c>
      <c r="F1399" s="13">
        <v>1429</v>
      </c>
      <c r="G1399" s="13">
        <v>1.609</v>
      </c>
      <c r="H1399" s="13">
        <f t="shared" si="20"/>
        <v>56.707303079194212</v>
      </c>
    </row>
    <row r="1400" spans="2:8" s="115" customFormat="1">
      <c r="B1400" s="13">
        <v>900</v>
      </c>
      <c r="C1400" s="13">
        <v>880</v>
      </c>
      <c r="D1400" s="13">
        <v>0.83609999999999995</v>
      </c>
      <c r="E1400" s="13">
        <v>1302</v>
      </c>
      <c r="F1400" s="13">
        <v>1441</v>
      </c>
      <c r="G1400" s="13">
        <v>1.6180000000000001</v>
      </c>
      <c r="H1400" s="13">
        <f t="shared" si="20"/>
        <v>57.183501565513545</v>
      </c>
    </row>
    <row r="1401" spans="2:8" s="115" customFormat="1">
      <c r="B1401" s="13">
        <v>900</v>
      </c>
      <c r="C1401" s="13">
        <v>900</v>
      </c>
      <c r="D1401" s="13">
        <v>0.85160000000000002</v>
      </c>
      <c r="E1401" s="13">
        <v>1310</v>
      </c>
      <c r="F1401" s="13">
        <v>1452</v>
      </c>
      <c r="G1401" s="13">
        <v>1.6259999999999999</v>
      </c>
      <c r="H1401" s="13">
        <f t="shared" ref="H1401:H1464" si="21">F1401/$E$22*18</f>
        <v>57.620016844639601</v>
      </c>
    </row>
    <row r="1402" spans="2:8" s="115" customFormat="1">
      <c r="B1402" s="13">
        <v>900</v>
      </c>
      <c r="C1402" s="13">
        <v>920</v>
      </c>
      <c r="D1402" s="13">
        <v>0.86699999999999999</v>
      </c>
      <c r="E1402" s="13">
        <v>1319</v>
      </c>
      <c r="F1402" s="13">
        <v>1464</v>
      </c>
      <c r="G1402" s="13">
        <v>1.635</v>
      </c>
      <c r="H1402" s="13">
        <f t="shared" si="21"/>
        <v>58.096215330958934</v>
      </c>
    </row>
    <row r="1403" spans="2:8" s="115" customFormat="1">
      <c r="B1403" s="13">
        <v>900</v>
      </c>
      <c r="C1403" s="13">
        <v>940</v>
      </c>
      <c r="D1403" s="13">
        <v>0.88229999999999997</v>
      </c>
      <c r="E1403" s="13">
        <v>1328</v>
      </c>
      <c r="F1403" s="13">
        <v>1475</v>
      </c>
      <c r="G1403" s="13">
        <v>1.643</v>
      </c>
      <c r="H1403" s="13">
        <f t="shared" si="21"/>
        <v>58.532730610084997</v>
      </c>
    </row>
    <row r="1404" spans="2:8" s="115" customFormat="1">
      <c r="B1404" s="13">
        <v>900</v>
      </c>
      <c r="C1404" s="13">
        <v>960</v>
      </c>
      <c r="D1404" s="13">
        <v>0.89749999999999996</v>
      </c>
      <c r="E1404" s="13">
        <v>1337</v>
      </c>
      <c r="F1404" s="13">
        <v>1487</v>
      </c>
      <c r="G1404" s="13">
        <v>1.651</v>
      </c>
      <c r="H1404" s="13">
        <f t="shared" si="21"/>
        <v>59.008929096404337</v>
      </c>
    </row>
    <row r="1405" spans="2:8" s="115" customFormat="1">
      <c r="B1405" s="13">
        <v>900</v>
      </c>
      <c r="C1405" s="13">
        <v>980</v>
      </c>
      <c r="D1405" s="13">
        <v>0.91259999999999997</v>
      </c>
      <c r="E1405" s="13">
        <v>1346</v>
      </c>
      <c r="F1405" s="13">
        <v>1498</v>
      </c>
      <c r="G1405" s="13">
        <v>1.659</v>
      </c>
      <c r="H1405" s="13">
        <f t="shared" si="21"/>
        <v>59.445444375530386</v>
      </c>
    </row>
    <row r="1406" spans="2:8" s="115" customFormat="1">
      <c r="B1406" s="13">
        <v>900</v>
      </c>
      <c r="C1406" s="13">
        <v>1000</v>
      </c>
      <c r="D1406" s="13">
        <v>0.92749999999999999</v>
      </c>
      <c r="E1406" s="13">
        <v>1355</v>
      </c>
      <c r="F1406" s="13">
        <v>1509</v>
      </c>
      <c r="G1406" s="13">
        <v>1.667</v>
      </c>
      <c r="H1406" s="13">
        <f t="shared" si="21"/>
        <v>59.881959654656441</v>
      </c>
    </row>
    <row r="1407" spans="2:8" s="115" customFormat="1">
      <c r="B1407" s="13">
        <v>900</v>
      </c>
      <c r="C1407" s="13">
        <v>1020</v>
      </c>
      <c r="D1407" s="13">
        <v>0.94240000000000002</v>
      </c>
      <c r="E1407" s="13">
        <v>1364</v>
      </c>
      <c r="F1407" s="13">
        <v>1520</v>
      </c>
      <c r="G1407" s="13">
        <v>1.6739999999999999</v>
      </c>
      <c r="H1407" s="13">
        <f t="shared" si="21"/>
        <v>60.318474933782504</v>
      </c>
    </row>
    <row r="1408" spans="2:8" s="115" customFormat="1">
      <c r="B1408" s="13">
        <v>900</v>
      </c>
      <c r="C1408" s="13">
        <v>1040</v>
      </c>
      <c r="D1408" s="13">
        <v>0.95720000000000005</v>
      </c>
      <c r="E1408" s="13">
        <v>1372</v>
      </c>
      <c r="F1408" s="13">
        <v>1532</v>
      </c>
      <c r="G1408" s="13">
        <v>1.6819999999999999</v>
      </c>
      <c r="H1408" s="13">
        <f t="shared" si="21"/>
        <v>60.794673420101844</v>
      </c>
    </row>
    <row r="1409" spans="2:8" s="115" customFormat="1">
      <c r="B1409" s="13">
        <v>900</v>
      </c>
      <c r="C1409" s="13">
        <v>1060</v>
      </c>
      <c r="D1409" s="13">
        <v>0.97189999999999999</v>
      </c>
      <c r="E1409" s="13">
        <v>1381</v>
      </c>
      <c r="F1409" s="13">
        <v>1543</v>
      </c>
      <c r="G1409" s="13">
        <v>1.6890000000000001</v>
      </c>
      <c r="H1409" s="13">
        <f t="shared" si="21"/>
        <v>61.2311886992279</v>
      </c>
    </row>
    <row r="1410" spans="2:8" s="115" customFormat="1">
      <c r="B1410" s="13">
        <v>900</v>
      </c>
      <c r="C1410" s="13">
        <v>1080</v>
      </c>
      <c r="D1410" s="13">
        <v>0.98650000000000004</v>
      </c>
      <c r="E1410" s="13">
        <v>1390</v>
      </c>
      <c r="F1410" s="13">
        <v>1554</v>
      </c>
      <c r="G1410" s="13">
        <v>1.6970000000000001</v>
      </c>
      <c r="H1410" s="13">
        <f t="shared" si="21"/>
        <v>61.667703978353948</v>
      </c>
    </row>
    <row r="1411" spans="2:8" s="115" customFormat="1">
      <c r="B1411" s="13">
        <v>900</v>
      </c>
      <c r="C1411" s="13">
        <v>1100</v>
      </c>
      <c r="D1411" s="13">
        <v>1.0009999999999999</v>
      </c>
      <c r="E1411" s="13">
        <v>1399</v>
      </c>
      <c r="F1411" s="13">
        <v>1566</v>
      </c>
      <c r="G1411" s="13">
        <v>1.704</v>
      </c>
      <c r="H1411" s="13">
        <f t="shared" si="21"/>
        <v>62.143902464673289</v>
      </c>
    </row>
    <row r="1412" spans="2:8" s="115" customFormat="1">
      <c r="B1412" s="13">
        <v>900</v>
      </c>
      <c r="C1412" s="13">
        <v>1120</v>
      </c>
      <c r="D1412" s="13">
        <v>1.016</v>
      </c>
      <c r="E1412" s="13">
        <v>1408</v>
      </c>
      <c r="F1412" s="13">
        <v>1577</v>
      </c>
      <c r="G1412" s="13">
        <v>1.7110000000000001</v>
      </c>
      <c r="H1412" s="13">
        <f t="shared" si="21"/>
        <v>62.580417743799352</v>
      </c>
    </row>
    <row r="1413" spans="2:8" s="115" customFormat="1">
      <c r="B1413" s="13">
        <v>900</v>
      </c>
      <c r="C1413" s="13">
        <v>1140</v>
      </c>
      <c r="D1413" s="13">
        <v>1.03</v>
      </c>
      <c r="E1413" s="13">
        <v>1416</v>
      </c>
      <c r="F1413" s="13">
        <v>1588</v>
      </c>
      <c r="G1413" s="13">
        <v>1.718</v>
      </c>
      <c r="H1413" s="13">
        <f t="shared" si="21"/>
        <v>63.016933022925407</v>
      </c>
    </row>
    <row r="1414" spans="2:8" s="115" customFormat="1">
      <c r="B1414" s="13">
        <v>900</v>
      </c>
      <c r="C1414" s="13">
        <v>1160</v>
      </c>
      <c r="D1414" s="13">
        <v>1.044</v>
      </c>
      <c r="E1414" s="13">
        <v>1425</v>
      </c>
      <c r="F1414" s="13">
        <v>1599</v>
      </c>
      <c r="G1414" s="13">
        <v>1.7250000000000001</v>
      </c>
      <c r="H1414" s="13">
        <f t="shared" si="21"/>
        <v>63.453448302051456</v>
      </c>
    </row>
    <row r="1415" spans="2:8" s="115" customFormat="1">
      <c r="B1415" s="13">
        <v>900</v>
      </c>
      <c r="C1415" s="13">
        <v>1180</v>
      </c>
      <c r="D1415" s="13">
        <v>1.0589999999999999</v>
      </c>
      <c r="E1415" s="13">
        <v>1434</v>
      </c>
      <c r="F1415" s="13">
        <v>1611</v>
      </c>
      <c r="G1415" s="13">
        <v>1.732</v>
      </c>
      <c r="H1415" s="13">
        <f t="shared" si="21"/>
        <v>63.929646788370803</v>
      </c>
    </row>
    <row r="1416" spans="2:8" s="115" customFormat="1">
      <c r="B1416" s="13">
        <v>900</v>
      </c>
      <c r="C1416" s="13">
        <v>1200</v>
      </c>
      <c r="D1416" s="13">
        <v>1.073</v>
      </c>
      <c r="E1416" s="13">
        <v>1443</v>
      </c>
      <c r="F1416" s="13">
        <v>1622</v>
      </c>
      <c r="G1416" s="13">
        <v>1.7390000000000001</v>
      </c>
      <c r="H1416" s="13">
        <f t="shared" si="21"/>
        <v>64.366162067496859</v>
      </c>
    </row>
    <row r="1417" spans="2:8" s="460" customFormat="1" ht="23.1" customHeight="1">
      <c r="B1417" s="13">
        <v>900</v>
      </c>
      <c r="C1417" s="13">
        <v>1220</v>
      </c>
      <c r="D1417" s="13">
        <v>1.087</v>
      </c>
      <c r="E1417" s="13">
        <v>1452</v>
      </c>
      <c r="F1417" s="13">
        <v>1633</v>
      </c>
      <c r="G1417" s="13">
        <v>1.746</v>
      </c>
      <c r="H1417" s="13">
        <f t="shared" si="21"/>
        <v>64.802677346622914</v>
      </c>
    </row>
    <row r="1418" spans="2:8" s="460" customFormat="1">
      <c r="B1418" s="13">
        <v>900</v>
      </c>
      <c r="C1418" s="13">
        <v>1240</v>
      </c>
      <c r="D1418" s="13">
        <v>1.1020000000000001</v>
      </c>
      <c r="E1418" s="13">
        <v>1461</v>
      </c>
      <c r="F1418" s="13">
        <v>1644</v>
      </c>
      <c r="G1418" s="13">
        <v>1.752</v>
      </c>
      <c r="H1418" s="13">
        <f t="shared" si="21"/>
        <v>65.23919262574897</v>
      </c>
    </row>
    <row r="1419" spans="2:8" s="460" customFormat="1">
      <c r="B1419" s="13">
        <v>900</v>
      </c>
      <c r="C1419" s="13">
        <v>1260</v>
      </c>
      <c r="D1419" s="13">
        <v>1.1160000000000001</v>
      </c>
      <c r="E1419" s="13">
        <v>1470</v>
      </c>
      <c r="F1419" s="13">
        <v>1656</v>
      </c>
      <c r="G1419" s="13">
        <v>1.7589999999999999</v>
      </c>
      <c r="H1419" s="13">
        <f t="shared" si="21"/>
        <v>65.715391112068303</v>
      </c>
    </row>
    <row r="1420" spans="2:8" s="460" customFormat="1">
      <c r="B1420" s="13">
        <v>900</v>
      </c>
      <c r="C1420" s="13">
        <v>1280</v>
      </c>
      <c r="D1420" s="13">
        <v>1.1299999999999999</v>
      </c>
      <c r="E1420" s="13">
        <v>1479</v>
      </c>
      <c r="F1420" s="13">
        <v>1667</v>
      </c>
      <c r="G1420" s="13">
        <v>1.766</v>
      </c>
      <c r="H1420" s="13">
        <f t="shared" si="21"/>
        <v>66.151906391194373</v>
      </c>
    </row>
    <row r="1421" spans="2:8" s="460" customFormat="1">
      <c r="B1421" s="13">
        <v>900</v>
      </c>
      <c r="C1421" s="13">
        <v>1300</v>
      </c>
      <c r="D1421" s="13">
        <v>1.1439999999999999</v>
      </c>
      <c r="E1421" s="13">
        <v>1488</v>
      </c>
      <c r="F1421" s="13">
        <v>1678</v>
      </c>
      <c r="G1421" s="13">
        <v>1.772</v>
      </c>
      <c r="H1421" s="13">
        <f t="shared" si="21"/>
        <v>66.588421670320429</v>
      </c>
    </row>
    <row r="1422" spans="2:8" s="460" customFormat="1">
      <c r="B1422" s="13">
        <v>900</v>
      </c>
      <c r="C1422" s="13">
        <v>1320</v>
      </c>
      <c r="D1422" s="13">
        <v>1.1579999999999999</v>
      </c>
      <c r="E1422" s="13">
        <v>1497</v>
      </c>
      <c r="F1422" s="13">
        <v>1690</v>
      </c>
      <c r="G1422" s="13">
        <v>1.778</v>
      </c>
      <c r="H1422" s="13">
        <f t="shared" si="21"/>
        <v>67.064620156639762</v>
      </c>
    </row>
    <row r="1423" spans="2:8" s="460" customFormat="1">
      <c r="B1423" s="13">
        <v>900</v>
      </c>
      <c r="C1423" s="13">
        <v>1340</v>
      </c>
      <c r="D1423" s="13">
        <v>1.1719999999999999</v>
      </c>
      <c r="E1423" s="13">
        <v>1506</v>
      </c>
      <c r="F1423" s="13">
        <v>1701</v>
      </c>
      <c r="G1423" s="13">
        <v>1.7849999999999999</v>
      </c>
      <c r="H1423" s="13">
        <f t="shared" si="21"/>
        <v>67.501135435765818</v>
      </c>
    </row>
    <row r="1424" spans="2:8" s="460" customFormat="1">
      <c r="B1424" s="13">
        <v>900</v>
      </c>
      <c r="C1424" s="13">
        <v>1360</v>
      </c>
      <c r="D1424" s="13">
        <v>1.1859999999999999</v>
      </c>
      <c r="E1424" s="13">
        <v>1515</v>
      </c>
      <c r="F1424" s="13">
        <v>1712</v>
      </c>
      <c r="G1424" s="13">
        <v>1.7909999999999999</v>
      </c>
      <c r="H1424" s="13">
        <f t="shared" si="21"/>
        <v>67.937650714891873</v>
      </c>
    </row>
    <row r="1425" spans="2:8" s="460" customFormat="1">
      <c r="B1425" s="13">
        <v>900</v>
      </c>
      <c r="C1425" s="13">
        <v>1380</v>
      </c>
      <c r="D1425" s="13">
        <v>1.2</v>
      </c>
      <c r="E1425" s="13">
        <v>1524</v>
      </c>
      <c r="F1425" s="13">
        <v>1724</v>
      </c>
      <c r="G1425" s="13">
        <v>1.7969999999999999</v>
      </c>
      <c r="H1425" s="13">
        <f t="shared" si="21"/>
        <v>68.413849201211207</v>
      </c>
    </row>
    <row r="1426" spans="2:8" s="460" customFormat="1">
      <c r="B1426" s="13">
        <v>900</v>
      </c>
      <c r="C1426" s="13">
        <v>1400</v>
      </c>
      <c r="D1426" s="13">
        <v>1.214</v>
      </c>
      <c r="E1426" s="13">
        <v>1533</v>
      </c>
      <c r="F1426" s="13">
        <v>1735</v>
      </c>
      <c r="G1426" s="13">
        <v>1.8029999999999999</v>
      </c>
      <c r="H1426" s="13">
        <f t="shared" si="21"/>
        <v>68.850364480337262</v>
      </c>
    </row>
    <row r="1427" spans="2:8" s="460" customFormat="1">
      <c r="B1427" s="13">
        <v>900</v>
      </c>
      <c r="C1427" s="13">
        <v>1420</v>
      </c>
      <c r="D1427" s="13">
        <v>1.228</v>
      </c>
      <c r="E1427" s="13">
        <v>1542</v>
      </c>
      <c r="F1427" s="13">
        <v>1747</v>
      </c>
      <c r="G1427" s="13">
        <v>1.81</v>
      </c>
      <c r="H1427" s="13">
        <f t="shared" si="21"/>
        <v>69.326562966656596</v>
      </c>
    </row>
    <row r="1428" spans="2:8" s="460" customFormat="1">
      <c r="B1428" s="13">
        <v>900</v>
      </c>
      <c r="C1428" s="13">
        <v>1440</v>
      </c>
      <c r="D1428" s="13">
        <v>1.242</v>
      </c>
      <c r="E1428" s="13">
        <v>1551</v>
      </c>
      <c r="F1428" s="13">
        <v>1758</v>
      </c>
      <c r="G1428" s="13">
        <v>1.8160000000000001</v>
      </c>
      <c r="H1428" s="13">
        <f t="shared" si="21"/>
        <v>69.763078245782651</v>
      </c>
    </row>
    <row r="1429" spans="2:8" s="460" customFormat="1">
      <c r="B1429" s="13">
        <v>900</v>
      </c>
      <c r="C1429" s="13">
        <v>1460</v>
      </c>
      <c r="D1429" s="13">
        <v>1.256</v>
      </c>
      <c r="E1429" s="13">
        <v>1561</v>
      </c>
      <c r="F1429" s="13">
        <v>1770</v>
      </c>
      <c r="G1429" s="13">
        <v>1.8220000000000001</v>
      </c>
      <c r="H1429" s="13">
        <f t="shared" si="21"/>
        <v>70.239276732101985</v>
      </c>
    </row>
    <row r="1430" spans="2:8" s="460" customFormat="1">
      <c r="B1430" s="13">
        <v>900</v>
      </c>
      <c r="C1430" s="13">
        <v>1480</v>
      </c>
      <c r="D1430" s="13">
        <v>1.27</v>
      </c>
      <c r="E1430" s="13">
        <v>1570</v>
      </c>
      <c r="F1430" s="13">
        <v>1781</v>
      </c>
      <c r="G1430" s="13">
        <v>1.8280000000000001</v>
      </c>
      <c r="H1430" s="13">
        <f t="shared" si="21"/>
        <v>70.675792011228054</v>
      </c>
    </row>
    <row r="1431" spans="2:8" s="460" customFormat="1">
      <c r="B1431" s="13">
        <v>900</v>
      </c>
      <c r="C1431" s="13">
        <v>1500</v>
      </c>
      <c r="D1431" s="13">
        <v>1.2829999999999999</v>
      </c>
      <c r="E1431" s="13">
        <v>1579</v>
      </c>
      <c r="F1431" s="13">
        <v>1793</v>
      </c>
      <c r="G1431" s="13">
        <v>1.8340000000000001</v>
      </c>
      <c r="H1431" s="13">
        <f t="shared" si="21"/>
        <v>71.151990497547388</v>
      </c>
    </row>
    <row r="1432" spans="2:8" s="460" customFormat="1">
      <c r="B1432" s="13">
        <v>1000</v>
      </c>
      <c r="C1432" s="13">
        <v>40</v>
      </c>
      <c r="D1432" s="13">
        <v>1.5970000000000002E-2</v>
      </c>
      <c r="E1432" s="13">
        <v>8.0220000000000002</v>
      </c>
      <c r="F1432" s="13">
        <v>10.98</v>
      </c>
      <c r="G1432" s="13">
        <v>1.617E-2</v>
      </c>
      <c r="H1432" s="13">
        <f t="shared" si="21"/>
        <v>0.43572161498219208</v>
      </c>
    </row>
    <row r="1433" spans="2:8" s="460" customFormat="1">
      <c r="B1433" s="13">
        <v>1000</v>
      </c>
      <c r="C1433" s="13">
        <v>60</v>
      </c>
      <c r="D1433" s="13">
        <v>1.5980000000000001E-2</v>
      </c>
      <c r="E1433" s="13">
        <v>27.94</v>
      </c>
      <c r="F1433" s="13">
        <v>30.9</v>
      </c>
      <c r="G1433" s="13">
        <v>5.527E-2</v>
      </c>
      <c r="H1433" s="13">
        <f t="shared" si="21"/>
        <v>1.226211102272289</v>
      </c>
    </row>
    <row r="1434" spans="2:8" s="460" customFormat="1">
      <c r="B1434" s="13">
        <v>1000</v>
      </c>
      <c r="C1434" s="13">
        <v>80</v>
      </c>
      <c r="D1434" s="13">
        <v>1.602E-2</v>
      </c>
      <c r="E1434" s="13">
        <v>47.83</v>
      </c>
      <c r="F1434" s="13">
        <v>50.79</v>
      </c>
      <c r="G1434" s="13">
        <v>9.2829999999999996E-2</v>
      </c>
      <c r="H1434" s="13">
        <f t="shared" si="21"/>
        <v>2.0155100933465877</v>
      </c>
    </row>
    <row r="1435" spans="2:8" s="460" customFormat="1">
      <c r="B1435" s="13">
        <v>1000</v>
      </c>
      <c r="C1435" s="13">
        <v>100</v>
      </c>
      <c r="D1435" s="13">
        <v>1.6080000000000001E-2</v>
      </c>
      <c r="E1435" s="13">
        <v>67.7</v>
      </c>
      <c r="F1435" s="13">
        <v>70.67</v>
      </c>
      <c r="G1435" s="13">
        <v>0.129</v>
      </c>
      <c r="H1435" s="13">
        <f t="shared" si="21"/>
        <v>2.8044122523489539</v>
      </c>
    </row>
    <row r="1436" spans="2:8" s="460" customFormat="1">
      <c r="B1436" s="13">
        <v>1000</v>
      </c>
      <c r="C1436" s="13">
        <v>120</v>
      </c>
      <c r="D1436" s="13">
        <v>1.6160000000000001E-2</v>
      </c>
      <c r="E1436" s="13">
        <v>87.57</v>
      </c>
      <c r="F1436" s="13">
        <v>90.56</v>
      </c>
      <c r="G1436" s="13">
        <v>0.16389999999999999</v>
      </c>
      <c r="H1436" s="13">
        <f t="shared" si="21"/>
        <v>3.5937112434232521</v>
      </c>
    </row>
    <row r="1437" spans="2:8" s="460" customFormat="1">
      <c r="B1437" s="13">
        <v>1000</v>
      </c>
      <c r="C1437" s="13">
        <v>140</v>
      </c>
      <c r="D1437" s="13">
        <v>1.6240000000000001E-2</v>
      </c>
      <c r="E1437" s="13">
        <v>107.5</v>
      </c>
      <c r="F1437" s="13">
        <v>110.5</v>
      </c>
      <c r="G1437" s="13">
        <v>0.19769999999999999</v>
      </c>
      <c r="H1437" s="13">
        <f t="shared" si="21"/>
        <v>4.3849943948572152</v>
      </c>
    </row>
    <row r="1438" spans="2:8" s="460" customFormat="1">
      <c r="B1438" s="13">
        <v>1000</v>
      </c>
      <c r="C1438" s="13">
        <v>160</v>
      </c>
      <c r="D1438" s="13">
        <v>1.634E-2</v>
      </c>
      <c r="E1438" s="13">
        <v>127.4</v>
      </c>
      <c r="F1438" s="13">
        <v>130.4</v>
      </c>
      <c r="G1438" s="13">
        <v>0.2303</v>
      </c>
      <c r="H1438" s="13">
        <f t="shared" si="21"/>
        <v>5.1746902180034464</v>
      </c>
    </row>
    <row r="1439" spans="2:8" s="460" customFormat="1">
      <c r="B1439" s="13">
        <v>1000</v>
      </c>
      <c r="C1439" s="13">
        <v>180</v>
      </c>
      <c r="D1439" s="13">
        <v>1.6459999999999999E-2</v>
      </c>
      <c r="E1439" s="13">
        <v>147.30000000000001</v>
      </c>
      <c r="F1439" s="13">
        <v>150.30000000000001</v>
      </c>
      <c r="G1439" s="13">
        <v>0.26200000000000001</v>
      </c>
      <c r="H1439" s="13">
        <f t="shared" si="21"/>
        <v>5.9643860411496785</v>
      </c>
    </row>
    <row r="1440" spans="2:8" s="460" customFormat="1">
      <c r="B1440" s="13">
        <v>1000</v>
      </c>
      <c r="C1440" s="13">
        <v>200</v>
      </c>
      <c r="D1440" s="13">
        <v>1.6580000000000001E-2</v>
      </c>
      <c r="E1440" s="13">
        <v>167.3</v>
      </c>
      <c r="F1440" s="13">
        <v>170.3</v>
      </c>
      <c r="G1440" s="13">
        <v>0.2928</v>
      </c>
      <c r="H1440" s="13">
        <f t="shared" si="21"/>
        <v>6.7580501850152377</v>
      </c>
    </row>
    <row r="1441" spans="2:8" s="460" customFormat="1">
      <c r="B1441" s="13">
        <v>1000</v>
      </c>
      <c r="C1441" s="13">
        <v>220</v>
      </c>
      <c r="D1441" s="13">
        <v>1.6719999999999999E-2</v>
      </c>
      <c r="E1441" s="13">
        <v>187.3</v>
      </c>
      <c r="F1441" s="13">
        <v>190.4</v>
      </c>
      <c r="G1441" s="13">
        <v>0.32279999999999998</v>
      </c>
      <c r="H1441" s="13">
        <f t="shared" si="21"/>
        <v>7.5556826496001248</v>
      </c>
    </row>
    <row r="1442" spans="2:8" s="460" customFormat="1">
      <c r="B1442" s="13">
        <v>1000</v>
      </c>
      <c r="C1442" s="13">
        <v>240</v>
      </c>
      <c r="D1442" s="13">
        <v>1.686E-2</v>
      </c>
      <c r="E1442" s="13">
        <v>207.4</v>
      </c>
      <c r="F1442" s="13">
        <v>210.5</v>
      </c>
      <c r="G1442" s="13">
        <v>0.35199999999999998</v>
      </c>
      <c r="H1442" s="13">
        <f t="shared" si="21"/>
        <v>8.3533151141850119</v>
      </c>
    </row>
    <row r="1443" spans="2:8" s="460" customFormat="1">
      <c r="B1443" s="13">
        <v>1000</v>
      </c>
      <c r="C1443" s="13">
        <v>260</v>
      </c>
      <c r="D1443" s="13">
        <v>1.702E-2</v>
      </c>
      <c r="E1443" s="13">
        <v>227.6</v>
      </c>
      <c r="F1443" s="13">
        <v>230.8</v>
      </c>
      <c r="G1443" s="13">
        <v>0.3805</v>
      </c>
      <c r="H1443" s="13">
        <f t="shared" si="21"/>
        <v>9.1588842202085541</v>
      </c>
    </row>
    <row r="1444" spans="2:8" s="460" customFormat="1">
      <c r="B1444" s="13">
        <v>1000</v>
      </c>
      <c r="C1444" s="13">
        <v>280</v>
      </c>
      <c r="D1444" s="13">
        <v>1.719E-2</v>
      </c>
      <c r="E1444" s="13">
        <v>247.9</v>
      </c>
      <c r="F1444" s="13">
        <v>251.1</v>
      </c>
      <c r="G1444" s="13">
        <v>0.4083</v>
      </c>
      <c r="H1444" s="13">
        <f t="shared" si="21"/>
        <v>9.9644533262320962</v>
      </c>
    </row>
    <row r="1445" spans="2:8" s="460" customFormat="1">
      <c r="B1445" s="13">
        <v>1000</v>
      </c>
      <c r="C1445" s="13">
        <v>300</v>
      </c>
      <c r="D1445" s="13">
        <v>1.738E-2</v>
      </c>
      <c r="E1445" s="13">
        <v>268.3</v>
      </c>
      <c r="F1445" s="13">
        <v>271.5</v>
      </c>
      <c r="G1445" s="13">
        <v>0.43559999999999999</v>
      </c>
      <c r="H1445" s="13">
        <f t="shared" si="21"/>
        <v>10.773990752974967</v>
      </c>
    </row>
    <row r="1446" spans="2:8" s="460" customFormat="1">
      <c r="B1446" s="13">
        <v>1000</v>
      </c>
      <c r="C1446" s="13">
        <v>320</v>
      </c>
      <c r="D1446" s="13">
        <v>1.7579999999999998E-2</v>
      </c>
      <c r="E1446" s="13">
        <v>288.8</v>
      </c>
      <c r="F1446" s="13">
        <v>292</v>
      </c>
      <c r="G1446" s="13">
        <v>0.46229999999999999</v>
      </c>
      <c r="H1446" s="13">
        <f t="shared" si="21"/>
        <v>11.587496500437165</v>
      </c>
    </row>
    <row r="1447" spans="2:8" s="460" customFormat="1">
      <c r="B1447" s="13">
        <v>1000</v>
      </c>
      <c r="C1447" s="13">
        <v>340</v>
      </c>
      <c r="D1447" s="13">
        <v>1.78E-2</v>
      </c>
      <c r="E1447" s="13">
        <v>309.39999999999998</v>
      </c>
      <c r="F1447" s="13">
        <v>312.7</v>
      </c>
      <c r="G1447" s="13">
        <v>0.48849999999999999</v>
      </c>
      <c r="H1447" s="13">
        <f t="shared" si="21"/>
        <v>12.408938889338017</v>
      </c>
    </row>
    <row r="1448" spans="2:8" s="460" customFormat="1">
      <c r="B1448" s="13">
        <v>1000</v>
      </c>
      <c r="C1448" s="13">
        <v>360</v>
      </c>
      <c r="D1448" s="13">
        <v>1.8030000000000001E-2</v>
      </c>
      <c r="E1448" s="13">
        <v>330.3</v>
      </c>
      <c r="F1448" s="13">
        <v>333.6</v>
      </c>
      <c r="G1448" s="13">
        <v>0.51419999999999999</v>
      </c>
      <c r="H1448" s="13">
        <f t="shared" si="21"/>
        <v>13.238317919677531</v>
      </c>
    </row>
    <row r="1449" spans="2:8" s="460" customFormat="1">
      <c r="B1449" s="13">
        <v>1000</v>
      </c>
      <c r="C1449" s="13">
        <v>380</v>
      </c>
      <c r="D1449" s="13">
        <v>1.8280000000000001E-2</v>
      </c>
      <c r="E1449" s="13">
        <v>351.3</v>
      </c>
      <c r="F1449" s="13">
        <v>354.7</v>
      </c>
      <c r="G1449" s="13">
        <v>0.53959999999999997</v>
      </c>
      <c r="H1449" s="13">
        <f t="shared" si="21"/>
        <v>14.075633591455693</v>
      </c>
    </row>
    <row r="1450" spans="2:8" s="460" customFormat="1">
      <c r="B1450" s="13">
        <v>1000</v>
      </c>
      <c r="C1450" s="13">
        <v>400</v>
      </c>
      <c r="D1450" s="13">
        <v>1.8550000000000001E-2</v>
      </c>
      <c r="E1450" s="13">
        <v>372.5</v>
      </c>
      <c r="F1450" s="13">
        <v>376</v>
      </c>
      <c r="G1450" s="13">
        <v>0.56469999999999998</v>
      </c>
      <c r="H1450" s="13">
        <f t="shared" si="21"/>
        <v>14.920885904672515</v>
      </c>
    </row>
    <row r="1451" spans="2:8" s="460" customFormat="1">
      <c r="B1451" s="13">
        <v>1000</v>
      </c>
      <c r="C1451" s="13">
        <v>420</v>
      </c>
      <c r="D1451" s="13">
        <v>1.8849999999999999E-2</v>
      </c>
      <c r="E1451" s="13">
        <v>394</v>
      </c>
      <c r="F1451" s="13">
        <v>397.5</v>
      </c>
      <c r="G1451" s="13">
        <v>0.58950000000000002</v>
      </c>
      <c r="H1451" s="13">
        <f t="shared" si="21"/>
        <v>15.774074859327989</v>
      </c>
    </row>
    <row r="1452" spans="2:8" s="460" customFormat="1">
      <c r="B1452" s="13">
        <v>1000</v>
      </c>
      <c r="C1452" s="13">
        <v>440</v>
      </c>
      <c r="D1452" s="13">
        <v>1.917E-2</v>
      </c>
      <c r="E1452" s="13">
        <v>415.9</v>
      </c>
      <c r="F1452" s="13">
        <v>419.4</v>
      </c>
      <c r="G1452" s="13">
        <v>0.61409999999999998</v>
      </c>
      <c r="H1452" s="13">
        <f t="shared" si="21"/>
        <v>16.643137096860777</v>
      </c>
    </row>
    <row r="1453" spans="2:8" s="460" customFormat="1">
      <c r="B1453" s="13">
        <v>1000</v>
      </c>
      <c r="C1453" s="13">
        <v>460</v>
      </c>
      <c r="D1453" s="13">
        <v>1.9529999999999999E-2</v>
      </c>
      <c r="E1453" s="13">
        <v>438.1</v>
      </c>
      <c r="F1453" s="13">
        <v>441.7</v>
      </c>
      <c r="G1453" s="13">
        <v>0.63859999999999995</v>
      </c>
      <c r="H1453" s="13">
        <f t="shared" si="21"/>
        <v>17.528072617270876</v>
      </c>
    </row>
    <row r="1454" spans="2:8" s="460" customFormat="1">
      <c r="B1454" s="13">
        <v>1000</v>
      </c>
      <c r="C1454" s="13">
        <v>480</v>
      </c>
      <c r="D1454" s="13">
        <v>1.992E-2</v>
      </c>
      <c r="E1454" s="13">
        <v>460.8</v>
      </c>
      <c r="F1454" s="13">
        <v>464.4</v>
      </c>
      <c r="G1454" s="13">
        <v>0.66310000000000002</v>
      </c>
      <c r="H1454" s="13">
        <f t="shared" si="21"/>
        <v>18.428881420558287</v>
      </c>
    </row>
    <row r="1455" spans="2:8" s="460" customFormat="1">
      <c r="B1455" s="13">
        <v>1000</v>
      </c>
      <c r="C1455" s="13">
        <v>500</v>
      </c>
      <c r="D1455" s="13">
        <v>2.0369999999999999E-2</v>
      </c>
      <c r="E1455" s="13">
        <v>484</v>
      </c>
      <c r="F1455" s="13">
        <v>487.7</v>
      </c>
      <c r="G1455" s="13">
        <v>0.68759999999999999</v>
      </c>
      <c r="H1455" s="13">
        <f t="shared" si="21"/>
        <v>19.353500148161661</v>
      </c>
    </row>
    <row r="1456" spans="2:8" s="460" customFormat="1">
      <c r="B1456" s="13">
        <v>1000</v>
      </c>
      <c r="C1456" s="13">
        <v>520</v>
      </c>
      <c r="D1456" s="13">
        <v>2.087E-2</v>
      </c>
      <c r="E1456" s="13">
        <v>507.9</v>
      </c>
      <c r="F1456" s="13">
        <v>511.7</v>
      </c>
      <c r="G1456" s="13">
        <v>0.71230000000000004</v>
      </c>
      <c r="H1456" s="13">
        <f t="shared" si="21"/>
        <v>20.305897120800331</v>
      </c>
    </row>
    <row r="1457" spans="2:8" s="460" customFormat="1">
      <c r="B1457" s="13">
        <v>1000</v>
      </c>
      <c r="C1457" s="13">
        <v>540</v>
      </c>
      <c r="D1457" s="13">
        <v>2.145E-2</v>
      </c>
      <c r="E1457" s="13">
        <v>532.6</v>
      </c>
      <c r="F1457" s="13">
        <v>536.6</v>
      </c>
      <c r="G1457" s="13">
        <v>0.73750000000000004</v>
      </c>
      <c r="H1457" s="13">
        <f t="shared" si="21"/>
        <v>21.294008979912952</v>
      </c>
    </row>
    <row r="1458" spans="2:8" s="460" customFormat="1">
      <c r="B1458" s="13">
        <v>1000</v>
      </c>
      <c r="C1458" s="13">
        <v>560</v>
      </c>
      <c r="D1458" s="13">
        <v>0.46729999999999999</v>
      </c>
      <c r="E1458" s="13">
        <v>1124</v>
      </c>
      <c r="F1458" s="13">
        <v>1211</v>
      </c>
      <c r="G1458" s="13">
        <v>1.4079999999999999</v>
      </c>
      <c r="H1458" s="13">
        <f t="shared" si="21"/>
        <v>48.056363911059613</v>
      </c>
    </row>
    <row r="1459" spans="2:8" s="460" customFormat="1">
      <c r="B1459" s="13">
        <v>1000</v>
      </c>
      <c r="C1459" s="13">
        <v>580</v>
      </c>
      <c r="D1459" s="13">
        <v>0.49199999999999999</v>
      </c>
      <c r="E1459" s="13">
        <v>1140</v>
      </c>
      <c r="F1459" s="13">
        <v>1231</v>
      </c>
      <c r="G1459" s="13">
        <v>1.4279999999999999</v>
      </c>
      <c r="H1459" s="13">
        <f t="shared" si="21"/>
        <v>48.850028054925168</v>
      </c>
    </row>
    <row r="1460" spans="2:8" s="460" customFormat="1">
      <c r="B1460" s="13">
        <v>1000</v>
      </c>
      <c r="C1460" s="13">
        <v>600</v>
      </c>
      <c r="D1460" s="13">
        <v>0.51429999999999998</v>
      </c>
      <c r="E1460" s="13">
        <v>1154</v>
      </c>
      <c r="F1460" s="13">
        <v>1249</v>
      </c>
      <c r="G1460" s="13">
        <v>1.446</v>
      </c>
      <c r="H1460" s="13">
        <f t="shared" si="21"/>
        <v>49.564325784404176</v>
      </c>
    </row>
    <row r="1461" spans="2:8" s="460" customFormat="1">
      <c r="B1461" s="13">
        <v>1000</v>
      </c>
      <c r="C1461" s="13">
        <v>620</v>
      </c>
      <c r="D1461" s="13">
        <v>0.53510000000000002</v>
      </c>
      <c r="E1461" s="13">
        <v>1167</v>
      </c>
      <c r="F1461" s="13">
        <v>1266</v>
      </c>
      <c r="G1461" s="13">
        <v>1.4610000000000001</v>
      </c>
      <c r="H1461" s="13">
        <f t="shared" si="21"/>
        <v>50.238940306689905</v>
      </c>
    </row>
    <row r="1462" spans="2:8" s="460" customFormat="1">
      <c r="B1462" s="13">
        <v>1000</v>
      </c>
      <c r="C1462" s="13">
        <v>640</v>
      </c>
      <c r="D1462" s="13">
        <v>0.55469999999999997</v>
      </c>
      <c r="E1462" s="13">
        <v>1179</v>
      </c>
      <c r="F1462" s="13">
        <v>1282</v>
      </c>
      <c r="G1462" s="13">
        <v>1.476</v>
      </c>
      <c r="H1462" s="13">
        <f t="shared" si="21"/>
        <v>50.873871621782349</v>
      </c>
    </row>
    <row r="1463" spans="2:8" s="460" customFormat="1">
      <c r="B1463" s="13">
        <v>1000</v>
      </c>
      <c r="C1463" s="13">
        <v>660</v>
      </c>
      <c r="D1463" s="13">
        <v>0.57340000000000002</v>
      </c>
      <c r="E1463" s="13">
        <v>1191</v>
      </c>
      <c r="F1463" s="13">
        <v>1297</v>
      </c>
      <c r="G1463" s="13">
        <v>1.4890000000000001</v>
      </c>
      <c r="H1463" s="13">
        <f t="shared" si="21"/>
        <v>51.469119729681516</v>
      </c>
    </row>
    <row r="1464" spans="2:8" s="460" customFormat="1">
      <c r="B1464" s="13">
        <v>1000</v>
      </c>
      <c r="C1464" s="13">
        <v>680</v>
      </c>
      <c r="D1464" s="13">
        <v>0.59119999999999995</v>
      </c>
      <c r="E1464" s="13">
        <v>1202</v>
      </c>
      <c r="F1464" s="13">
        <v>1311</v>
      </c>
      <c r="G1464" s="13">
        <v>1.502</v>
      </c>
      <c r="H1464" s="13">
        <f t="shared" si="21"/>
        <v>52.024684630387412</v>
      </c>
    </row>
    <row r="1465" spans="2:8" s="460" customFormat="1">
      <c r="B1465" s="13">
        <v>1000</v>
      </c>
      <c r="C1465" s="13">
        <v>700</v>
      </c>
      <c r="D1465" s="13">
        <v>0.60850000000000004</v>
      </c>
      <c r="E1465" s="13">
        <v>1212</v>
      </c>
      <c r="F1465" s="13">
        <v>1325</v>
      </c>
      <c r="G1465" s="13">
        <v>1.514</v>
      </c>
      <c r="H1465" s="13">
        <f t="shared" ref="H1465:H1528" si="22">F1465/$E$22*18</f>
        <v>52.580249531093301</v>
      </c>
    </row>
    <row r="1466" spans="2:8" s="460" customFormat="1">
      <c r="B1466" s="13">
        <v>1000</v>
      </c>
      <c r="C1466" s="13">
        <v>720</v>
      </c>
      <c r="D1466" s="13">
        <v>0.62519999999999998</v>
      </c>
      <c r="E1466" s="13">
        <v>1223</v>
      </c>
      <c r="F1466" s="13">
        <v>1338</v>
      </c>
      <c r="G1466" s="13">
        <v>1.5249999999999999</v>
      </c>
      <c r="H1466" s="13">
        <f t="shared" si="22"/>
        <v>53.096131224605919</v>
      </c>
    </row>
    <row r="1467" spans="2:8" s="460" customFormat="1">
      <c r="B1467" s="13">
        <v>1000</v>
      </c>
      <c r="C1467" s="13">
        <v>740</v>
      </c>
      <c r="D1467" s="13">
        <v>0.64149999999999996</v>
      </c>
      <c r="E1467" s="13">
        <v>1233</v>
      </c>
      <c r="F1467" s="13">
        <v>1351</v>
      </c>
      <c r="G1467" s="13">
        <v>1.536</v>
      </c>
      <c r="H1467" s="13">
        <f t="shared" si="22"/>
        <v>53.612012918118523</v>
      </c>
    </row>
    <row r="1468" spans="2:8" s="460" customFormat="1">
      <c r="B1468" s="13">
        <v>1000</v>
      </c>
      <c r="C1468" s="13">
        <v>760</v>
      </c>
      <c r="D1468" s="13">
        <v>0.65739999999999998</v>
      </c>
      <c r="E1468" s="13">
        <v>1242</v>
      </c>
      <c r="F1468" s="13">
        <v>1364</v>
      </c>
      <c r="G1468" s="13">
        <v>1.5469999999999999</v>
      </c>
      <c r="H1468" s="13">
        <f t="shared" si="22"/>
        <v>54.127894611631142</v>
      </c>
    </row>
    <row r="1469" spans="2:8" s="460" customFormat="1">
      <c r="B1469" s="13">
        <v>1000</v>
      </c>
      <c r="C1469" s="13">
        <v>780</v>
      </c>
      <c r="D1469" s="13">
        <v>0.67300000000000004</v>
      </c>
      <c r="E1469" s="13">
        <v>1252</v>
      </c>
      <c r="F1469" s="13">
        <v>1377</v>
      </c>
      <c r="G1469" s="13">
        <v>1.5569999999999999</v>
      </c>
      <c r="H1469" s="13">
        <f t="shared" si="22"/>
        <v>54.643776305143753</v>
      </c>
    </row>
    <row r="1470" spans="2:8" s="460" customFormat="1">
      <c r="B1470" s="13">
        <v>1000</v>
      </c>
      <c r="C1470" s="13">
        <v>800</v>
      </c>
      <c r="D1470" s="13">
        <v>0.68830000000000002</v>
      </c>
      <c r="E1470" s="13">
        <v>1262</v>
      </c>
      <c r="F1470" s="13">
        <v>1389</v>
      </c>
      <c r="G1470" s="13">
        <v>1.5669999999999999</v>
      </c>
      <c r="H1470" s="13">
        <f t="shared" si="22"/>
        <v>55.119974791463093</v>
      </c>
    </row>
    <row r="1471" spans="2:8" s="460" customFormat="1">
      <c r="B1471" s="13">
        <v>1000</v>
      </c>
      <c r="C1471" s="13">
        <v>820</v>
      </c>
      <c r="D1471" s="13">
        <v>0.70330000000000004</v>
      </c>
      <c r="E1471" s="13">
        <v>1271</v>
      </c>
      <c r="F1471" s="13">
        <v>1401</v>
      </c>
      <c r="G1471" s="13">
        <v>1.577</v>
      </c>
      <c r="H1471" s="13">
        <f t="shared" si="22"/>
        <v>55.596173277782427</v>
      </c>
    </row>
    <row r="1472" spans="2:8" s="460" customFormat="1">
      <c r="B1472" s="13">
        <v>1000</v>
      </c>
      <c r="C1472" s="13">
        <v>840</v>
      </c>
      <c r="D1472" s="13">
        <v>0.71809999999999996</v>
      </c>
      <c r="E1472" s="13">
        <v>1280</v>
      </c>
      <c r="F1472" s="13">
        <v>1413</v>
      </c>
      <c r="G1472" s="13">
        <v>1.5860000000000001</v>
      </c>
      <c r="H1472" s="13">
        <f t="shared" si="22"/>
        <v>56.07237176410176</v>
      </c>
    </row>
    <row r="1473" spans="2:8" s="460" customFormat="1">
      <c r="B1473" s="13">
        <v>1000</v>
      </c>
      <c r="C1473" s="13">
        <v>860</v>
      </c>
      <c r="D1473" s="13">
        <v>0.73270000000000002</v>
      </c>
      <c r="E1473" s="13">
        <v>1289</v>
      </c>
      <c r="F1473" s="13">
        <v>1425</v>
      </c>
      <c r="G1473" s="13">
        <v>1.595</v>
      </c>
      <c r="H1473" s="13">
        <f t="shared" si="22"/>
        <v>56.548570250421093</v>
      </c>
    </row>
    <row r="1474" spans="2:8" s="460" customFormat="1">
      <c r="B1474" s="13">
        <v>1000</v>
      </c>
      <c r="C1474" s="13">
        <v>880</v>
      </c>
      <c r="D1474" s="13">
        <v>0.74709999999999999</v>
      </c>
      <c r="E1474" s="13">
        <v>1299</v>
      </c>
      <c r="F1474" s="13">
        <v>1437</v>
      </c>
      <c r="G1474" s="13">
        <v>1.6040000000000001</v>
      </c>
      <c r="H1474" s="13">
        <f t="shared" si="22"/>
        <v>57.024768736740434</v>
      </c>
    </row>
    <row r="1475" spans="2:8" s="460" customFormat="1">
      <c r="B1475" s="13">
        <v>1000</v>
      </c>
      <c r="C1475" s="13">
        <v>900</v>
      </c>
      <c r="D1475" s="13">
        <v>0.76139999999999997</v>
      </c>
      <c r="E1475" s="13">
        <v>1308</v>
      </c>
      <c r="F1475" s="13">
        <v>1449</v>
      </c>
      <c r="G1475" s="13">
        <v>1.613</v>
      </c>
      <c r="H1475" s="13">
        <f t="shared" si="22"/>
        <v>57.500967223059767</v>
      </c>
    </row>
    <row r="1476" spans="2:8" s="460" customFormat="1">
      <c r="B1476" s="13">
        <v>1000</v>
      </c>
      <c r="C1476" s="13">
        <v>920</v>
      </c>
      <c r="D1476" s="13">
        <v>0.77549999999999997</v>
      </c>
      <c r="E1476" s="13">
        <v>1317</v>
      </c>
      <c r="F1476" s="13">
        <v>1460</v>
      </c>
      <c r="G1476" s="13">
        <v>1.621</v>
      </c>
      <c r="H1476" s="13">
        <f t="shared" si="22"/>
        <v>57.93748250218583</v>
      </c>
    </row>
    <row r="1477" spans="2:8" s="460" customFormat="1">
      <c r="B1477" s="13">
        <v>1000</v>
      </c>
      <c r="C1477" s="13">
        <v>940</v>
      </c>
      <c r="D1477" s="13">
        <v>0.78949999999999998</v>
      </c>
      <c r="E1477" s="13">
        <v>1326</v>
      </c>
      <c r="F1477" s="13">
        <v>1472</v>
      </c>
      <c r="G1477" s="13">
        <v>1.629</v>
      </c>
      <c r="H1477" s="13">
        <f t="shared" si="22"/>
        <v>58.413680988505163</v>
      </c>
    </row>
    <row r="1478" spans="2:8" s="460" customFormat="1">
      <c r="B1478" s="13">
        <v>1000</v>
      </c>
      <c r="C1478" s="13">
        <v>960</v>
      </c>
      <c r="D1478" s="13">
        <v>0.8034</v>
      </c>
      <c r="E1478" s="13">
        <v>1335</v>
      </c>
      <c r="F1478" s="13">
        <v>1483</v>
      </c>
      <c r="G1478" s="13">
        <v>1.6379999999999999</v>
      </c>
      <c r="H1478" s="13">
        <f t="shared" si="22"/>
        <v>58.850196267631219</v>
      </c>
    </row>
    <row r="1479" spans="2:8" s="460" customFormat="1">
      <c r="B1479" s="13">
        <v>1000</v>
      </c>
      <c r="C1479" s="13">
        <v>980</v>
      </c>
      <c r="D1479" s="13">
        <v>0.81710000000000005</v>
      </c>
      <c r="E1479" s="13">
        <v>1344</v>
      </c>
      <c r="F1479" s="13">
        <v>1495</v>
      </c>
      <c r="G1479" s="13">
        <v>1.6459999999999999</v>
      </c>
      <c r="H1479" s="13">
        <f t="shared" si="22"/>
        <v>59.326394753950552</v>
      </c>
    </row>
    <row r="1480" spans="2:8" s="460" customFormat="1">
      <c r="B1480" s="13">
        <v>1000</v>
      </c>
      <c r="C1480" s="13">
        <v>1000</v>
      </c>
      <c r="D1480" s="13">
        <v>0.83079999999999998</v>
      </c>
      <c r="E1480" s="13">
        <v>1352</v>
      </c>
      <c r="F1480" s="13">
        <v>1506</v>
      </c>
      <c r="G1480" s="13">
        <v>1.653</v>
      </c>
      <c r="H1480" s="13">
        <f t="shared" si="22"/>
        <v>59.762910033076608</v>
      </c>
    </row>
    <row r="1481" spans="2:8" s="460" customFormat="1">
      <c r="B1481" s="13">
        <v>1000</v>
      </c>
      <c r="C1481" s="13">
        <v>1020</v>
      </c>
      <c r="D1481" s="13">
        <v>0.84430000000000005</v>
      </c>
      <c r="E1481" s="13">
        <v>1361</v>
      </c>
      <c r="F1481" s="13">
        <v>1518</v>
      </c>
      <c r="G1481" s="13">
        <v>1.661</v>
      </c>
      <c r="H1481" s="13">
        <f t="shared" si="22"/>
        <v>60.239108519395948</v>
      </c>
    </row>
    <row r="1482" spans="2:8" s="460" customFormat="1">
      <c r="B1482" s="13">
        <v>1000</v>
      </c>
      <c r="C1482" s="13">
        <v>1040</v>
      </c>
      <c r="D1482" s="13">
        <v>0.85780000000000001</v>
      </c>
      <c r="E1482" s="13">
        <v>1370</v>
      </c>
      <c r="F1482" s="13">
        <v>1529</v>
      </c>
      <c r="G1482" s="13">
        <v>1.669</v>
      </c>
      <c r="H1482" s="13">
        <f t="shared" si="22"/>
        <v>60.675623798522011</v>
      </c>
    </row>
    <row r="1483" spans="2:8" s="460" customFormat="1">
      <c r="B1483" s="13">
        <v>1000</v>
      </c>
      <c r="C1483" s="13">
        <v>1060</v>
      </c>
      <c r="D1483" s="13">
        <v>0.87119999999999997</v>
      </c>
      <c r="E1483" s="13">
        <v>1379</v>
      </c>
      <c r="F1483" s="13">
        <v>1540</v>
      </c>
      <c r="G1483" s="13">
        <v>1.6759999999999999</v>
      </c>
      <c r="H1483" s="13">
        <f t="shared" si="22"/>
        <v>61.11213907764806</v>
      </c>
    </row>
    <row r="1484" spans="2:8" s="460" customFormat="1">
      <c r="B1484" s="13">
        <v>1000</v>
      </c>
      <c r="C1484" s="13">
        <v>1080</v>
      </c>
      <c r="D1484" s="13">
        <v>0.88460000000000005</v>
      </c>
      <c r="E1484" s="13">
        <v>1388</v>
      </c>
      <c r="F1484" s="13">
        <v>1552</v>
      </c>
      <c r="G1484" s="13">
        <v>1.6839999999999999</v>
      </c>
      <c r="H1484" s="13">
        <f t="shared" si="22"/>
        <v>61.5883375639674</v>
      </c>
    </row>
    <row r="1485" spans="2:8" s="460" customFormat="1">
      <c r="B1485" s="13">
        <v>1000</v>
      </c>
      <c r="C1485" s="13">
        <v>1100</v>
      </c>
      <c r="D1485" s="13">
        <v>0.89780000000000004</v>
      </c>
      <c r="E1485" s="13">
        <v>1397</v>
      </c>
      <c r="F1485" s="13">
        <v>1563</v>
      </c>
      <c r="G1485" s="13">
        <v>1.6910000000000001</v>
      </c>
      <c r="H1485" s="13">
        <f t="shared" si="22"/>
        <v>62.024852843093456</v>
      </c>
    </row>
    <row r="1486" spans="2:8" s="460" customFormat="1">
      <c r="B1486" s="13">
        <v>1000</v>
      </c>
      <c r="C1486" s="13">
        <v>1120</v>
      </c>
      <c r="D1486" s="13">
        <v>0.91100000000000003</v>
      </c>
      <c r="E1486" s="13">
        <v>1406</v>
      </c>
      <c r="F1486" s="13">
        <v>1574</v>
      </c>
      <c r="G1486" s="13">
        <v>1.698</v>
      </c>
      <c r="H1486" s="13">
        <f t="shared" si="22"/>
        <v>62.461368122219518</v>
      </c>
    </row>
    <row r="1487" spans="2:8" s="460" customFormat="1">
      <c r="B1487" s="13">
        <v>1000</v>
      </c>
      <c r="C1487" s="13">
        <v>1140</v>
      </c>
      <c r="D1487" s="13">
        <v>0.92410000000000003</v>
      </c>
      <c r="E1487" s="13">
        <v>1415</v>
      </c>
      <c r="F1487" s="13">
        <v>1586</v>
      </c>
      <c r="G1487" s="13">
        <v>1.7050000000000001</v>
      </c>
      <c r="H1487" s="13">
        <f t="shared" si="22"/>
        <v>62.937566608538852</v>
      </c>
    </row>
    <row r="1488" spans="2:8" s="460" customFormat="1">
      <c r="B1488" s="13">
        <v>1000</v>
      </c>
      <c r="C1488" s="13">
        <v>1160</v>
      </c>
      <c r="D1488" s="13">
        <v>0.93720000000000003</v>
      </c>
      <c r="E1488" s="13">
        <v>1424</v>
      </c>
      <c r="F1488" s="13">
        <v>1597</v>
      </c>
      <c r="G1488" s="13">
        <v>1.7130000000000001</v>
      </c>
      <c r="H1488" s="13">
        <f t="shared" si="22"/>
        <v>63.374081887664907</v>
      </c>
    </row>
    <row r="1489" spans="2:8" s="460" customFormat="1">
      <c r="B1489" s="13">
        <v>1000</v>
      </c>
      <c r="C1489" s="13">
        <v>1180</v>
      </c>
      <c r="D1489" s="13">
        <v>0.95030000000000003</v>
      </c>
      <c r="E1489" s="13">
        <v>1433</v>
      </c>
      <c r="F1489" s="13">
        <v>1608</v>
      </c>
      <c r="G1489" s="13">
        <v>1.7190000000000001</v>
      </c>
      <c r="H1489" s="13">
        <f t="shared" si="22"/>
        <v>63.81059716679097</v>
      </c>
    </row>
    <row r="1490" spans="2:8" s="460" customFormat="1">
      <c r="B1490" s="13">
        <v>1000</v>
      </c>
      <c r="C1490" s="13">
        <v>1200</v>
      </c>
      <c r="D1490" s="13">
        <v>0.96319999999999995</v>
      </c>
      <c r="E1490" s="13">
        <v>1441</v>
      </c>
      <c r="F1490" s="13">
        <v>1620</v>
      </c>
      <c r="G1490" s="13">
        <v>1.726</v>
      </c>
      <c r="H1490" s="13">
        <f t="shared" si="22"/>
        <v>64.286795653110303</v>
      </c>
    </row>
    <row r="1491" spans="2:8" s="460" customFormat="1">
      <c r="B1491" s="13">
        <v>1000</v>
      </c>
      <c r="C1491" s="13">
        <v>1220</v>
      </c>
      <c r="D1491" s="13">
        <v>0.97619999999999996</v>
      </c>
      <c r="E1491" s="13">
        <v>1450</v>
      </c>
      <c r="F1491" s="13">
        <v>1631</v>
      </c>
      <c r="G1491" s="13">
        <v>1.7330000000000001</v>
      </c>
      <c r="H1491" s="13">
        <f t="shared" si="22"/>
        <v>64.723310932236359</v>
      </c>
    </row>
    <row r="1492" spans="2:8" s="460" customFormat="1">
      <c r="B1492" s="13">
        <v>1000</v>
      </c>
      <c r="C1492" s="13">
        <v>1240</v>
      </c>
      <c r="D1492" s="13">
        <v>0.98909999999999998</v>
      </c>
      <c r="E1492" s="13">
        <v>1459</v>
      </c>
      <c r="F1492" s="13">
        <v>1642</v>
      </c>
      <c r="G1492" s="13">
        <v>1.74</v>
      </c>
      <c r="H1492" s="13">
        <f t="shared" si="22"/>
        <v>65.159826211362414</v>
      </c>
    </row>
    <row r="1493" spans="2:8" s="460" customFormat="1">
      <c r="B1493" s="13">
        <v>1000</v>
      </c>
      <c r="C1493" s="13">
        <v>1260</v>
      </c>
      <c r="D1493" s="13">
        <v>1.002</v>
      </c>
      <c r="E1493" s="13">
        <v>1468</v>
      </c>
      <c r="F1493" s="13">
        <v>1654</v>
      </c>
      <c r="G1493" s="13">
        <v>1.7470000000000001</v>
      </c>
      <c r="H1493" s="13">
        <f t="shared" si="22"/>
        <v>65.636024697681748</v>
      </c>
    </row>
    <row r="1494" spans="2:8" s="460" customFormat="1">
      <c r="B1494" s="13">
        <v>1000</v>
      </c>
      <c r="C1494" s="13">
        <v>1280</v>
      </c>
      <c r="D1494" s="13">
        <v>1.0149999999999999</v>
      </c>
      <c r="E1494" s="13">
        <v>1477</v>
      </c>
      <c r="F1494" s="13">
        <v>1665</v>
      </c>
      <c r="G1494" s="13">
        <v>1.7529999999999999</v>
      </c>
      <c r="H1494" s="13">
        <f t="shared" si="22"/>
        <v>66.072539976807803</v>
      </c>
    </row>
    <row r="1495" spans="2:8" s="460" customFormat="1">
      <c r="B1495" s="13">
        <v>1000</v>
      </c>
      <c r="C1495" s="13">
        <v>1300</v>
      </c>
      <c r="D1495" s="13">
        <v>1.028</v>
      </c>
      <c r="E1495" s="13">
        <v>1486</v>
      </c>
      <c r="F1495" s="13">
        <v>1677</v>
      </c>
      <c r="G1495" s="13">
        <v>1.76</v>
      </c>
      <c r="H1495" s="13">
        <f t="shared" si="22"/>
        <v>66.548738463127137</v>
      </c>
    </row>
    <row r="1496" spans="2:8" s="460" customFormat="1">
      <c r="B1496" s="13">
        <v>1000</v>
      </c>
      <c r="C1496" s="13">
        <v>1320</v>
      </c>
      <c r="D1496" s="13">
        <v>1.04</v>
      </c>
      <c r="E1496" s="13">
        <v>1495</v>
      </c>
      <c r="F1496" s="13">
        <v>1688</v>
      </c>
      <c r="G1496" s="13">
        <v>1.766</v>
      </c>
      <c r="H1496" s="13">
        <f t="shared" si="22"/>
        <v>66.985253742253207</v>
      </c>
    </row>
    <row r="1497" spans="2:8" s="460" customFormat="1">
      <c r="B1497" s="13">
        <v>1000</v>
      </c>
      <c r="C1497" s="13">
        <v>1340</v>
      </c>
      <c r="D1497" s="13">
        <v>1.0529999999999999</v>
      </c>
      <c r="E1497" s="13">
        <v>1505</v>
      </c>
      <c r="F1497" s="13">
        <v>1699</v>
      </c>
      <c r="G1497" s="13">
        <v>1.772</v>
      </c>
      <c r="H1497" s="13">
        <f t="shared" si="22"/>
        <v>67.421769021379262</v>
      </c>
    </row>
    <row r="1498" spans="2:8" s="460" customFormat="1">
      <c r="B1498" s="13">
        <v>1000</v>
      </c>
      <c r="C1498" s="13">
        <v>1360</v>
      </c>
      <c r="D1498" s="13">
        <v>1.0660000000000001</v>
      </c>
      <c r="E1498" s="13">
        <v>1514</v>
      </c>
      <c r="F1498" s="13">
        <v>1711</v>
      </c>
      <c r="G1498" s="13">
        <v>1.7789999999999999</v>
      </c>
      <c r="H1498" s="13">
        <f t="shared" si="22"/>
        <v>67.897967507698596</v>
      </c>
    </row>
    <row r="1499" spans="2:8" s="460" customFormat="1">
      <c r="B1499" s="13">
        <v>1000</v>
      </c>
      <c r="C1499" s="13">
        <v>1380</v>
      </c>
      <c r="D1499" s="13">
        <v>1.0780000000000001</v>
      </c>
      <c r="E1499" s="13">
        <v>1523</v>
      </c>
      <c r="F1499" s="13">
        <v>1722</v>
      </c>
      <c r="G1499" s="13">
        <v>1.7849999999999999</v>
      </c>
      <c r="H1499" s="13">
        <f t="shared" si="22"/>
        <v>68.334482786824651</v>
      </c>
    </row>
    <row r="1500" spans="2:8" s="460" customFormat="1">
      <c r="B1500" s="13">
        <v>1000</v>
      </c>
      <c r="C1500" s="13">
        <v>1400</v>
      </c>
      <c r="D1500" s="13">
        <v>1.091</v>
      </c>
      <c r="E1500" s="13">
        <v>1532</v>
      </c>
      <c r="F1500" s="13">
        <v>1734</v>
      </c>
      <c r="G1500" s="13">
        <v>1.7909999999999999</v>
      </c>
      <c r="H1500" s="13">
        <f t="shared" si="22"/>
        <v>68.810681273143985</v>
      </c>
    </row>
    <row r="1501" spans="2:8" s="460" customFormat="1">
      <c r="B1501" s="13">
        <v>1000</v>
      </c>
      <c r="C1501" s="13">
        <v>1420</v>
      </c>
      <c r="D1501" s="13">
        <v>1.1040000000000001</v>
      </c>
      <c r="E1501" s="13">
        <v>1541</v>
      </c>
      <c r="F1501" s="13">
        <v>1745</v>
      </c>
      <c r="G1501" s="13">
        <v>1.7969999999999999</v>
      </c>
      <c r="H1501" s="13">
        <f t="shared" si="22"/>
        <v>69.24719655227004</v>
      </c>
    </row>
    <row r="1502" spans="2:8" s="460" customFormat="1">
      <c r="B1502" s="13">
        <v>1000</v>
      </c>
      <c r="C1502" s="13">
        <v>1440</v>
      </c>
      <c r="D1502" s="13">
        <v>1.1160000000000001</v>
      </c>
      <c r="E1502" s="13">
        <v>1550</v>
      </c>
      <c r="F1502" s="13">
        <v>1757</v>
      </c>
      <c r="G1502" s="13">
        <v>1.8029999999999999</v>
      </c>
      <c r="H1502" s="13">
        <f t="shared" si="22"/>
        <v>69.723395038589388</v>
      </c>
    </row>
    <row r="1503" spans="2:8" s="460" customFormat="1">
      <c r="B1503" s="13">
        <v>1000</v>
      </c>
      <c r="C1503" s="13">
        <v>1460</v>
      </c>
      <c r="D1503" s="13">
        <v>1.129</v>
      </c>
      <c r="E1503" s="13">
        <v>1559</v>
      </c>
      <c r="F1503" s="13">
        <v>1768</v>
      </c>
      <c r="G1503" s="13">
        <v>1.81</v>
      </c>
      <c r="H1503" s="13">
        <f t="shared" si="22"/>
        <v>70.159910317715443</v>
      </c>
    </row>
    <row r="1504" spans="2:8" s="460" customFormat="1">
      <c r="B1504" s="13">
        <v>1000</v>
      </c>
      <c r="C1504" s="13">
        <v>1480</v>
      </c>
      <c r="D1504" s="13">
        <v>1.141</v>
      </c>
      <c r="E1504" s="13">
        <v>1569</v>
      </c>
      <c r="F1504" s="13">
        <v>1780</v>
      </c>
      <c r="G1504" s="13">
        <v>1.8149999999999999</v>
      </c>
      <c r="H1504" s="13">
        <f t="shared" si="22"/>
        <v>70.636108804034777</v>
      </c>
    </row>
    <row r="1505" spans="2:8" s="460" customFormat="1">
      <c r="B1505" s="13">
        <v>1000</v>
      </c>
      <c r="C1505" s="13">
        <v>1500</v>
      </c>
      <c r="D1505" s="13">
        <v>1.1539999999999999</v>
      </c>
      <c r="E1505" s="13">
        <v>1578</v>
      </c>
      <c r="F1505" s="13">
        <v>1791</v>
      </c>
      <c r="G1505" s="13">
        <v>1.821</v>
      </c>
      <c r="H1505" s="13">
        <f t="shared" si="22"/>
        <v>71.072624083160832</v>
      </c>
    </row>
    <row r="1506" spans="2:8" s="460" customFormat="1">
      <c r="B1506" s="13">
        <v>1100</v>
      </c>
      <c r="C1506" s="13">
        <v>40</v>
      </c>
      <c r="D1506" s="13">
        <v>1.5959999999999998E-2</v>
      </c>
      <c r="E1506" s="13">
        <v>8.0210000000000008</v>
      </c>
      <c r="F1506" s="13">
        <v>11.27</v>
      </c>
      <c r="G1506" s="13">
        <v>1.617E-2</v>
      </c>
      <c r="H1506" s="13">
        <f t="shared" si="22"/>
        <v>0.44722974506824259</v>
      </c>
    </row>
    <row r="1507" spans="2:8" s="460" customFormat="1">
      <c r="B1507" s="13">
        <v>1100</v>
      </c>
      <c r="C1507" s="13">
        <v>60</v>
      </c>
      <c r="D1507" s="13">
        <v>1.5980000000000001E-2</v>
      </c>
      <c r="E1507" s="13">
        <v>27.93</v>
      </c>
      <c r="F1507" s="13">
        <v>31.18</v>
      </c>
      <c r="G1507" s="13">
        <v>5.5239999999999997E-2</v>
      </c>
      <c r="H1507" s="13">
        <f t="shared" si="22"/>
        <v>1.2373224002864067</v>
      </c>
    </row>
    <row r="1508" spans="2:8" s="460" customFormat="1">
      <c r="B1508" s="13">
        <v>1100</v>
      </c>
      <c r="C1508" s="13">
        <v>80</v>
      </c>
      <c r="D1508" s="13">
        <v>1.602E-2</v>
      </c>
      <c r="E1508" s="13">
        <v>47.8</v>
      </c>
      <c r="F1508" s="13">
        <v>51.06</v>
      </c>
      <c r="G1508" s="13">
        <v>9.2780000000000001E-2</v>
      </c>
      <c r="H1508" s="13">
        <f t="shared" si="22"/>
        <v>2.0262245592887727</v>
      </c>
    </row>
    <row r="1509" spans="2:8" s="460" customFormat="1">
      <c r="B1509" s="13">
        <v>1100</v>
      </c>
      <c r="C1509" s="13">
        <v>100</v>
      </c>
      <c r="D1509" s="13">
        <v>1.6080000000000001E-2</v>
      </c>
      <c r="E1509" s="13">
        <v>67.66</v>
      </c>
      <c r="F1509" s="13">
        <v>70.94</v>
      </c>
      <c r="G1509" s="13">
        <v>0.12889999999999999</v>
      </c>
      <c r="H1509" s="13">
        <f t="shared" si="22"/>
        <v>2.8151267182911388</v>
      </c>
    </row>
    <row r="1510" spans="2:8" s="460" customFormat="1">
      <c r="B1510" s="13">
        <v>1100</v>
      </c>
      <c r="C1510" s="13">
        <v>120</v>
      </c>
      <c r="D1510" s="13">
        <v>1.6150000000000001E-2</v>
      </c>
      <c r="E1510" s="13">
        <v>87.53</v>
      </c>
      <c r="F1510" s="13">
        <v>90.81</v>
      </c>
      <c r="G1510" s="13">
        <v>0.1638</v>
      </c>
      <c r="H1510" s="13">
        <f t="shared" si="22"/>
        <v>3.603632045221572</v>
      </c>
    </row>
    <row r="1511" spans="2:8" s="460" customFormat="1">
      <c r="B1511" s="13">
        <v>1100</v>
      </c>
      <c r="C1511" s="13">
        <v>140</v>
      </c>
      <c r="D1511" s="13">
        <v>1.6240000000000001E-2</v>
      </c>
      <c r="E1511" s="13">
        <v>107.4</v>
      </c>
      <c r="F1511" s="13">
        <v>110.7</v>
      </c>
      <c r="G1511" s="13">
        <v>0.1976</v>
      </c>
      <c r="H1511" s="13">
        <f t="shared" si="22"/>
        <v>4.3929310362958702</v>
      </c>
    </row>
    <row r="1512" spans="2:8" s="460" customFormat="1">
      <c r="B1512" s="13">
        <v>1100</v>
      </c>
      <c r="C1512" s="13">
        <v>160</v>
      </c>
      <c r="D1512" s="13">
        <v>1.634E-2</v>
      </c>
      <c r="E1512" s="13">
        <v>127.3</v>
      </c>
      <c r="F1512" s="13">
        <v>130.6</v>
      </c>
      <c r="G1512" s="13">
        <v>0.23019999999999999</v>
      </c>
      <c r="H1512" s="13">
        <f t="shared" si="22"/>
        <v>5.1826268594421023</v>
      </c>
    </row>
    <row r="1513" spans="2:8" s="460" customFormat="1">
      <c r="B1513" s="13">
        <v>1100</v>
      </c>
      <c r="C1513" s="13">
        <v>180</v>
      </c>
      <c r="D1513" s="13">
        <v>1.6449999999999999E-2</v>
      </c>
      <c r="E1513" s="13">
        <v>147.19999999999999</v>
      </c>
      <c r="F1513" s="13">
        <v>150.6</v>
      </c>
      <c r="G1513" s="13">
        <v>0.26190000000000002</v>
      </c>
      <c r="H1513" s="13">
        <f t="shared" si="22"/>
        <v>5.9762910033076615</v>
      </c>
    </row>
    <row r="1514" spans="2:8" s="460" customFormat="1">
      <c r="B1514" s="13">
        <v>1100</v>
      </c>
      <c r="C1514" s="13">
        <v>200</v>
      </c>
      <c r="D1514" s="13">
        <v>1.6570000000000001E-2</v>
      </c>
      <c r="E1514" s="13">
        <v>167.2</v>
      </c>
      <c r="F1514" s="13">
        <v>170.6</v>
      </c>
      <c r="G1514" s="13">
        <v>0.29270000000000002</v>
      </c>
      <c r="H1514" s="13">
        <f t="shared" si="22"/>
        <v>6.7699551471732207</v>
      </c>
    </row>
    <row r="1515" spans="2:8" s="460" customFormat="1">
      <c r="B1515" s="13">
        <v>1100</v>
      </c>
      <c r="C1515" s="13">
        <v>220</v>
      </c>
      <c r="D1515" s="13">
        <v>1.6709999999999999E-2</v>
      </c>
      <c r="E1515" s="13">
        <v>187.2</v>
      </c>
      <c r="F1515" s="13">
        <v>190.6</v>
      </c>
      <c r="G1515" s="13">
        <v>0.32269999999999999</v>
      </c>
      <c r="H1515" s="13">
        <f t="shared" si="22"/>
        <v>7.5636192910387798</v>
      </c>
    </row>
    <row r="1516" spans="2:8" s="460" customFormat="1">
      <c r="B1516" s="13">
        <v>1100</v>
      </c>
      <c r="C1516" s="13">
        <v>240</v>
      </c>
      <c r="D1516" s="13">
        <v>1.686E-2</v>
      </c>
      <c r="E1516" s="13">
        <v>207.3</v>
      </c>
      <c r="F1516" s="13">
        <v>210.8</v>
      </c>
      <c r="G1516" s="13">
        <v>0.35189999999999999</v>
      </c>
      <c r="H1516" s="13">
        <f t="shared" si="22"/>
        <v>8.3652200763429949</v>
      </c>
    </row>
    <row r="1517" spans="2:8" s="460" customFormat="1">
      <c r="B1517" s="13">
        <v>1100</v>
      </c>
      <c r="C1517" s="13">
        <v>260</v>
      </c>
      <c r="D1517" s="13">
        <v>1.702E-2</v>
      </c>
      <c r="E1517" s="13">
        <v>227.5</v>
      </c>
      <c r="F1517" s="13">
        <v>231</v>
      </c>
      <c r="G1517" s="13">
        <v>0.38030000000000003</v>
      </c>
      <c r="H1517" s="13">
        <f t="shared" si="22"/>
        <v>9.16682086164721</v>
      </c>
    </row>
    <row r="1518" spans="2:8" s="460" customFormat="1">
      <c r="B1518" s="13">
        <v>1100</v>
      </c>
      <c r="C1518" s="13">
        <v>280</v>
      </c>
      <c r="D1518" s="13">
        <v>1.719E-2</v>
      </c>
      <c r="E1518" s="13">
        <v>247.8</v>
      </c>
      <c r="F1518" s="13">
        <v>251.3</v>
      </c>
      <c r="G1518" s="13">
        <v>0.40820000000000001</v>
      </c>
      <c r="H1518" s="13">
        <f t="shared" si="22"/>
        <v>9.9723899676707521</v>
      </c>
    </row>
    <row r="1519" spans="2:8" s="460" customFormat="1">
      <c r="B1519" s="13">
        <v>1100</v>
      </c>
      <c r="C1519" s="13">
        <v>300</v>
      </c>
      <c r="D1519" s="13">
        <v>1.737E-2</v>
      </c>
      <c r="E1519" s="13">
        <v>268.10000000000002</v>
      </c>
      <c r="F1519" s="13">
        <v>271.7</v>
      </c>
      <c r="G1519" s="13">
        <v>0.43540000000000001</v>
      </c>
      <c r="H1519" s="13">
        <f t="shared" si="22"/>
        <v>10.781927394413623</v>
      </c>
    </row>
    <row r="1520" spans="2:8" s="460" customFormat="1">
      <c r="B1520" s="13">
        <v>1100</v>
      </c>
      <c r="C1520" s="13">
        <v>320</v>
      </c>
      <c r="D1520" s="13">
        <v>1.7569999999999999E-2</v>
      </c>
      <c r="E1520" s="13">
        <v>288.60000000000002</v>
      </c>
      <c r="F1520" s="13">
        <v>292.2</v>
      </c>
      <c r="G1520" s="13">
        <v>0.46210000000000001</v>
      </c>
      <c r="H1520" s="13">
        <f t="shared" si="22"/>
        <v>11.595433141875819</v>
      </c>
    </row>
    <row r="1521" spans="2:8" s="460" customFormat="1">
      <c r="B1521" s="13">
        <v>1100</v>
      </c>
      <c r="C1521" s="13">
        <v>340</v>
      </c>
      <c r="D1521" s="13">
        <v>1.779E-2</v>
      </c>
      <c r="E1521" s="13">
        <v>309.3</v>
      </c>
      <c r="F1521" s="13">
        <v>312.89999999999998</v>
      </c>
      <c r="G1521" s="13">
        <v>0.48830000000000001</v>
      </c>
      <c r="H1521" s="13">
        <f t="shared" si="22"/>
        <v>12.416875530776673</v>
      </c>
    </row>
    <row r="1522" spans="2:8" s="460" customFormat="1">
      <c r="B1522" s="13">
        <v>1100</v>
      </c>
      <c r="C1522" s="13">
        <v>360</v>
      </c>
      <c r="D1522" s="13">
        <v>1.8020000000000001E-2</v>
      </c>
      <c r="E1522" s="13">
        <v>330.1</v>
      </c>
      <c r="F1522" s="13">
        <v>333.7</v>
      </c>
      <c r="G1522" s="13">
        <v>0.51400000000000001</v>
      </c>
      <c r="H1522" s="13">
        <f t="shared" si="22"/>
        <v>13.242286240396856</v>
      </c>
    </row>
    <row r="1523" spans="2:8" s="460" customFormat="1">
      <c r="B1523" s="13">
        <v>1100</v>
      </c>
      <c r="C1523" s="13">
        <v>380</v>
      </c>
      <c r="D1523" s="13">
        <v>1.8270000000000002E-2</v>
      </c>
      <c r="E1523" s="13">
        <v>351.1</v>
      </c>
      <c r="F1523" s="13">
        <v>354.8</v>
      </c>
      <c r="G1523" s="13">
        <v>0.53939999999999999</v>
      </c>
      <c r="H1523" s="13">
        <f t="shared" si="22"/>
        <v>14.079601912175022</v>
      </c>
    </row>
    <row r="1524" spans="2:8" s="460" customFormat="1">
      <c r="B1524" s="13">
        <v>1100</v>
      </c>
      <c r="C1524" s="13">
        <v>400</v>
      </c>
      <c r="D1524" s="13">
        <v>1.8540000000000001E-2</v>
      </c>
      <c r="E1524" s="13">
        <v>372.3</v>
      </c>
      <c r="F1524" s="13">
        <v>376.1</v>
      </c>
      <c r="G1524" s="13">
        <v>0.56440000000000001</v>
      </c>
      <c r="H1524" s="13">
        <f t="shared" si="22"/>
        <v>14.924854225391842</v>
      </c>
    </row>
    <row r="1525" spans="2:8" s="460" customFormat="1">
      <c r="B1525" s="13">
        <v>1100</v>
      </c>
      <c r="C1525" s="13">
        <v>420</v>
      </c>
      <c r="D1525" s="13">
        <v>1.8839999999999999E-2</v>
      </c>
      <c r="E1525" s="13">
        <v>393.8</v>
      </c>
      <c r="F1525" s="13">
        <v>397.6</v>
      </c>
      <c r="G1525" s="13">
        <v>0.58919999999999995</v>
      </c>
      <c r="H1525" s="13">
        <f t="shared" si="22"/>
        <v>15.77804318004732</v>
      </c>
    </row>
    <row r="1526" spans="2:8" s="460" customFormat="1">
      <c r="B1526" s="13">
        <v>1100</v>
      </c>
      <c r="C1526" s="13">
        <v>440</v>
      </c>
      <c r="D1526" s="13">
        <v>1.916E-2</v>
      </c>
      <c r="E1526" s="13">
        <v>415.6</v>
      </c>
      <c r="F1526" s="13">
        <v>419.5</v>
      </c>
      <c r="G1526" s="13">
        <v>0.61380000000000001</v>
      </c>
      <c r="H1526" s="13">
        <f t="shared" si="22"/>
        <v>16.647105417580107</v>
      </c>
    </row>
    <row r="1527" spans="2:8" s="460" customFormat="1">
      <c r="B1527" s="13">
        <v>1100</v>
      </c>
      <c r="C1527" s="13">
        <v>460</v>
      </c>
      <c r="D1527" s="13">
        <v>1.951E-2</v>
      </c>
      <c r="E1527" s="13">
        <v>437.8</v>
      </c>
      <c r="F1527" s="13">
        <v>441.7</v>
      </c>
      <c r="G1527" s="13">
        <v>0.63829999999999998</v>
      </c>
      <c r="H1527" s="13">
        <f t="shared" si="22"/>
        <v>17.528072617270876</v>
      </c>
    </row>
    <row r="1528" spans="2:8" s="460" customFormat="1">
      <c r="B1528" s="13">
        <v>1100</v>
      </c>
      <c r="C1528" s="13">
        <v>480</v>
      </c>
      <c r="D1528" s="13">
        <v>1.9910000000000001E-2</v>
      </c>
      <c r="E1528" s="13">
        <v>460.4</v>
      </c>
      <c r="F1528" s="13">
        <v>464.4</v>
      </c>
      <c r="G1528" s="13">
        <v>0.66269999999999996</v>
      </c>
      <c r="H1528" s="13">
        <f t="shared" si="22"/>
        <v>18.428881420558287</v>
      </c>
    </row>
    <row r="1529" spans="2:8" s="460" customFormat="1">
      <c r="B1529" s="13">
        <v>1100</v>
      </c>
      <c r="C1529" s="13">
        <v>500</v>
      </c>
      <c r="D1529" s="13">
        <v>2.035E-2</v>
      </c>
      <c r="E1529" s="13">
        <v>483.6</v>
      </c>
      <c r="F1529" s="13">
        <v>487.7</v>
      </c>
      <c r="G1529" s="13">
        <v>0.68720000000000003</v>
      </c>
      <c r="H1529" s="13">
        <f t="shared" ref="H1529:H1783" si="23">F1529/$E$22*18</f>
        <v>19.353500148161661</v>
      </c>
    </row>
    <row r="1530" spans="2:8" s="460" customFormat="1">
      <c r="B1530" s="13">
        <v>1100</v>
      </c>
      <c r="C1530" s="13">
        <v>520</v>
      </c>
      <c r="D1530" s="13">
        <v>2.0840000000000001E-2</v>
      </c>
      <c r="E1530" s="13">
        <v>507.4</v>
      </c>
      <c r="F1530" s="13">
        <v>511.6</v>
      </c>
      <c r="G1530" s="13">
        <v>0.71179999999999999</v>
      </c>
      <c r="H1530" s="13">
        <f t="shared" si="23"/>
        <v>20.301928800081008</v>
      </c>
    </row>
    <row r="1531" spans="2:8" s="460" customFormat="1">
      <c r="B1531" s="13">
        <v>1100</v>
      </c>
      <c r="C1531" s="13">
        <v>540</v>
      </c>
      <c r="D1531" s="13">
        <v>2.1420000000000002E-2</v>
      </c>
      <c r="E1531" s="13">
        <v>532.1</v>
      </c>
      <c r="F1531" s="13">
        <v>536.4</v>
      </c>
      <c r="G1531" s="13">
        <v>0.7369</v>
      </c>
      <c r="H1531" s="13">
        <f t="shared" si="23"/>
        <v>21.286072338474298</v>
      </c>
    </row>
    <row r="1532" spans="2:8" s="460" customFormat="1">
      <c r="B1532" s="13">
        <v>1100</v>
      </c>
      <c r="C1532" s="13">
        <v>560</v>
      </c>
      <c r="D1532" s="13">
        <v>0.40579999999999999</v>
      </c>
      <c r="E1532" s="13">
        <v>1111</v>
      </c>
      <c r="F1532" s="13">
        <v>1193</v>
      </c>
      <c r="G1532" s="13">
        <v>1.3839999999999999</v>
      </c>
      <c r="H1532" s="13">
        <f t="shared" si="23"/>
        <v>47.342066181580613</v>
      </c>
    </row>
    <row r="1533" spans="2:8" s="460" customFormat="1">
      <c r="B1533" s="13">
        <v>1100</v>
      </c>
      <c r="C1533" s="13">
        <v>580</v>
      </c>
      <c r="D1533" s="13">
        <v>0.43120000000000003</v>
      </c>
      <c r="E1533" s="13">
        <v>1129</v>
      </c>
      <c r="F1533" s="13">
        <v>1217</v>
      </c>
      <c r="G1533" s="13">
        <v>1.4059999999999999</v>
      </c>
      <c r="H1533" s="13">
        <f t="shared" si="23"/>
        <v>48.294463154219279</v>
      </c>
    </row>
    <row r="1534" spans="2:8" s="460" customFormat="1">
      <c r="B1534" s="13">
        <v>1100</v>
      </c>
      <c r="C1534" s="13">
        <v>600</v>
      </c>
      <c r="D1534" s="13">
        <v>0.4536</v>
      </c>
      <c r="E1534" s="13">
        <v>1145</v>
      </c>
      <c r="F1534" s="13">
        <v>1237</v>
      </c>
      <c r="G1534" s="13">
        <v>1.4259999999999999</v>
      </c>
      <c r="H1534" s="13">
        <f t="shared" si="23"/>
        <v>49.088127298084842</v>
      </c>
    </row>
    <row r="1535" spans="2:8" s="460" customFormat="1">
      <c r="B1535" s="13">
        <v>1100</v>
      </c>
      <c r="C1535" s="13">
        <v>620</v>
      </c>
      <c r="D1535" s="13">
        <v>0.47410000000000002</v>
      </c>
      <c r="E1535" s="13">
        <v>1159</v>
      </c>
      <c r="F1535" s="13">
        <v>1256</v>
      </c>
      <c r="G1535" s="13">
        <v>1.4430000000000001</v>
      </c>
      <c r="H1535" s="13">
        <f t="shared" si="23"/>
        <v>49.84210823475712</v>
      </c>
    </row>
    <row r="1536" spans="2:8" s="460" customFormat="1">
      <c r="B1536" s="13">
        <v>1100</v>
      </c>
      <c r="C1536" s="13">
        <v>640</v>
      </c>
      <c r="D1536" s="13">
        <v>0.49309999999999998</v>
      </c>
      <c r="E1536" s="13">
        <v>1172</v>
      </c>
      <c r="F1536" s="13">
        <v>1272</v>
      </c>
      <c r="G1536" s="13">
        <v>1.4590000000000001</v>
      </c>
      <c r="H1536" s="13">
        <f t="shared" si="23"/>
        <v>50.477039549849572</v>
      </c>
    </row>
    <row r="1537" spans="2:8" s="460" customFormat="1">
      <c r="B1537" s="13">
        <v>1100</v>
      </c>
      <c r="C1537" s="13">
        <v>660</v>
      </c>
      <c r="D1537" s="13">
        <v>0.5111</v>
      </c>
      <c r="E1537" s="13">
        <v>1184</v>
      </c>
      <c r="F1537" s="13">
        <v>1288</v>
      </c>
      <c r="G1537" s="13">
        <v>1.4730000000000001</v>
      </c>
      <c r="H1537" s="13">
        <f t="shared" si="23"/>
        <v>51.111970864942016</v>
      </c>
    </row>
    <row r="1538" spans="2:8" s="460" customFormat="1">
      <c r="B1538" s="13">
        <v>1100</v>
      </c>
      <c r="C1538" s="13">
        <v>680</v>
      </c>
      <c r="D1538" s="13">
        <v>0.52810000000000001</v>
      </c>
      <c r="E1538" s="13">
        <v>1196</v>
      </c>
      <c r="F1538" s="13">
        <v>1303</v>
      </c>
      <c r="G1538" s="13">
        <v>1.486</v>
      </c>
      <c r="H1538" s="13">
        <f t="shared" si="23"/>
        <v>51.707218972841183</v>
      </c>
    </row>
    <row r="1539" spans="2:8" s="460" customFormat="1">
      <c r="B1539" s="13">
        <v>1100</v>
      </c>
      <c r="C1539" s="13">
        <v>700</v>
      </c>
      <c r="D1539" s="13">
        <v>0.54459999999999997</v>
      </c>
      <c r="E1539" s="13">
        <v>1207</v>
      </c>
      <c r="F1539" s="13">
        <v>1318</v>
      </c>
      <c r="G1539" s="13">
        <v>1.4990000000000001</v>
      </c>
      <c r="H1539" s="13">
        <f t="shared" si="23"/>
        <v>52.30246708074035</v>
      </c>
    </row>
    <row r="1540" spans="2:8" s="460" customFormat="1">
      <c r="B1540" s="13">
        <v>1100</v>
      </c>
      <c r="C1540" s="13">
        <v>720</v>
      </c>
      <c r="D1540" s="13">
        <v>0.56040000000000001</v>
      </c>
      <c r="E1540" s="13">
        <v>1218</v>
      </c>
      <c r="F1540" s="13">
        <v>1332</v>
      </c>
      <c r="G1540" s="13">
        <v>1.5109999999999999</v>
      </c>
      <c r="H1540" s="13">
        <f t="shared" si="23"/>
        <v>52.858031981446246</v>
      </c>
    </row>
    <row r="1541" spans="2:8" s="460" customFormat="1">
      <c r="B1541" s="13">
        <v>1100</v>
      </c>
      <c r="C1541" s="13">
        <v>740</v>
      </c>
      <c r="D1541" s="13">
        <v>0.57569999999999999</v>
      </c>
      <c r="E1541" s="13">
        <v>1228</v>
      </c>
      <c r="F1541" s="13">
        <v>1345</v>
      </c>
      <c r="G1541" s="13">
        <v>1.522</v>
      </c>
      <c r="H1541" s="13">
        <f t="shared" si="23"/>
        <v>53.373913674958857</v>
      </c>
    </row>
    <row r="1542" spans="2:8" s="460" customFormat="1">
      <c r="B1542" s="13">
        <v>1100</v>
      </c>
      <c r="C1542" s="13">
        <v>760</v>
      </c>
      <c r="D1542" s="13">
        <v>0.5907</v>
      </c>
      <c r="E1542" s="13">
        <v>1238</v>
      </c>
      <c r="F1542" s="13">
        <v>1358</v>
      </c>
      <c r="G1542" s="13">
        <v>1.5329999999999999</v>
      </c>
      <c r="H1542" s="13">
        <f t="shared" si="23"/>
        <v>53.889795368471475</v>
      </c>
    </row>
    <row r="1543" spans="2:8" s="460" customFormat="1">
      <c r="B1543" s="13">
        <v>1100</v>
      </c>
      <c r="C1543" s="13">
        <v>780</v>
      </c>
      <c r="D1543" s="13">
        <v>0.60529999999999995</v>
      </c>
      <c r="E1543" s="13">
        <v>1248</v>
      </c>
      <c r="F1543" s="13">
        <v>1371</v>
      </c>
      <c r="G1543" s="13">
        <v>1.5429999999999999</v>
      </c>
      <c r="H1543" s="13">
        <f t="shared" si="23"/>
        <v>54.405677061984086</v>
      </c>
    </row>
    <row r="1544" spans="2:8" s="460" customFormat="1">
      <c r="B1544" s="13">
        <v>1100</v>
      </c>
      <c r="C1544" s="13">
        <v>800</v>
      </c>
      <c r="D1544" s="13">
        <v>0.61960000000000004</v>
      </c>
      <c r="E1544" s="13">
        <v>1258</v>
      </c>
      <c r="F1544" s="13">
        <v>1384</v>
      </c>
      <c r="G1544" s="13">
        <v>1.5529999999999999</v>
      </c>
      <c r="H1544" s="13">
        <f t="shared" si="23"/>
        <v>54.921558755496704</v>
      </c>
    </row>
    <row r="1545" spans="2:8" s="460" customFormat="1">
      <c r="B1545" s="13">
        <v>1100</v>
      </c>
      <c r="C1545" s="13">
        <v>820</v>
      </c>
      <c r="D1545" s="13">
        <v>0.63360000000000005</v>
      </c>
      <c r="E1545" s="13">
        <v>1267</v>
      </c>
      <c r="F1545" s="13">
        <v>1396</v>
      </c>
      <c r="G1545" s="13">
        <v>1.5629999999999999</v>
      </c>
      <c r="H1545" s="13">
        <f t="shared" si="23"/>
        <v>55.397757241816038</v>
      </c>
    </row>
    <row r="1546" spans="2:8" s="460" customFormat="1">
      <c r="B1546" s="13">
        <v>1100</v>
      </c>
      <c r="C1546" s="13">
        <v>840</v>
      </c>
      <c r="D1546" s="13">
        <v>0.64729999999999999</v>
      </c>
      <c r="E1546" s="13">
        <v>1277</v>
      </c>
      <c r="F1546" s="13">
        <v>1409</v>
      </c>
      <c r="G1546" s="13">
        <v>1.573</v>
      </c>
      <c r="H1546" s="13">
        <f t="shared" si="23"/>
        <v>55.913638935328649</v>
      </c>
    </row>
    <row r="1547" spans="2:8" s="460" customFormat="1">
      <c r="B1547" s="13">
        <v>1100</v>
      </c>
      <c r="C1547" s="13">
        <v>860</v>
      </c>
      <c r="D1547" s="13">
        <v>0.66090000000000004</v>
      </c>
      <c r="E1547" s="13">
        <v>1286</v>
      </c>
      <c r="F1547" s="13">
        <v>1421</v>
      </c>
      <c r="G1547" s="13">
        <v>1.5820000000000001</v>
      </c>
      <c r="H1547" s="13">
        <f t="shared" si="23"/>
        <v>56.389837421647982</v>
      </c>
    </row>
    <row r="1548" spans="2:8" s="460" customFormat="1">
      <c r="B1548" s="13">
        <v>1100</v>
      </c>
      <c r="C1548" s="13">
        <v>880</v>
      </c>
      <c r="D1548" s="13">
        <v>0.67430000000000001</v>
      </c>
      <c r="E1548" s="13">
        <v>1296</v>
      </c>
      <c r="F1548" s="13">
        <v>1433</v>
      </c>
      <c r="G1548" s="13">
        <v>1.591</v>
      </c>
      <c r="H1548" s="13">
        <f t="shared" si="23"/>
        <v>56.866035907967316</v>
      </c>
    </row>
    <row r="1549" spans="2:8" s="460" customFormat="1">
      <c r="B1549" s="13">
        <v>1100</v>
      </c>
      <c r="C1549" s="13">
        <v>900</v>
      </c>
      <c r="D1549" s="13">
        <v>0.6875</v>
      </c>
      <c r="E1549" s="13">
        <v>1305</v>
      </c>
      <c r="F1549" s="13">
        <v>1445</v>
      </c>
      <c r="G1549" s="13">
        <v>1.6</v>
      </c>
      <c r="H1549" s="13">
        <f t="shared" si="23"/>
        <v>57.342234394286663</v>
      </c>
    </row>
    <row r="1550" spans="2:8" s="460" customFormat="1">
      <c r="B1550" s="13">
        <v>1100</v>
      </c>
      <c r="C1550" s="13">
        <v>920</v>
      </c>
      <c r="D1550" s="13">
        <v>0.7006</v>
      </c>
      <c r="E1550" s="13">
        <v>1314</v>
      </c>
      <c r="F1550" s="13">
        <v>1457</v>
      </c>
      <c r="G1550" s="13">
        <v>1.609</v>
      </c>
      <c r="H1550" s="13">
        <f t="shared" si="23"/>
        <v>57.818432880605997</v>
      </c>
    </row>
    <row r="1551" spans="2:8" s="460" customFormat="1">
      <c r="B1551" s="13">
        <v>1100</v>
      </c>
      <c r="C1551" s="13">
        <v>940</v>
      </c>
      <c r="D1551" s="13">
        <v>0.71350000000000002</v>
      </c>
      <c r="E1551" s="13">
        <v>1323</v>
      </c>
      <c r="F1551" s="13">
        <v>1468</v>
      </c>
      <c r="G1551" s="13">
        <v>1.617</v>
      </c>
      <c r="H1551" s="13">
        <f t="shared" si="23"/>
        <v>58.254948159732052</v>
      </c>
    </row>
    <row r="1552" spans="2:8" s="460" customFormat="1">
      <c r="B1552" s="13">
        <v>1100</v>
      </c>
      <c r="C1552" s="13">
        <v>960</v>
      </c>
      <c r="D1552" s="13">
        <v>0.72629999999999995</v>
      </c>
      <c r="E1552" s="13">
        <v>1332</v>
      </c>
      <c r="F1552" s="13">
        <v>1480</v>
      </c>
      <c r="G1552" s="13">
        <v>1.625</v>
      </c>
      <c r="H1552" s="13">
        <f t="shared" si="23"/>
        <v>58.731146646051386</v>
      </c>
    </row>
    <row r="1553" spans="2:8" s="460" customFormat="1">
      <c r="B1553" s="13">
        <v>1100</v>
      </c>
      <c r="C1553" s="13">
        <v>980</v>
      </c>
      <c r="D1553" s="13">
        <v>0.73899999999999999</v>
      </c>
      <c r="E1553" s="13">
        <v>1341</v>
      </c>
      <c r="F1553" s="13">
        <v>1492</v>
      </c>
      <c r="G1553" s="13">
        <v>1.633</v>
      </c>
      <c r="H1553" s="13">
        <f t="shared" si="23"/>
        <v>59.207345132370719</v>
      </c>
    </row>
    <row r="1554" spans="2:8" s="460" customFormat="1">
      <c r="B1554" s="13">
        <v>1100</v>
      </c>
      <c r="C1554" s="13">
        <v>1000</v>
      </c>
      <c r="D1554" s="13">
        <v>0.75160000000000005</v>
      </c>
      <c r="E1554" s="13">
        <v>1350</v>
      </c>
      <c r="F1554" s="13">
        <v>1503</v>
      </c>
      <c r="G1554" s="13">
        <v>1.641</v>
      </c>
      <c r="H1554" s="13">
        <f t="shared" si="23"/>
        <v>59.643860411496775</v>
      </c>
    </row>
    <row r="1555" spans="2:8" s="460" customFormat="1">
      <c r="B1555" s="13">
        <v>1100</v>
      </c>
      <c r="C1555" s="13">
        <v>1020</v>
      </c>
      <c r="D1555" s="13">
        <v>0.7641</v>
      </c>
      <c r="E1555" s="13">
        <v>1359</v>
      </c>
      <c r="F1555" s="13">
        <v>1515</v>
      </c>
      <c r="G1555" s="13">
        <v>1.649</v>
      </c>
      <c r="H1555" s="13">
        <f t="shared" si="23"/>
        <v>60.120058897816115</v>
      </c>
    </row>
    <row r="1556" spans="2:8" s="460" customFormat="1">
      <c r="B1556" s="13">
        <v>1100</v>
      </c>
      <c r="C1556" s="13">
        <v>1040</v>
      </c>
      <c r="D1556" s="13">
        <v>0.77649999999999997</v>
      </c>
      <c r="E1556" s="13">
        <v>1368</v>
      </c>
      <c r="F1556" s="13">
        <v>1526</v>
      </c>
      <c r="G1556" s="13">
        <v>1.657</v>
      </c>
      <c r="H1556" s="13">
        <f t="shared" si="23"/>
        <v>60.556574176942171</v>
      </c>
    </row>
    <row r="1557" spans="2:8" s="460" customFormat="1">
      <c r="B1557" s="13">
        <v>1100</v>
      </c>
      <c r="C1557" s="13">
        <v>1060</v>
      </c>
      <c r="D1557" s="13">
        <v>0.78879999999999995</v>
      </c>
      <c r="E1557" s="13">
        <v>1377</v>
      </c>
      <c r="F1557" s="13">
        <v>1538</v>
      </c>
      <c r="G1557" s="13">
        <v>1.665</v>
      </c>
      <c r="H1557" s="13">
        <f t="shared" si="23"/>
        <v>61.032772663261511</v>
      </c>
    </row>
    <row r="1558" spans="2:8" s="460" customFormat="1">
      <c r="B1558" s="13">
        <v>1100</v>
      </c>
      <c r="C1558" s="13">
        <v>1080</v>
      </c>
      <c r="D1558" s="13">
        <v>0.80110000000000003</v>
      </c>
      <c r="E1558" s="13">
        <v>1386</v>
      </c>
      <c r="F1558" s="13">
        <v>1549</v>
      </c>
      <c r="G1558" s="13">
        <v>1.6719999999999999</v>
      </c>
      <c r="H1558" s="13">
        <f t="shared" si="23"/>
        <v>61.469287942387567</v>
      </c>
    </row>
    <row r="1559" spans="2:8" s="460" customFormat="1">
      <c r="B1559" s="13">
        <v>1100</v>
      </c>
      <c r="C1559" s="13">
        <v>1100</v>
      </c>
      <c r="D1559" s="13">
        <v>0.81330000000000002</v>
      </c>
      <c r="E1559" s="13">
        <v>1395</v>
      </c>
      <c r="F1559" s="13">
        <v>1561</v>
      </c>
      <c r="G1559" s="13">
        <v>1.679</v>
      </c>
      <c r="H1559" s="13">
        <f t="shared" si="23"/>
        <v>61.9454864287069</v>
      </c>
    </row>
    <row r="1560" spans="2:8" s="460" customFormat="1">
      <c r="B1560" s="13">
        <v>1100</v>
      </c>
      <c r="C1560" s="13">
        <v>1120</v>
      </c>
      <c r="D1560" s="13">
        <v>0.82540000000000002</v>
      </c>
      <c r="E1560" s="13">
        <v>1404</v>
      </c>
      <c r="F1560" s="13">
        <v>1572</v>
      </c>
      <c r="G1560" s="13">
        <v>1.6870000000000001</v>
      </c>
      <c r="H1560" s="13">
        <f t="shared" si="23"/>
        <v>62.382001707832956</v>
      </c>
    </row>
    <row r="1561" spans="2:8" s="460" customFormat="1">
      <c r="B1561" s="13">
        <v>1100</v>
      </c>
      <c r="C1561" s="13">
        <v>1140</v>
      </c>
      <c r="D1561" s="13">
        <v>0.83750000000000002</v>
      </c>
      <c r="E1561" s="13">
        <v>1413</v>
      </c>
      <c r="F1561" s="13">
        <v>1583</v>
      </c>
      <c r="G1561" s="13">
        <v>1.694</v>
      </c>
      <c r="H1561" s="13">
        <f t="shared" si="23"/>
        <v>62.818516986959018</v>
      </c>
    </row>
    <row r="1562" spans="2:8" s="460" customFormat="1">
      <c r="B1562" s="13">
        <v>1100</v>
      </c>
      <c r="C1562" s="13">
        <v>1160</v>
      </c>
      <c r="D1562" s="13">
        <v>0.84950000000000003</v>
      </c>
      <c r="E1562" s="13">
        <v>1422</v>
      </c>
      <c r="F1562" s="13">
        <v>1595</v>
      </c>
      <c r="G1562" s="13">
        <v>1.7010000000000001</v>
      </c>
      <c r="H1562" s="13">
        <f t="shared" si="23"/>
        <v>63.294715473278352</v>
      </c>
    </row>
    <row r="1563" spans="2:8" s="460" customFormat="1">
      <c r="B1563" s="13">
        <v>1100</v>
      </c>
      <c r="C1563" s="13">
        <v>1180</v>
      </c>
      <c r="D1563" s="13">
        <v>0.86140000000000005</v>
      </c>
      <c r="E1563" s="13">
        <v>1431</v>
      </c>
      <c r="F1563" s="13">
        <v>1606</v>
      </c>
      <c r="G1563" s="13">
        <v>1.708</v>
      </c>
      <c r="H1563" s="13">
        <f t="shared" si="23"/>
        <v>63.731230752404407</v>
      </c>
    </row>
    <row r="1564" spans="2:8" s="460" customFormat="1">
      <c r="B1564" s="13">
        <v>1100</v>
      </c>
      <c r="C1564" s="13">
        <v>1200</v>
      </c>
      <c r="D1564" s="13">
        <v>0.87329999999999997</v>
      </c>
      <c r="E1564" s="13">
        <v>1440</v>
      </c>
      <c r="F1564" s="13">
        <v>1618</v>
      </c>
      <c r="G1564" s="13">
        <v>1.7150000000000001</v>
      </c>
      <c r="H1564" s="13">
        <f t="shared" si="23"/>
        <v>64.207429238723748</v>
      </c>
    </row>
    <row r="1565" spans="2:8" s="460" customFormat="1">
      <c r="B1565" s="13">
        <v>1100</v>
      </c>
      <c r="C1565" s="13">
        <v>1220</v>
      </c>
      <c r="D1565" s="13">
        <v>0.88519999999999999</v>
      </c>
      <c r="E1565" s="13">
        <v>1449</v>
      </c>
      <c r="F1565" s="13">
        <v>1629</v>
      </c>
      <c r="G1565" s="13">
        <v>1.722</v>
      </c>
      <c r="H1565" s="13">
        <f t="shared" si="23"/>
        <v>64.643944517849803</v>
      </c>
    </row>
    <row r="1566" spans="2:8" s="460" customFormat="1">
      <c r="B1566" s="13">
        <v>1100</v>
      </c>
      <c r="C1566" s="13">
        <v>1240</v>
      </c>
      <c r="D1566" s="13">
        <v>0.89700000000000002</v>
      </c>
      <c r="E1566" s="13">
        <v>1458</v>
      </c>
      <c r="F1566" s="13">
        <v>1640</v>
      </c>
      <c r="G1566" s="13">
        <v>1.728</v>
      </c>
      <c r="H1566" s="13">
        <f t="shared" si="23"/>
        <v>65.080459796975859</v>
      </c>
    </row>
    <row r="1567" spans="2:8" s="460" customFormat="1">
      <c r="B1567" s="13">
        <v>1100</v>
      </c>
      <c r="C1567" s="13">
        <v>1260</v>
      </c>
      <c r="D1567" s="13">
        <v>0.90880000000000005</v>
      </c>
      <c r="E1567" s="13">
        <v>1467</v>
      </c>
      <c r="F1567" s="13">
        <v>1652</v>
      </c>
      <c r="G1567" s="13">
        <v>1.7350000000000001</v>
      </c>
      <c r="H1567" s="13">
        <f t="shared" si="23"/>
        <v>65.556658283295192</v>
      </c>
    </row>
    <row r="1568" spans="2:8" s="460" customFormat="1">
      <c r="B1568" s="13">
        <v>1100</v>
      </c>
      <c r="C1568" s="13">
        <v>1280</v>
      </c>
      <c r="D1568" s="13">
        <v>0.92049999999999998</v>
      </c>
      <c r="E1568" s="13">
        <v>1476</v>
      </c>
      <c r="F1568" s="13">
        <v>1663</v>
      </c>
      <c r="G1568" s="13">
        <v>1.742</v>
      </c>
      <c r="H1568" s="13">
        <f t="shared" si="23"/>
        <v>65.993173562421248</v>
      </c>
    </row>
    <row r="1569" spans="2:8" s="460" customFormat="1">
      <c r="B1569" s="13">
        <v>1100</v>
      </c>
      <c r="C1569" s="13">
        <v>1300</v>
      </c>
      <c r="D1569" s="13">
        <v>0.93220000000000003</v>
      </c>
      <c r="E1569" s="13">
        <v>1485</v>
      </c>
      <c r="F1569" s="13">
        <v>1675</v>
      </c>
      <c r="G1569" s="13">
        <v>1.748</v>
      </c>
      <c r="H1569" s="13">
        <f t="shared" si="23"/>
        <v>66.469372048740595</v>
      </c>
    </row>
    <row r="1570" spans="2:8" s="460" customFormat="1">
      <c r="B1570" s="13">
        <v>1100</v>
      </c>
      <c r="C1570" s="13">
        <v>1320</v>
      </c>
      <c r="D1570" s="13">
        <v>0.94389999999999996</v>
      </c>
      <c r="E1570" s="13">
        <v>1494</v>
      </c>
      <c r="F1570" s="13">
        <v>1686</v>
      </c>
      <c r="G1570" s="13">
        <v>1.7549999999999999</v>
      </c>
      <c r="H1570" s="13">
        <f t="shared" si="23"/>
        <v>66.905887327866637</v>
      </c>
    </row>
    <row r="1571" spans="2:8" s="460" customFormat="1">
      <c r="B1571" s="13">
        <v>1100</v>
      </c>
      <c r="C1571" s="13">
        <v>1340</v>
      </c>
      <c r="D1571" s="13">
        <v>0.95550000000000002</v>
      </c>
      <c r="E1571" s="13">
        <v>1503</v>
      </c>
      <c r="F1571" s="13">
        <v>1698</v>
      </c>
      <c r="G1571" s="13">
        <v>1.7609999999999999</v>
      </c>
      <c r="H1571" s="13">
        <f t="shared" si="23"/>
        <v>67.382085814185984</v>
      </c>
    </row>
    <row r="1572" spans="2:8" s="460" customFormat="1">
      <c r="B1572" s="13">
        <v>1100</v>
      </c>
      <c r="C1572" s="13">
        <v>1360</v>
      </c>
      <c r="D1572" s="13">
        <v>0.96709999999999996</v>
      </c>
      <c r="E1572" s="13">
        <v>1512</v>
      </c>
      <c r="F1572" s="13">
        <v>1709</v>
      </c>
      <c r="G1572" s="13">
        <v>1.768</v>
      </c>
      <c r="H1572" s="13">
        <f t="shared" si="23"/>
        <v>67.81860109331204</v>
      </c>
    </row>
    <row r="1573" spans="2:8" s="460" customFormat="1">
      <c r="B1573" s="13">
        <v>1100</v>
      </c>
      <c r="C1573" s="13">
        <v>1380</v>
      </c>
      <c r="D1573" s="13">
        <v>0.97870000000000001</v>
      </c>
      <c r="E1573" s="13">
        <v>1521</v>
      </c>
      <c r="F1573" s="13">
        <v>1721</v>
      </c>
      <c r="G1573" s="13">
        <v>1.774</v>
      </c>
      <c r="H1573" s="13">
        <f t="shared" si="23"/>
        <v>68.294799579631373</v>
      </c>
    </row>
    <row r="1574" spans="2:8" s="460" customFormat="1">
      <c r="B1574" s="13">
        <v>1100</v>
      </c>
      <c r="C1574" s="13">
        <v>1400</v>
      </c>
      <c r="D1574" s="13">
        <v>0.99019999999999997</v>
      </c>
      <c r="E1574" s="13">
        <v>1531</v>
      </c>
      <c r="F1574" s="13">
        <v>1732</v>
      </c>
      <c r="G1574" s="13">
        <v>1.78</v>
      </c>
      <c r="H1574" s="13">
        <f t="shared" si="23"/>
        <v>68.731314858757429</v>
      </c>
    </row>
    <row r="1575" spans="2:8" s="460" customFormat="1">
      <c r="B1575" s="13">
        <v>1100</v>
      </c>
      <c r="C1575" s="13">
        <v>1420</v>
      </c>
      <c r="D1575" s="13">
        <v>1.002</v>
      </c>
      <c r="E1575" s="13">
        <v>1540</v>
      </c>
      <c r="F1575" s="13">
        <v>1744</v>
      </c>
      <c r="G1575" s="13">
        <v>1.786</v>
      </c>
      <c r="H1575" s="13">
        <f t="shared" si="23"/>
        <v>69.207513345076762</v>
      </c>
    </row>
    <row r="1576" spans="2:8" s="460" customFormat="1">
      <c r="B1576" s="13">
        <v>1100</v>
      </c>
      <c r="C1576" s="13">
        <v>1440</v>
      </c>
      <c r="D1576" s="13">
        <v>1.0129999999999999</v>
      </c>
      <c r="E1576" s="13">
        <v>1549</v>
      </c>
      <c r="F1576" s="13">
        <v>1755</v>
      </c>
      <c r="G1576" s="13">
        <v>1.792</v>
      </c>
      <c r="H1576" s="13">
        <f t="shared" si="23"/>
        <v>69.644028624202832</v>
      </c>
    </row>
    <row r="1577" spans="2:8" s="460" customFormat="1">
      <c r="B1577" s="13">
        <v>1100</v>
      </c>
      <c r="C1577" s="13">
        <v>1460</v>
      </c>
      <c r="D1577" s="13">
        <v>1.0249999999999999</v>
      </c>
      <c r="E1577" s="13">
        <v>1558</v>
      </c>
      <c r="F1577" s="13">
        <v>1767</v>
      </c>
      <c r="G1577" s="13">
        <v>1.798</v>
      </c>
      <c r="H1577" s="13">
        <f t="shared" si="23"/>
        <v>70.120227110522166</v>
      </c>
    </row>
    <row r="1578" spans="2:8" s="460" customFormat="1">
      <c r="B1578" s="13">
        <v>1100</v>
      </c>
      <c r="C1578" s="13">
        <v>1480</v>
      </c>
      <c r="D1578" s="13">
        <v>1.036</v>
      </c>
      <c r="E1578" s="13">
        <v>1568</v>
      </c>
      <c r="F1578" s="13">
        <v>1778</v>
      </c>
      <c r="G1578" s="13">
        <v>1.804</v>
      </c>
      <c r="H1578" s="13">
        <f t="shared" si="23"/>
        <v>70.556742389648221</v>
      </c>
    </row>
    <row r="1579" spans="2:8" s="460" customFormat="1">
      <c r="B1579" s="13">
        <v>1100</v>
      </c>
      <c r="C1579" s="13">
        <v>1500</v>
      </c>
      <c r="D1579" s="13">
        <v>1.048</v>
      </c>
      <c r="E1579" s="13">
        <v>1577</v>
      </c>
      <c r="F1579" s="13">
        <v>1790</v>
      </c>
      <c r="G1579" s="13">
        <v>1.81</v>
      </c>
      <c r="H1579" s="13">
        <f t="shared" si="23"/>
        <v>71.032940875967554</v>
      </c>
    </row>
    <row r="1580" spans="2:8" s="460" customFormat="1">
      <c r="B1580" s="13">
        <v>1200</v>
      </c>
      <c r="C1580" s="13">
        <v>40</v>
      </c>
      <c r="D1580" s="13">
        <v>1.5959999999999998E-2</v>
      </c>
      <c r="E1580" s="13">
        <v>8.0190000000000001</v>
      </c>
      <c r="F1580" s="13">
        <v>11.56</v>
      </c>
      <c r="G1580" s="13">
        <v>1.6160000000000001E-2</v>
      </c>
      <c r="H1580" s="13">
        <f t="shared" si="23"/>
        <v>0.45873787515429326</v>
      </c>
    </row>
    <row r="1581" spans="2:8" s="460" customFormat="1">
      <c r="B1581" s="13">
        <v>1200</v>
      </c>
      <c r="C1581" s="13">
        <v>60</v>
      </c>
      <c r="D1581" s="13">
        <v>1.5970000000000002E-2</v>
      </c>
      <c r="E1581" s="13">
        <v>27.92</v>
      </c>
      <c r="F1581" s="13">
        <v>31.46</v>
      </c>
      <c r="G1581" s="13">
        <v>5.5219999999999998E-2</v>
      </c>
      <c r="H1581" s="13">
        <f t="shared" si="23"/>
        <v>1.2484336983005249</v>
      </c>
    </row>
    <row r="1582" spans="2:8" s="460" customFormat="1">
      <c r="B1582" s="13">
        <v>1200</v>
      </c>
      <c r="C1582" s="13">
        <v>80</v>
      </c>
      <c r="D1582" s="13">
        <v>1.601E-2</v>
      </c>
      <c r="E1582" s="13">
        <v>47.78</v>
      </c>
      <c r="F1582" s="13">
        <v>51.33</v>
      </c>
      <c r="G1582" s="13">
        <v>9.2740000000000003E-2</v>
      </c>
      <c r="H1582" s="13">
        <f t="shared" si="23"/>
        <v>2.036939025230958</v>
      </c>
    </row>
    <row r="1583" spans="2:8" s="460" customFormat="1">
      <c r="B1583" s="13">
        <v>1200</v>
      </c>
      <c r="C1583" s="13">
        <v>100</v>
      </c>
      <c r="D1583" s="13">
        <v>1.6070000000000001E-2</v>
      </c>
      <c r="E1583" s="13">
        <v>67.63</v>
      </c>
      <c r="F1583" s="13">
        <v>71.2</v>
      </c>
      <c r="G1583" s="13">
        <v>0.12889999999999999</v>
      </c>
      <c r="H1583" s="13">
        <f t="shared" si="23"/>
        <v>2.8254443521613912</v>
      </c>
    </row>
    <row r="1584" spans="2:8" s="460" customFormat="1">
      <c r="B1584" s="13">
        <v>1200</v>
      </c>
      <c r="C1584" s="13">
        <v>120</v>
      </c>
      <c r="D1584" s="13">
        <v>1.6150000000000001E-2</v>
      </c>
      <c r="E1584" s="13">
        <v>87.48</v>
      </c>
      <c r="F1584" s="13">
        <v>91.07</v>
      </c>
      <c r="G1584" s="13">
        <v>0.1638</v>
      </c>
      <c r="H1584" s="13">
        <f t="shared" si="23"/>
        <v>3.6139496790918235</v>
      </c>
    </row>
    <row r="1585" spans="2:8" s="460" customFormat="1">
      <c r="B1585" s="13">
        <v>1200</v>
      </c>
      <c r="C1585" s="13">
        <v>140</v>
      </c>
      <c r="D1585" s="13">
        <v>1.6230000000000001E-2</v>
      </c>
      <c r="E1585" s="13">
        <v>107.3</v>
      </c>
      <c r="F1585" s="13">
        <v>111</v>
      </c>
      <c r="G1585" s="13">
        <v>0.19750000000000001</v>
      </c>
      <c r="H1585" s="13">
        <f t="shared" si="23"/>
        <v>4.4048359984538532</v>
      </c>
    </row>
    <row r="1586" spans="2:8" s="460" customFormat="1">
      <c r="B1586" s="13">
        <v>1200</v>
      </c>
      <c r="C1586" s="13">
        <v>160</v>
      </c>
      <c r="D1586" s="13">
        <v>1.6330000000000001E-2</v>
      </c>
      <c r="E1586" s="13">
        <v>127.2</v>
      </c>
      <c r="F1586" s="13">
        <v>130.9</v>
      </c>
      <c r="G1586" s="13">
        <v>0.2301</v>
      </c>
      <c r="H1586" s="13">
        <f t="shared" si="23"/>
        <v>5.1945318216000853</v>
      </c>
    </row>
    <row r="1587" spans="2:8" s="460" customFormat="1">
      <c r="B1587" s="13">
        <v>1200</v>
      </c>
      <c r="C1587" s="13">
        <v>180</v>
      </c>
      <c r="D1587" s="13">
        <v>1.6449999999999999E-2</v>
      </c>
      <c r="E1587" s="13">
        <v>147.19999999999999</v>
      </c>
      <c r="F1587" s="13">
        <v>150.80000000000001</v>
      </c>
      <c r="G1587" s="13">
        <v>0.26179999999999998</v>
      </c>
      <c r="H1587" s="13">
        <f t="shared" si="23"/>
        <v>5.9842276447463174</v>
      </c>
    </row>
    <row r="1588" spans="2:8" s="460" customFormat="1">
      <c r="B1588" s="13">
        <v>1200</v>
      </c>
      <c r="C1588" s="13">
        <v>200</v>
      </c>
      <c r="D1588" s="13">
        <v>1.6570000000000001E-2</v>
      </c>
      <c r="E1588" s="13">
        <v>167.1</v>
      </c>
      <c r="F1588" s="13">
        <v>170.8</v>
      </c>
      <c r="G1588" s="13">
        <v>0.29260000000000003</v>
      </c>
      <c r="H1588" s="13">
        <f t="shared" si="23"/>
        <v>6.7778917886118766</v>
      </c>
    </row>
    <row r="1589" spans="2:8" s="460" customFormat="1">
      <c r="B1589" s="13">
        <v>1200</v>
      </c>
      <c r="C1589" s="13">
        <v>220</v>
      </c>
      <c r="D1589" s="13">
        <v>1.67E-2</v>
      </c>
      <c r="E1589" s="13">
        <v>187.1</v>
      </c>
      <c r="F1589" s="13">
        <v>190.9</v>
      </c>
      <c r="G1589" s="13">
        <v>0.32250000000000001</v>
      </c>
      <c r="H1589" s="13">
        <f t="shared" si="23"/>
        <v>7.5755242531967628</v>
      </c>
    </row>
    <row r="1590" spans="2:8" s="460" customFormat="1">
      <c r="B1590" s="13">
        <v>1200</v>
      </c>
      <c r="C1590" s="13">
        <v>240</v>
      </c>
      <c r="D1590" s="13">
        <v>1.685E-2</v>
      </c>
      <c r="E1590" s="13">
        <v>207.2</v>
      </c>
      <c r="F1590" s="13">
        <v>211</v>
      </c>
      <c r="G1590" s="13">
        <v>0.35170000000000001</v>
      </c>
      <c r="H1590" s="13">
        <f t="shared" si="23"/>
        <v>8.3731567177816508</v>
      </c>
    </row>
    <row r="1591" spans="2:8" s="460" customFormat="1">
      <c r="B1591" s="13">
        <v>1200</v>
      </c>
      <c r="C1591" s="13">
        <v>260</v>
      </c>
      <c r="D1591" s="13">
        <v>1.7010000000000001E-2</v>
      </c>
      <c r="E1591" s="13">
        <v>227.4</v>
      </c>
      <c r="F1591" s="13">
        <v>231.2</v>
      </c>
      <c r="G1591" s="13">
        <v>0.38019999999999998</v>
      </c>
      <c r="H1591" s="13">
        <f t="shared" si="23"/>
        <v>9.1747575030858641</v>
      </c>
    </row>
    <row r="1592" spans="2:8" s="460" customFormat="1">
      <c r="B1592" s="13">
        <v>1200</v>
      </c>
      <c r="C1592" s="13">
        <v>280</v>
      </c>
      <c r="D1592" s="13">
        <v>1.7180000000000001E-2</v>
      </c>
      <c r="E1592" s="13">
        <v>247.6</v>
      </c>
      <c r="F1592" s="13">
        <v>251.5</v>
      </c>
      <c r="G1592" s="13">
        <v>0.40799999999999997</v>
      </c>
      <c r="H1592" s="13">
        <f t="shared" si="23"/>
        <v>9.9803266091094081</v>
      </c>
    </row>
    <row r="1593" spans="2:8" s="460" customFormat="1">
      <c r="B1593" s="13">
        <v>1200</v>
      </c>
      <c r="C1593" s="13">
        <v>300</v>
      </c>
      <c r="D1593" s="13">
        <v>1.737E-2</v>
      </c>
      <c r="E1593" s="13">
        <v>268</v>
      </c>
      <c r="F1593" s="13">
        <v>271.89999999999998</v>
      </c>
      <c r="G1593" s="13">
        <v>0.43519999999999998</v>
      </c>
      <c r="H1593" s="13">
        <f t="shared" si="23"/>
        <v>10.789864035852277</v>
      </c>
    </row>
    <row r="1594" spans="2:8" s="460" customFormat="1">
      <c r="B1594" s="13">
        <v>1200</v>
      </c>
      <c r="C1594" s="13">
        <v>320</v>
      </c>
      <c r="D1594" s="13">
        <v>1.7569999999999999E-2</v>
      </c>
      <c r="E1594" s="13">
        <v>288.5</v>
      </c>
      <c r="F1594" s="13">
        <v>292.39999999999998</v>
      </c>
      <c r="G1594" s="13">
        <v>0.46189999999999998</v>
      </c>
      <c r="H1594" s="13">
        <f t="shared" si="23"/>
        <v>11.603369783314475</v>
      </c>
    </row>
    <row r="1595" spans="2:8" s="460" customFormat="1">
      <c r="B1595" s="13">
        <v>1200</v>
      </c>
      <c r="C1595" s="13">
        <v>340</v>
      </c>
      <c r="D1595" s="13">
        <v>1.7780000000000001E-2</v>
      </c>
      <c r="E1595" s="13">
        <v>309.10000000000002</v>
      </c>
      <c r="F1595" s="13">
        <v>313.10000000000002</v>
      </c>
      <c r="G1595" s="13">
        <v>0.48799999999999999</v>
      </c>
      <c r="H1595" s="13">
        <f t="shared" si="23"/>
        <v>12.424812172215329</v>
      </c>
    </row>
    <row r="1596" spans="2:8" s="460" customFormat="1">
      <c r="B1596" s="13">
        <v>1200</v>
      </c>
      <c r="C1596" s="13">
        <v>360</v>
      </c>
      <c r="D1596" s="13">
        <v>1.8010000000000002E-2</v>
      </c>
      <c r="E1596" s="13">
        <v>329.9</v>
      </c>
      <c r="F1596" s="13">
        <v>333.9</v>
      </c>
      <c r="G1596" s="13">
        <v>0.51380000000000003</v>
      </c>
      <c r="H1596" s="13">
        <f t="shared" si="23"/>
        <v>13.25022288183551</v>
      </c>
    </row>
    <row r="1597" spans="2:8" s="460" customFormat="1">
      <c r="B1597" s="13">
        <v>1200</v>
      </c>
      <c r="C1597" s="13">
        <v>380</v>
      </c>
      <c r="D1597" s="13">
        <v>1.8259999999999998E-2</v>
      </c>
      <c r="E1597" s="13">
        <v>350.9</v>
      </c>
      <c r="F1597" s="13">
        <v>354.9</v>
      </c>
      <c r="G1597" s="13">
        <v>0.53910000000000002</v>
      </c>
      <c r="H1597" s="13">
        <f t="shared" si="23"/>
        <v>14.083570232894347</v>
      </c>
    </row>
    <row r="1598" spans="2:8" s="460" customFormat="1">
      <c r="B1598" s="13">
        <v>1200</v>
      </c>
      <c r="C1598" s="13">
        <v>400</v>
      </c>
      <c r="D1598" s="13">
        <v>1.8530000000000001E-2</v>
      </c>
      <c r="E1598" s="13">
        <v>372.1</v>
      </c>
      <c r="F1598" s="13">
        <v>376.2</v>
      </c>
      <c r="G1598" s="13">
        <v>0.56420000000000003</v>
      </c>
      <c r="H1598" s="13">
        <f t="shared" si="23"/>
        <v>14.928822546111171</v>
      </c>
    </row>
    <row r="1599" spans="2:8" s="460" customFormat="1">
      <c r="B1599" s="13">
        <v>1200</v>
      </c>
      <c r="C1599" s="13">
        <v>420</v>
      </c>
      <c r="D1599" s="13">
        <v>1.882E-2</v>
      </c>
      <c r="E1599" s="13">
        <v>393.5</v>
      </c>
      <c r="F1599" s="13">
        <v>397.7</v>
      </c>
      <c r="G1599" s="13">
        <v>0.58889999999999998</v>
      </c>
      <c r="H1599" s="13">
        <f t="shared" si="23"/>
        <v>15.782011500766645</v>
      </c>
    </row>
    <row r="1600" spans="2:8" s="460" customFormat="1">
      <c r="B1600" s="13">
        <v>1200</v>
      </c>
      <c r="C1600" s="13">
        <v>440</v>
      </c>
      <c r="D1600" s="13">
        <v>1.9140000000000001E-2</v>
      </c>
      <c r="E1600" s="13">
        <v>415.3</v>
      </c>
      <c r="F1600" s="13">
        <v>419.6</v>
      </c>
      <c r="G1600" s="13">
        <v>0.61350000000000005</v>
      </c>
      <c r="H1600" s="13">
        <f t="shared" si="23"/>
        <v>16.651073738299434</v>
      </c>
    </row>
    <row r="1601" spans="2:8" s="460" customFormat="1">
      <c r="B1601" s="13">
        <v>1200</v>
      </c>
      <c r="C1601" s="13">
        <v>460</v>
      </c>
      <c r="D1601" s="13">
        <v>1.95E-2</v>
      </c>
      <c r="E1601" s="13">
        <v>437.5</v>
      </c>
      <c r="F1601" s="13">
        <v>441.8</v>
      </c>
      <c r="G1601" s="13">
        <v>0.63790000000000002</v>
      </c>
      <c r="H1601" s="13">
        <f t="shared" si="23"/>
        <v>17.532040937990207</v>
      </c>
    </row>
    <row r="1602" spans="2:8" s="460" customFormat="1">
      <c r="B1602" s="13">
        <v>1200</v>
      </c>
      <c r="C1602" s="13">
        <v>480</v>
      </c>
      <c r="D1602" s="13">
        <v>1.9890000000000001E-2</v>
      </c>
      <c r="E1602" s="13">
        <v>460</v>
      </c>
      <c r="F1602" s="13">
        <v>464.5</v>
      </c>
      <c r="G1602" s="13">
        <v>0.6623</v>
      </c>
      <c r="H1602" s="13">
        <f t="shared" si="23"/>
        <v>18.432849741277614</v>
      </c>
    </row>
    <row r="1603" spans="2:8" s="460" customFormat="1">
      <c r="B1603" s="13">
        <v>1200</v>
      </c>
      <c r="C1603" s="13">
        <v>500</v>
      </c>
      <c r="D1603" s="13">
        <v>2.0320000000000001E-2</v>
      </c>
      <c r="E1603" s="13">
        <v>483.2</v>
      </c>
      <c r="F1603" s="13">
        <v>487.7</v>
      </c>
      <c r="G1603" s="13">
        <v>0.68669999999999998</v>
      </c>
      <c r="H1603" s="13">
        <f t="shared" si="23"/>
        <v>19.353500148161661</v>
      </c>
    </row>
    <row r="1604" spans="2:8" s="460" customFormat="1">
      <c r="B1604" s="13">
        <v>1200</v>
      </c>
      <c r="C1604" s="13">
        <v>520</v>
      </c>
      <c r="D1604" s="13">
        <v>2.0820000000000002E-2</v>
      </c>
      <c r="E1604" s="13">
        <v>506.9</v>
      </c>
      <c r="F1604" s="13">
        <v>511.5</v>
      </c>
      <c r="G1604" s="13">
        <v>0.71140000000000003</v>
      </c>
      <c r="H1604" s="13">
        <f t="shared" si="23"/>
        <v>20.297960479361677</v>
      </c>
    </row>
    <row r="1605" spans="2:8" s="460" customFormat="1">
      <c r="B1605" s="13">
        <v>1200</v>
      </c>
      <c r="C1605" s="13">
        <v>540</v>
      </c>
      <c r="D1605" s="13">
        <v>2.138E-2</v>
      </c>
      <c r="E1605" s="13">
        <v>531.5</v>
      </c>
      <c r="F1605" s="13">
        <v>536.29999999999995</v>
      </c>
      <c r="G1605" s="13">
        <v>0.73629999999999995</v>
      </c>
      <c r="H1605" s="13">
        <f t="shared" si="23"/>
        <v>21.282104017754971</v>
      </c>
    </row>
    <row r="1606" spans="2:8" s="460" customFormat="1">
      <c r="B1606" s="13">
        <v>1200</v>
      </c>
      <c r="C1606" s="605">
        <v>560</v>
      </c>
      <c r="D1606" s="605">
        <v>2.205E-2</v>
      </c>
      <c r="E1606" s="605">
        <v>557.20000000000005</v>
      </c>
      <c r="F1606" s="605">
        <v>562.1</v>
      </c>
      <c r="G1606" s="605">
        <v>0.76190000000000002</v>
      </c>
      <c r="H1606" s="13">
        <f t="shared" si="23"/>
        <v>22.305930763341546</v>
      </c>
    </row>
    <row r="1607" spans="2:8" s="460" customFormat="1">
      <c r="B1607" s="13">
        <v>1200</v>
      </c>
      <c r="C1607" s="605">
        <v>580</v>
      </c>
      <c r="D1607" s="605">
        <v>0.37909999999999999</v>
      </c>
      <c r="E1607" s="605">
        <v>1117</v>
      </c>
      <c r="F1607" s="605">
        <v>1201</v>
      </c>
      <c r="G1607" s="605">
        <v>1.3839999999999999</v>
      </c>
      <c r="H1607" s="13">
        <f t="shared" si="23"/>
        <v>47.659531839126835</v>
      </c>
    </row>
    <row r="1608" spans="2:8" s="460" customFormat="1">
      <c r="B1608" s="13">
        <v>1200</v>
      </c>
      <c r="C1608" s="13">
        <v>600</v>
      </c>
      <c r="D1608" s="13">
        <v>0.40200000000000002</v>
      </c>
      <c r="E1608" s="13">
        <v>1135</v>
      </c>
      <c r="F1608" s="13">
        <v>1224</v>
      </c>
      <c r="G1608" s="13">
        <v>1.4059999999999999</v>
      </c>
      <c r="H1608" s="13">
        <f t="shared" si="23"/>
        <v>48.572245604572231</v>
      </c>
    </row>
    <row r="1609" spans="2:8" s="460" customFormat="1">
      <c r="B1609" s="13">
        <v>1200</v>
      </c>
      <c r="C1609" s="13">
        <v>620</v>
      </c>
      <c r="D1609" s="13">
        <v>0.42249999999999999</v>
      </c>
      <c r="E1609" s="13">
        <v>1150</v>
      </c>
      <c r="F1609" s="13">
        <v>1244</v>
      </c>
      <c r="G1609" s="13">
        <v>1.425</v>
      </c>
      <c r="H1609" s="13">
        <f t="shared" si="23"/>
        <v>49.365909748437787</v>
      </c>
    </row>
    <row r="1610" spans="2:8" s="460" customFormat="1">
      <c r="B1610" s="13">
        <v>1200</v>
      </c>
      <c r="C1610" s="13">
        <v>640</v>
      </c>
      <c r="D1610" s="13">
        <v>0.44130000000000003</v>
      </c>
      <c r="E1610" s="13">
        <v>1165</v>
      </c>
      <c r="F1610" s="13">
        <v>1263</v>
      </c>
      <c r="G1610" s="13">
        <v>1.4419999999999999</v>
      </c>
      <c r="H1610" s="13">
        <f t="shared" si="23"/>
        <v>50.119890685110072</v>
      </c>
    </row>
    <row r="1611" spans="2:8" s="460" customFormat="1">
      <c r="B1611" s="13">
        <v>1200</v>
      </c>
      <c r="C1611" s="13">
        <v>660</v>
      </c>
      <c r="D1611" s="13">
        <v>0.45879999999999999</v>
      </c>
      <c r="E1611" s="13">
        <v>1178</v>
      </c>
      <c r="F1611" s="13">
        <v>1279</v>
      </c>
      <c r="G1611" s="13">
        <v>1.4570000000000001</v>
      </c>
      <c r="H1611" s="13">
        <f t="shared" si="23"/>
        <v>50.754822000202509</v>
      </c>
    </row>
    <row r="1612" spans="2:8" s="460" customFormat="1">
      <c r="B1612" s="13">
        <v>1200</v>
      </c>
      <c r="C1612" s="13">
        <v>680</v>
      </c>
      <c r="D1612" s="13">
        <v>0.4753</v>
      </c>
      <c r="E1612" s="13">
        <v>1190</v>
      </c>
      <c r="F1612" s="13">
        <v>1295</v>
      </c>
      <c r="G1612" s="13">
        <v>1.4710000000000001</v>
      </c>
      <c r="H1612" s="13">
        <f t="shared" si="23"/>
        <v>51.389753315294961</v>
      </c>
    </row>
    <row r="1613" spans="2:8" s="460" customFormat="1">
      <c r="B1613" s="13">
        <v>1200</v>
      </c>
      <c r="C1613" s="13">
        <v>700</v>
      </c>
      <c r="D1613" s="13">
        <v>0.49099999999999999</v>
      </c>
      <c r="E1613" s="13">
        <v>1201</v>
      </c>
      <c r="F1613" s="13">
        <v>1311</v>
      </c>
      <c r="G1613" s="13">
        <v>1.484</v>
      </c>
      <c r="H1613" s="13">
        <f t="shared" si="23"/>
        <v>52.024684630387412</v>
      </c>
    </row>
    <row r="1614" spans="2:8" s="460" customFormat="1">
      <c r="B1614" s="13">
        <v>1200</v>
      </c>
      <c r="C1614" s="13">
        <v>720</v>
      </c>
      <c r="D1614" s="13">
        <v>0.50619999999999998</v>
      </c>
      <c r="E1614" s="13">
        <v>1213</v>
      </c>
      <c r="F1614" s="13">
        <v>1325</v>
      </c>
      <c r="G1614" s="13">
        <v>1.4970000000000001</v>
      </c>
      <c r="H1614" s="13">
        <f t="shared" si="23"/>
        <v>52.580249531093301</v>
      </c>
    </row>
    <row r="1615" spans="2:8" s="460" customFormat="1">
      <c r="B1615" s="13">
        <v>1200</v>
      </c>
      <c r="C1615" s="13">
        <v>740</v>
      </c>
      <c r="D1615" s="13">
        <v>0.52080000000000004</v>
      </c>
      <c r="E1615" s="13">
        <v>1223</v>
      </c>
      <c r="F1615" s="13">
        <v>1339</v>
      </c>
      <c r="G1615" s="13">
        <v>1.508</v>
      </c>
      <c r="H1615" s="13">
        <f t="shared" si="23"/>
        <v>53.13581443179919</v>
      </c>
    </row>
    <row r="1616" spans="2:8" s="460" customFormat="1">
      <c r="B1616" s="13">
        <v>1200</v>
      </c>
      <c r="C1616" s="13">
        <v>760</v>
      </c>
      <c r="D1616" s="13">
        <v>0.53490000000000004</v>
      </c>
      <c r="E1616" s="13">
        <v>1234</v>
      </c>
      <c r="F1616" s="13">
        <v>1353</v>
      </c>
      <c r="G1616" s="13">
        <v>1.52</v>
      </c>
      <c r="H1616" s="13">
        <f t="shared" si="23"/>
        <v>53.691379332505086</v>
      </c>
    </row>
    <row r="1617" spans="2:8" s="460" customFormat="1">
      <c r="B1617" s="13">
        <v>1200</v>
      </c>
      <c r="C1617" s="13">
        <v>780</v>
      </c>
      <c r="D1617" s="13">
        <v>0.54869999999999997</v>
      </c>
      <c r="E1617" s="13">
        <v>1244</v>
      </c>
      <c r="F1617" s="13">
        <v>1366</v>
      </c>
      <c r="G1617" s="13">
        <v>1.53</v>
      </c>
      <c r="H1617" s="13">
        <f t="shared" si="23"/>
        <v>54.20726102601769</v>
      </c>
    </row>
    <row r="1618" spans="2:8" s="460" customFormat="1">
      <c r="B1618" s="13">
        <v>1200</v>
      </c>
      <c r="C1618" s="13">
        <v>800</v>
      </c>
      <c r="D1618" s="13">
        <v>0.56220000000000003</v>
      </c>
      <c r="E1618" s="13">
        <v>1254</v>
      </c>
      <c r="F1618" s="13">
        <v>1379</v>
      </c>
      <c r="G1618" s="13">
        <v>1.5409999999999999</v>
      </c>
      <c r="H1618" s="13">
        <f t="shared" si="23"/>
        <v>54.723142719530308</v>
      </c>
    </row>
    <row r="1619" spans="2:8" s="460" customFormat="1">
      <c r="B1619" s="13">
        <v>1200</v>
      </c>
      <c r="C1619" s="13">
        <v>820</v>
      </c>
      <c r="D1619" s="13">
        <v>0.57540000000000002</v>
      </c>
      <c r="E1619" s="13">
        <v>1264</v>
      </c>
      <c r="F1619" s="13">
        <v>1392</v>
      </c>
      <c r="G1619" s="13">
        <v>1.5509999999999999</v>
      </c>
      <c r="H1619" s="13">
        <f t="shared" si="23"/>
        <v>55.239024413042927</v>
      </c>
    </row>
    <row r="1620" spans="2:8" s="460" customFormat="1">
      <c r="B1620" s="13">
        <v>1200</v>
      </c>
      <c r="C1620" s="13">
        <v>840</v>
      </c>
      <c r="D1620" s="13">
        <v>0.58830000000000005</v>
      </c>
      <c r="E1620" s="13">
        <v>1274</v>
      </c>
      <c r="F1620" s="13">
        <v>1404</v>
      </c>
      <c r="G1620" s="13">
        <v>1.5609999999999999</v>
      </c>
      <c r="H1620" s="13">
        <f t="shared" si="23"/>
        <v>55.71522289936226</v>
      </c>
    </row>
    <row r="1621" spans="2:8" s="460" customFormat="1">
      <c r="B1621" s="13">
        <v>1200</v>
      </c>
      <c r="C1621" s="13">
        <v>860</v>
      </c>
      <c r="D1621" s="13">
        <v>0.60099999999999998</v>
      </c>
      <c r="E1621" s="13">
        <v>1283</v>
      </c>
      <c r="F1621" s="13">
        <v>1417</v>
      </c>
      <c r="G1621" s="13">
        <v>1.57</v>
      </c>
      <c r="H1621" s="13">
        <f t="shared" si="23"/>
        <v>56.231104592874878</v>
      </c>
    </row>
    <row r="1622" spans="2:8" s="460" customFormat="1">
      <c r="B1622" s="13">
        <v>1200</v>
      </c>
      <c r="C1622" s="13">
        <v>880</v>
      </c>
      <c r="D1622" s="13">
        <v>0.61360000000000003</v>
      </c>
      <c r="E1622" s="13">
        <v>1293</v>
      </c>
      <c r="F1622" s="13">
        <v>1429</v>
      </c>
      <c r="G1622" s="13">
        <v>1.579</v>
      </c>
      <c r="H1622" s="13">
        <f t="shared" si="23"/>
        <v>56.707303079194212</v>
      </c>
    </row>
    <row r="1623" spans="2:8" s="460" customFormat="1">
      <c r="B1623" s="13">
        <v>1200</v>
      </c>
      <c r="C1623" s="13">
        <v>900</v>
      </c>
      <c r="D1623" s="13">
        <v>0.62590000000000001</v>
      </c>
      <c r="E1623" s="13">
        <v>1302</v>
      </c>
      <c r="F1623" s="13">
        <v>1441</v>
      </c>
      <c r="G1623" s="13">
        <v>1.5880000000000001</v>
      </c>
      <c r="H1623" s="13">
        <f t="shared" si="23"/>
        <v>57.183501565513545</v>
      </c>
    </row>
    <row r="1624" spans="2:8" s="460" customFormat="1">
      <c r="B1624" s="13">
        <v>1200</v>
      </c>
      <c r="C1624" s="13">
        <v>920</v>
      </c>
      <c r="D1624" s="13">
        <v>0.6381</v>
      </c>
      <c r="E1624" s="13">
        <v>1311</v>
      </c>
      <c r="F1624" s="13">
        <v>1453</v>
      </c>
      <c r="G1624" s="13">
        <v>1.597</v>
      </c>
      <c r="H1624" s="13">
        <f t="shared" si="23"/>
        <v>57.659700051832878</v>
      </c>
    </row>
    <row r="1625" spans="2:8" s="460" customFormat="1">
      <c r="B1625" s="13">
        <v>1200</v>
      </c>
      <c r="C1625" s="13">
        <v>940</v>
      </c>
      <c r="D1625" s="13">
        <v>0.6502</v>
      </c>
      <c r="E1625" s="13">
        <v>1320</v>
      </c>
      <c r="F1625" s="13">
        <v>1465</v>
      </c>
      <c r="G1625" s="13">
        <v>1.605</v>
      </c>
      <c r="H1625" s="13">
        <f t="shared" si="23"/>
        <v>58.135898538152219</v>
      </c>
    </row>
    <row r="1626" spans="2:8" s="460" customFormat="1">
      <c r="B1626" s="13">
        <v>1200</v>
      </c>
      <c r="C1626" s="13">
        <v>960</v>
      </c>
      <c r="D1626" s="13">
        <v>0.66210000000000002</v>
      </c>
      <c r="E1626" s="13">
        <v>1330</v>
      </c>
      <c r="F1626" s="13">
        <v>1477</v>
      </c>
      <c r="G1626" s="13">
        <v>1.6140000000000001</v>
      </c>
      <c r="H1626" s="13">
        <f t="shared" si="23"/>
        <v>58.612097024471552</v>
      </c>
    </row>
    <row r="1627" spans="2:8" s="460" customFormat="1">
      <c r="B1627" s="13">
        <v>1200</v>
      </c>
      <c r="C1627" s="13">
        <v>980</v>
      </c>
      <c r="D1627" s="13">
        <v>0.67390000000000005</v>
      </c>
      <c r="E1627" s="13">
        <v>1339</v>
      </c>
      <c r="F1627" s="13">
        <v>1488</v>
      </c>
      <c r="G1627" s="13">
        <v>1.6220000000000001</v>
      </c>
      <c r="H1627" s="13">
        <f t="shared" si="23"/>
        <v>59.048612303597608</v>
      </c>
    </row>
    <row r="1628" spans="2:8" s="460" customFormat="1">
      <c r="B1628" s="13">
        <v>1200</v>
      </c>
      <c r="C1628" s="13">
        <v>1000</v>
      </c>
      <c r="D1628" s="13">
        <v>0.68559999999999999</v>
      </c>
      <c r="E1628" s="13">
        <v>1348</v>
      </c>
      <c r="F1628" s="13">
        <v>1500</v>
      </c>
      <c r="G1628" s="13">
        <v>1.63</v>
      </c>
      <c r="H1628" s="13">
        <f t="shared" si="23"/>
        <v>59.524810789916941</v>
      </c>
    </row>
    <row r="1629" spans="2:8" s="460" customFormat="1">
      <c r="B1629" s="13">
        <v>1200</v>
      </c>
      <c r="C1629" s="13">
        <v>1020</v>
      </c>
      <c r="D1629" s="13">
        <v>0.69720000000000004</v>
      </c>
      <c r="E1629" s="13">
        <v>1357</v>
      </c>
      <c r="F1629" s="13">
        <v>1512</v>
      </c>
      <c r="G1629" s="13">
        <v>1.6379999999999999</v>
      </c>
      <c r="H1629" s="13">
        <f t="shared" si="23"/>
        <v>60.001009276236275</v>
      </c>
    </row>
    <row r="1630" spans="2:8" s="460" customFormat="1">
      <c r="B1630" s="13">
        <v>1200</v>
      </c>
      <c r="C1630" s="13">
        <v>1040</v>
      </c>
      <c r="D1630" s="13">
        <v>0.7087</v>
      </c>
      <c r="E1630" s="13">
        <v>1366</v>
      </c>
      <c r="F1630" s="13">
        <v>1523</v>
      </c>
      <c r="G1630" s="13">
        <v>1.6459999999999999</v>
      </c>
      <c r="H1630" s="13">
        <f t="shared" si="23"/>
        <v>60.437524555362337</v>
      </c>
    </row>
    <row r="1631" spans="2:8" s="460" customFormat="1">
      <c r="B1631" s="13">
        <v>1200</v>
      </c>
      <c r="C1631" s="13">
        <v>1060</v>
      </c>
      <c r="D1631" s="13">
        <v>0.72019999999999995</v>
      </c>
      <c r="E1631" s="13">
        <v>1375</v>
      </c>
      <c r="F1631" s="13">
        <v>1535</v>
      </c>
      <c r="G1631" s="13">
        <v>1.6539999999999999</v>
      </c>
      <c r="H1631" s="13">
        <f t="shared" si="23"/>
        <v>60.913723041681678</v>
      </c>
    </row>
    <row r="1632" spans="2:8" s="460" customFormat="1">
      <c r="B1632" s="13">
        <v>1200</v>
      </c>
      <c r="C1632" s="13">
        <v>1080</v>
      </c>
      <c r="D1632" s="13">
        <v>0.73150000000000004</v>
      </c>
      <c r="E1632" s="13">
        <v>1384</v>
      </c>
      <c r="F1632" s="13">
        <v>1547</v>
      </c>
      <c r="G1632" s="13">
        <v>1.661</v>
      </c>
      <c r="H1632" s="13">
        <f t="shared" si="23"/>
        <v>61.389921528001011</v>
      </c>
    </row>
    <row r="1633" spans="2:8" s="460" customFormat="1">
      <c r="B1633" s="13">
        <v>1200</v>
      </c>
      <c r="C1633" s="13">
        <v>1100</v>
      </c>
      <c r="D1633" s="13">
        <v>0.74280000000000002</v>
      </c>
      <c r="E1633" s="13">
        <v>1393</v>
      </c>
      <c r="F1633" s="13">
        <v>1558</v>
      </c>
      <c r="G1633" s="13">
        <v>1.669</v>
      </c>
      <c r="H1633" s="13">
        <f t="shared" si="23"/>
        <v>61.826436807127067</v>
      </c>
    </row>
    <row r="1634" spans="2:8" s="460" customFormat="1">
      <c r="B1634" s="13">
        <v>1200</v>
      </c>
      <c r="C1634" s="13">
        <v>1120</v>
      </c>
      <c r="D1634" s="13">
        <v>0.75409999999999999</v>
      </c>
      <c r="E1634" s="13">
        <v>1402</v>
      </c>
      <c r="F1634" s="13">
        <v>1570</v>
      </c>
      <c r="G1634" s="13">
        <v>1.6759999999999999</v>
      </c>
      <c r="H1634" s="13">
        <f t="shared" si="23"/>
        <v>62.3026352934464</v>
      </c>
    </row>
    <row r="1635" spans="2:8" s="460" customFormat="1">
      <c r="B1635" s="13">
        <v>1200</v>
      </c>
      <c r="C1635" s="13">
        <v>1140</v>
      </c>
      <c r="D1635" s="13">
        <v>0.76519999999999999</v>
      </c>
      <c r="E1635" s="13">
        <v>1411</v>
      </c>
      <c r="F1635" s="13">
        <v>1581</v>
      </c>
      <c r="G1635" s="13">
        <v>1.6830000000000001</v>
      </c>
      <c r="H1635" s="13">
        <f t="shared" si="23"/>
        <v>62.739150572572456</v>
      </c>
    </row>
    <row r="1636" spans="2:8" s="460" customFormat="1">
      <c r="B1636" s="13">
        <v>1200</v>
      </c>
      <c r="C1636" s="13">
        <v>1160</v>
      </c>
      <c r="D1636" s="13">
        <v>0.77629999999999999</v>
      </c>
      <c r="E1636" s="13">
        <v>1420</v>
      </c>
      <c r="F1636" s="13">
        <v>1593</v>
      </c>
      <c r="G1636" s="13">
        <v>1.69</v>
      </c>
      <c r="H1636" s="13">
        <f t="shared" si="23"/>
        <v>63.215349058891789</v>
      </c>
    </row>
    <row r="1637" spans="2:8" s="460" customFormat="1">
      <c r="B1637" s="13">
        <v>1200</v>
      </c>
      <c r="C1637" s="13">
        <v>1180</v>
      </c>
      <c r="D1637" s="13">
        <v>0.78739999999999999</v>
      </c>
      <c r="E1637" s="13">
        <v>1429</v>
      </c>
      <c r="F1637" s="13">
        <v>1604</v>
      </c>
      <c r="G1637" s="13">
        <v>1.6970000000000001</v>
      </c>
      <c r="H1637" s="13">
        <f t="shared" si="23"/>
        <v>63.651864338017852</v>
      </c>
    </row>
    <row r="1638" spans="2:8" s="460" customFormat="1">
      <c r="B1638" s="13">
        <v>1200</v>
      </c>
      <c r="C1638" s="13">
        <v>1200</v>
      </c>
      <c r="D1638" s="13">
        <v>0.7984</v>
      </c>
      <c r="E1638" s="13">
        <v>1438</v>
      </c>
      <c r="F1638" s="13">
        <v>1616</v>
      </c>
      <c r="G1638" s="13">
        <v>1.704</v>
      </c>
      <c r="H1638" s="13">
        <f t="shared" si="23"/>
        <v>64.128062824337192</v>
      </c>
    </row>
    <row r="1639" spans="2:8" s="460" customFormat="1">
      <c r="B1639" s="13">
        <v>1200</v>
      </c>
      <c r="C1639" s="13">
        <v>1220</v>
      </c>
      <c r="D1639" s="13">
        <v>0.80940000000000001</v>
      </c>
      <c r="E1639" s="13">
        <v>1447</v>
      </c>
      <c r="F1639" s="13">
        <v>1627</v>
      </c>
      <c r="G1639" s="13">
        <v>1.7110000000000001</v>
      </c>
      <c r="H1639" s="13">
        <f t="shared" si="23"/>
        <v>64.564578103463248</v>
      </c>
    </row>
    <row r="1640" spans="2:8" s="460" customFormat="1">
      <c r="B1640" s="13">
        <v>1200</v>
      </c>
      <c r="C1640" s="13">
        <v>1240</v>
      </c>
      <c r="D1640" s="13">
        <v>0.82030000000000003</v>
      </c>
      <c r="E1640" s="13">
        <v>1456</v>
      </c>
      <c r="F1640" s="13">
        <v>1639</v>
      </c>
      <c r="G1640" s="13">
        <v>1.718</v>
      </c>
      <c r="H1640" s="13">
        <f t="shared" si="23"/>
        <v>65.040776589782581</v>
      </c>
    </row>
    <row r="1641" spans="2:8" s="460" customFormat="1">
      <c r="B1641" s="13">
        <v>1200</v>
      </c>
      <c r="C1641" s="13">
        <v>1260</v>
      </c>
      <c r="D1641" s="13">
        <v>0.83109999999999995</v>
      </c>
      <c r="E1641" s="13">
        <v>1465</v>
      </c>
      <c r="F1641" s="13">
        <v>1650</v>
      </c>
      <c r="G1641" s="13">
        <v>1.7250000000000001</v>
      </c>
      <c r="H1641" s="13">
        <f t="shared" si="23"/>
        <v>65.477291868908637</v>
      </c>
    </row>
    <row r="1642" spans="2:8" s="460" customFormat="1">
      <c r="B1642" s="13">
        <v>1200</v>
      </c>
      <c r="C1642" s="13">
        <v>1280</v>
      </c>
      <c r="D1642" s="13">
        <v>0.84199999999999997</v>
      </c>
      <c r="E1642" s="13">
        <v>1475</v>
      </c>
      <c r="F1642" s="13">
        <v>1662</v>
      </c>
      <c r="G1642" s="13">
        <v>1.7310000000000001</v>
      </c>
      <c r="H1642" s="13">
        <f t="shared" si="23"/>
        <v>65.95349035522797</v>
      </c>
    </row>
    <row r="1643" spans="2:8" s="460" customFormat="1">
      <c r="B1643" s="13">
        <v>1200</v>
      </c>
      <c r="C1643" s="13">
        <v>1300</v>
      </c>
      <c r="D1643" s="13">
        <v>0.8528</v>
      </c>
      <c r="E1643" s="13">
        <v>1484</v>
      </c>
      <c r="F1643" s="13">
        <v>1673</v>
      </c>
      <c r="G1643" s="13">
        <v>1.738</v>
      </c>
      <c r="H1643" s="13">
        <f t="shared" si="23"/>
        <v>66.39000563435404</v>
      </c>
    </row>
    <row r="1644" spans="2:8" s="460" customFormat="1">
      <c r="B1644" s="13">
        <v>1200</v>
      </c>
      <c r="C1644" s="13">
        <v>1320</v>
      </c>
      <c r="D1644" s="13">
        <v>0.86350000000000005</v>
      </c>
      <c r="E1644" s="13">
        <v>1493</v>
      </c>
      <c r="F1644" s="13">
        <v>1685</v>
      </c>
      <c r="G1644" s="13">
        <v>1.744</v>
      </c>
      <c r="H1644" s="13">
        <f t="shared" si="23"/>
        <v>66.866204120673373</v>
      </c>
    </row>
    <row r="1645" spans="2:8" s="460" customFormat="1">
      <c r="B1645" s="13">
        <v>1200</v>
      </c>
      <c r="C1645" s="13">
        <v>1340</v>
      </c>
      <c r="D1645" s="13">
        <v>0.87429999999999997</v>
      </c>
      <c r="E1645" s="13">
        <v>1502</v>
      </c>
      <c r="F1645" s="13">
        <v>1696</v>
      </c>
      <c r="G1645" s="13">
        <v>1.7509999999999999</v>
      </c>
      <c r="H1645" s="13">
        <f t="shared" si="23"/>
        <v>67.302719399799429</v>
      </c>
    </row>
    <row r="1646" spans="2:8" s="460" customFormat="1">
      <c r="B1646" s="13">
        <v>1200</v>
      </c>
      <c r="C1646" s="13">
        <v>1360</v>
      </c>
      <c r="D1646" s="13">
        <v>0.88500000000000001</v>
      </c>
      <c r="E1646" s="13">
        <v>1511</v>
      </c>
      <c r="F1646" s="13">
        <v>1708</v>
      </c>
      <c r="G1646" s="13">
        <v>1.7569999999999999</v>
      </c>
      <c r="H1646" s="13">
        <f t="shared" si="23"/>
        <v>67.778917886118762</v>
      </c>
    </row>
    <row r="1647" spans="2:8" s="460" customFormat="1">
      <c r="B1647" s="13">
        <v>1200</v>
      </c>
      <c r="C1647" s="13">
        <v>1380</v>
      </c>
      <c r="D1647" s="13">
        <v>0.89559999999999995</v>
      </c>
      <c r="E1647" s="13">
        <v>1520</v>
      </c>
      <c r="F1647" s="13">
        <v>1719</v>
      </c>
      <c r="G1647" s="13">
        <v>1.764</v>
      </c>
      <c r="H1647" s="13">
        <f t="shared" si="23"/>
        <v>68.215433165244818</v>
      </c>
    </row>
    <row r="1648" spans="2:8" s="460" customFormat="1">
      <c r="B1648" s="13">
        <v>1200</v>
      </c>
      <c r="C1648" s="13">
        <v>1400</v>
      </c>
      <c r="D1648" s="13">
        <v>0.90629999999999999</v>
      </c>
      <c r="E1648" s="13">
        <v>1529</v>
      </c>
      <c r="F1648" s="13">
        <v>1731</v>
      </c>
      <c r="G1648" s="13">
        <v>1.77</v>
      </c>
      <c r="H1648" s="13">
        <f t="shared" si="23"/>
        <v>68.691631651564151</v>
      </c>
    </row>
    <row r="1649" spans="2:8" s="460" customFormat="1">
      <c r="B1649" s="13">
        <v>1200</v>
      </c>
      <c r="C1649" s="13">
        <v>1420</v>
      </c>
      <c r="D1649" s="13">
        <v>0.91690000000000005</v>
      </c>
      <c r="E1649" s="13">
        <v>1539</v>
      </c>
      <c r="F1649" s="13">
        <v>1742</v>
      </c>
      <c r="G1649" s="13">
        <v>1.776</v>
      </c>
      <c r="H1649" s="13">
        <f t="shared" si="23"/>
        <v>69.128146930690207</v>
      </c>
    </row>
    <row r="1650" spans="2:8" s="460" customFormat="1">
      <c r="B1650" s="13">
        <v>1200</v>
      </c>
      <c r="C1650" s="13">
        <v>1440</v>
      </c>
      <c r="D1650" s="13">
        <v>0.92749999999999999</v>
      </c>
      <c r="E1650" s="13">
        <v>1548</v>
      </c>
      <c r="F1650" s="13">
        <v>1754</v>
      </c>
      <c r="G1650" s="13">
        <v>1.782</v>
      </c>
      <c r="H1650" s="13">
        <f t="shared" si="23"/>
        <v>69.604345417009554</v>
      </c>
    </row>
    <row r="1651" spans="2:8" s="460" customFormat="1">
      <c r="B1651" s="13">
        <v>1200</v>
      </c>
      <c r="C1651" s="13">
        <v>1460</v>
      </c>
      <c r="D1651" s="13">
        <v>0.93810000000000004</v>
      </c>
      <c r="E1651" s="13">
        <v>1557</v>
      </c>
      <c r="F1651" s="13">
        <v>1765</v>
      </c>
      <c r="G1651" s="13">
        <v>1.788</v>
      </c>
      <c r="H1651" s="13">
        <f t="shared" si="23"/>
        <v>70.04086069613561</v>
      </c>
    </row>
    <row r="1652" spans="2:8" s="460" customFormat="1">
      <c r="B1652" s="13">
        <v>1200</v>
      </c>
      <c r="C1652" s="13">
        <v>1480</v>
      </c>
      <c r="D1652" s="13">
        <v>0.9486</v>
      </c>
      <c r="E1652" s="13">
        <v>1566</v>
      </c>
      <c r="F1652" s="13">
        <v>1777</v>
      </c>
      <c r="G1652" s="13">
        <v>1.794</v>
      </c>
      <c r="H1652" s="13">
        <f t="shared" si="23"/>
        <v>70.517059182454943</v>
      </c>
    </row>
    <row r="1653" spans="2:8" s="460" customFormat="1">
      <c r="B1653" s="13">
        <v>1200</v>
      </c>
      <c r="C1653" s="13">
        <v>1500</v>
      </c>
      <c r="D1653" s="13">
        <v>0.95920000000000005</v>
      </c>
      <c r="E1653" s="13">
        <v>1576</v>
      </c>
      <c r="F1653" s="13">
        <v>1789</v>
      </c>
      <c r="G1653" s="13">
        <v>1.8</v>
      </c>
      <c r="H1653" s="13">
        <f t="shared" si="23"/>
        <v>70.993257668774277</v>
      </c>
    </row>
    <row r="1654" spans="2:8" s="460" customFormat="1">
      <c r="B1654" s="13">
        <v>1300</v>
      </c>
      <c r="C1654" s="13">
        <v>40</v>
      </c>
      <c r="D1654" s="13">
        <v>1.5949999999999999E-2</v>
      </c>
      <c r="E1654" s="13">
        <v>8.0180000000000007</v>
      </c>
      <c r="F1654" s="13">
        <v>11.85</v>
      </c>
      <c r="G1654" s="13">
        <v>1.6160000000000001E-2</v>
      </c>
      <c r="H1654" s="13">
        <f t="shared" si="23"/>
        <v>0.47024600524034388</v>
      </c>
    </row>
    <row r="1655" spans="2:8" s="460" customFormat="1">
      <c r="B1655" s="13">
        <v>1300</v>
      </c>
      <c r="C1655" s="13">
        <v>60</v>
      </c>
      <c r="D1655" s="13">
        <v>1.5970000000000002E-2</v>
      </c>
      <c r="E1655" s="13">
        <v>27.9</v>
      </c>
      <c r="F1655" s="13">
        <v>31.74</v>
      </c>
      <c r="G1655" s="13">
        <v>5.5190000000000003E-2</v>
      </c>
      <c r="H1655" s="13">
        <f t="shared" si="23"/>
        <v>1.2595449963146423</v>
      </c>
    </row>
    <row r="1656" spans="2:8" s="460" customFormat="1">
      <c r="B1656" s="13">
        <v>1300</v>
      </c>
      <c r="C1656" s="13">
        <v>80</v>
      </c>
      <c r="D1656" s="13">
        <v>1.601E-2</v>
      </c>
      <c r="E1656" s="13">
        <v>47.75</v>
      </c>
      <c r="F1656" s="13">
        <v>51.61</v>
      </c>
      <c r="G1656" s="13">
        <v>9.2689999999999995E-2</v>
      </c>
      <c r="H1656" s="13">
        <f t="shared" si="23"/>
        <v>2.0480503232450755</v>
      </c>
    </row>
    <row r="1657" spans="2:8" s="460" customFormat="1">
      <c r="B1657" s="13">
        <v>1300</v>
      </c>
      <c r="C1657" s="13">
        <v>100</v>
      </c>
      <c r="D1657" s="13">
        <v>1.6070000000000001E-2</v>
      </c>
      <c r="E1657" s="13">
        <v>67.599999999999994</v>
      </c>
      <c r="F1657" s="13">
        <v>71.459999999999994</v>
      </c>
      <c r="G1657" s="13">
        <v>0.1288</v>
      </c>
      <c r="H1657" s="13">
        <f t="shared" si="23"/>
        <v>2.8357619860316432</v>
      </c>
    </row>
    <row r="1658" spans="2:8" s="460" customFormat="1">
      <c r="B1658" s="13">
        <v>1300</v>
      </c>
      <c r="C1658" s="13">
        <v>120</v>
      </c>
      <c r="D1658" s="13">
        <v>1.6140000000000002E-2</v>
      </c>
      <c r="E1658" s="13">
        <v>87.44</v>
      </c>
      <c r="F1658" s="13">
        <v>91.32</v>
      </c>
      <c r="G1658" s="13">
        <v>0.16370000000000001</v>
      </c>
      <c r="H1658" s="13">
        <f t="shared" si="23"/>
        <v>3.6238704808901434</v>
      </c>
    </row>
    <row r="1659" spans="2:8" s="460" customFormat="1">
      <c r="B1659" s="13">
        <v>1300</v>
      </c>
      <c r="C1659" s="13">
        <v>140</v>
      </c>
      <c r="D1659" s="13">
        <v>1.6230000000000001E-2</v>
      </c>
      <c r="E1659" s="13">
        <v>107.3</v>
      </c>
      <c r="F1659" s="13">
        <v>111.2</v>
      </c>
      <c r="G1659" s="13">
        <v>0.19739999999999999</v>
      </c>
      <c r="H1659" s="13">
        <f t="shared" si="23"/>
        <v>4.41277263989251</v>
      </c>
    </row>
    <row r="1660" spans="2:8" s="460" customFormat="1">
      <c r="B1660" s="13">
        <v>1300</v>
      </c>
      <c r="C1660" s="13">
        <v>160</v>
      </c>
      <c r="D1660" s="13">
        <v>1.6330000000000001E-2</v>
      </c>
      <c r="E1660" s="13">
        <v>127.2</v>
      </c>
      <c r="F1660" s="13">
        <v>131.1</v>
      </c>
      <c r="G1660" s="13">
        <v>0.2301</v>
      </c>
      <c r="H1660" s="13">
        <f t="shared" si="23"/>
        <v>5.2024684630387403</v>
      </c>
    </row>
    <row r="1661" spans="2:8" s="460" customFormat="1">
      <c r="B1661" s="13">
        <v>1300</v>
      </c>
      <c r="C1661" s="13">
        <v>180</v>
      </c>
      <c r="D1661" s="13">
        <v>1.644E-2</v>
      </c>
      <c r="E1661" s="13">
        <v>147.1</v>
      </c>
      <c r="F1661" s="13">
        <v>151</v>
      </c>
      <c r="G1661" s="13">
        <v>0.26169999999999999</v>
      </c>
      <c r="H1661" s="13">
        <f t="shared" si="23"/>
        <v>5.9921642861849724</v>
      </c>
    </row>
    <row r="1662" spans="2:8" s="460" customFormat="1">
      <c r="B1662" s="13">
        <v>1300</v>
      </c>
      <c r="C1662" s="13">
        <v>200</v>
      </c>
      <c r="D1662" s="13">
        <v>1.6559999999999998E-2</v>
      </c>
      <c r="E1662" s="13">
        <v>167</v>
      </c>
      <c r="F1662" s="13">
        <v>171</v>
      </c>
      <c r="G1662" s="13">
        <v>0.29249999999999998</v>
      </c>
      <c r="H1662" s="13">
        <f t="shared" si="23"/>
        <v>6.7858284300505316</v>
      </c>
    </row>
    <row r="1663" spans="2:8" s="460" customFormat="1">
      <c r="B1663" s="13">
        <v>1300</v>
      </c>
      <c r="C1663" s="13">
        <v>220</v>
      </c>
      <c r="D1663" s="13">
        <v>1.67E-2</v>
      </c>
      <c r="E1663" s="13">
        <v>187.1</v>
      </c>
      <c r="F1663" s="13">
        <v>191.1</v>
      </c>
      <c r="G1663" s="13">
        <v>0.32240000000000002</v>
      </c>
      <c r="H1663" s="13">
        <f t="shared" si="23"/>
        <v>7.5834608946354187</v>
      </c>
    </row>
    <row r="1664" spans="2:8" s="460" customFormat="1">
      <c r="B1664" s="13">
        <v>1300</v>
      </c>
      <c r="C1664" s="13">
        <v>240</v>
      </c>
      <c r="D1664" s="13">
        <v>1.685E-2</v>
      </c>
      <c r="E1664" s="13">
        <v>207.1</v>
      </c>
      <c r="F1664" s="13">
        <v>211.2</v>
      </c>
      <c r="G1664" s="13">
        <v>0.35160000000000002</v>
      </c>
      <c r="H1664" s="13">
        <f t="shared" si="23"/>
        <v>8.381093359220305</v>
      </c>
    </row>
    <row r="1665" spans="2:8" s="460" customFormat="1">
      <c r="B1665" s="13">
        <v>1300</v>
      </c>
      <c r="C1665" s="13">
        <v>260</v>
      </c>
      <c r="D1665" s="13">
        <v>1.7000000000000001E-2</v>
      </c>
      <c r="E1665" s="13">
        <v>227.3</v>
      </c>
      <c r="F1665" s="13">
        <v>231.4</v>
      </c>
      <c r="G1665" s="13">
        <v>0.38</v>
      </c>
      <c r="H1665" s="13">
        <f t="shared" si="23"/>
        <v>9.1826941445245218</v>
      </c>
    </row>
    <row r="1666" spans="2:8" s="460" customFormat="1">
      <c r="B1666" s="13">
        <v>1300</v>
      </c>
      <c r="C1666" s="13">
        <v>280</v>
      </c>
      <c r="D1666" s="13">
        <v>1.7170000000000001E-2</v>
      </c>
      <c r="E1666" s="13">
        <v>247.5</v>
      </c>
      <c r="F1666" s="13">
        <v>251.7</v>
      </c>
      <c r="G1666" s="13">
        <v>0.4078</v>
      </c>
      <c r="H1666" s="13">
        <f t="shared" si="23"/>
        <v>9.9882632505480622</v>
      </c>
    </row>
    <row r="1667" spans="2:8" s="460" customFormat="1">
      <c r="B1667" s="13">
        <v>1300</v>
      </c>
      <c r="C1667" s="13">
        <v>300</v>
      </c>
      <c r="D1667" s="13">
        <v>1.736E-2</v>
      </c>
      <c r="E1667" s="13">
        <v>267.89999999999998</v>
      </c>
      <c r="F1667" s="13">
        <v>272</v>
      </c>
      <c r="G1667" s="13">
        <v>0.435</v>
      </c>
      <c r="H1667" s="13">
        <f t="shared" si="23"/>
        <v>10.793832356571604</v>
      </c>
    </row>
    <row r="1668" spans="2:8" s="460" customFormat="1">
      <c r="B1668" s="13">
        <v>1300</v>
      </c>
      <c r="C1668" s="13">
        <v>320</v>
      </c>
      <c r="D1668" s="13">
        <v>1.7559999999999999E-2</v>
      </c>
      <c r="E1668" s="13">
        <v>288.3</v>
      </c>
      <c r="F1668" s="13">
        <v>292.60000000000002</v>
      </c>
      <c r="G1668" s="13">
        <v>0.4617</v>
      </c>
      <c r="H1668" s="13">
        <f t="shared" si="23"/>
        <v>11.611306424753133</v>
      </c>
    </row>
    <row r="1669" spans="2:8" s="460" customFormat="1">
      <c r="B1669" s="13">
        <v>1300</v>
      </c>
      <c r="C1669" s="13">
        <v>340</v>
      </c>
      <c r="D1669" s="13">
        <v>1.7770000000000001E-2</v>
      </c>
      <c r="E1669" s="13">
        <v>308.89999999999998</v>
      </c>
      <c r="F1669" s="13">
        <v>313.2</v>
      </c>
      <c r="G1669" s="13">
        <v>0.48780000000000001</v>
      </c>
      <c r="H1669" s="13">
        <f t="shared" si="23"/>
        <v>12.428780492934658</v>
      </c>
    </row>
    <row r="1670" spans="2:8" s="460" customFormat="1">
      <c r="B1670" s="13">
        <v>1300</v>
      </c>
      <c r="C1670" s="13">
        <v>360</v>
      </c>
      <c r="D1670" s="13">
        <v>1.7999999999999999E-2</v>
      </c>
      <c r="E1670" s="13">
        <v>329.7</v>
      </c>
      <c r="F1670" s="13">
        <v>334</v>
      </c>
      <c r="G1670" s="13">
        <v>0.51359999999999995</v>
      </c>
      <c r="H1670" s="13">
        <f t="shared" si="23"/>
        <v>13.254191202554839</v>
      </c>
    </row>
    <row r="1671" spans="2:8" s="460" customFormat="1">
      <c r="B1671" s="13">
        <v>1300</v>
      </c>
      <c r="C1671" s="13">
        <v>380</v>
      </c>
      <c r="D1671" s="13">
        <v>1.8249999999999999E-2</v>
      </c>
      <c r="E1671" s="13">
        <v>350.7</v>
      </c>
      <c r="F1671" s="13">
        <v>355.1</v>
      </c>
      <c r="G1671" s="13">
        <v>0.53890000000000005</v>
      </c>
      <c r="H1671" s="13">
        <f t="shared" si="23"/>
        <v>14.091506874333005</v>
      </c>
    </row>
    <row r="1672" spans="2:8" s="460" customFormat="1">
      <c r="B1672" s="13">
        <v>1300</v>
      </c>
      <c r="C1672" s="13">
        <v>400</v>
      </c>
      <c r="D1672" s="13">
        <v>1.8519999999999998E-2</v>
      </c>
      <c r="E1672" s="13">
        <v>371.9</v>
      </c>
      <c r="F1672" s="13">
        <v>376.3</v>
      </c>
      <c r="G1672" s="13">
        <v>0.56389999999999996</v>
      </c>
      <c r="H1672" s="13">
        <f t="shared" si="23"/>
        <v>14.932790866830498</v>
      </c>
    </row>
    <row r="1673" spans="2:8" s="460" customFormat="1">
      <c r="B1673" s="13">
        <v>1300</v>
      </c>
      <c r="C1673" s="13">
        <v>420</v>
      </c>
      <c r="D1673" s="13">
        <v>1.881E-2</v>
      </c>
      <c r="E1673" s="13">
        <v>393.3</v>
      </c>
      <c r="F1673" s="13">
        <v>397.8</v>
      </c>
      <c r="G1673" s="13">
        <v>0.58860000000000001</v>
      </c>
      <c r="H1673" s="13">
        <f t="shared" si="23"/>
        <v>15.785979821485974</v>
      </c>
    </row>
    <row r="1674" spans="2:8" s="460" customFormat="1">
      <c r="B1674" s="13">
        <v>1300</v>
      </c>
      <c r="C1674" s="13">
        <v>440</v>
      </c>
      <c r="D1674" s="13">
        <v>1.9130000000000001E-2</v>
      </c>
      <c r="E1674" s="13">
        <v>415</v>
      </c>
      <c r="F1674" s="13">
        <v>419.6</v>
      </c>
      <c r="G1674" s="13">
        <v>0.61319999999999997</v>
      </c>
      <c r="H1674" s="13">
        <f t="shared" si="23"/>
        <v>16.651073738299434</v>
      </c>
    </row>
    <row r="1675" spans="2:8" s="460" customFormat="1">
      <c r="B1675" s="13">
        <v>1300</v>
      </c>
      <c r="C1675" s="13">
        <v>460</v>
      </c>
      <c r="D1675" s="13">
        <v>1.9480000000000001E-2</v>
      </c>
      <c r="E1675" s="13">
        <v>437.2</v>
      </c>
      <c r="F1675" s="13">
        <v>441.8</v>
      </c>
      <c r="G1675" s="13">
        <v>0.63759999999999994</v>
      </c>
      <c r="H1675" s="13">
        <f t="shared" si="23"/>
        <v>17.532040937990207</v>
      </c>
    </row>
    <row r="1676" spans="2:8" s="460" customFormat="1">
      <c r="B1676" s="13">
        <v>1300</v>
      </c>
      <c r="C1676" s="13">
        <v>480</v>
      </c>
      <c r="D1676" s="13">
        <v>1.9869999999999999E-2</v>
      </c>
      <c r="E1676" s="13">
        <v>459.7</v>
      </c>
      <c r="F1676" s="13">
        <v>464.5</v>
      </c>
      <c r="G1676" s="13">
        <v>0.66190000000000004</v>
      </c>
      <c r="H1676" s="13">
        <f t="shared" si="23"/>
        <v>18.432849741277614</v>
      </c>
    </row>
    <row r="1677" spans="2:8" s="460" customFormat="1">
      <c r="B1677" s="13">
        <v>1300</v>
      </c>
      <c r="C1677" s="13">
        <v>500</v>
      </c>
      <c r="D1677" s="13">
        <v>2.0299999999999999E-2</v>
      </c>
      <c r="E1677" s="13">
        <v>482.7</v>
      </c>
      <c r="F1677" s="13">
        <v>487.6</v>
      </c>
      <c r="G1677" s="13">
        <v>0.68630000000000002</v>
      </c>
      <c r="H1677" s="13">
        <f t="shared" si="23"/>
        <v>19.349531827442338</v>
      </c>
    </row>
    <row r="1678" spans="2:8" s="460" customFormat="1">
      <c r="B1678" s="13">
        <v>1300</v>
      </c>
      <c r="C1678" s="13">
        <v>520</v>
      </c>
      <c r="D1678" s="13">
        <v>2.0789999999999999E-2</v>
      </c>
      <c r="E1678" s="13">
        <v>506.4</v>
      </c>
      <c r="F1678" s="13">
        <v>511.5</v>
      </c>
      <c r="G1678" s="13">
        <v>0.71089999999999998</v>
      </c>
      <c r="H1678" s="13">
        <f t="shared" si="23"/>
        <v>20.297960479361677</v>
      </c>
    </row>
    <row r="1679" spans="2:8" s="460" customFormat="1">
      <c r="B1679" s="13">
        <v>1300</v>
      </c>
      <c r="C1679" s="13">
        <v>540</v>
      </c>
      <c r="D1679" s="13">
        <v>2.1350000000000001E-2</v>
      </c>
      <c r="E1679" s="13">
        <v>531</v>
      </c>
      <c r="F1679" s="13">
        <v>536.1</v>
      </c>
      <c r="G1679" s="13">
        <v>0.73580000000000001</v>
      </c>
      <c r="H1679" s="13">
        <f t="shared" si="23"/>
        <v>21.274167376316317</v>
      </c>
    </row>
    <row r="1680" spans="2:8" s="460" customFormat="1">
      <c r="B1680" s="13">
        <v>1300</v>
      </c>
      <c r="C1680" s="605">
        <v>560</v>
      </c>
      <c r="D1680" s="605">
        <v>2.2009999999999998E-2</v>
      </c>
      <c r="E1680" s="605">
        <v>556.5</v>
      </c>
      <c r="F1680" s="605">
        <v>561.79999999999995</v>
      </c>
      <c r="G1680" s="605">
        <v>0.76129999999999998</v>
      </c>
      <c r="H1680" s="13">
        <f t="shared" si="23"/>
        <v>22.294025801183558</v>
      </c>
    </row>
    <row r="1681" spans="2:8" s="460" customFormat="1">
      <c r="B1681" s="13">
        <v>1300</v>
      </c>
      <c r="C1681" s="605">
        <v>580</v>
      </c>
      <c r="D1681" s="605">
        <v>0.33329999999999999</v>
      </c>
      <c r="E1681" s="605">
        <v>1103</v>
      </c>
      <c r="F1681" s="605">
        <v>1183</v>
      </c>
      <c r="G1681" s="605">
        <v>1.361</v>
      </c>
      <c r="H1681" s="13">
        <f t="shared" si="23"/>
        <v>46.945234109647828</v>
      </c>
    </row>
    <row r="1682" spans="2:8" s="460" customFormat="1">
      <c r="B1682" s="13">
        <v>1300</v>
      </c>
      <c r="C1682" s="13">
        <v>600</v>
      </c>
      <c r="D1682" s="13">
        <v>0.3574</v>
      </c>
      <c r="E1682" s="13">
        <v>1124</v>
      </c>
      <c r="F1682" s="13">
        <v>1210</v>
      </c>
      <c r="G1682" s="13">
        <v>1.3859999999999999</v>
      </c>
      <c r="H1682" s="13">
        <f t="shared" si="23"/>
        <v>48.016680703866335</v>
      </c>
    </row>
    <row r="1683" spans="2:8" s="460" customFormat="1">
      <c r="B1683" s="13">
        <v>1300</v>
      </c>
      <c r="C1683" s="13">
        <v>620</v>
      </c>
      <c r="D1683" s="13">
        <v>0.37819999999999998</v>
      </c>
      <c r="E1683" s="13">
        <v>1141</v>
      </c>
      <c r="F1683" s="13">
        <v>1232</v>
      </c>
      <c r="G1683" s="13">
        <v>1.407</v>
      </c>
      <c r="H1683" s="13">
        <f t="shared" si="23"/>
        <v>48.889711262118453</v>
      </c>
    </row>
    <row r="1684" spans="2:8" s="460" customFormat="1">
      <c r="B1684" s="13">
        <v>1300</v>
      </c>
      <c r="C1684" s="13">
        <v>640</v>
      </c>
      <c r="D1684" s="13">
        <v>0.39689999999999998</v>
      </c>
      <c r="E1684" s="13">
        <v>1157</v>
      </c>
      <c r="F1684" s="13">
        <v>1252</v>
      </c>
      <c r="G1684" s="13">
        <v>1.425</v>
      </c>
      <c r="H1684" s="13">
        <f t="shared" si="23"/>
        <v>49.683375405984009</v>
      </c>
    </row>
    <row r="1685" spans="2:8" s="460" customFormat="1">
      <c r="B1685" s="13">
        <v>1300</v>
      </c>
      <c r="C1685" s="13">
        <v>660</v>
      </c>
      <c r="D1685" s="13">
        <v>0.41410000000000002</v>
      </c>
      <c r="E1685" s="13">
        <v>1171</v>
      </c>
      <c r="F1685" s="13">
        <v>1270</v>
      </c>
      <c r="G1685" s="13">
        <v>1.4410000000000001</v>
      </c>
      <c r="H1685" s="13">
        <f t="shared" si="23"/>
        <v>50.397673135463009</v>
      </c>
    </row>
    <row r="1686" spans="2:8" s="460" customFormat="1">
      <c r="B1686" s="13">
        <v>1300</v>
      </c>
      <c r="C1686" s="13">
        <v>680</v>
      </c>
      <c r="D1686" s="13">
        <v>0.43020000000000003</v>
      </c>
      <c r="E1686" s="13">
        <v>1184</v>
      </c>
      <c r="F1686" s="13">
        <v>1287</v>
      </c>
      <c r="G1686" s="13">
        <v>1.456</v>
      </c>
      <c r="H1686" s="13">
        <f t="shared" si="23"/>
        <v>51.072287657748738</v>
      </c>
    </row>
    <row r="1687" spans="2:8" s="460" customFormat="1">
      <c r="B1687" s="13">
        <v>1300</v>
      </c>
      <c r="C1687" s="13">
        <v>700</v>
      </c>
      <c r="D1687" s="13">
        <v>0.44550000000000001</v>
      </c>
      <c r="E1687" s="13">
        <v>1196</v>
      </c>
      <c r="F1687" s="13">
        <v>1303</v>
      </c>
      <c r="G1687" s="13">
        <v>1.47</v>
      </c>
      <c r="H1687" s="13">
        <f t="shared" si="23"/>
        <v>51.707218972841183</v>
      </c>
    </row>
    <row r="1688" spans="2:8" s="460" customFormat="1">
      <c r="B1688" s="13">
        <v>1300</v>
      </c>
      <c r="C1688" s="13">
        <v>720</v>
      </c>
      <c r="D1688" s="13">
        <v>0.46010000000000001</v>
      </c>
      <c r="E1688" s="13">
        <v>1207</v>
      </c>
      <c r="F1688" s="13">
        <v>1318</v>
      </c>
      <c r="G1688" s="13">
        <v>1.4830000000000001</v>
      </c>
      <c r="H1688" s="13">
        <f t="shared" si="23"/>
        <v>52.30246708074035</v>
      </c>
    </row>
    <row r="1689" spans="2:8" s="460" customFormat="1">
      <c r="B1689" s="13">
        <v>1300</v>
      </c>
      <c r="C1689" s="13">
        <v>740</v>
      </c>
      <c r="D1689" s="13">
        <v>0.47410000000000002</v>
      </c>
      <c r="E1689" s="13">
        <v>1219</v>
      </c>
      <c r="F1689" s="13">
        <v>1333</v>
      </c>
      <c r="G1689" s="13">
        <v>1.4950000000000001</v>
      </c>
      <c r="H1689" s="13">
        <f t="shared" si="23"/>
        <v>52.897715188639523</v>
      </c>
    </row>
    <row r="1690" spans="2:8" s="460" customFormat="1">
      <c r="B1690" s="13">
        <v>1300</v>
      </c>
      <c r="C1690" s="13">
        <v>760</v>
      </c>
      <c r="D1690" s="13">
        <v>0.48759999999999998</v>
      </c>
      <c r="E1690" s="13">
        <v>1229</v>
      </c>
      <c r="F1690" s="13">
        <v>1347</v>
      </c>
      <c r="G1690" s="13">
        <v>1.5069999999999999</v>
      </c>
      <c r="H1690" s="13">
        <f t="shared" si="23"/>
        <v>53.453280089345419</v>
      </c>
    </row>
    <row r="1691" spans="2:8" s="460" customFormat="1">
      <c r="B1691" s="13">
        <v>1300</v>
      </c>
      <c r="C1691" s="13">
        <v>780</v>
      </c>
      <c r="D1691" s="13">
        <v>0.50080000000000002</v>
      </c>
      <c r="E1691" s="13">
        <v>1240</v>
      </c>
      <c r="F1691" s="13">
        <v>1360</v>
      </c>
      <c r="G1691" s="13">
        <v>1.518</v>
      </c>
      <c r="H1691" s="13">
        <f t="shared" si="23"/>
        <v>53.969161782858023</v>
      </c>
    </row>
    <row r="1692" spans="2:8" s="460" customFormat="1">
      <c r="B1692" s="13">
        <v>1300</v>
      </c>
      <c r="C1692" s="13">
        <v>800</v>
      </c>
      <c r="D1692" s="13">
        <v>0.51359999999999995</v>
      </c>
      <c r="E1692" s="13">
        <v>1250</v>
      </c>
      <c r="F1692" s="13">
        <v>1374</v>
      </c>
      <c r="G1692" s="13">
        <v>1.5289999999999999</v>
      </c>
      <c r="H1692" s="13">
        <f t="shared" si="23"/>
        <v>54.524726683563919</v>
      </c>
    </row>
    <row r="1693" spans="2:8" s="460" customFormat="1">
      <c r="B1693" s="13">
        <v>1300</v>
      </c>
      <c r="C1693" s="13">
        <v>820</v>
      </c>
      <c r="D1693" s="13">
        <v>0.52610000000000001</v>
      </c>
      <c r="E1693" s="13">
        <v>1260</v>
      </c>
      <c r="F1693" s="13">
        <v>1387</v>
      </c>
      <c r="G1693" s="13">
        <v>1.5389999999999999</v>
      </c>
      <c r="H1693" s="13">
        <f t="shared" si="23"/>
        <v>55.040608377076538</v>
      </c>
    </row>
    <row r="1694" spans="2:8" s="460" customFormat="1">
      <c r="B1694" s="13">
        <v>1300</v>
      </c>
      <c r="C1694" s="13">
        <v>840</v>
      </c>
      <c r="D1694" s="13">
        <v>0.5383</v>
      </c>
      <c r="E1694" s="13">
        <v>1270</v>
      </c>
      <c r="F1694" s="13">
        <v>1400</v>
      </c>
      <c r="G1694" s="13">
        <v>1.5489999999999999</v>
      </c>
      <c r="H1694" s="13">
        <f t="shared" si="23"/>
        <v>55.556490070589149</v>
      </c>
    </row>
    <row r="1695" spans="2:8" s="460" customFormat="1">
      <c r="B1695" s="13">
        <v>1300</v>
      </c>
      <c r="C1695" s="13">
        <v>860</v>
      </c>
      <c r="D1695" s="13">
        <v>0.55030000000000001</v>
      </c>
      <c r="E1695" s="13">
        <v>1280</v>
      </c>
      <c r="F1695" s="13">
        <v>1412</v>
      </c>
      <c r="G1695" s="13">
        <v>1.5589999999999999</v>
      </c>
      <c r="H1695" s="13">
        <f t="shared" si="23"/>
        <v>56.032688556908482</v>
      </c>
    </row>
    <row r="1696" spans="2:8" s="460" customFormat="1">
      <c r="B1696" s="13">
        <v>1300</v>
      </c>
      <c r="C1696" s="13">
        <v>880</v>
      </c>
      <c r="D1696" s="13">
        <v>0.56210000000000004</v>
      </c>
      <c r="E1696" s="13">
        <v>1289</v>
      </c>
      <c r="F1696" s="13">
        <v>1425</v>
      </c>
      <c r="G1696" s="13">
        <v>1.5680000000000001</v>
      </c>
      <c r="H1696" s="13">
        <f t="shared" si="23"/>
        <v>56.548570250421093</v>
      </c>
    </row>
    <row r="1697" spans="2:8" s="460" customFormat="1">
      <c r="B1697" s="13">
        <v>1300</v>
      </c>
      <c r="C1697" s="13">
        <v>900</v>
      </c>
      <c r="D1697" s="13">
        <v>0.57379999999999998</v>
      </c>
      <c r="E1697" s="13">
        <v>1299</v>
      </c>
      <c r="F1697" s="13">
        <v>1437</v>
      </c>
      <c r="G1697" s="13">
        <v>1.577</v>
      </c>
      <c r="H1697" s="13">
        <f t="shared" si="23"/>
        <v>57.024768736740434</v>
      </c>
    </row>
    <row r="1698" spans="2:8" s="460" customFormat="1">
      <c r="B1698" s="13">
        <v>1300</v>
      </c>
      <c r="C1698" s="13">
        <v>920</v>
      </c>
      <c r="D1698" s="13">
        <v>0.58520000000000005</v>
      </c>
      <c r="E1698" s="13">
        <v>1308</v>
      </c>
      <c r="F1698" s="13">
        <v>1449</v>
      </c>
      <c r="G1698" s="13">
        <v>1.5860000000000001</v>
      </c>
      <c r="H1698" s="13">
        <f t="shared" si="23"/>
        <v>57.500967223059767</v>
      </c>
    </row>
    <row r="1699" spans="2:8" s="460" customFormat="1">
      <c r="B1699" s="13">
        <v>1300</v>
      </c>
      <c r="C1699" s="13">
        <v>940</v>
      </c>
      <c r="D1699" s="13">
        <v>0.59650000000000003</v>
      </c>
      <c r="E1699" s="13">
        <v>1318</v>
      </c>
      <c r="F1699" s="13">
        <v>1461</v>
      </c>
      <c r="G1699" s="13">
        <v>1.595</v>
      </c>
      <c r="H1699" s="13">
        <f t="shared" si="23"/>
        <v>57.977165709379101</v>
      </c>
    </row>
    <row r="1700" spans="2:8" s="460" customFormat="1">
      <c r="B1700" s="13">
        <v>1300</v>
      </c>
      <c r="C1700" s="13">
        <v>960</v>
      </c>
      <c r="D1700" s="13">
        <v>0.60770000000000002</v>
      </c>
      <c r="E1700" s="13">
        <v>1327</v>
      </c>
      <c r="F1700" s="13">
        <v>1473</v>
      </c>
      <c r="G1700" s="13">
        <v>1.603</v>
      </c>
      <c r="H1700" s="13">
        <f t="shared" si="23"/>
        <v>58.453364195698441</v>
      </c>
    </row>
    <row r="1701" spans="2:8" s="460" customFormat="1">
      <c r="B1701" s="13">
        <v>1300</v>
      </c>
      <c r="C1701" s="13">
        <v>980</v>
      </c>
      <c r="D1701" s="13">
        <v>0.61880000000000002</v>
      </c>
      <c r="E1701" s="13">
        <v>1336</v>
      </c>
      <c r="F1701" s="13">
        <v>1485</v>
      </c>
      <c r="G1701" s="13">
        <v>1.6120000000000001</v>
      </c>
      <c r="H1701" s="13">
        <f t="shared" si="23"/>
        <v>58.929562682017774</v>
      </c>
    </row>
    <row r="1702" spans="2:8" s="460" customFormat="1">
      <c r="B1702" s="13">
        <v>1300</v>
      </c>
      <c r="C1702" s="13">
        <v>1000</v>
      </c>
      <c r="D1702" s="13">
        <v>0.62980000000000003</v>
      </c>
      <c r="E1702" s="13">
        <v>1346</v>
      </c>
      <c r="F1702" s="13">
        <v>1497</v>
      </c>
      <c r="G1702" s="13">
        <v>1.62</v>
      </c>
      <c r="H1702" s="13">
        <f t="shared" si="23"/>
        <v>59.405761168337108</v>
      </c>
    </row>
    <row r="1703" spans="2:8" s="460" customFormat="1">
      <c r="B1703" s="13">
        <v>1300</v>
      </c>
      <c r="C1703" s="13">
        <v>1020</v>
      </c>
      <c r="D1703" s="13">
        <v>0.64059999999999995</v>
      </c>
      <c r="E1703" s="13">
        <v>1355</v>
      </c>
      <c r="F1703" s="13">
        <v>1509</v>
      </c>
      <c r="G1703" s="13">
        <v>1.6279999999999999</v>
      </c>
      <c r="H1703" s="13">
        <f t="shared" si="23"/>
        <v>59.881959654656441</v>
      </c>
    </row>
    <row r="1704" spans="2:8" s="460" customFormat="1">
      <c r="B1704" s="13">
        <v>1300</v>
      </c>
      <c r="C1704" s="13">
        <v>1040</v>
      </c>
      <c r="D1704" s="13">
        <v>0.65139999999999998</v>
      </c>
      <c r="E1704" s="13">
        <v>1364</v>
      </c>
      <c r="F1704" s="13">
        <v>1521</v>
      </c>
      <c r="G1704" s="13">
        <v>1.6359999999999999</v>
      </c>
      <c r="H1704" s="13">
        <f t="shared" si="23"/>
        <v>60.358158140975782</v>
      </c>
    </row>
    <row r="1705" spans="2:8" s="460" customFormat="1">
      <c r="B1705" s="13">
        <v>1300</v>
      </c>
      <c r="C1705" s="13">
        <v>1060</v>
      </c>
      <c r="D1705" s="13">
        <v>0.66210000000000002</v>
      </c>
      <c r="E1705" s="13">
        <v>1373</v>
      </c>
      <c r="F1705" s="13">
        <v>1532</v>
      </c>
      <c r="G1705" s="13">
        <v>1.643</v>
      </c>
      <c r="H1705" s="13">
        <f t="shared" si="23"/>
        <v>60.794673420101844</v>
      </c>
    </row>
    <row r="1706" spans="2:8" s="460" customFormat="1">
      <c r="B1706" s="13">
        <v>1300</v>
      </c>
      <c r="C1706" s="13">
        <v>1080</v>
      </c>
      <c r="D1706" s="13">
        <v>0.67269999999999996</v>
      </c>
      <c r="E1706" s="13">
        <v>1382</v>
      </c>
      <c r="F1706" s="13">
        <v>1544</v>
      </c>
      <c r="G1706" s="13">
        <v>1.651</v>
      </c>
      <c r="H1706" s="13">
        <f t="shared" si="23"/>
        <v>61.270871906421178</v>
      </c>
    </row>
    <row r="1707" spans="2:8" s="460" customFormat="1">
      <c r="B1707" s="13">
        <v>1300</v>
      </c>
      <c r="C1707" s="13">
        <v>1100</v>
      </c>
      <c r="D1707" s="13">
        <v>0.68320000000000003</v>
      </c>
      <c r="E1707" s="13">
        <v>1391</v>
      </c>
      <c r="F1707" s="13">
        <v>1556</v>
      </c>
      <c r="G1707" s="13">
        <v>1.659</v>
      </c>
      <c r="H1707" s="13">
        <f t="shared" si="23"/>
        <v>61.747070392740511</v>
      </c>
    </row>
    <row r="1708" spans="2:8" s="460" customFormat="1">
      <c r="B1708" s="13">
        <v>1300</v>
      </c>
      <c r="C1708" s="13">
        <v>1120</v>
      </c>
      <c r="D1708" s="13">
        <v>0.69369999999999998</v>
      </c>
      <c r="E1708" s="13">
        <v>1400</v>
      </c>
      <c r="F1708" s="13">
        <v>1567</v>
      </c>
      <c r="G1708" s="13">
        <v>1.6659999999999999</v>
      </c>
      <c r="H1708" s="13">
        <f t="shared" si="23"/>
        <v>62.183585671866567</v>
      </c>
    </row>
    <row r="1709" spans="2:8" s="460" customFormat="1">
      <c r="B1709" s="13">
        <v>1300</v>
      </c>
      <c r="C1709" s="13">
        <v>1140</v>
      </c>
      <c r="D1709" s="13">
        <v>0.70409999999999995</v>
      </c>
      <c r="E1709" s="13">
        <v>1409</v>
      </c>
      <c r="F1709" s="13">
        <v>1579</v>
      </c>
      <c r="G1709" s="13">
        <v>1.673</v>
      </c>
      <c r="H1709" s="13">
        <f t="shared" si="23"/>
        <v>62.6597841581859</v>
      </c>
    </row>
    <row r="1710" spans="2:8" s="460" customFormat="1">
      <c r="B1710" s="13">
        <v>1300</v>
      </c>
      <c r="C1710" s="13">
        <v>1160</v>
      </c>
      <c r="D1710" s="13">
        <v>0.71440000000000003</v>
      </c>
      <c r="E1710" s="13">
        <v>1418</v>
      </c>
      <c r="F1710" s="13">
        <v>1590</v>
      </c>
      <c r="G1710" s="13">
        <v>1.68</v>
      </c>
      <c r="H1710" s="13">
        <f t="shared" si="23"/>
        <v>63.096299437311956</v>
      </c>
    </row>
    <row r="1711" spans="2:8" s="460" customFormat="1">
      <c r="B1711" s="13">
        <v>1300</v>
      </c>
      <c r="C1711" s="13">
        <v>1180</v>
      </c>
      <c r="D1711" s="13">
        <v>0.72470000000000001</v>
      </c>
      <c r="E1711" s="13">
        <v>1428</v>
      </c>
      <c r="F1711" s="13">
        <v>1602</v>
      </c>
      <c r="G1711" s="13">
        <v>1.6879999999999999</v>
      </c>
      <c r="H1711" s="13">
        <f t="shared" si="23"/>
        <v>63.572497923631303</v>
      </c>
    </row>
    <row r="1712" spans="2:8" s="460" customFormat="1">
      <c r="B1712" s="13">
        <v>1300</v>
      </c>
      <c r="C1712" s="13">
        <v>1200</v>
      </c>
      <c r="D1712" s="13">
        <v>0.73499999999999999</v>
      </c>
      <c r="E1712" s="13">
        <v>1437</v>
      </c>
      <c r="F1712" s="13">
        <v>1613</v>
      </c>
      <c r="G1712" s="13">
        <v>1.6950000000000001</v>
      </c>
      <c r="H1712" s="13">
        <f t="shared" si="23"/>
        <v>64.009013202757345</v>
      </c>
    </row>
    <row r="1713" spans="2:8" s="460" customFormat="1">
      <c r="B1713" s="13">
        <v>1300</v>
      </c>
      <c r="C1713" s="13">
        <v>1220</v>
      </c>
      <c r="D1713" s="13">
        <v>0.74519999999999997</v>
      </c>
      <c r="E1713" s="13">
        <v>1446</v>
      </c>
      <c r="F1713" s="13">
        <v>1625</v>
      </c>
      <c r="G1713" s="13">
        <v>1.7010000000000001</v>
      </c>
      <c r="H1713" s="13">
        <f t="shared" si="23"/>
        <v>64.485211689076692</v>
      </c>
    </row>
    <row r="1714" spans="2:8" s="460" customFormat="1">
      <c r="B1714" s="13">
        <v>1300</v>
      </c>
      <c r="C1714" s="13">
        <v>1240</v>
      </c>
      <c r="D1714" s="13">
        <v>0.75529999999999997</v>
      </c>
      <c r="E1714" s="13">
        <v>1455</v>
      </c>
      <c r="F1714" s="13">
        <v>1637</v>
      </c>
      <c r="G1714" s="13">
        <v>1.708</v>
      </c>
      <c r="H1714" s="13">
        <f t="shared" si="23"/>
        <v>64.961410175396026</v>
      </c>
    </row>
    <row r="1715" spans="2:8" s="460" customFormat="1">
      <c r="B1715" s="13">
        <v>1300</v>
      </c>
      <c r="C1715" s="13">
        <v>1260</v>
      </c>
      <c r="D1715" s="13">
        <v>0.76549999999999996</v>
      </c>
      <c r="E1715" s="13">
        <v>1464</v>
      </c>
      <c r="F1715" s="13">
        <v>1648</v>
      </c>
      <c r="G1715" s="13">
        <v>1.7150000000000001</v>
      </c>
      <c r="H1715" s="13">
        <f t="shared" si="23"/>
        <v>65.397925454522081</v>
      </c>
    </row>
    <row r="1716" spans="2:8" s="460" customFormat="1">
      <c r="B1716" s="13">
        <v>1300</v>
      </c>
      <c r="C1716" s="13">
        <v>1280</v>
      </c>
      <c r="D1716" s="13">
        <v>0.77549999999999997</v>
      </c>
      <c r="E1716" s="13">
        <v>1473</v>
      </c>
      <c r="F1716" s="13">
        <v>1660</v>
      </c>
      <c r="G1716" s="13">
        <v>1.722</v>
      </c>
      <c r="H1716" s="13">
        <f t="shared" si="23"/>
        <v>65.874123940841415</v>
      </c>
    </row>
    <row r="1717" spans="2:8" s="460" customFormat="1">
      <c r="B1717" s="13">
        <v>1300</v>
      </c>
      <c r="C1717" s="13">
        <v>1300</v>
      </c>
      <c r="D1717" s="13">
        <v>0.78559999999999997</v>
      </c>
      <c r="E1717" s="13">
        <v>1482</v>
      </c>
      <c r="F1717" s="13">
        <v>1671</v>
      </c>
      <c r="G1717" s="13">
        <v>1.728</v>
      </c>
      <c r="H1717" s="13">
        <f t="shared" si="23"/>
        <v>66.31063921996747</v>
      </c>
    </row>
    <row r="1718" spans="2:8" s="460" customFormat="1">
      <c r="B1718" s="13">
        <v>1300</v>
      </c>
      <c r="C1718" s="13">
        <v>1320</v>
      </c>
      <c r="D1718" s="13">
        <v>0.79559999999999997</v>
      </c>
      <c r="E1718" s="13">
        <v>1491</v>
      </c>
      <c r="F1718" s="13">
        <v>1683</v>
      </c>
      <c r="G1718" s="13">
        <v>1.7350000000000001</v>
      </c>
      <c r="H1718" s="13">
        <f t="shared" si="23"/>
        <v>66.786837706286803</v>
      </c>
    </row>
    <row r="1719" spans="2:8" s="460" customFormat="1">
      <c r="B1719" s="13">
        <v>1300</v>
      </c>
      <c r="C1719" s="13">
        <v>1340</v>
      </c>
      <c r="D1719" s="13">
        <v>0.80549999999999999</v>
      </c>
      <c r="E1719" s="13">
        <v>1501</v>
      </c>
      <c r="F1719" s="13">
        <v>1694</v>
      </c>
      <c r="G1719" s="13">
        <v>1.7410000000000001</v>
      </c>
      <c r="H1719" s="13">
        <f t="shared" si="23"/>
        <v>67.223352985412873</v>
      </c>
    </row>
    <row r="1720" spans="2:8" s="460" customFormat="1">
      <c r="B1720" s="13">
        <v>1300</v>
      </c>
      <c r="C1720" s="13">
        <v>1360</v>
      </c>
      <c r="D1720" s="13">
        <v>0.8155</v>
      </c>
      <c r="E1720" s="13">
        <v>1510</v>
      </c>
      <c r="F1720" s="13">
        <v>1706</v>
      </c>
      <c r="G1720" s="13">
        <v>1.748</v>
      </c>
      <c r="H1720" s="13">
        <f t="shared" si="23"/>
        <v>67.699551471732207</v>
      </c>
    </row>
    <row r="1721" spans="2:8" s="460" customFormat="1">
      <c r="B1721" s="13">
        <v>1300</v>
      </c>
      <c r="C1721" s="13">
        <v>1380</v>
      </c>
      <c r="D1721" s="13">
        <v>0.82540000000000002</v>
      </c>
      <c r="E1721" s="13">
        <v>1519</v>
      </c>
      <c r="F1721" s="13">
        <v>1718</v>
      </c>
      <c r="G1721" s="13">
        <v>1.754</v>
      </c>
      <c r="H1721" s="13">
        <f t="shared" si="23"/>
        <v>68.17574995805154</v>
      </c>
    </row>
    <row r="1722" spans="2:8" s="460" customFormat="1">
      <c r="B1722" s="13">
        <v>1300</v>
      </c>
      <c r="C1722" s="13">
        <v>1400</v>
      </c>
      <c r="D1722" s="13">
        <v>0.83530000000000004</v>
      </c>
      <c r="E1722" s="13">
        <v>1528</v>
      </c>
      <c r="F1722" s="13">
        <v>1729</v>
      </c>
      <c r="G1722" s="13">
        <v>1.76</v>
      </c>
      <c r="H1722" s="13">
        <f t="shared" si="23"/>
        <v>68.612265237177596</v>
      </c>
    </row>
    <row r="1723" spans="2:8" s="460" customFormat="1">
      <c r="B1723" s="13">
        <v>1300</v>
      </c>
      <c r="C1723" s="13">
        <v>1420</v>
      </c>
      <c r="D1723" s="13">
        <v>0.84509999999999996</v>
      </c>
      <c r="E1723" s="13">
        <v>1537</v>
      </c>
      <c r="F1723" s="13">
        <v>1741</v>
      </c>
      <c r="G1723" s="13">
        <v>1.7669999999999999</v>
      </c>
      <c r="H1723" s="13">
        <f t="shared" si="23"/>
        <v>69.088463723496929</v>
      </c>
    </row>
    <row r="1724" spans="2:8" s="460" customFormat="1">
      <c r="B1724" s="13">
        <v>1300</v>
      </c>
      <c r="C1724" s="13">
        <v>1440</v>
      </c>
      <c r="D1724" s="13">
        <v>0.85499999999999998</v>
      </c>
      <c r="E1724" s="13">
        <v>1547</v>
      </c>
      <c r="F1724" s="13">
        <v>1752</v>
      </c>
      <c r="G1724" s="13">
        <v>1.7729999999999999</v>
      </c>
      <c r="H1724" s="13">
        <f t="shared" si="23"/>
        <v>69.524979002622985</v>
      </c>
    </row>
    <row r="1725" spans="2:8" s="460" customFormat="1">
      <c r="B1725" s="13">
        <v>1300</v>
      </c>
      <c r="C1725" s="13">
        <v>1460</v>
      </c>
      <c r="D1725" s="13">
        <v>0.86480000000000001</v>
      </c>
      <c r="E1725" s="13">
        <v>1556</v>
      </c>
      <c r="F1725" s="13">
        <v>1764</v>
      </c>
      <c r="G1725" s="13">
        <v>1.7789999999999999</v>
      </c>
      <c r="H1725" s="13">
        <f t="shared" si="23"/>
        <v>70.001177488942318</v>
      </c>
    </row>
    <row r="1726" spans="2:8" s="460" customFormat="1">
      <c r="B1726" s="13">
        <v>1300</v>
      </c>
      <c r="C1726" s="13">
        <v>1480</v>
      </c>
      <c r="D1726" s="13">
        <v>0.87460000000000004</v>
      </c>
      <c r="E1726" s="13">
        <v>1565</v>
      </c>
      <c r="F1726" s="13">
        <v>1776</v>
      </c>
      <c r="G1726" s="13">
        <v>1.7849999999999999</v>
      </c>
      <c r="H1726" s="13">
        <f t="shared" si="23"/>
        <v>70.477375975261651</v>
      </c>
    </row>
    <row r="1727" spans="2:8" s="460" customFormat="1">
      <c r="B1727" s="13">
        <v>1300</v>
      </c>
      <c r="C1727" s="13">
        <v>1500</v>
      </c>
      <c r="D1727" s="13">
        <v>0.88429999999999997</v>
      </c>
      <c r="E1727" s="13">
        <v>1575</v>
      </c>
      <c r="F1727" s="13">
        <v>1787</v>
      </c>
      <c r="G1727" s="13">
        <v>1.7909999999999999</v>
      </c>
      <c r="H1727" s="13">
        <f t="shared" si="23"/>
        <v>70.913891254387721</v>
      </c>
    </row>
    <row r="1728" spans="2:8" s="460" customFormat="1">
      <c r="B1728" s="13">
        <v>1400</v>
      </c>
      <c r="C1728" s="13">
        <v>40</v>
      </c>
      <c r="D1728" s="13">
        <v>1.5939999999999999E-2</v>
      </c>
      <c r="E1728" s="13">
        <v>8.016</v>
      </c>
      <c r="F1728" s="13">
        <v>12.15</v>
      </c>
      <c r="G1728" s="13">
        <v>1.6150000000000001E-2</v>
      </c>
      <c r="H1728" s="13">
        <f t="shared" si="23"/>
        <v>0.48215096739832725</v>
      </c>
    </row>
    <row r="1729" spans="2:8" s="460" customFormat="1">
      <c r="B1729" s="13">
        <v>1400</v>
      </c>
      <c r="C1729" s="13">
        <v>60</v>
      </c>
      <c r="D1729" s="13">
        <v>1.5959999999999998E-2</v>
      </c>
      <c r="E1729" s="13">
        <v>27.89</v>
      </c>
      <c r="F1729" s="13">
        <v>32.020000000000003</v>
      </c>
      <c r="G1729" s="13">
        <v>5.5160000000000001E-2</v>
      </c>
      <c r="H1729" s="13">
        <f t="shared" si="23"/>
        <v>1.2706562943287605</v>
      </c>
    </row>
    <row r="1730" spans="2:8" s="460" customFormat="1">
      <c r="B1730" s="13">
        <v>1400</v>
      </c>
      <c r="C1730" s="13">
        <v>80</v>
      </c>
      <c r="D1730" s="13">
        <v>1.6E-2</v>
      </c>
      <c r="E1730" s="13">
        <v>47.73</v>
      </c>
      <c r="F1730" s="13">
        <v>51.88</v>
      </c>
      <c r="G1730" s="13">
        <v>9.264E-2</v>
      </c>
      <c r="H1730" s="13">
        <f t="shared" si="23"/>
        <v>2.0587647891872609</v>
      </c>
    </row>
    <row r="1731" spans="2:8" s="460" customFormat="1">
      <c r="B1731" s="13">
        <v>1400</v>
      </c>
      <c r="C1731" s="13">
        <v>100</v>
      </c>
      <c r="D1731" s="13">
        <v>1.6060000000000001E-2</v>
      </c>
      <c r="E1731" s="13">
        <v>67.56</v>
      </c>
      <c r="F1731" s="13">
        <v>71.73</v>
      </c>
      <c r="G1731" s="13">
        <v>0.1288</v>
      </c>
      <c r="H1731" s="13">
        <f t="shared" si="23"/>
        <v>2.8464764519738286</v>
      </c>
    </row>
    <row r="1732" spans="2:8" s="460" customFormat="1">
      <c r="B1732" s="13">
        <v>1400</v>
      </c>
      <c r="C1732" s="13">
        <v>120</v>
      </c>
      <c r="D1732" s="13">
        <v>1.6140000000000002E-2</v>
      </c>
      <c r="E1732" s="13">
        <v>87.4</v>
      </c>
      <c r="F1732" s="13">
        <v>91.58</v>
      </c>
      <c r="G1732" s="13">
        <v>0.1636</v>
      </c>
      <c r="H1732" s="13">
        <f t="shared" si="23"/>
        <v>3.6341881147603958</v>
      </c>
    </row>
    <row r="1733" spans="2:8" s="460" customFormat="1">
      <c r="B1733" s="13">
        <v>1400</v>
      </c>
      <c r="C1733" s="13">
        <v>140</v>
      </c>
      <c r="D1733" s="13">
        <v>1.6219999999999998E-2</v>
      </c>
      <c r="E1733" s="13">
        <v>107.2</v>
      </c>
      <c r="F1733" s="13">
        <v>111.5</v>
      </c>
      <c r="G1733" s="13">
        <v>0.1973</v>
      </c>
      <c r="H1733" s="13">
        <f t="shared" si="23"/>
        <v>4.424677602050493</v>
      </c>
    </row>
    <row r="1734" spans="2:8" s="460" customFormat="1">
      <c r="B1734" s="13">
        <v>1400</v>
      </c>
      <c r="C1734" s="13">
        <v>160</v>
      </c>
      <c r="D1734" s="13">
        <v>1.6320000000000001E-2</v>
      </c>
      <c r="E1734" s="13">
        <v>127.1</v>
      </c>
      <c r="F1734" s="13">
        <v>131.30000000000001</v>
      </c>
      <c r="G1734" s="13">
        <v>0.23</v>
      </c>
      <c r="H1734" s="13">
        <f t="shared" si="23"/>
        <v>5.2104051044773971</v>
      </c>
    </row>
    <row r="1735" spans="2:8" s="460" customFormat="1">
      <c r="B1735" s="13">
        <v>1400</v>
      </c>
      <c r="C1735" s="13">
        <v>180</v>
      </c>
      <c r="D1735" s="13">
        <v>1.644E-2</v>
      </c>
      <c r="E1735" s="13">
        <v>147</v>
      </c>
      <c r="F1735" s="13">
        <v>151.30000000000001</v>
      </c>
      <c r="G1735" s="13">
        <v>0.2616</v>
      </c>
      <c r="H1735" s="13">
        <f t="shared" si="23"/>
        <v>6.0040692483429563</v>
      </c>
    </row>
    <row r="1736" spans="2:8" s="460" customFormat="1">
      <c r="B1736" s="13">
        <v>1400</v>
      </c>
      <c r="C1736" s="13">
        <v>200</v>
      </c>
      <c r="D1736" s="13">
        <v>1.6559999999999998E-2</v>
      </c>
      <c r="E1736" s="13">
        <v>167</v>
      </c>
      <c r="F1736" s="13">
        <v>171.3</v>
      </c>
      <c r="G1736" s="13">
        <v>0.29239999999999999</v>
      </c>
      <c r="H1736" s="13">
        <f t="shared" si="23"/>
        <v>6.7977333922085164</v>
      </c>
    </row>
    <row r="1737" spans="2:8" s="460" customFormat="1">
      <c r="B1737" s="13">
        <v>1400</v>
      </c>
      <c r="C1737" s="13">
        <v>220</v>
      </c>
      <c r="D1737" s="13">
        <v>1.669E-2</v>
      </c>
      <c r="E1737" s="13">
        <v>187</v>
      </c>
      <c r="F1737" s="13">
        <v>191.3</v>
      </c>
      <c r="G1737" s="13">
        <v>0.32229999999999998</v>
      </c>
      <c r="H1737" s="13">
        <f t="shared" si="23"/>
        <v>7.5913975360740746</v>
      </c>
    </row>
    <row r="1738" spans="2:8" s="460" customFormat="1">
      <c r="B1738" s="13">
        <v>1400</v>
      </c>
      <c r="C1738" s="13">
        <v>240</v>
      </c>
      <c r="D1738" s="13">
        <v>1.6840000000000001E-2</v>
      </c>
      <c r="E1738" s="13">
        <v>207</v>
      </c>
      <c r="F1738" s="13">
        <v>211.4</v>
      </c>
      <c r="G1738" s="13">
        <v>0.35139999999999999</v>
      </c>
      <c r="H1738" s="13">
        <f t="shared" si="23"/>
        <v>8.3890300006589626</v>
      </c>
    </row>
    <row r="1739" spans="2:8" s="460" customFormat="1">
      <c r="B1739" s="13">
        <v>1400</v>
      </c>
      <c r="C1739" s="13">
        <v>260</v>
      </c>
      <c r="D1739" s="13">
        <v>1.7000000000000001E-2</v>
      </c>
      <c r="E1739" s="13">
        <v>227.2</v>
      </c>
      <c r="F1739" s="13">
        <v>231.6</v>
      </c>
      <c r="G1739" s="13">
        <v>0.37990000000000002</v>
      </c>
      <c r="H1739" s="13">
        <f t="shared" si="23"/>
        <v>9.190630785963176</v>
      </c>
    </row>
    <row r="1740" spans="2:8" s="460" customFormat="1">
      <c r="B1740" s="13">
        <v>1400</v>
      </c>
      <c r="C1740" s="13">
        <v>280</v>
      </c>
      <c r="D1740" s="13">
        <v>1.7170000000000001E-2</v>
      </c>
      <c r="E1740" s="13">
        <v>247.4</v>
      </c>
      <c r="F1740" s="13">
        <v>251.8</v>
      </c>
      <c r="G1740" s="13">
        <v>0.40770000000000001</v>
      </c>
      <c r="H1740" s="13">
        <f t="shared" si="23"/>
        <v>9.992231571267391</v>
      </c>
    </row>
    <row r="1741" spans="2:8" s="460" customFormat="1">
      <c r="B1741" s="13">
        <v>1400</v>
      </c>
      <c r="C1741" s="13">
        <v>300</v>
      </c>
      <c r="D1741" s="13">
        <v>1.7350000000000001E-2</v>
      </c>
      <c r="E1741" s="13">
        <v>267.7</v>
      </c>
      <c r="F1741" s="13">
        <v>272.2</v>
      </c>
      <c r="G1741" s="13">
        <v>0.43480000000000002</v>
      </c>
      <c r="H1741" s="13">
        <f t="shared" si="23"/>
        <v>10.801768998010262</v>
      </c>
    </row>
    <row r="1742" spans="2:8" s="460" customFormat="1">
      <c r="B1742" s="13">
        <v>1400</v>
      </c>
      <c r="C1742" s="13">
        <v>320</v>
      </c>
      <c r="D1742" s="13">
        <v>1.755E-2</v>
      </c>
      <c r="E1742" s="13">
        <v>288.2</v>
      </c>
      <c r="F1742" s="13">
        <v>292.7</v>
      </c>
      <c r="G1742" s="13">
        <v>0.46150000000000002</v>
      </c>
      <c r="H1742" s="13">
        <f t="shared" si="23"/>
        <v>11.61527474547246</v>
      </c>
    </row>
    <row r="1743" spans="2:8" s="460" customFormat="1">
      <c r="B1743" s="13">
        <v>1400</v>
      </c>
      <c r="C1743" s="13">
        <v>340</v>
      </c>
      <c r="D1743" s="13">
        <v>1.7760000000000001E-2</v>
      </c>
      <c r="E1743" s="13">
        <v>308.8</v>
      </c>
      <c r="F1743" s="13">
        <v>313.39999999999998</v>
      </c>
      <c r="G1743" s="13">
        <v>0.48759999999999998</v>
      </c>
      <c r="H1743" s="13">
        <f t="shared" si="23"/>
        <v>12.436717134373312</v>
      </c>
    </row>
    <row r="1744" spans="2:8" s="460" customFormat="1">
      <c r="B1744" s="13">
        <v>1400</v>
      </c>
      <c r="C1744" s="13">
        <v>360</v>
      </c>
      <c r="D1744" s="13">
        <v>1.7989999999999999E-2</v>
      </c>
      <c r="E1744" s="13">
        <v>329.5</v>
      </c>
      <c r="F1744" s="13">
        <v>334.2</v>
      </c>
      <c r="G1744" s="13">
        <v>0.51329999999999998</v>
      </c>
      <c r="H1744" s="13">
        <f t="shared" si="23"/>
        <v>13.262127843993495</v>
      </c>
    </row>
    <row r="1745" spans="2:8" s="460" customFormat="1">
      <c r="B1745" s="13">
        <v>1400</v>
      </c>
      <c r="C1745" s="13">
        <v>380</v>
      </c>
      <c r="D1745" s="13">
        <v>1.8239999999999999E-2</v>
      </c>
      <c r="E1745" s="13">
        <v>350.5</v>
      </c>
      <c r="F1745" s="13">
        <v>355.2</v>
      </c>
      <c r="G1745" s="13">
        <v>0.53869999999999996</v>
      </c>
      <c r="H1745" s="13">
        <f t="shared" si="23"/>
        <v>14.095475195052332</v>
      </c>
    </row>
    <row r="1746" spans="2:8" s="460" customFormat="1">
      <c r="B1746" s="13">
        <v>1400</v>
      </c>
      <c r="C1746" s="13">
        <v>400</v>
      </c>
      <c r="D1746" s="13">
        <v>1.8509999999999999E-2</v>
      </c>
      <c r="E1746" s="13">
        <v>371.6</v>
      </c>
      <c r="F1746" s="13">
        <v>376.4</v>
      </c>
      <c r="G1746" s="13">
        <v>0.56369999999999998</v>
      </c>
      <c r="H1746" s="13">
        <f t="shared" si="23"/>
        <v>14.936759187549825</v>
      </c>
    </row>
    <row r="1747" spans="2:8" s="460" customFormat="1">
      <c r="B1747" s="13">
        <v>1400</v>
      </c>
      <c r="C1747" s="13">
        <v>420</v>
      </c>
      <c r="D1747" s="13">
        <v>1.8800000000000001E-2</v>
      </c>
      <c r="E1747" s="13">
        <v>393.1</v>
      </c>
      <c r="F1747" s="13">
        <v>397.9</v>
      </c>
      <c r="G1747" s="13">
        <v>0.58840000000000003</v>
      </c>
      <c r="H1747" s="13">
        <f t="shared" si="23"/>
        <v>15.789948142205301</v>
      </c>
    </row>
    <row r="1748" spans="2:8" s="460" customFormat="1">
      <c r="B1748" s="13">
        <v>1400</v>
      </c>
      <c r="C1748" s="13">
        <v>440</v>
      </c>
      <c r="D1748" s="13">
        <v>1.9120000000000002E-2</v>
      </c>
      <c r="E1748" s="13">
        <v>414.8</v>
      </c>
      <c r="F1748" s="13">
        <v>419.7</v>
      </c>
      <c r="G1748" s="13">
        <v>0.6129</v>
      </c>
      <c r="H1748" s="13">
        <f t="shared" si="23"/>
        <v>16.655042059018761</v>
      </c>
    </row>
    <row r="1749" spans="2:8" s="460" customFormat="1">
      <c r="B1749" s="13">
        <v>1400</v>
      </c>
      <c r="C1749" s="13">
        <v>460</v>
      </c>
      <c r="D1749" s="13">
        <v>1.9460000000000002E-2</v>
      </c>
      <c r="E1749" s="13">
        <v>436.8</v>
      </c>
      <c r="F1749" s="13">
        <v>441.9</v>
      </c>
      <c r="G1749" s="13">
        <v>0.63719999999999999</v>
      </c>
      <c r="H1749" s="13">
        <f t="shared" si="23"/>
        <v>17.53600925870953</v>
      </c>
    </row>
    <row r="1750" spans="2:8" s="460" customFormat="1">
      <c r="B1750" s="13">
        <v>1400</v>
      </c>
      <c r="C1750" s="13">
        <v>480</v>
      </c>
      <c r="D1750" s="13">
        <v>1.985E-2</v>
      </c>
      <c r="E1750" s="13">
        <v>459.3</v>
      </c>
      <c r="F1750" s="13">
        <v>464.5</v>
      </c>
      <c r="G1750" s="13">
        <v>0.66149999999999998</v>
      </c>
      <c r="H1750" s="13">
        <f t="shared" si="23"/>
        <v>18.432849741277614</v>
      </c>
    </row>
    <row r="1751" spans="2:8" s="460" customFormat="1">
      <c r="B1751" s="13">
        <v>1400</v>
      </c>
      <c r="C1751" s="13">
        <v>500</v>
      </c>
      <c r="D1751" s="13">
        <v>2.0279999999999999E-2</v>
      </c>
      <c r="E1751" s="13">
        <v>482.3</v>
      </c>
      <c r="F1751" s="13">
        <v>487.6</v>
      </c>
      <c r="G1751" s="13">
        <v>0.68589999999999995</v>
      </c>
      <c r="H1751" s="13">
        <f t="shared" si="23"/>
        <v>19.349531827442338</v>
      </c>
    </row>
    <row r="1752" spans="2:8" s="460" customFormat="1">
      <c r="B1752" s="13">
        <v>1400</v>
      </c>
      <c r="C1752" s="13">
        <v>520</v>
      </c>
      <c r="D1752" s="13">
        <v>2.0760000000000001E-2</v>
      </c>
      <c r="E1752" s="13">
        <v>506</v>
      </c>
      <c r="F1752" s="13">
        <v>511.4</v>
      </c>
      <c r="G1752" s="13">
        <v>0.71040000000000003</v>
      </c>
      <c r="H1752" s="13">
        <f t="shared" si="23"/>
        <v>20.29399215864235</v>
      </c>
    </row>
    <row r="1753" spans="2:8" s="460" customFormat="1">
      <c r="B1753" s="13">
        <v>1400</v>
      </c>
      <c r="C1753" s="13">
        <v>540</v>
      </c>
      <c r="D1753" s="13">
        <v>2.1319999999999999E-2</v>
      </c>
      <c r="E1753" s="13">
        <v>530.4</v>
      </c>
      <c r="F1753" s="13">
        <v>535.9</v>
      </c>
      <c r="G1753" s="13">
        <v>0.73519999999999996</v>
      </c>
      <c r="H1753" s="13">
        <f t="shared" si="23"/>
        <v>21.266230734877659</v>
      </c>
    </row>
    <row r="1754" spans="2:8" s="460" customFormat="1">
      <c r="B1754" s="13">
        <v>1400</v>
      </c>
      <c r="C1754" s="13">
        <v>560</v>
      </c>
      <c r="D1754" s="13">
        <v>2.197E-2</v>
      </c>
      <c r="E1754" s="13">
        <v>555.9</v>
      </c>
      <c r="F1754" s="13">
        <v>561.6</v>
      </c>
      <c r="G1754" s="13">
        <v>0.76060000000000005</v>
      </c>
      <c r="H1754" s="13">
        <f t="shared" si="23"/>
        <v>22.286089159744904</v>
      </c>
    </row>
    <row r="1755" spans="2:8" s="460" customFormat="1">
      <c r="B1755" s="13">
        <v>1400</v>
      </c>
      <c r="C1755" s="605">
        <v>580</v>
      </c>
      <c r="D1755" s="605">
        <v>2.2749999999999999E-2</v>
      </c>
      <c r="E1755" s="605">
        <v>582.70000000000005</v>
      </c>
      <c r="F1755" s="605">
        <v>588.6</v>
      </c>
      <c r="G1755" s="605">
        <v>0.78690000000000004</v>
      </c>
      <c r="H1755" s="13">
        <f t="shared" si="23"/>
        <v>23.357535753963408</v>
      </c>
    </row>
    <row r="1756" spans="2:8" s="460" customFormat="1">
      <c r="B1756" s="13">
        <v>1400</v>
      </c>
      <c r="C1756" s="605">
        <v>600</v>
      </c>
      <c r="D1756" s="605">
        <v>0.31780000000000003</v>
      </c>
      <c r="E1756" s="605">
        <v>1111</v>
      </c>
      <c r="F1756" s="605">
        <v>1194</v>
      </c>
      <c r="G1756" s="605">
        <v>1.365</v>
      </c>
      <c r="H1756" s="13">
        <f t="shared" si="23"/>
        <v>47.381749388773883</v>
      </c>
    </row>
    <row r="1757" spans="2:8" s="460" customFormat="1">
      <c r="B1757" s="13">
        <v>1400</v>
      </c>
      <c r="C1757" s="13">
        <v>620</v>
      </c>
      <c r="D1757" s="13">
        <v>0.33939999999999998</v>
      </c>
      <c r="E1757" s="13">
        <v>1131</v>
      </c>
      <c r="F1757" s="13">
        <v>1219</v>
      </c>
      <c r="G1757" s="13">
        <v>1.3879999999999999</v>
      </c>
      <c r="H1757" s="13">
        <f t="shared" si="23"/>
        <v>48.373829568605835</v>
      </c>
    </row>
    <row r="1758" spans="2:8" s="460" customFormat="1">
      <c r="B1758" s="13">
        <v>1400</v>
      </c>
      <c r="C1758" s="13">
        <v>640</v>
      </c>
      <c r="D1758" s="13">
        <v>0.35830000000000001</v>
      </c>
      <c r="E1758" s="13">
        <v>1148</v>
      </c>
      <c r="F1758" s="13">
        <v>1241</v>
      </c>
      <c r="G1758" s="13">
        <v>1.4079999999999999</v>
      </c>
      <c r="H1758" s="13">
        <f t="shared" si="23"/>
        <v>49.246860126857953</v>
      </c>
    </row>
    <row r="1759" spans="2:8" s="460" customFormat="1">
      <c r="B1759" s="13">
        <v>1400</v>
      </c>
      <c r="C1759" s="13">
        <v>660</v>
      </c>
      <c r="D1759" s="13">
        <v>0.3755</v>
      </c>
      <c r="E1759" s="13">
        <v>1163</v>
      </c>
      <c r="F1759" s="13">
        <v>1260</v>
      </c>
      <c r="G1759" s="13">
        <v>1.4259999999999999</v>
      </c>
      <c r="H1759" s="13">
        <f t="shared" si="23"/>
        <v>50.000841063530238</v>
      </c>
    </row>
    <row r="1760" spans="2:8" s="460" customFormat="1">
      <c r="B1760" s="13">
        <v>1400</v>
      </c>
      <c r="C1760" s="13">
        <v>680</v>
      </c>
      <c r="D1760" s="13">
        <v>0.39129999999999998</v>
      </c>
      <c r="E1760" s="13">
        <v>1177</v>
      </c>
      <c r="F1760" s="13">
        <v>1278</v>
      </c>
      <c r="G1760" s="13">
        <v>1.4419999999999999</v>
      </c>
      <c r="H1760" s="13">
        <f t="shared" si="23"/>
        <v>50.715138793009238</v>
      </c>
    </row>
    <row r="1761" spans="2:8" s="460" customFormat="1">
      <c r="B1761" s="13">
        <v>1400</v>
      </c>
      <c r="C1761" s="13">
        <v>700</v>
      </c>
      <c r="D1761" s="13">
        <v>0.40629999999999999</v>
      </c>
      <c r="E1761" s="13">
        <v>1190</v>
      </c>
      <c r="F1761" s="13">
        <v>1295</v>
      </c>
      <c r="G1761" s="13">
        <v>1.4570000000000001</v>
      </c>
      <c r="H1761" s="13">
        <f t="shared" si="23"/>
        <v>51.389753315294961</v>
      </c>
    </row>
    <row r="1762" spans="2:8" s="460" customFormat="1">
      <c r="B1762" s="13">
        <v>1400</v>
      </c>
      <c r="C1762" s="13">
        <v>720</v>
      </c>
      <c r="D1762" s="13">
        <v>0.4204</v>
      </c>
      <c r="E1762" s="13">
        <v>1202</v>
      </c>
      <c r="F1762" s="13">
        <v>1311</v>
      </c>
      <c r="G1762" s="13">
        <v>1.47</v>
      </c>
      <c r="H1762" s="13">
        <f t="shared" si="23"/>
        <v>52.024684630387412</v>
      </c>
    </row>
    <row r="1763" spans="2:8" s="460" customFormat="1">
      <c r="B1763" s="13">
        <v>1400</v>
      </c>
      <c r="C1763" s="13">
        <v>740</v>
      </c>
      <c r="D1763" s="13">
        <v>0.434</v>
      </c>
      <c r="E1763" s="13">
        <v>1214</v>
      </c>
      <c r="F1763" s="13">
        <v>1326</v>
      </c>
      <c r="G1763" s="13">
        <v>1.4830000000000001</v>
      </c>
      <c r="H1763" s="13">
        <f t="shared" si="23"/>
        <v>52.619932738286579</v>
      </c>
    </row>
    <row r="1764" spans="2:8" s="460" customFormat="1">
      <c r="B1764" s="13">
        <v>1400</v>
      </c>
      <c r="C1764" s="13">
        <v>760</v>
      </c>
      <c r="D1764" s="13">
        <v>0.44700000000000001</v>
      </c>
      <c r="E1764" s="13">
        <v>1225</v>
      </c>
      <c r="F1764" s="13">
        <v>1341</v>
      </c>
      <c r="G1764" s="13">
        <v>1.4950000000000001</v>
      </c>
      <c r="H1764" s="13">
        <f t="shared" si="23"/>
        <v>53.215180846185753</v>
      </c>
    </row>
    <row r="1765" spans="2:8" s="460" customFormat="1">
      <c r="B1765" s="13">
        <v>1400</v>
      </c>
      <c r="C1765" s="13">
        <v>780</v>
      </c>
      <c r="D1765" s="13">
        <v>0.45960000000000001</v>
      </c>
      <c r="E1765" s="13">
        <v>1236</v>
      </c>
      <c r="F1765" s="13">
        <v>1355</v>
      </c>
      <c r="G1765" s="13">
        <v>1.506</v>
      </c>
      <c r="H1765" s="13">
        <f t="shared" si="23"/>
        <v>53.770745746891642</v>
      </c>
    </row>
    <row r="1766" spans="2:8" s="460" customFormat="1">
      <c r="B1766" s="13">
        <v>1400</v>
      </c>
      <c r="C1766" s="13">
        <v>800</v>
      </c>
      <c r="D1766" s="13">
        <v>0.4718</v>
      </c>
      <c r="E1766" s="13">
        <v>1246</v>
      </c>
      <c r="F1766" s="13">
        <v>1368</v>
      </c>
      <c r="G1766" s="13">
        <v>1.5169999999999999</v>
      </c>
      <c r="H1766" s="13">
        <f t="shared" si="23"/>
        <v>54.286627440404253</v>
      </c>
    </row>
    <row r="1767" spans="2:8" s="460" customFormat="1">
      <c r="B1767" s="13">
        <v>1400</v>
      </c>
      <c r="C1767" s="13">
        <v>820</v>
      </c>
      <c r="D1767" s="13">
        <v>0.48370000000000002</v>
      </c>
      <c r="E1767" s="13">
        <v>1257</v>
      </c>
      <c r="F1767" s="13">
        <v>1382</v>
      </c>
      <c r="G1767" s="13">
        <v>1.528</v>
      </c>
      <c r="H1767" s="13">
        <f t="shared" si="23"/>
        <v>54.842192341110142</v>
      </c>
    </row>
    <row r="1768" spans="2:8" s="460" customFormat="1">
      <c r="B1768" s="13">
        <v>1400</v>
      </c>
      <c r="C1768" s="13">
        <v>840</v>
      </c>
      <c r="D1768" s="13">
        <v>0.49540000000000001</v>
      </c>
      <c r="E1768" s="13">
        <v>1267</v>
      </c>
      <c r="F1768" s="13">
        <v>1395</v>
      </c>
      <c r="G1768" s="13">
        <v>1.538</v>
      </c>
      <c r="H1768" s="13">
        <f t="shared" si="23"/>
        <v>55.35807403462276</v>
      </c>
    </row>
    <row r="1769" spans="2:8" s="460" customFormat="1">
      <c r="B1769" s="13">
        <v>1400</v>
      </c>
      <c r="C1769" s="13">
        <v>860</v>
      </c>
      <c r="D1769" s="13">
        <v>0.50680000000000003</v>
      </c>
      <c r="E1769" s="13">
        <v>1277</v>
      </c>
      <c r="F1769" s="13">
        <v>1408</v>
      </c>
      <c r="G1769" s="13">
        <v>1.548</v>
      </c>
      <c r="H1769" s="13">
        <f t="shared" si="23"/>
        <v>55.873955728135371</v>
      </c>
    </row>
    <row r="1770" spans="2:8" s="460" customFormat="1">
      <c r="B1770" s="13">
        <v>1400</v>
      </c>
      <c r="C1770" s="13">
        <v>880</v>
      </c>
      <c r="D1770" s="13">
        <v>0.51800000000000002</v>
      </c>
      <c r="E1770" s="13">
        <v>1286</v>
      </c>
      <c r="F1770" s="13">
        <v>1421</v>
      </c>
      <c r="G1770" s="13">
        <v>1.5569999999999999</v>
      </c>
      <c r="H1770" s="13">
        <f t="shared" si="23"/>
        <v>56.389837421647982</v>
      </c>
    </row>
    <row r="1771" spans="2:8" s="460" customFormat="1">
      <c r="B1771" s="13">
        <v>1400</v>
      </c>
      <c r="C1771" s="13">
        <v>900</v>
      </c>
      <c r="D1771" s="13">
        <v>0.52900000000000003</v>
      </c>
      <c r="E1771" s="13">
        <v>1296</v>
      </c>
      <c r="F1771" s="13">
        <v>1433</v>
      </c>
      <c r="G1771" s="13">
        <v>1.5669999999999999</v>
      </c>
      <c r="H1771" s="13">
        <f t="shared" si="23"/>
        <v>56.866035907967316</v>
      </c>
    </row>
    <row r="1772" spans="2:8" s="460" customFormat="1">
      <c r="B1772" s="13">
        <v>1400</v>
      </c>
      <c r="C1772" s="13">
        <v>920</v>
      </c>
      <c r="D1772" s="13">
        <v>0.53979999999999995</v>
      </c>
      <c r="E1772" s="13">
        <v>1306</v>
      </c>
      <c r="F1772" s="13">
        <v>1445</v>
      </c>
      <c r="G1772" s="13">
        <v>1.5760000000000001</v>
      </c>
      <c r="H1772" s="13">
        <f t="shared" si="23"/>
        <v>57.342234394286663</v>
      </c>
    </row>
    <row r="1773" spans="2:8" s="460" customFormat="1">
      <c r="B1773" s="13">
        <v>1400</v>
      </c>
      <c r="C1773" s="13">
        <v>940</v>
      </c>
      <c r="D1773" s="13">
        <v>0.55049999999999999</v>
      </c>
      <c r="E1773" s="13">
        <v>1315</v>
      </c>
      <c r="F1773" s="13">
        <v>1458</v>
      </c>
      <c r="G1773" s="13">
        <v>1.585</v>
      </c>
      <c r="H1773" s="13">
        <f t="shared" si="23"/>
        <v>57.858116087799267</v>
      </c>
    </row>
    <row r="1774" spans="2:8" s="460" customFormat="1">
      <c r="B1774" s="13">
        <v>1400</v>
      </c>
      <c r="C1774" s="13">
        <v>960</v>
      </c>
      <c r="D1774" s="13">
        <v>0.56110000000000004</v>
      </c>
      <c r="E1774" s="13">
        <v>1325</v>
      </c>
      <c r="F1774" s="13">
        <v>1470</v>
      </c>
      <c r="G1774" s="13">
        <v>1.593</v>
      </c>
      <c r="H1774" s="13">
        <f t="shared" si="23"/>
        <v>58.334314574118608</v>
      </c>
    </row>
    <row r="1775" spans="2:8" s="460" customFormat="1">
      <c r="B1775" s="13">
        <v>1400</v>
      </c>
      <c r="C1775" s="13">
        <v>980</v>
      </c>
      <c r="D1775" s="13">
        <v>0.57150000000000001</v>
      </c>
      <c r="E1775" s="13">
        <v>1334</v>
      </c>
      <c r="F1775" s="13">
        <v>1482</v>
      </c>
      <c r="G1775" s="13">
        <v>1.6020000000000001</v>
      </c>
      <c r="H1775" s="13">
        <f t="shared" si="23"/>
        <v>58.810513060437941</v>
      </c>
    </row>
    <row r="1776" spans="2:8" s="460" customFormat="1">
      <c r="B1776" s="13">
        <v>1400</v>
      </c>
      <c r="C1776" s="13">
        <v>1000</v>
      </c>
      <c r="D1776" s="13">
        <v>0.58189999999999997</v>
      </c>
      <c r="E1776" s="13">
        <v>1343</v>
      </c>
      <c r="F1776" s="13">
        <v>1494</v>
      </c>
      <c r="G1776" s="13">
        <v>1.61</v>
      </c>
      <c r="H1776" s="13">
        <f t="shared" si="23"/>
        <v>59.286711546757275</v>
      </c>
    </row>
    <row r="1777" spans="2:8" s="460" customFormat="1">
      <c r="B1777" s="13">
        <v>1400</v>
      </c>
      <c r="C1777" s="13">
        <v>1020</v>
      </c>
      <c r="D1777" s="13">
        <v>0.59209999999999996</v>
      </c>
      <c r="E1777" s="13">
        <v>1352</v>
      </c>
      <c r="F1777" s="13">
        <v>1506</v>
      </c>
      <c r="G1777" s="13">
        <v>1.6180000000000001</v>
      </c>
      <c r="H1777" s="13">
        <f t="shared" si="23"/>
        <v>59.762910033076608</v>
      </c>
    </row>
    <row r="1778" spans="2:8" s="460" customFormat="1">
      <c r="B1778" s="13">
        <v>1400</v>
      </c>
      <c r="C1778" s="13">
        <v>1040</v>
      </c>
      <c r="D1778" s="13">
        <v>0.60219999999999996</v>
      </c>
      <c r="E1778" s="13">
        <v>1362</v>
      </c>
      <c r="F1778" s="13">
        <v>1518</v>
      </c>
      <c r="G1778" s="13">
        <v>1.6259999999999999</v>
      </c>
      <c r="H1778" s="13">
        <f t="shared" si="23"/>
        <v>60.239108519395948</v>
      </c>
    </row>
    <row r="1779" spans="2:8" s="460" customFormat="1">
      <c r="B1779" s="13">
        <v>1400</v>
      </c>
      <c r="C1779" s="13">
        <v>1060</v>
      </c>
      <c r="D1779" s="13">
        <v>0.61219999999999997</v>
      </c>
      <c r="E1779" s="13">
        <v>1371</v>
      </c>
      <c r="F1779" s="13">
        <v>1530</v>
      </c>
      <c r="G1779" s="13">
        <v>1.6339999999999999</v>
      </c>
      <c r="H1779" s="13">
        <f t="shared" si="23"/>
        <v>60.715307005715282</v>
      </c>
    </row>
    <row r="1780" spans="2:8" s="460" customFormat="1">
      <c r="B1780" s="13">
        <v>1400</v>
      </c>
      <c r="C1780" s="13">
        <v>1080</v>
      </c>
      <c r="D1780" s="13">
        <v>0.62219999999999998</v>
      </c>
      <c r="E1780" s="13">
        <v>1380</v>
      </c>
      <c r="F1780" s="13">
        <v>1541</v>
      </c>
      <c r="G1780" s="13">
        <v>1.6419999999999999</v>
      </c>
      <c r="H1780" s="13">
        <f t="shared" si="23"/>
        <v>61.151822284841344</v>
      </c>
    </row>
    <row r="1781" spans="2:8" s="460" customFormat="1">
      <c r="B1781" s="13">
        <v>1400</v>
      </c>
      <c r="C1781" s="13">
        <v>1100</v>
      </c>
      <c r="D1781" s="13">
        <v>0.6321</v>
      </c>
      <c r="E1781" s="13">
        <v>1389</v>
      </c>
      <c r="F1781" s="13">
        <v>1553</v>
      </c>
      <c r="G1781" s="13">
        <v>1.649</v>
      </c>
      <c r="H1781" s="13">
        <f t="shared" si="23"/>
        <v>61.628020771160678</v>
      </c>
    </row>
    <row r="1782" spans="2:8" s="460" customFormat="1">
      <c r="B1782" s="13">
        <v>1400</v>
      </c>
      <c r="C1782" s="13">
        <v>1120</v>
      </c>
      <c r="D1782" s="13">
        <v>0.64190000000000003</v>
      </c>
      <c r="E1782" s="13">
        <v>1398</v>
      </c>
      <c r="F1782" s="13">
        <v>1565</v>
      </c>
      <c r="G1782" s="13">
        <v>1.657</v>
      </c>
      <c r="H1782" s="13">
        <f t="shared" si="23"/>
        <v>62.104219257480011</v>
      </c>
    </row>
    <row r="1783" spans="2:8" s="460" customFormat="1">
      <c r="B1783" s="13">
        <v>1400</v>
      </c>
      <c r="C1783" s="13">
        <v>1140</v>
      </c>
      <c r="D1783" s="13">
        <v>0.65169999999999995</v>
      </c>
      <c r="E1783" s="13">
        <v>1408</v>
      </c>
      <c r="F1783" s="13">
        <v>1576</v>
      </c>
      <c r="G1783" s="13">
        <v>1.6639999999999999</v>
      </c>
      <c r="H1783" s="13">
        <f t="shared" si="23"/>
        <v>62.540734536606067</v>
      </c>
    </row>
    <row r="1784" spans="2:8" s="460" customFormat="1">
      <c r="B1784" s="13">
        <v>1400</v>
      </c>
      <c r="C1784" s="13">
        <v>1160</v>
      </c>
      <c r="D1784" s="13">
        <v>0.66139999999999999</v>
      </c>
      <c r="E1784" s="13">
        <v>1417</v>
      </c>
      <c r="F1784" s="13">
        <v>1588</v>
      </c>
      <c r="G1784" s="13">
        <v>1.671</v>
      </c>
      <c r="H1784" s="13">
        <f t="shared" ref="H1784:H1847" si="24">F1784/$E$22*18</f>
        <v>63.016933022925407</v>
      </c>
    </row>
    <row r="1785" spans="2:8" s="460" customFormat="1">
      <c r="B1785" s="13">
        <v>1400</v>
      </c>
      <c r="C1785" s="13">
        <v>1180</v>
      </c>
      <c r="D1785" s="13">
        <v>0.67100000000000004</v>
      </c>
      <c r="E1785" s="13">
        <v>1426</v>
      </c>
      <c r="F1785" s="13">
        <v>1600</v>
      </c>
      <c r="G1785" s="13">
        <v>1.6779999999999999</v>
      </c>
      <c r="H1785" s="13">
        <f t="shared" si="24"/>
        <v>63.493131509244741</v>
      </c>
    </row>
    <row r="1786" spans="2:8" s="460" customFormat="1">
      <c r="B1786" s="13">
        <v>1400</v>
      </c>
      <c r="C1786" s="13">
        <v>1200</v>
      </c>
      <c r="D1786" s="13">
        <v>0.68059999999999998</v>
      </c>
      <c r="E1786" s="13">
        <v>1435</v>
      </c>
      <c r="F1786" s="13">
        <v>1611</v>
      </c>
      <c r="G1786" s="13">
        <v>1.6850000000000001</v>
      </c>
      <c r="H1786" s="13">
        <f t="shared" si="24"/>
        <v>63.929646788370803</v>
      </c>
    </row>
    <row r="1787" spans="2:8" s="460" customFormat="1">
      <c r="B1787" s="13">
        <v>1400</v>
      </c>
      <c r="C1787" s="13">
        <v>1220</v>
      </c>
      <c r="D1787" s="13">
        <v>0.69020000000000004</v>
      </c>
      <c r="E1787" s="13">
        <v>1444</v>
      </c>
      <c r="F1787" s="13">
        <v>1623</v>
      </c>
      <c r="G1787" s="13">
        <v>1.6919999999999999</v>
      </c>
      <c r="H1787" s="13">
        <f t="shared" si="24"/>
        <v>64.405845274690137</v>
      </c>
    </row>
    <row r="1788" spans="2:8" s="460" customFormat="1">
      <c r="B1788" s="13">
        <v>1400</v>
      </c>
      <c r="C1788" s="13">
        <v>1240</v>
      </c>
      <c r="D1788" s="13">
        <v>0.69969999999999999</v>
      </c>
      <c r="E1788" s="13">
        <v>1453</v>
      </c>
      <c r="F1788" s="13">
        <v>1635</v>
      </c>
      <c r="G1788" s="13">
        <v>1.6990000000000001</v>
      </c>
      <c r="H1788" s="13">
        <f t="shared" si="24"/>
        <v>64.88204376100947</v>
      </c>
    </row>
    <row r="1789" spans="2:8" s="460" customFormat="1">
      <c r="B1789" s="13">
        <v>1400</v>
      </c>
      <c r="C1789" s="13">
        <v>1260</v>
      </c>
      <c r="D1789" s="13">
        <v>0.70909999999999995</v>
      </c>
      <c r="E1789" s="13">
        <v>1463</v>
      </c>
      <c r="F1789" s="13">
        <v>1646</v>
      </c>
      <c r="G1789" s="13">
        <v>1.706</v>
      </c>
      <c r="H1789" s="13">
        <f t="shared" si="24"/>
        <v>65.318559040135526</v>
      </c>
    </row>
    <row r="1790" spans="2:8" s="460" customFormat="1">
      <c r="B1790" s="13">
        <v>1400</v>
      </c>
      <c r="C1790" s="13">
        <v>1280</v>
      </c>
      <c r="D1790" s="13">
        <v>0.71860000000000002</v>
      </c>
      <c r="E1790" s="13">
        <v>1472</v>
      </c>
      <c r="F1790" s="13">
        <v>1658</v>
      </c>
      <c r="G1790" s="13">
        <v>1.7130000000000001</v>
      </c>
      <c r="H1790" s="13">
        <f t="shared" si="24"/>
        <v>65.794757526454859</v>
      </c>
    </row>
    <row r="1791" spans="2:8" s="460" customFormat="1">
      <c r="B1791" s="13">
        <v>1400</v>
      </c>
      <c r="C1791" s="13">
        <v>1300</v>
      </c>
      <c r="D1791" s="13">
        <v>0.72799999999999998</v>
      </c>
      <c r="E1791" s="13">
        <v>1481</v>
      </c>
      <c r="F1791" s="13">
        <v>1669</v>
      </c>
      <c r="G1791" s="13">
        <v>1.7190000000000001</v>
      </c>
      <c r="H1791" s="13">
        <f t="shared" si="24"/>
        <v>66.231272805580915</v>
      </c>
    </row>
    <row r="1792" spans="2:8" s="460" customFormat="1">
      <c r="B1792" s="13">
        <v>1400</v>
      </c>
      <c r="C1792" s="13">
        <v>1320</v>
      </c>
      <c r="D1792" s="13">
        <v>0.73729999999999996</v>
      </c>
      <c r="E1792" s="13">
        <v>1490</v>
      </c>
      <c r="F1792" s="13">
        <v>1681</v>
      </c>
      <c r="G1792" s="13">
        <v>1.726</v>
      </c>
      <c r="H1792" s="13">
        <f t="shared" si="24"/>
        <v>66.707471291900262</v>
      </c>
    </row>
    <row r="1793" spans="2:8" s="460" customFormat="1">
      <c r="B1793" s="13">
        <v>1400</v>
      </c>
      <c r="C1793" s="13">
        <v>1340</v>
      </c>
      <c r="D1793" s="13">
        <v>0.74660000000000004</v>
      </c>
      <c r="E1793" s="13">
        <v>1499</v>
      </c>
      <c r="F1793" s="13">
        <v>1693</v>
      </c>
      <c r="G1793" s="13">
        <v>1.732</v>
      </c>
      <c r="H1793" s="13">
        <f t="shared" si="24"/>
        <v>67.183669778219596</v>
      </c>
    </row>
    <row r="1794" spans="2:8" s="460" customFormat="1">
      <c r="B1794" s="13">
        <v>1400</v>
      </c>
      <c r="C1794" s="13">
        <v>1360</v>
      </c>
      <c r="D1794" s="13">
        <v>0.75590000000000002</v>
      </c>
      <c r="E1794" s="13">
        <v>1509</v>
      </c>
      <c r="F1794" s="13">
        <v>1704</v>
      </c>
      <c r="G1794" s="13">
        <v>1.7390000000000001</v>
      </c>
      <c r="H1794" s="13">
        <f t="shared" si="24"/>
        <v>67.620185057345651</v>
      </c>
    </row>
    <row r="1795" spans="2:8" s="460" customFormat="1">
      <c r="B1795" s="13">
        <v>1400</v>
      </c>
      <c r="C1795" s="13">
        <v>1380</v>
      </c>
      <c r="D1795" s="13">
        <v>0.76519999999999999</v>
      </c>
      <c r="E1795" s="13">
        <v>1518</v>
      </c>
      <c r="F1795" s="13">
        <v>1716</v>
      </c>
      <c r="G1795" s="13">
        <v>1.7450000000000001</v>
      </c>
      <c r="H1795" s="13">
        <f t="shared" si="24"/>
        <v>68.096383543664984</v>
      </c>
    </row>
    <row r="1796" spans="2:8" s="460" customFormat="1">
      <c r="B1796" s="13">
        <v>1400</v>
      </c>
      <c r="C1796" s="13">
        <v>1400</v>
      </c>
      <c r="D1796" s="13">
        <v>0.77439999999999998</v>
      </c>
      <c r="E1796" s="13">
        <v>1527</v>
      </c>
      <c r="F1796" s="13">
        <v>1728</v>
      </c>
      <c r="G1796" s="13">
        <v>1.752</v>
      </c>
      <c r="H1796" s="13">
        <f t="shared" si="24"/>
        <v>68.572582029984318</v>
      </c>
    </row>
    <row r="1797" spans="2:8" s="460" customFormat="1">
      <c r="B1797" s="13">
        <v>1400</v>
      </c>
      <c r="C1797" s="13">
        <v>1420</v>
      </c>
      <c r="D1797" s="13">
        <v>0.78359999999999996</v>
      </c>
      <c r="E1797" s="13">
        <v>1536</v>
      </c>
      <c r="F1797" s="13">
        <v>1739</v>
      </c>
      <c r="G1797" s="13">
        <v>1.758</v>
      </c>
      <c r="H1797" s="13">
        <f t="shared" si="24"/>
        <v>69.009097309110373</v>
      </c>
    </row>
    <row r="1798" spans="2:8" s="460" customFormat="1">
      <c r="B1798" s="13">
        <v>1400</v>
      </c>
      <c r="C1798" s="13">
        <v>1440</v>
      </c>
      <c r="D1798" s="13">
        <v>0.79279999999999995</v>
      </c>
      <c r="E1798" s="13">
        <v>1546</v>
      </c>
      <c r="F1798" s="13">
        <v>1751</v>
      </c>
      <c r="G1798" s="13">
        <v>1.764</v>
      </c>
      <c r="H1798" s="13">
        <f t="shared" si="24"/>
        <v>69.485295795429721</v>
      </c>
    </row>
    <row r="1799" spans="2:8" s="460" customFormat="1">
      <c r="B1799" s="13">
        <v>1400</v>
      </c>
      <c r="C1799" s="13">
        <v>1460</v>
      </c>
      <c r="D1799" s="13">
        <v>0.80189999999999995</v>
      </c>
      <c r="E1799" s="13">
        <v>1555</v>
      </c>
      <c r="F1799" s="13">
        <v>1763</v>
      </c>
      <c r="G1799" s="13">
        <v>1.77</v>
      </c>
      <c r="H1799" s="13">
        <f t="shared" si="24"/>
        <v>69.961494281749054</v>
      </c>
    </row>
    <row r="1800" spans="2:8" s="460" customFormat="1">
      <c r="B1800" s="13">
        <v>1400</v>
      </c>
      <c r="C1800" s="13">
        <v>1480</v>
      </c>
      <c r="D1800" s="13">
        <v>0.81110000000000004</v>
      </c>
      <c r="E1800" s="13">
        <v>1564</v>
      </c>
      <c r="F1800" s="13">
        <v>1774</v>
      </c>
      <c r="G1800" s="13">
        <v>1.776</v>
      </c>
      <c r="H1800" s="13">
        <f t="shared" si="24"/>
        <v>70.39800956087511</v>
      </c>
    </row>
    <row r="1801" spans="2:8" s="460" customFormat="1">
      <c r="B1801" s="13">
        <v>1400</v>
      </c>
      <c r="C1801" s="13">
        <v>1500</v>
      </c>
      <c r="D1801" s="13">
        <v>0.82020000000000004</v>
      </c>
      <c r="E1801" s="13">
        <v>1574</v>
      </c>
      <c r="F1801" s="13">
        <v>1786</v>
      </c>
      <c r="G1801" s="13">
        <v>1.782</v>
      </c>
      <c r="H1801" s="13">
        <f t="shared" si="24"/>
        <v>70.874208047194443</v>
      </c>
    </row>
    <row r="1802" spans="2:8" s="460" customFormat="1">
      <c r="B1802" s="13">
        <v>1500</v>
      </c>
      <c r="C1802" s="13">
        <v>32</v>
      </c>
      <c r="D1802" s="13">
        <v>1.5939999999999999E-2</v>
      </c>
      <c r="E1802" s="13">
        <v>5.2400000000000002E-2</v>
      </c>
      <c r="F1802" s="13">
        <v>4.4770000000000003</v>
      </c>
      <c r="G1802" s="13">
        <v>8.2999999999999998E-5</v>
      </c>
      <c r="H1802" s="13">
        <f t="shared" si="24"/>
        <v>0.17766171860430546</v>
      </c>
    </row>
    <row r="1803" spans="2:8" s="460" customFormat="1">
      <c r="B1803" s="13">
        <v>1500</v>
      </c>
      <c r="C1803" s="13">
        <v>40</v>
      </c>
      <c r="D1803" s="13">
        <v>1.5939999999999999E-2</v>
      </c>
      <c r="E1803" s="13">
        <v>8.0139999999999993</v>
      </c>
      <c r="F1803" s="13">
        <v>12.44</v>
      </c>
      <c r="G1803" s="13">
        <v>1.6150000000000001E-2</v>
      </c>
      <c r="H1803" s="13">
        <f t="shared" si="24"/>
        <v>0.49365909748437786</v>
      </c>
    </row>
    <row r="1804" spans="2:8" s="460" customFormat="1">
      <c r="B1804" s="13">
        <v>1500</v>
      </c>
      <c r="C1804" s="13">
        <v>60</v>
      </c>
      <c r="D1804" s="13">
        <v>1.5959999999999998E-2</v>
      </c>
      <c r="E1804" s="13">
        <v>27.87</v>
      </c>
      <c r="F1804" s="13">
        <v>32.299999999999997</v>
      </c>
      <c r="G1804" s="13">
        <v>5.5129999999999998E-2</v>
      </c>
      <c r="H1804" s="13">
        <f t="shared" si="24"/>
        <v>1.2817675923428782</v>
      </c>
    </row>
    <row r="1805" spans="2:8" s="460" customFormat="1">
      <c r="B1805" s="13">
        <v>1500</v>
      </c>
      <c r="C1805" s="13">
        <v>80</v>
      </c>
      <c r="D1805" s="13">
        <v>1.6E-2</v>
      </c>
      <c r="E1805" s="13">
        <v>47.71</v>
      </c>
      <c r="F1805" s="13">
        <v>52.15</v>
      </c>
      <c r="G1805" s="13">
        <v>9.2600000000000002E-2</v>
      </c>
      <c r="H1805" s="13">
        <f t="shared" si="24"/>
        <v>2.0694792551294459</v>
      </c>
    </row>
    <row r="1806" spans="2:8" s="460" customFormat="1">
      <c r="B1806" s="13">
        <v>1500</v>
      </c>
      <c r="C1806" s="13">
        <v>100</v>
      </c>
      <c r="D1806" s="13">
        <v>1.6060000000000001E-2</v>
      </c>
      <c r="E1806" s="13">
        <v>67.53</v>
      </c>
      <c r="F1806" s="13">
        <v>71.989999999999995</v>
      </c>
      <c r="G1806" s="13">
        <v>0.12870000000000001</v>
      </c>
      <c r="H1806" s="13">
        <f t="shared" si="24"/>
        <v>2.8567940858440806</v>
      </c>
    </row>
    <row r="1807" spans="2:8" s="460" customFormat="1">
      <c r="B1807" s="13">
        <v>1500</v>
      </c>
      <c r="C1807" s="13">
        <v>120</v>
      </c>
      <c r="D1807" s="13">
        <v>1.6129999999999999E-2</v>
      </c>
      <c r="E1807" s="13">
        <v>87.36</v>
      </c>
      <c r="F1807" s="13">
        <v>91.84</v>
      </c>
      <c r="G1807" s="13">
        <v>0.16350000000000001</v>
      </c>
      <c r="H1807" s="13">
        <f t="shared" si="24"/>
        <v>3.6445057486306487</v>
      </c>
    </row>
    <row r="1808" spans="2:8" s="460" customFormat="1">
      <c r="B1808" s="13">
        <v>1500</v>
      </c>
      <c r="C1808" s="13">
        <v>140</v>
      </c>
      <c r="D1808" s="13">
        <v>1.6219999999999998E-2</v>
      </c>
      <c r="E1808" s="13">
        <v>107.2</v>
      </c>
      <c r="F1808" s="13">
        <v>111.7</v>
      </c>
      <c r="G1808" s="13">
        <v>0.19719999999999999</v>
      </c>
      <c r="H1808" s="13">
        <f t="shared" si="24"/>
        <v>4.4326142434891489</v>
      </c>
    </row>
    <row r="1809" spans="2:8" s="460" customFormat="1">
      <c r="B1809" s="13">
        <v>1500</v>
      </c>
      <c r="C1809" s="13">
        <v>160</v>
      </c>
      <c r="D1809" s="13">
        <v>1.6320000000000001E-2</v>
      </c>
      <c r="E1809" s="13">
        <v>127.1</v>
      </c>
      <c r="F1809" s="13">
        <v>131.6</v>
      </c>
      <c r="G1809" s="13">
        <v>0.22989999999999999</v>
      </c>
      <c r="H1809" s="13">
        <f t="shared" si="24"/>
        <v>5.2223100666353801</v>
      </c>
    </row>
    <row r="1810" spans="2:8" s="460" customFormat="1">
      <c r="B1810" s="13">
        <v>1500</v>
      </c>
      <c r="C1810" s="13">
        <v>180</v>
      </c>
      <c r="D1810" s="13">
        <v>1.643E-2</v>
      </c>
      <c r="E1810" s="13">
        <v>147</v>
      </c>
      <c r="F1810" s="13">
        <v>151.5</v>
      </c>
      <c r="G1810" s="13">
        <v>0.26150000000000001</v>
      </c>
      <c r="H1810" s="13">
        <f t="shared" si="24"/>
        <v>6.0120058897816122</v>
      </c>
    </row>
    <row r="1811" spans="2:8" s="460" customFormat="1">
      <c r="B1811" s="13">
        <v>1500</v>
      </c>
      <c r="C1811" s="13">
        <v>200</v>
      </c>
      <c r="D1811" s="13">
        <v>1.6549999999999999E-2</v>
      </c>
      <c r="E1811" s="13">
        <v>166.9</v>
      </c>
      <c r="F1811" s="13">
        <v>171.5</v>
      </c>
      <c r="G1811" s="13">
        <v>0.29220000000000002</v>
      </c>
      <c r="H1811" s="13">
        <f t="shared" si="24"/>
        <v>6.8056700336471714</v>
      </c>
    </row>
    <row r="1812" spans="2:8" s="460" customFormat="1">
      <c r="B1812" s="13">
        <v>1500</v>
      </c>
      <c r="C1812" s="13">
        <v>220</v>
      </c>
      <c r="D1812" s="13">
        <v>1.669E-2</v>
      </c>
      <c r="E1812" s="13">
        <v>186.9</v>
      </c>
      <c r="F1812" s="13">
        <v>191.5</v>
      </c>
      <c r="G1812" s="13">
        <v>0.32219999999999999</v>
      </c>
      <c r="H1812" s="13">
        <f t="shared" si="24"/>
        <v>7.5993341775127305</v>
      </c>
    </row>
    <row r="1813" spans="2:8" s="460" customFormat="1">
      <c r="B1813" s="13">
        <v>1500</v>
      </c>
      <c r="C1813" s="13">
        <v>240</v>
      </c>
      <c r="D1813" s="13">
        <v>1.6830000000000001E-2</v>
      </c>
      <c r="E1813" s="13">
        <v>206.9</v>
      </c>
      <c r="F1813" s="13">
        <v>211.6</v>
      </c>
      <c r="G1813" s="13">
        <v>0.3513</v>
      </c>
      <c r="H1813" s="13">
        <f t="shared" si="24"/>
        <v>8.3969666420976168</v>
      </c>
    </row>
    <row r="1814" spans="2:8" s="460" customFormat="1">
      <c r="B1814" s="13">
        <v>1500</v>
      </c>
      <c r="C1814" s="13">
        <v>260</v>
      </c>
      <c r="D1814" s="13">
        <v>1.6990000000000002E-2</v>
      </c>
      <c r="E1814" s="13">
        <v>227.1</v>
      </c>
      <c r="F1814" s="13">
        <v>231.8</v>
      </c>
      <c r="G1814" s="13">
        <v>0.37969999999999998</v>
      </c>
      <c r="H1814" s="13">
        <f t="shared" si="24"/>
        <v>9.1985674274018319</v>
      </c>
    </row>
    <row r="1815" spans="2:8" s="460" customFormat="1">
      <c r="B1815" s="13">
        <v>1500</v>
      </c>
      <c r="C1815" s="13">
        <v>280</v>
      </c>
      <c r="D1815" s="13">
        <v>1.7160000000000002E-2</v>
      </c>
      <c r="E1815" s="13">
        <v>247.3</v>
      </c>
      <c r="F1815" s="13">
        <v>252</v>
      </c>
      <c r="G1815" s="13">
        <v>0.40749999999999997</v>
      </c>
      <c r="H1815" s="13">
        <f t="shared" si="24"/>
        <v>10.000168212706047</v>
      </c>
    </row>
    <row r="1816" spans="2:8" s="460" customFormat="1">
      <c r="B1816" s="13">
        <v>1500</v>
      </c>
      <c r="C1816" s="13">
        <v>300</v>
      </c>
      <c r="D1816" s="13">
        <v>1.7350000000000001E-2</v>
      </c>
      <c r="E1816" s="13">
        <v>267.60000000000002</v>
      </c>
      <c r="F1816" s="13">
        <v>272.39999999999998</v>
      </c>
      <c r="G1816" s="13">
        <v>0.43469999999999998</v>
      </c>
      <c r="H1816" s="13">
        <f t="shared" si="24"/>
        <v>10.809705639448918</v>
      </c>
    </row>
    <row r="1817" spans="2:8" s="460" customFormat="1">
      <c r="B1817" s="13">
        <v>1500</v>
      </c>
      <c r="C1817" s="13">
        <v>320</v>
      </c>
      <c r="D1817" s="13">
        <v>1.754E-2</v>
      </c>
      <c r="E1817" s="13">
        <v>288</v>
      </c>
      <c r="F1817" s="13">
        <v>292.89999999999998</v>
      </c>
      <c r="G1817" s="13">
        <v>0.46129999999999999</v>
      </c>
      <c r="H1817" s="13">
        <f t="shared" si="24"/>
        <v>11.623211386911114</v>
      </c>
    </row>
    <row r="1818" spans="2:8" s="460" customFormat="1">
      <c r="B1818" s="13">
        <v>1500</v>
      </c>
      <c r="C1818" s="13">
        <v>340</v>
      </c>
      <c r="D1818" s="13">
        <v>1.7749999999999998E-2</v>
      </c>
      <c r="E1818" s="13">
        <v>308.60000000000002</v>
      </c>
      <c r="F1818" s="13">
        <v>313.60000000000002</v>
      </c>
      <c r="G1818" s="13">
        <v>0.4874</v>
      </c>
      <c r="H1818" s="13">
        <f t="shared" si="24"/>
        <v>12.44465377581197</v>
      </c>
    </row>
    <row r="1819" spans="2:8" s="460" customFormat="1">
      <c r="B1819" s="13">
        <v>1500</v>
      </c>
      <c r="C1819" s="13">
        <v>360</v>
      </c>
      <c r="D1819" s="13">
        <v>1.7979999999999999E-2</v>
      </c>
      <c r="E1819" s="13">
        <v>329.4</v>
      </c>
      <c r="F1819" s="13">
        <v>334.4</v>
      </c>
      <c r="G1819" s="13">
        <v>0.5131</v>
      </c>
      <c r="H1819" s="13">
        <f t="shared" si="24"/>
        <v>13.270064485432151</v>
      </c>
    </row>
    <row r="1820" spans="2:8" s="460" customFormat="1">
      <c r="B1820" s="13">
        <v>1500</v>
      </c>
      <c r="C1820" s="13">
        <v>380</v>
      </c>
      <c r="D1820" s="13">
        <v>1.823E-2</v>
      </c>
      <c r="E1820" s="13">
        <v>350.3</v>
      </c>
      <c r="F1820" s="13">
        <v>355.3</v>
      </c>
      <c r="G1820" s="13">
        <v>0.53839999999999999</v>
      </c>
      <c r="H1820" s="13">
        <f t="shared" si="24"/>
        <v>14.099443515771661</v>
      </c>
    </row>
    <row r="1821" spans="2:8" s="460" customFormat="1">
      <c r="B1821" s="13">
        <v>1500</v>
      </c>
      <c r="C1821" s="13">
        <v>400</v>
      </c>
      <c r="D1821" s="13">
        <v>1.8499999999999999E-2</v>
      </c>
      <c r="E1821" s="13">
        <v>371.4</v>
      </c>
      <c r="F1821" s="13">
        <v>376.6</v>
      </c>
      <c r="G1821" s="13">
        <v>0.56340000000000001</v>
      </c>
      <c r="H1821" s="13">
        <f t="shared" si="24"/>
        <v>14.944695828988483</v>
      </c>
    </row>
    <row r="1822" spans="2:8" s="460" customFormat="1">
      <c r="B1822" s="13">
        <v>1500</v>
      </c>
      <c r="C1822" s="13">
        <v>420</v>
      </c>
      <c r="D1822" s="13">
        <v>1.8790000000000001E-2</v>
      </c>
      <c r="E1822" s="13">
        <v>392.8</v>
      </c>
      <c r="F1822" s="13">
        <v>398</v>
      </c>
      <c r="G1822" s="13">
        <v>0.58809999999999996</v>
      </c>
      <c r="H1822" s="13">
        <f t="shared" si="24"/>
        <v>15.79391646292463</v>
      </c>
    </row>
    <row r="1823" spans="2:8" s="460" customFormat="1">
      <c r="B1823" s="13">
        <v>1500</v>
      </c>
      <c r="C1823" s="13">
        <v>440</v>
      </c>
      <c r="D1823" s="13">
        <v>1.9099999999999999E-2</v>
      </c>
      <c r="E1823" s="13">
        <v>414.5</v>
      </c>
      <c r="F1823" s="13">
        <v>419.8</v>
      </c>
      <c r="G1823" s="13">
        <v>0.61260000000000003</v>
      </c>
      <c r="H1823" s="13">
        <f t="shared" si="24"/>
        <v>16.659010379738088</v>
      </c>
    </row>
    <row r="1824" spans="2:8" s="460" customFormat="1">
      <c r="B1824" s="13">
        <v>1500</v>
      </c>
      <c r="C1824" s="13">
        <v>460</v>
      </c>
      <c r="D1824" s="13">
        <v>1.9449999999999999E-2</v>
      </c>
      <c r="E1824" s="13">
        <v>436.5</v>
      </c>
      <c r="F1824" s="13">
        <v>441.9</v>
      </c>
      <c r="G1824" s="13">
        <v>0.63690000000000002</v>
      </c>
      <c r="H1824" s="13">
        <f t="shared" si="24"/>
        <v>17.53600925870953</v>
      </c>
    </row>
    <row r="1825" spans="2:8" s="460" customFormat="1">
      <c r="B1825" s="13">
        <v>1500</v>
      </c>
      <c r="C1825" s="13">
        <v>480</v>
      </c>
      <c r="D1825" s="13">
        <v>1.983E-2</v>
      </c>
      <c r="E1825" s="13">
        <v>459</v>
      </c>
      <c r="F1825" s="13">
        <v>464.5</v>
      </c>
      <c r="G1825" s="13">
        <v>0.66120000000000001</v>
      </c>
      <c r="H1825" s="13">
        <f t="shared" si="24"/>
        <v>18.432849741277614</v>
      </c>
    </row>
    <row r="1826" spans="2:8" s="460" customFormat="1">
      <c r="B1826" s="13">
        <v>1500</v>
      </c>
      <c r="C1826" s="13">
        <v>500</v>
      </c>
      <c r="D1826" s="13">
        <v>2.026E-2</v>
      </c>
      <c r="E1826" s="13">
        <v>482</v>
      </c>
      <c r="F1826" s="13">
        <v>487.6</v>
      </c>
      <c r="G1826" s="13">
        <v>0.6855</v>
      </c>
      <c r="H1826" s="13">
        <f t="shared" si="24"/>
        <v>19.349531827442338</v>
      </c>
    </row>
    <row r="1827" spans="2:8" s="460" customFormat="1">
      <c r="B1827" s="13">
        <v>1500</v>
      </c>
      <c r="C1827" s="13">
        <v>520</v>
      </c>
      <c r="D1827" s="13">
        <v>2.0740000000000001E-2</v>
      </c>
      <c r="E1827" s="13">
        <v>505.5</v>
      </c>
      <c r="F1827" s="13">
        <v>511.3</v>
      </c>
      <c r="G1827" s="13">
        <v>0.70989999999999998</v>
      </c>
      <c r="H1827" s="13">
        <f t="shared" si="24"/>
        <v>20.290023837923023</v>
      </c>
    </row>
    <row r="1828" spans="2:8" s="460" customFormat="1">
      <c r="B1828" s="13">
        <v>1500</v>
      </c>
      <c r="C1828" s="13">
        <v>540</v>
      </c>
      <c r="D1828" s="13">
        <v>2.129E-2</v>
      </c>
      <c r="E1828" s="13">
        <v>529.9</v>
      </c>
      <c r="F1828" s="13">
        <v>535.79999999999995</v>
      </c>
      <c r="G1828" s="13">
        <v>0.73470000000000002</v>
      </c>
      <c r="H1828" s="13">
        <f t="shared" si="24"/>
        <v>21.262262414158329</v>
      </c>
    </row>
    <row r="1829" spans="2:8" s="460" customFormat="1">
      <c r="B1829" s="13">
        <v>1500</v>
      </c>
      <c r="C1829" s="13">
        <v>560</v>
      </c>
      <c r="D1829" s="13">
        <v>2.1930000000000002E-2</v>
      </c>
      <c r="E1829" s="13">
        <v>555.20000000000005</v>
      </c>
      <c r="F1829" s="13">
        <v>561.29999999999995</v>
      </c>
      <c r="G1829" s="13">
        <v>0.75990000000000002</v>
      </c>
      <c r="H1829" s="13">
        <f t="shared" si="24"/>
        <v>22.274184197586919</v>
      </c>
    </row>
    <row r="1830" spans="2:8" s="460" customFormat="1">
      <c r="B1830" s="13">
        <v>1500</v>
      </c>
      <c r="C1830" s="13">
        <v>580</v>
      </c>
      <c r="D1830" s="13">
        <v>2.2700000000000001E-2</v>
      </c>
      <c r="E1830" s="13">
        <v>581.9</v>
      </c>
      <c r="F1830" s="13">
        <v>588.20000000000005</v>
      </c>
      <c r="G1830" s="13">
        <v>0.78610000000000002</v>
      </c>
      <c r="H1830" s="13">
        <f t="shared" si="24"/>
        <v>23.341662471086099</v>
      </c>
    </row>
    <row r="1831" spans="2:8" s="460" customFormat="1">
      <c r="B1831" s="13">
        <v>1500</v>
      </c>
      <c r="C1831" s="13">
        <v>596.27</v>
      </c>
      <c r="D1831" s="13">
        <v>2.3460000000000002E-2</v>
      </c>
      <c r="E1831" s="13">
        <v>605.1</v>
      </c>
      <c r="F1831" s="13">
        <v>611.6</v>
      </c>
      <c r="G1831" s="13">
        <v>0.80840000000000001</v>
      </c>
      <c r="H1831" s="13">
        <f t="shared" si="24"/>
        <v>24.270249519408804</v>
      </c>
    </row>
    <row r="1832" spans="2:8" s="460" customFormat="1">
      <c r="B1832" s="13">
        <v>1500</v>
      </c>
      <c r="C1832" s="13">
        <v>596.27</v>
      </c>
      <c r="D1832" s="13">
        <v>0.27700000000000002</v>
      </c>
      <c r="E1832" s="13">
        <v>1092</v>
      </c>
      <c r="F1832" s="13">
        <v>1169</v>
      </c>
      <c r="G1832" s="13">
        <v>1.3360000000000001</v>
      </c>
      <c r="H1832" s="13">
        <f t="shared" si="24"/>
        <v>46.389669208941939</v>
      </c>
    </row>
    <row r="1833" spans="2:8" s="460" customFormat="1">
      <c r="B1833" s="13">
        <v>1500</v>
      </c>
      <c r="C1833" s="13">
        <v>600</v>
      </c>
      <c r="D1833" s="13">
        <v>0.28189999999999998</v>
      </c>
      <c r="E1833" s="13">
        <v>1097</v>
      </c>
      <c r="F1833" s="13">
        <v>1175</v>
      </c>
      <c r="G1833" s="13">
        <v>1.3420000000000001</v>
      </c>
      <c r="H1833" s="13">
        <f t="shared" si="24"/>
        <v>46.627768452101606</v>
      </c>
    </row>
    <row r="1834" spans="2:8" s="460" customFormat="1">
      <c r="B1834" s="13">
        <v>1500</v>
      </c>
      <c r="C1834" s="13">
        <v>620</v>
      </c>
      <c r="D1834" s="13">
        <v>0.3049</v>
      </c>
      <c r="E1834" s="13">
        <v>1120</v>
      </c>
      <c r="F1834" s="13">
        <v>1205</v>
      </c>
      <c r="G1834" s="13">
        <v>1.37</v>
      </c>
      <c r="H1834" s="13">
        <f t="shared" si="24"/>
        <v>47.818264667899946</v>
      </c>
    </row>
    <row r="1835" spans="2:8" s="460" customFormat="1">
      <c r="B1835" s="13">
        <v>1500</v>
      </c>
      <c r="C1835" s="13">
        <v>640</v>
      </c>
      <c r="D1835" s="13">
        <v>0.32429999999999998</v>
      </c>
      <c r="E1835" s="13">
        <v>1139</v>
      </c>
      <c r="F1835" s="13">
        <v>1229</v>
      </c>
      <c r="G1835" s="13">
        <v>1.3919999999999999</v>
      </c>
      <c r="H1835" s="13">
        <f t="shared" si="24"/>
        <v>48.77066164053862</v>
      </c>
    </row>
    <row r="1836" spans="2:8" s="460" customFormat="1">
      <c r="B1836" s="13">
        <v>1500</v>
      </c>
      <c r="C1836" s="13">
        <v>660</v>
      </c>
      <c r="D1836" s="13">
        <v>0.34160000000000001</v>
      </c>
      <c r="E1836" s="13">
        <v>1155</v>
      </c>
      <c r="F1836" s="13">
        <v>1250</v>
      </c>
      <c r="G1836" s="13">
        <v>1.411</v>
      </c>
      <c r="H1836" s="13">
        <f t="shared" si="24"/>
        <v>49.604008991597453</v>
      </c>
    </row>
    <row r="1837" spans="2:8" s="460" customFormat="1">
      <c r="B1837" s="13">
        <v>1500</v>
      </c>
      <c r="C1837" s="13">
        <v>680</v>
      </c>
      <c r="D1837" s="13">
        <v>0.35730000000000001</v>
      </c>
      <c r="E1837" s="13">
        <v>1170</v>
      </c>
      <c r="F1837" s="13">
        <v>1269</v>
      </c>
      <c r="G1837" s="13">
        <v>1.4279999999999999</v>
      </c>
      <c r="H1837" s="13">
        <f t="shared" si="24"/>
        <v>50.357989928269738</v>
      </c>
    </row>
    <row r="1838" spans="2:8" s="460" customFormat="1">
      <c r="B1838" s="13">
        <v>1500</v>
      </c>
      <c r="C1838" s="13">
        <v>700</v>
      </c>
      <c r="D1838" s="13">
        <v>0.372</v>
      </c>
      <c r="E1838" s="13">
        <v>1184</v>
      </c>
      <c r="F1838" s="13">
        <v>1287</v>
      </c>
      <c r="G1838" s="13">
        <v>1.4430000000000001</v>
      </c>
      <c r="H1838" s="13">
        <f t="shared" si="24"/>
        <v>51.072287657748738</v>
      </c>
    </row>
    <row r="1839" spans="2:8" s="460" customFormat="1">
      <c r="B1839" s="13">
        <v>1500</v>
      </c>
      <c r="C1839" s="13">
        <v>720</v>
      </c>
      <c r="D1839" s="13">
        <v>0.38590000000000002</v>
      </c>
      <c r="E1839" s="13">
        <v>1196</v>
      </c>
      <c r="F1839" s="13">
        <v>1303</v>
      </c>
      <c r="G1839" s="13">
        <v>1.4570000000000001</v>
      </c>
      <c r="H1839" s="13">
        <f t="shared" si="24"/>
        <v>51.707218972841183</v>
      </c>
    </row>
    <row r="1840" spans="2:8" s="460" customFormat="1">
      <c r="B1840" s="13">
        <v>1500</v>
      </c>
      <c r="C1840" s="13">
        <v>740</v>
      </c>
      <c r="D1840" s="13">
        <v>0.39900000000000002</v>
      </c>
      <c r="E1840" s="13">
        <v>1208</v>
      </c>
      <c r="F1840" s="13">
        <v>1319</v>
      </c>
      <c r="G1840" s="13">
        <v>1.4710000000000001</v>
      </c>
      <c r="H1840" s="13">
        <f t="shared" si="24"/>
        <v>52.342150287933634</v>
      </c>
    </row>
    <row r="1841" spans="2:8" s="460" customFormat="1">
      <c r="B1841" s="13">
        <v>1500</v>
      </c>
      <c r="C1841" s="13">
        <v>760</v>
      </c>
      <c r="D1841" s="13">
        <v>0.41160000000000002</v>
      </c>
      <c r="E1841" s="13">
        <v>1220</v>
      </c>
      <c r="F1841" s="13">
        <v>1334</v>
      </c>
      <c r="G1841" s="13">
        <v>1.4830000000000001</v>
      </c>
      <c r="H1841" s="13">
        <f t="shared" si="24"/>
        <v>52.937398395832801</v>
      </c>
    </row>
    <row r="1842" spans="2:8" s="460" customFormat="1">
      <c r="B1842" s="13">
        <v>1500</v>
      </c>
      <c r="C1842" s="13">
        <v>780</v>
      </c>
      <c r="D1842" s="13">
        <v>0.42380000000000001</v>
      </c>
      <c r="E1842" s="13">
        <v>1231</v>
      </c>
      <c r="F1842" s="13">
        <v>1349</v>
      </c>
      <c r="G1842" s="13">
        <v>1.4950000000000001</v>
      </c>
      <c r="H1842" s="13">
        <f t="shared" si="24"/>
        <v>53.532646503731968</v>
      </c>
    </row>
    <row r="1843" spans="2:8" s="460" customFormat="1">
      <c r="B1843" s="13">
        <v>1500</v>
      </c>
      <c r="C1843" s="13">
        <v>800</v>
      </c>
      <c r="D1843" s="13">
        <v>0.43559999999999999</v>
      </c>
      <c r="E1843" s="13">
        <v>1242</v>
      </c>
      <c r="F1843" s="13">
        <v>1363</v>
      </c>
      <c r="G1843" s="13">
        <v>1.506</v>
      </c>
      <c r="H1843" s="13">
        <f t="shared" si="24"/>
        <v>54.088211404437857</v>
      </c>
    </row>
    <row r="1844" spans="2:8" s="460" customFormat="1">
      <c r="B1844" s="13">
        <v>1500</v>
      </c>
      <c r="C1844" s="13">
        <v>820</v>
      </c>
      <c r="D1844" s="13">
        <v>0.44700000000000001</v>
      </c>
      <c r="E1844" s="13">
        <v>1253</v>
      </c>
      <c r="F1844" s="13">
        <v>1377</v>
      </c>
      <c r="G1844" s="13">
        <v>1.5169999999999999</v>
      </c>
      <c r="H1844" s="13">
        <f t="shared" si="24"/>
        <v>54.643776305143753</v>
      </c>
    </row>
    <row r="1845" spans="2:8" s="460" customFormat="1">
      <c r="B1845" s="13">
        <v>1500</v>
      </c>
      <c r="C1845" s="13">
        <v>840</v>
      </c>
      <c r="D1845" s="13">
        <v>0.45810000000000001</v>
      </c>
      <c r="E1845" s="13">
        <v>1263</v>
      </c>
      <c r="F1845" s="13">
        <v>1390</v>
      </c>
      <c r="G1845" s="13">
        <v>1.528</v>
      </c>
      <c r="H1845" s="13">
        <f t="shared" si="24"/>
        <v>55.159657998656371</v>
      </c>
    </row>
    <row r="1846" spans="2:8" s="460" customFormat="1">
      <c r="B1846" s="13">
        <v>1500</v>
      </c>
      <c r="C1846" s="13">
        <v>860</v>
      </c>
      <c r="D1846" s="13">
        <v>0.46899999999999997</v>
      </c>
      <c r="E1846" s="13">
        <v>1273</v>
      </c>
      <c r="F1846" s="13">
        <v>1403</v>
      </c>
      <c r="G1846" s="13">
        <v>1.538</v>
      </c>
      <c r="H1846" s="13">
        <f t="shared" si="24"/>
        <v>55.675539692168982</v>
      </c>
    </row>
    <row r="1847" spans="2:8" s="460" customFormat="1">
      <c r="B1847" s="13">
        <v>1500</v>
      </c>
      <c r="C1847" s="13">
        <v>880</v>
      </c>
      <c r="D1847" s="13">
        <v>0.47970000000000002</v>
      </c>
      <c r="E1847" s="13">
        <v>1283</v>
      </c>
      <c r="F1847" s="13">
        <v>1416</v>
      </c>
      <c r="G1847" s="13">
        <v>1.5469999999999999</v>
      </c>
      <c r="H1847" s="13">
        <f t="shared" si="24"/>
        <v>56.191421385681593</v>
      </c>
    </row>
    <row r="1848" spans="2:8" s="460" customFormat="1">
      <c r="B1848" s="13">
        <v>1500</v>
      </c>
      <c r="C1848" s="13">
        <v>900</v>
      </c>
      <c r="D1848" s="13">
        <v>0.49020000000000002</v>
      </c>
      <c r="E1848" s="13">
        <v>1293</v>
      </c>
      <c r="F1848" s="13">
        <v>1429</v>
      </c>
      <c r="G1848" s="13">
        <v>1.5569999999999999</v>
      </c>
      <c r="H1848" s="13">
        <f t="shared" ref="H1848:H1878" si="25">F1848/$E$22*18</f>
        <v>56.707303079194212</v>
      </c>
    </row>
    <row r="1849" spans="2:8" s="460" customFormat="1">
      <c r="B1849" s="13">
        <v>1500</v>
      </c>
      <c r="C1849" s="13">
        <v>920</v>
      </c>
      <c r="D1849" s="13">
        <v>0.50049999999999994</v>
      </c>
      <c r="E1849" s="13">
        <v>1303</v>
      </c>
      <c r="F1849" s="13">
        <v>1442</v>
      </c>
      <c r="G1849" s="13">
        <v>1.5660000000000001</v>
      </c>
      <c r="H1849" s="13">
        <f t="shared" si="25"/>
        <v>57.22318477270683</v>
      </c>
    </row>
    <row r="1850" spans="2:8" s="460" customFormat="1">
      <c r="B1850" s="13">
        <v>1500</v>
      </c>
      <c r="C1850" s="13">
        <v>940</v>
      </c>
      <c r="D1850" s="13">
        <v>0.51060000000000005</v>
      </c>
      <c r="E1850" s="13">
        <v>1312</v>
      </c>
      <c r="F1850" s="13">
        <v>1454</v>
      </c>
      <c r="G1850" s="13">
        <v>1.575</v>
      </c>
      <c r="H1850" s="13">
        <f t="shared" si="25"/>
        <v>57.699383259026163</v>
      </c>
    </row>
    <row r="1851" spans="2:8" s="460" customFormat="1">
      <c r="B1851" s="13">
        <v>1500</v>
      </c>
      <c r="C1851" s="13">
        <v>960</v>
      </c>
      <c r="D1851" s="13">
        <v>0.52070000000000005</v>
      </c>
      <c r="E1851" s="13">
        <v>1322</v>
      </c>
      <c r="F1851" s="13">
        <v>1466</v>
      </c>
      <c r="G1851" s="13">
        <v>1.5840000000000001</v>
      </c>
      <c r="H1851" s="13">
        <f t="shared" si="25"/>
        <v>58.175581745345497</v>
      </c>
    </row>
    <row r="1852" spans="2:8" s="460" customFormat="1">
      <c r="B1852" s="13">
        <v>1500</v>
      </c>
      <c r="C1852" s="13">
        <v>980</v>
      </c>
      <c r="D1852" s="13">
        <v>0.53059999999999996</v>
      </c>
      <c r="E1852" s="13">
        <v>1331</v>
      </c>
      <c r="F1852" s="13">
        <v>1479</v>
      </c>
      <c r="G1852" s="13">
        <v>1.5920000000000001</v>
      </c>
      <c r="H1852" s="13">
        <f t="shared" si="25"/>
        <v>58.691463438858108</v>
      </c>
    </row>
    <row r="1853" spans="2:8" s="460" customFormat="1">
      <c r="B1853" s="13">
        <v>1500</v>
      </c>
      <c r="C1853" s="13">
        <v>1000</v>
      </c>
      <c r="D1853" s="13">
        <v>0.5403</v>
      </c>
      <c r="E1853" s="13">
        <v>1341</v>
      </c>
      <c r="F1853" s="13">
        <v>1491</v>
      </c>
      <c r="G1853" s="13">
        <v>1.601</v>
      </c>
      <c r="H1853" s="13">
        <f t="shared" si="25"/>
        <v>59.167661925177441</v>
      </c>
    </row>
    <row r="1854" spans="2:8" s="460" customFormat="1">
      <c r="B1854" s="13">
        <v>1500</v>
      </c>
      <c r="C1854" s="13">
        <v>1020</v>
      </c>
      <c r="D1854" s="13">
        <v>0.55000000000000004</v>
      </c>
      <c r="E1854" s="13">
        <v>1350</v>
      </c>
      <c r="F1854" s="13">
        <v>1503</v>
      </c>
      <c r="G1854" s="13">
        <v>1.609</v>
      </c>
      <c r="H1854" s="13">
        <f t="shared" si="25"/>
        <v>59.643860411496775</v>
      </c>
    </row>
    <row r="1855" spans="2:8" s="460" customFormat="1">
      <c r="B1855" s="13">
        <v>1500</v>
      </c>
      <c r="C1855" s="13">
        <v>1040</v>
      </c>
      <c r="D1855" s="13">
        <v>0.55959999999999999</v>
      </c>
      <c r="E1855" s="13">
        <v>1360</v>
      </c>
      <c r="F1855" s="13">
        <v>1515</v>
      </c>
      <c r="G1855" s="13">
        <v>1.617</v>
      </c>
      <c r="H1855" s="13">
        <f t="shared" si="25"/>
        <v>60.120058897816115</v>
      </c>
    </row>
    <row r="1856" spans="2:8" s="460" customFormat="1">
      <c r="B1856" s="13">
        <v>1500</v>
      </c>
      <c r="C1856" s="13">
        <v>1060</v>
      </c>
      <c r="D1856" s="13">
        <v>0.56910000000000005</v>
      </c>
      <c r="E1856" s="13">
        <v>1369</v>
      </c>
      <c r="F1856" s="13">
        <v>1527</v>
      </c>
      <c r="G1856" s="13">
        <v>1.625</v>
      </c>
      <c r="H1856" s="13">
        <f t="shared" si="25"/>
        <v>60.596257384135448</v>
      </c>
    </row>
    <row r="1857" spans="2:8" s="460" customFormat="1">
      <c r="B1857" s="13">
        <v>1500</v>
      </c>
      <c r="C1857" s="13">
        <v>1080</v>
      </c>
      <c r="D1857" s="13">
        <v>0.57850000000000001</v>
      </c>
      <c r="E1857" s="13">
        <v>1378</v>
      </c>
      <c r="F1857" s="13">
        <v>1539</v>
      </c>
      <c r="G1857" s="13">
        <v>1.633</v>
      </c>
      <c r="H1857" s="13">
        <f t="shared" si="25"/>
        <v>61.072455870454782</v>
      </c>
    </row>
    <row r="1858" spans="2:8" s="460" customFormat="1">
      <c r="B1858" s="13">
        <v>1500</v>
      </c>
      <c r="C1858" s="13">
        <v>1100</v>
      </c>
      <c r="D1858" s="13">
        <v>0.58779999999999999</v>
      </c>
      <c r="E1858" s="13">
        <v>1387</v>
      </c>
      <c r="F1858" s="13">
        <v>1551</v>
      </c>
      <c r="G1858" s="13">
        <v>1.64</v>
      </c>
      <c r="H1858" s="13">
        <f t="shared" si="25"/>
        <v>61.548654356774115</v>
      </c>
    </row>
    <row r="1859" spans="2:8" s="460" customFormat="1">
      <c r="B1859" s="13">
        <v>1500</v>
      </c>
      <c r="C1859" s="13">
        <v>1120</v>
      </c>
      <c r="D1859" s="13">
        <v>0.59709999999999996</v>
      </c>
      <c r="E1859" s="13">
        <v>1397</v>
      </c>
      <c r="F1859" s="13">
        <v>1562</v>
      </c>
      <c r="G1859" s="13">
        <v>1.6479999999999999</v>
      </c>
      <c r="H1859" s="13">
        <f t="shared" si="25"/>
        <v>61.985169635900178</v>
      </c>
    </row>
    <row r="1860" spans="2:8" s="460" customFormat="1">
      <c r="B1860" s="13">
        <v>1500</v>
      </c>
      <c r="C1860" s="13">
        <v>1140</v>
      </c>
      <c r="D1860" s="13">
        <v>0.60629999999999995</v>
      </c>
      <c r="E1860" s="13">
        <v>1406</v>
      </c>
      <c r="F1860" s="13">
        <v>1574</v>
      </c>
      <c r="G1860" s="13">
        <v>1.655</v>
      </c>
      <c r="H1860" s="13">
        <f t="shared" si="25"/>
        <v>62.461368122219518</v>
      </c>
    </row>
    <row r="1861" spans="2:8" s="460" customFormat="1">
      <c r="B1861" s="13">
        <v>1500</v>
      </c>
      <c r="C1861" s="13">
        <v>1160</v>
      </c>
      <c r="D1861" s="13">
        <v>0.61539999999999995</v>
      </c>
      <c r="E1861" s="13">
        <v>1415</v>
      </c>
      <c r="F1861" s="13">
        <v>1586</v>
      </c>
      <c r="G1861" s="13">
        <v>1.663</v>
      </c>
      <c r="H1861" s="13">
        <f t="shared" si="25"/>
        <v>62.937566608538852</v>
      </c>
    </row>
    <row r="1862" spans="2:8" s="460" customFormat="1">
      <c r="B1862" s="13">
        <v>1500</v>
      </c>
      <c r="C1862" s="13">
        <v>1180</v>
      </c>
      <c r="D1862" s="13">
        <v>0.62450000000000006</v>
      </c>
      <c r="E1862" s="13">
        <v>1424</v>
      </c>
      <c r="F1862" s="13">
        <v>1598</v>
      </c>
      <c r="G1862" s="13">
        <v>1.67</v>
      </c>
      <c r="H1862" s="13">
        <f t="shared" si="25"/>
        <v>63.413765094858185</v>
      </c>
    </row>
    <row r="1863" spans="2:8" s="460" customFormat="1">
      <c r="B1863" s="13">
        <v>1500</v>
      </c>
      <c r="C1863" s="13">
        <v>1200</v>
      </c>
      <c r="D1863" s="13">
        <v>0.63349999999999995</v>
      </c>
      <c r="E1863" s="13">
        <v>1433</v>
      </c>
      <c r="F1863" s="13">
        <v>1609</v>
      </c>
      <c r="G1863" s="13">
        <v>1.677</v>
      </c>
      <c r="H1863" s="13">
        <f t="shared" si="25"/>
        <v>63.850280373984241</v>
      </c>
    </row>
    <row r="1864" spans="2:8" s="460" customFormat="1">
      <c r="B1864" s="13">
        <v>1500</v>
      </c>
      <c r="C1864" s="13">
        <v>1220</v>
      </c>
      <c r="D1864" s="13">
        <v>0.64249999999999996</v>
      </c>
      <c r="E1864" s="13">
        <v>1443</v>
      </c>
      <c r="F1864" s="13">
        <v>1621</v>
      </c>
      <c r="G1864" s="13">
        <v>1.6839999999999999</v>
      </c>
      <c r="H1864" s="13">
        <f t="shared" si="25"/>
        <v>64.326478860303581</v>
      </c>
    </row>
    <row r="1865" spans="2:8" s="460" customFormat="1">
      <c r="B1865" s="13">
        <v>1500</v>
      </c>
      <c r="C1865" s="13">
        <v>1240</v>
      </c>
      <c r="D1865" s="13">
        <v>0.65149999999999997</v>
      </c>
      <c r="E1865" s="13">
        <v>1452</v>
      </c>
      <c r="F1865" s="13">
        <v>1633</v>
      </c>
      <c r="G1865" s="13">
        <v>1.6910000000000001</v>
      </c>
      <c r="H1865" s="13">
        <f t="shared" si="25"/>
        <v>64.802677346622914</v>
      </c>
    </row>
    <row r="1866" spans="2:8" s="460" customFormat="1">
      <c r="B1866" s="13">
        <v>1500</v>
      </c>
      <c r="C1866" s="13">
        <v>1260</v>
      </c>
      <c r="D1866" s="13">
        <v>0.66039999999999999</v>
      </c>
      <c r="E1866" s="13">
        <v>1461</v>
      </c>
      <c r="F1866" s="13">
        <v>1644</v>
      </c>
      <c r="G1866" s="13">
        <v>1.698</v>
      </c>
      <c r="H1866" s="13">
        <f t="shared" si="25"/>
        <v>65.23919262574897</v>
      </c>
    </row>
    <row r="1867" spans="2:8" s="460" customFormat="1">
      <c r="B1867" s="13">
        <v>1500</v>
      </c>
      <c r="C1867" s="13">
        <v>1280</v>
      </c>
      <c r="D1867" s="13">
        <v>0.66920000000000002</v>
      </c>
      <c r="E1867" s="13">
        <v>1470</v>
      </c>
      <c r="F1867" s="13">
        <v>1656</v>
      </c>
      <c r="G1867" s="13">
        <v>1.704</v>
      </c>
      <c r="H1867" s="13">
        <f t="shared" si="25"/>
        <v>65.715391112068303</v>
      </c>
    </row>
    <row r="1868" spans="2:8" s="460" customFormat="1">
      <c r="B1868" s="13">
        <v>1500</v>
      </c>
      <c r="C1868" s="13">
        <v>1300</v>
      </c>
      <c r="D1868" s="13">
        <v>0.67800000000000005</v>
      </c>
      <c r="E1868" s="13">
        <v>1479</v>
      </c>
      <c r="F1868" s="13">
        <v>1668</v>
      </c>
      <c r="G1868" s="13">
        <v>1.7110000000000001</v>
      </c>
      <c r="H1868" s="13">
        <f t="shared" si="25"/>
        <v>66.191589598387637</v>
      </c>
    </row>
    <row r="1869" spans="2:8" s="460" customFormat="1">
      <c r="B1869" s="13">
        <v>1500</v>
      </c>
      <c r="C1869" s="13">
        <v>1320</v>
      </c>
      <c r="D1869" s="13">
        <v>0.68679999999999997</v>
      </c>
      <c r="E1869" s="13">
        <v>1489</v>
      </c>
      <c r="F1869" s="13">
        <v>1679</v>
      </c>
      <c r="G1869" s="13">
        <v>1.718</v>
      </c>
      <c r="H1869" s="13">
        <f t="shared" si="25"/>
        <v>66.628104877513707</v>
      </c>
    </row>
    <row r="1870" spans="2:8" s="460" customFormat="1">
      <c r="B1870" s="13">
        <v>1500</v>
      </c>
      <c r="C1870" s="13">
        <v>1340</v>
      </c>
      <c r="D1870" s="13">
        <v>0.6956</v>
      </c>
      <c r="E1870" s="13">
        <v>1498</v>
      </c>
      <c r="F1870" s="13">
        <v>1691</v>
      </c>
      <c r="G1870" s="13">
        <v>1.724</v>
      </c>
      <c r="H1870" s="13">
        <f t="shared" si="25"/>
        <v>67.10430336383304</v>
      </c>
    </row>
    <row r="1871" spans="2:8" s="460" customFormat="1">
      <c r="B1871" s="13">
        <v>1500</v>
      </c>
      <c r="C1871" s="13">
        <v>1360</v>
      </c>
      <c r="D1871" s="13">
        <v>0.70430000000000004</v>
      </c>
      <c r="E1871" s="13">
        <v>1507</v>
      </c>
      <c r="F1871" s="13">
        <v>1703</v>
      </c>
      <c r="G1871" s="13">
        <v>1.7310000000000001</v>
      </c>
      <c r="H1871" s="13">
        <f t="shared" si="25"/>
        <v>67.580501850152373</v>
      </c>
    </row>
    <row r="1872" spans="2:8" s="460" customFormat="1">
      <c r="B1872" s="13">
        <v>1500</v>
      </c>
      <c r="C1872" s="13">
        <v>1380</v>
      </c>
      <c r="D1872" s="13">
        <v>0.71299999999999997</v>
      </c>
      <c r="E1872" s="13">
        <v>1517</v>
      </c>
      <c r="F1872" s="13">
        <v>1714</v>
      </c>
      <c r="G1872" s="13">
        <v>1.7370000000000001</v>
      </c>
      <c r="H1872" s="13">
        <f t="shared" si="25"/>
        <v>68.017017129278429</v>
      </c>
    </row>
    <row r="1873" spans="1:15" s="460" customFormat="1">
      <c r="B1873" s="13">
        <v>1500</v>
      </c>
      <c r="C1873" s="13">
        <v>1400</v>
      </c>
      <c r="D1873" s="13">
        <v>0.72170000000000001</v>
      </c>
      <c r="E1873" s="13">
        <v>1526</v>
      </c>
      <c r="F1873" s="13">
        <v>1726</v>
      </c>
      <c r="G1873" s="13">
        <v>1.7430000000000001</v>
      </c>
      <c r="H1873" s="13">
        <f t="shared" si="25"/>
        <v>68.493215615597762</v>
      </c>
    </row>
    <row r="1874" spans="1:15" s="460" customFormat="1">
      <c r="B1874" s="13">
        <v>1500</v>
      </c>
      <c r="C1874" s="13">
        <v>1420</v>
      </c>
      <c r="D1874" s="13">
        <v>0.73029999999999995</v>
      </c>
      <c r="E1874" s="13">
        <v>1535</v>
      </c>
      <c r="F1874" s="13">
        <v>1738</v>
      </c>
      <c r="G1874" s="13">
        <v>1.75</v>
      </c>
      <c r="H1874" s="13">
        <f t="shared" si="25"/>
        <v>68.969414101917096</v>
      </c>
    </row>
    <row r="1875" spans="1:15" s="460" customFormat="1">
      <c r="B1875" s="13">
        <v>1500</v>
      </c>
      <c r="C1875" s="13">
        <v>1440</v>
      </c>
      <c r="D1875" s="13">
        <v>0.7389</v>
      </c>
      <c r="E1875" s="13">
        <v>1544</v>
      </c>
      <c r="F1875" s="13">
        <v>1750</v>
      </c>
      <c r="G1875" s="13">
        <v>1.756</v>
      </c>
      <c r="H1875" s="13">
        <f t="shared" si="25"/>
        <v>69.445612588236429</v>
      </c>
    </row>
    <row r="1876" spans="1:15" s="460" customFormat="1">
      <c r="B1876" s="13">
        <v>1500</v>
      </c>
      <c r="C1876" s="13">
        <v>1460</v>
      </c>
      <c r="D1876" s="13">
        <v>0.74750000000000005</v>
      </c>
      <c r="E1876" s="13">
        <v>1554</v>
      </c>
      <c r="F1876" s="13">
        <v>1761</v>
      </c>
      <c r="G1876" s="13">
        <v>1.762</v>
      </c>
      <c r="H1876" s="13">
        <f t="shared" si="25"/>
        <v>69.882127867362499</v>
      </c>
    </row>
    <row r="1877" spans="1:15" s="460" customFormat="1">
      <c r="B1877" s="13">
        <v>1500</v>
      </c>
      <c r="C1877" s="13">
        <v>1480</v>
      </c>
      <c r="D1877" s="13">
        <v>0.75609999999999999</v>
      </c>
      <c r="E1877" s="13">
        <v>1563</v>
      </c>
      <c r="F1877" s="13">
        <v>1773</v>
      </c>
      <c r="G1877" s="13">
        <v>1.768</v>
      </c>
      <c r="H1877" s="13">
        <f t="shared" si="25"/>
        <v>70.358326353681832</v>
      </c>
    </row>
    <row r="1878" spans="1:15" s="460" customFormat="1">
      <c r="B1878" s="13">
        <v>1500</v>
      </c>
      <c r="C1878" s="13">
        <v>1500</v>
      </c>
      <c r="D1878" s="13">
        <v>0.76459999999999995</v>
      </c>
      <c r="E1878" s="13">
        <v>1573</v>
      </c>
      <c r="F1878" s="13">
        <v>1785</v>
      </c>
      <c r="G1878" s="13">
        <v>1.774</v>
      </c>
      <c r="H1878" s="13">
        <f t="shared" si="25"/>
        <v>70.834524840001166</v>
      </c>
    </row>
    <row r="1879" spans="1:15" s="460" customFormat="1">
      <c r="B1879" s="211" t="s">
        <v>512</v>
      </c>
    </row>
    <row r="1881" spans="1:15" s="9" customFormat="1" ht="15" customHeight="1">
      <c r="A1881" s="9" t="s">
        <v>3804</v>
      </c>
    </row>
    <row r="1883" spans="1:15" ht="15.75">
      <c r="A1883" s="859" t="s">
        <v>3801</v>
      </c>
      <c r="B1883" s="7"/>
      <c r="C1883" s="7"/>
      <c r="D1883" s="7"/>
      <c r="E1883" s="862">
        <v>60</v>
      </c>
      <c r="F1883" s="863">
        <v>60</v>
      </c>
      <c r="G1883" s="661" t="s">
        <v>3802</v>
      </c>
      <c r="N1883" s="7"/>
      <c r="O1883" s="7"/>
    </row>
    <row r="1884" spans="1:15">
      <c r="A1884" s="859" t="s">
        <v>3800</v>
      </c>
      <c r="B1884" s="7"/>
      <c r="C1884" s="7"/>
      <c r="D1884" s="7"/>
      <c r="E1884" s="862">
        <v>14.7</v>
      </c>
      <c r="F1884" s="863">
        <v>14.7</v>
      </c>
      <c r="G1884" s="661" t="s">
        <v>219</v>
      </c>
      <c r="N1884" s="7"/>
      <c r="O1884" s="7"/>
    </row>
    <row r="1886" spans="1:15" s="9" customFormat="1" ht="15" customHeight="1">
      <c r="A1886" s="9" t="s">
        <v>3811</v>
      </c>
    </row>
    <row r="1888" spans="1:15">
      <c r="E1888" s="864"/>
    </row>
    <row r="1889" spans="1:9">
      <c r="A1889" s="666" t="s">
        <v>3816</v>
      </c>
    </row>
    <row r="1890" spans="1:9">
      <c r="A1890" s="666" t="s">
        <v>3813</v>
      </c>
      <c r="F1890" s="860">
        <v>0.86</v>
      </c>
      <c r="G1890" s="861">
        <v>0.86</v>
      </c>
      <c r="H1890" s="666" t="s">
        <v>166</v>
      </c>
      <c r="I1890" s="666" t="s">
        <v>3809</v>
      </c>
    </row>
    <row r="1891" spans="1:9">
      <c r="A1891" s="666"/>
      <c r="G1891" s="666"/>
      <c r="I1891" s="666"/>
    </row>
    <row r="1892" spans="1:9">
      <c r="A1892" s="666" t="s">
        <v>3817</v>
      </c>
      <c r="G1892" s="666"/>
      <c r="I1892" s="666"/>
    </row>
    <row r="1893" spans="1:9">
      <c r="A1893" s="666" t="s">
        <v>3814</v>
      </c>
      <c r="F1893" s="860">
        <v>0.43</v>
      </c>
      <c r="G1893" s="861">
        <v>0.43</v>
      </c>
      <c r="H1893" s="666" t="s">
        <v>166</v>
      </c>
      <c r="I1893" s="666" t="s">
        <v>3820</v>
      </c>
    </row>
    <row r="1894" spans="1:9">
      <c r="I1894" s="666" t="s">
        <v>3819</v>
      </c>
    </row>
    <row r="1895" spans="1:9">
      <c r="A1895" s="666" t="s">
        <v>3818</v>
      </c>
    </row>
    <row r="1896" spans="1:9">
      <c r="A1896" s="666" t="s">
        <v>3815</v>
      </c>
      <c r="F1896" s="860">
        <v>0.01</v>
      </c>
      <c r="G1896" s="861">
        <v>0.01</v>
      </c>
      <c r="H1896" s="666" t="s">
        <v>166</v>
      </c>
      <c r="I1896" s="568" t="str">
        <f>I1890</f>
        <v>API 4589 survey  Table 1-1 and Table 2-1</v>
      </c>
    </row>
    <row r="1897" spans="1:9">
      <c r="I1897" s="666"/>
    </row>
    <row r="1898" spans="1:9" s="9" customFormat="1" ht="15" customHeight="1">
      <c r="A1898" s="9" t="s">
        <v>3984</v>
      </c>
    </row>
    <row r="1900" spans="1:9">
      <c r="A1900" s="568">
        <v>1</v>
      </c>
    </row>
    <row r="1901" spans="1:9">
      <c r="A1901" s="568">
        <v>4</v>
      </c>
    </row>
    <row r="1902" spans="1:9">
      <c r="A1902" s="568">
        <v>3</v>
      </c>
    </row>
    <row r="1903" spans="1:9">
      <c r="A1903" s="568">
        <f>A1901*A1900+A1902</f>
        <v>7</v>
      </c>
      <c r="B1903" s="568">
        <v>1</v>
      </c>
      <c r="C1903" s="568">
        <v>2</v>
      </c>
    </row>
    <row r="1904" spans="1:9">
      <c r="A1904" s="568">
        <v>3</v>
      </c>
      <c r="B1904" s="568">
        <f t="dataTable" ref="B1904:C1905" dt2D="1" dtr="1" r1="A1900" r2="A1901"/>
        <v>6</v>
      </c>
      <c r="C1904" s="568">
        <v>9</v>
      </c>
    </row>
    <row r="1905" spans="1:3">
      <c r="A1905" s="568">
        <v>4</v>
      </c>
      <c r="B1905" s="568">
        <v>7</v>
      </c>
      <c r="C1905" s="568">
        <v>11</v>
      </c>
    </row>
    <row r="1907" spans="1:3" s="9" customFormat="1" ht="15" customHeight="1">
      <c r="A1907" s="986">
        <v>9</v>
      </c>
    </row>
  </sheetData>
  <mergeCells count="84">
    <mergeCell ref="B62:C62"/>
    <mergeCell ref="B63:C63"/>
    <mergeCell ref="B64:C64"/>
    <mergeCell ref="B182:D182"/>
    <mergeCell ref="H182:K182"/>
    <mergeCell ref="B173:D173"/>
    <mergeCell ref="H173:K173"/>
    <mergeCell ref="H174:K174"/>
    <mergeCell ref="B181:D181"/>
    <mergeCell ref="H181:K181"/>
    <mergeCell ref="B96:C96"/>
    <mergeCell ref="B97:C97"/>
    <mergeCell ref="H165:K165"/>
    <mergeCell ref="B172:D172"/>
    <mergeCell ref="H172:K172"/>
    <mergeCell ref="B164:D164"/>
    <mergeCell ref="B206:C206"/>
    <mergeCell ref="H192:K192"/>
    <mergeCell ref="B202:C202"/>
    <mergeCell ref="B203:C203"/>
    <mergeCell ref="H183:K183"/>
    <mergeCell ref="B190:D190"/>
    <mergeCell ref="H190:K190"/>
    <mergeCell ref="B191:D191"/>
    <mergeCell ref="H191:K191"/>
    <mergeCell ref="B163:D163"/>
    <mergeCell ref="B107:C107"/>
    <mergeCell ref="B111:C111"/>
    <mergeCell ref="B112:C112"/>
    <mergeCell ref="B113:C113"/>
    <mergeCell ref="B114:C114"/>
    <mergeCell ref="B53:C53"/>
    <mergeCell ref="B54:C54"/>
    <mergeCell ref="B58:C58"/>
    <mergeCell ref="B59:C59"/>
    <mergeCell ref="H163:K163"/>
    <mergeCell ref="B115:C115"/>
    <mergeCell ref="B116:C116"/>
    <mergeCell ref="B125:D125"/>
    <mergeCell ref="B102:C102"/>
    <mergeCell ref="B104:C104"/>
    <mergeCell ref="B105:C105"/>
    <mergeCell ref="B106:C106"/>
    <mergeCell ref="B103:C103"/>
    <mergeCell ref="B93:C93"/>
    <mergeCell ref="B94:C94"/>
    <mergeCell ref="B95:C95"/>
    <mergeCell ref="B48:C48"/>
    <mergeCell ref="B49:C49"/>
    <mergeCell ref="B50:C50"/>
    <mergeCell ref="B51:C51"/>
    <mergeCell ref="B52:C52"/>
    <mergeCell ref="B43:C43"/>
    <mergeCell ref="B57:C57"/>
    <mergeCell ref="B28:C28"/>
    <mergeCell ref="B29:C29"/>
    <mergeCell ref="B30:C30"/>
    <mergeCell ref="B31:C31"/>
    <mergeCell ref="B32:C32"/>
    <mergeCell ref="B33:C33"/>
    <mergeCell ref="B35:C35"/>
    <mergeCell ref="B36:C36"/>
    <mergeCell ref="B37:C37"/>
    <mergeCell ref="B39:C39"/>
    <mergeCell ref="B44:C44"/>
    <mergeCell ref="B45:C45"/>
    <mergeCell ref="B46:C46"/>
    <mergeCell ref="B47:C47"/>
    <mergeCell ref="B9:C9"/>
    <mergeCell ref="B17:C17"/>
    <mergeCell ref="B27:C27"/>
    <mergeCell ref="B34:C34"/>
    <mergeCell ref="H164:K164"/>
    <mergeCell ref="B128:D128"/>
    <mergeCell ref="E128:F128"/>
    <mergeCell ref="B129:D129"/>
    <mergeCell ref="E129:F129"/>
    <mergeCell ref="B130:D130"/>
    <mergeCell ref="E130:F130"/>
    <mergeCell ref="E125:F125"/>
    <mergeCell ref="B126:D126"/>
    <mergeCell ref="E126:F126"/>
    <mergeCell ref="B127:D127"/>
    <mergeCell ref="E127:F127"/>
  </mergeCells>
  <hyperlinks>
    <hyperlink ref="B98" r:id="rId1" display="www.engineeringtoolbox.com"/>
  </hyperlinks>
  <pageMargins left="0.75" right="0.75" top="1" bottom="1" header="0.5" footer="0.5"/>
  <pageSetup orientation="portrait" horizontalDpi="4294967292" verticalDpi="4294967292"/>
  <ignoredErrors>
    <ignoredError sqref="E52"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Introduction</vt:lpstr>
      <vt:lpstr>Model Organization</vt:lpstr>
      <vt:lpstr>Model changes</vt:lpstr>
      <vt:lpstr>User Inputs &amp; Results</vt:lpstr>
      <vt:lpstr>Bulk Assessment - Inputs</vt:lpstr>
      <vt:lpstr>Bulk Assessment - Results</vt:lpstr>
      <vt:lpstr>Energy Consumption</vt:lpstr>
      <vt:lpstr>GHG Emissions</vt:lpstr>
      <vt:lpstr>Exploration</vt:lpstr>
      <vt:lpstr>Drilling &amp; Development</vt:lpstr>
      <vt:lpstr>Production &amp; Extraction</vt:lpstr>
      <vt:lpstr>Surface Processing</vt:lpstr>
      <vt:lpstr>Maintenance</vt:lpstr>
      <vt:lpstr>Waste Disposal</vt:lpstr>
      <vt:lpstr>Crude Transport</vt:lpstr>
      <vt:lpstr>Bitumen Extraction &amp; Upgrading</vt:lpstr>
      <vt:lpstr>Gas Balance</vt:lpstr>
      <vt:lpstr>Steam Injection</vt:lpstr>
      <vt:lpstr>Venting &amp; Fugitives</vt:lpstr>
      <vt:lpstr>Flaring</vt:lpstr>
      <vt:lpstr>Electricity</vt:lpstr>
      <vt:lpstr>Drivers</vt:lpstr>
      <vt:lpstr>Fuel Cycle</vt:lpstr>
      <vt:lpstr>Emissions Factors</vt:lpstr>
      <vt:lpstr>Fuel Specs</vt:lpstr>
      <vt:lpstr>Input data</vt:lpstr>
    </vt:vector>
  </TitlesOfParts>
  <Company>Stanford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Hassan M. El-Houjeiri;Adam R. Brandt</dc:creator>
  <cp:lastModifiedBy>Jeffrey Feldman</cp:lastModifiedBy>
  <cp:lastPrinted>2013-02-14T18:46:56Z</cp:lastPrinted>
  <dcterms:created xsi:type="dcterms:W3CDTF">2011-08-03T19:12:54Z</dcterms:created>
  <dcterms:modified xsi:type="dcterms:W3CDTF">2016-07-18T20:05:10Z</dcterms:modified>
</cp:coreProperties>
</file>